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480" windowWidth="15345" windowHeight="4200" tabRatio="956"/>
  </bookViews>
  <sheets>
    <sheet name="ImportantDisclosures" sheetId="143" r:id="rId1"/>
    <sheet name="CircularReferenceAlert" sheetId="146" r:id="rId2"/>
    <sheet name="Index" sheetId="139" r:id="rId3"/>
    <sheet name="Sum of parts" sheetId="12" r:id="rId4"/>
    <sheet name="Mark-to-Market" sheetId="138" r:id="rId5"/>
    <sheet name="Financials" sheetId="14" r:id="rId6"/>
    <sheet name="MW-Cache" sheetId="121" state="veryHidden" r:id="rId7"/>
    <sheet name="Valuation Drivers" sheetId="11" r:id="rId8"/>
    <sheet name="Interims" sheetId="21" r:id="rId9"/>
    <sheet name="T-Home Germany" sheetId="3" r:id="rId10"/>
    <sheet name="TMO Germany" sheetId="2" r:id="rId11"/>
    <sheet name="US Metro PF" sheetId="117" r:id="rId12"/>
    <sheet name="TMO Netherlands" sheetId="8" r:id="rId13"/>
    <sheet name="PTC (Poland)" sheetId="10" r:id="rId14"/>
    <sheet name="TMO Austria" sheetId="7" r:id="rId15"/>
    <sheet name="TMO Cz Rep" sheetId="9" r:id="rId16"/>
    <sheet name="Croatia" sheetId="17" r:id="rId17"/>
    <sheet name="Slovakia" sheetId="16" r:id="rId18"/>
    <sheet name="Hungary" sheetId="15" r:id="rId19"/>
    <sheet name="T-Systems" sheetId="4" r:id="rId20"/>
    <sheet name="GHS" sheetId="20" r:id="rId21"/>
    <sheet name="IndexInformation" sheetId="144" r:id="rId22"/>
    <sheet name="ModPubIndex" sheetId="145" r:id="rId23"/>
  </sheets>
  <externalReferences>
    <externalReference r:id="rId24"/>
    <externalReference r:id="rId25"/>
    <externalReference r:id="rId26"/>
  </externalReferences>
  <definedNames>
    <definedName name="__FDS_HYPERLINK_TOGGLE_STATE__" hidden="1">"ON"</definedName>
    <definedName name="__FDS_UNIQUE_RANGE_ID_GENERATOR_COUNTER" hidden="1">1</definedName>
    <definedName name="_g3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_g4" hidden="1">{"Line Efficiency",#N/A,FALSE,"Benchmarking"}</definedName>
    <definedName name="_g5" hidden="1">{"print 1",#N/A,FALSE,"PrimeCo PCS";"print 2",#N/A,FALSE,"PrimeCo PCS";"valuation",#N/A,FALSE,"PrimeCo PCS"}</definedName>
    <definedName name="_g6" hidden="1">{#N/A,#N/A,FALSE,"Spain MKT";#N/A,#N/A,FALSE,"Assumptions";#N/A,#N/A,FALSE,"Adve";#N/A,#N/A,FALSE,"E-Commerce";#N/A,#N/A,FALSE,"Opex";#N/A,#N/A,FALSE,"P&amp;L";#N/A,#N/A,FALSE,"FCF &amp; DCF"}</definedName>
    <definedName name="_g7" hidden="1">{"Tarifica91",#N/A,FALSE,"Tariffs";"Tarifica92",#N/A,FALSE,"Tariffs";"Tarifica93",#N/A,FALSE,"Tariffs";"Tarifica94",#N/A,FALSE,"Tariffs";"Tarifica95",#N/A,FALSE,"Tariffs";"Tarifica96",#N/A,FALSE,"Tariffs"}</definedName>
    <definedName name="_g8" hidden="1">{"Tariff Comparison",#N/A,FALSE,"Benchmarking";"Tariff Comparison 2",#N/A,FALSE,"Benchmarking";"Tariff Comparison 3",#N/A,FALSE,"Benchmarking"}</definedName>
    <definedName name="AAA_DOCTOPS" hidden="1">"AAA_SET"</definedName>
    <definedName name="AAA_duser" hidden="1">"OFF"</definedName>
    <definedName name="AAB_Addin5" hidden="1">"AAB_Description for addin 5,Description for addin 5,Description for addin 5,Description for addin 5,Description for addin 5,Description for addin 5"</definedName>
    <definedName name="abc" hidden="1">{"Methodology and Sourcing",#N/A,FALSE,"Methodology and Sourcing";"britishtelecom",#N/A,FALSE,"BT out";"CTC",#N/A,FALSE,"CTC out";"DT",#N/A,FALSE,"DT out";"FT",#N/A,FALSE,"FT out";"HKT",#N/A,FALSE,"HKT out";"KPN",#N/A,FALSE,"KPN out";"MATAV",#N/A,FALSE,"MATAV out";"PT Telkom",#N/A,FALSE,"PT Telkom out";"Tel Arg",#N/A,FALSE,"Tel Arg out";"Telef Arg",#N/A,FALSE,"TASA out";"Tel Asia",#N/A,FALSE,"Tel. Asia Out";"T de E",#N/A,FALSE,"T de E out";"Tel Malay",#N/A,FALSE,"Tel Malay out";"TELMEX",#N/A,FALSE,"Telmex out";"TNZ",#N/A,FALSE,"TNZ out";"Telkom SA",#N/A,FALSE,"Telkom SA out";"SPT",#N/A,FALSE,"SPT out";"USA",#N/A,FALSE,"USA out"}</definedName>
    <definedName name="AdditionalInstructions">IndexInformation!$B$42</definedName>
    <definedName name="Address" localSheetId="0">ImportantDisclosures!$A$2:$A$2</definedName>
    <definedName name="ANA" localSheetId="22">ModPubIndex!$A$7</definedName>
    <definedName name="Authors" localSheetId="0">ImportantDisclosures!$A$7</definedName>
    <definedName name="Authors" localSheetId="21">IndexInformation!$B$18</definedName>
    <definedName name="BRO" localSheetId="22">ModPubIndex!$A$1</definedName>
    <definedName name="BS_Accum_PL">Financials!$116:$116</definedName>
    <definedName name="BS_Accum_PL1">Financials!$119:$119</definedName>
    <definedName name="BS_Cash">Financials!$74:$74</definedName>
    <definedName name="BS_Creditors">Financials!$97:$97</definedName>
    <definedName name="BS_Creditors_OTH">Financials!$98:$98</definedName>
    <definedName name="BS_Current_Assets">Financials!$73:$73</definedName>
    <definedName name="BS_Current_Liabilities">Financials!$95:$95</definedName>
    <definedName name="BS_Debt_LT">Financials!$104:$104</definedName>
    <definedName name="BS_Debt_ST">Financials!$96:$96</definedName>
    <definedName name="BS_Debtors">Financials!$75:$75</definedName>
    <definedName name="BS_Debtors_Oth">Financials!$76:$76</definedName>
    <definedName name="BS_DTA">Financials!$87:$87</definedName>
    <definedName name="BS_Equity_ORD">Financials!$113:$113</definedName>
    <definedName name="BS_IA_Net">Financials!$83:$83</definedName>
    <definedName name="BS_Invest_LT">Financials!$85:$85</definedName>
    <definedName name="BS_Invest_LT_1">Financials!$86:$86</definedName>
    <definedName name="BS_Liabilities_LT">Financials!$103:$103</definedName>
    <definedName name="BS_Min_Int">Financials!$123:$123</definedName>
    <definedName name="BS_NCA">Financials!$82:$82</definedName>
    <definedName name="BS_Prov_Pension">Financials!$105:$105</definedName>
    <definedName name="BS_Prov_Tax_Def">Financials!$107:$107</definedName>
    <definedName name="BS_Provision_OTH">Financials!$106:$106</definedName>
    <definedName name="BS_Shr_Cap">Financials!$114:$114</definedName>
    <definedName name="BS_Shr_Cap_1">Financials!$120:$120</definedName>
    <definedName name="BS_Stocks">Financials!$78:$78</definedName>
    <definedName name="BS_TFA_Net">Financials!$84:$84</definedName>
    <definedName name="Buttons" localSheetId="1">CircularReferenceAlert!$B$13:$B$15</definedName>
    <definedName name="cde" hidden="1">{"subs",#N/A,FALSE,"database ";"proportional",#N/A,FALSE,"database "}</definedName>
    <definedName name="CF_Acqn">Financials!$164:$164</definedName>
    <definedName name="CF_Acqn_1">Financials!$163:$163</definedName>
    <definedName name="CF_Acqn_3">Financials!$172:$172</definedName>
    <definedName name="CF_Cap_Inc">Financials!$182:$182</definedName>
    <definedName name="CF_Capex">Financials!$162:$162</definedName>
    <definedName name="CF_Capex_1">Financials!$161:$161</definedName>
    <definedName name="CF_Chg_Prov">Financials!$148:$148</definedName>
    <definedName name="CF_Chg_WC">Financials!$147:$147</definedName>
    <definedName name="CF_Chg_WC1">Financials!$149:$149</definedName>
    <definedName name="CF_Disposal">Financials!$169:$169</definedName>
    <definedName name="CF_Disposal_1">Financials!$170:$170</definedName>
    <definedName name="CF_Divis_Ord">Financials!$181:$181</definedName>
    <definedName name="CF_Finance_Tot">Financials!$184:$184</definedName>
    <definedName name="CF_Invest_Tot">Financials!$175:$175</definedName>
    <definedName name="CF_Net_Op_CF">Financials!$158:$158</definedName>
    <definedName name="CF_Sale_FA">Financials!$168:$168</definedName>
    <definedName name="CF_Sale_FA_1">Financials!$167:$167</definedName>
    <definedName name="CF_Tax">Financials!$150:$150</definedName>
    <definedName name="CopyrightStamp">ImportantDisclosures!$A$27</definedName>
    <definedName name="COU" localSheetId="22">ModPubIndex!$A$5</definedName>
    <definedName name="CQEnd" localSheetId="21">IndexInformation!$B$31</definedName>
    <definedName name="Currency" localSheetId="21">IndexInformation!$B$24</definedName>
    <definedName name="CurrentStockPrice" localSheetId="21">IndexInformation!$B$23</definedName>
    <definedName name="CurrQtrEPS" localSheetId="21">IndexInformation!$B$29</definedName>
    <definedName name="CurrYearEPS" localSheetId="21">IndexInformation!$B$11</definedName>
    <definedName name="CurrYearTotalRevenue" localSheetId="21">IndexInformation!$B$10</definedName>
    <definedName name="CurrYearTotalRevenueActual" localSheetId="21">IndexInformation!$B$32</definedName>
    <definedName name="CUSIP" localSheetId="21">IndexInformation!$B$20</definedName>
    <definedName name="CYEnd" localSheetId="21">IndexInformation!$B$30</definedName>
    <definedName name="Date" localSheetId="0">ImportantDisclosures!$A$8</definedName>
    <definedName name="Deleted" localSheetId="21">IndexInformation!$B$27</definedName>
    <definedName name="Description" localSheetId="21">IndexInformation!$B$7</definedName>
    <definedName name="Discipline" localSheetId="21">IndexInformation!$B$3</definedName>
    <definedName name="DISCIPLINE" localSheetId="22">ModPubIndex!$A$12</definedName>
    <definedName name="DisclosuresText">ImportantDisclosures!$A$22</definedName>
    <definedName name="Distribution" localSheetId="21">IndexInformation!$B$26</definedName>
    <definedName name="DistTable" localSheetId="0">ImportantDisclosures!#REF!</definedName>
    <definedName name="DistTablePreamble" localSheetId="0">ImportantDisclosures!#REF!</definedName>
    <definedName name="DOCDAT" localSheetId="22">ModPubIndex!$A$2</definedName>
    <definedName name="DOCTIME" localSheetId="22">ModPubIndex!$A$3</definedName>
    <definedName name="DocType" localSheetId="21">IndexInformation!$B$5</definedName>
    <definedName name="efg" hidden="1">{"Employee Efficiency",#N/A,FALSE,"Benchmarking"}</definedName>
    <definedName name="EMAIL_ALERT" localSheetId="22">ModPubIndex!$A$10</definedName>
    <definedName name="EmailAlert" localSheetId="21">IndexInformation!$B$28</definedName>
    <definedName name="FiveYearGrowthRate" localSheetId="21">IndexInformation!$B$16</definedName>
    <definedName name="FollowingYearEPS" localSheetId="21">IndexInformation!$B$15</definedName>
    <definedName name="FollowingYearTotalRevenue" localSheetId="21">IndexInformation!$B$14</definedName>
    <definedName name="FollowingYearTotalRevenueActual" localSheetId="21">IndexInformation!$B$34</definedName>
    <definedName name="FY_08">Financials!$C:$C</definedName>
    <definedName name="FY_09">Financials!$D:$D</definedName>
    <definedName name="FY_10">Financials!$E:$E</definedName>
    <definedName name="FY_11">Financials!$F:$F</definedName>
    <definedName name="FY_12">Financials!$G:$G</definedName>
    <definedName name="FY_13">Financials!$H:$H</definedName>
    <definedName name="FY_14">Financials!$I:$I</definedName>
    <definedName name="FY_15">Financials!$J:$J</definedName>
    <definedName name="FY_16">Financials!$K:$K</definedName>
    <definedName name="FY_17">Financials!$L:$L</definedName>
    <definedName name="FY_18">Financials!$M:$M</definedName>
    <definedName name="HL" localSheetId="22">ModPubIndex!$A$8</definedName>
    <definedName name="HYE">[1]Info!$E$3</definedName>
    <definedName name="Img_ML_7n6h3t1t" hidden="1">"IMG_6"</definedName>
    <definedName name="Img_ML_8r1k8t4y" hidden="1">"IMG_12"</definedName>
    <definedName name="IND" localSheetId="22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KeepVersions" localSheetId="21">IndexInformation!$B$8</definedName>
    <definedName name="LanguageCode">IndexInformation!$B$38</definedName>
    <definedName name="LastCell" localSheetId="0">ImportantDisclosures!$A$22</definedName>
    <definedName name="Linking_12" xml:space="preserve">                                 Financials!$B$2:$P$39</definedName>
    <definedName name="Linking_Range_1">'Sum of parts'!$B$3:$F$45</definedName>
    <definedName name="Linking_Range_1234">Financials!$B$2:$P$39</definedName>
    <definedName name="Linking_Range_2">'Sum of parts'!$B$3:$F$46</definedName>
    <definedName name="Linking_Range_3">'Sum of parts'!$A$2:$F$47</definedName>
    <definedName name="Linking_Range_4">Financials!$B$2:$M$53</definedName>
    <definedName name="Linking_Range_5">Financials!$B$203:$M$221</definedName>
    <definedName name="Linking_Range_6">Financials!$B$71:$M$130</definedName>
    <definedName name="ListOffset" hidden="1">1</definedName>
    <definedName name="MacroVersion" localSheetId="21">IndexInformation!$B$1</definedName>
    <definedName name="MaxChange" localSheetId="1">CircularReferenceAlert!$B$9</definedName>
    <definedName name="MaxIterations" localSheetId="1">CircularReferenceAlert!$B$8</definedName>
    <definedName name="ModelPrice" localSheetId="0">ImportantDisclosures!$A$14</definedName>
    <definedName name="Multiplier" localSheetId="21">IndexInformation!$B$35</definedName>
    <definedName name="Net_Debt">Financials!$128:$128</definedName>
    <definedName name="NextYearEPS" localSheetId="21">IndexInformation!$B$13</definedName>
    <definedName name="NextYearTotalRevenue" localSheetId="21">IndexInformation!$B$12</definedName>
    <definedName name="NextYearTotalRevenueActual" localSheetId="21">IndexInformation!$B$33</definedName>
    <definedName name="ObjectType">IndexInformation!$B$37</definedName>
    <definedName name="PANA" localSheetId="22">ModPubIndex!$A$11</definedName>
    <definedName name="PathName" localSheetId="21">IndexInformation!$B$25</definedName>
    <definedName name="PL_COGS">Financials!$9:$9</definedName>
    <definedName name="PL_Depn_Amort">Financials!$21:$21</definedName>
    <definedName name="PL_DPS">Financials!$51:$51</definedName>
    <definedName name="PL_EBIT">Financials!$24:$24</definedName>
    <definedName name="PL_EBITDA">Financials!$15:$15</definedName>
    <definedName name="PL_Excep">Financials!$32:$32</definedName>
    <definedName name="PL_Inc_Assoc">Financials!$27:$27</definedName>
    <definedName name="PL_Int_Exp">Financials!$28:$28</definedName>
    <definedName name="PL_Min_Int">Financials!$38:$38</definedName>
    <definedName name="PL_PBT">Financials!$30:$30</definedName>
    <definedName name="PL_Revenue">Financials!$6:$6</definedName>
    <definedName name="PL_Shares">Financials!$55:$55</definedName>
    <definedName name="PL_Shares_Avg">Financials!$58:$58</definedName>
    <definedName name="PL_Tax">Financials!$34:$34</definedName>
    <definedName name="PL_Tax_Rate_Std">Financials!$35:$35</definedName>
    <definedName name="Printall">[2]!Printall</definedName>
    <definedName name="PRODUCT" localSheetId="22">ModPubIndex!$A$6</definedName>
    <definedName name="PSYM" localSheetId="22">ModPubIndex!$A$4</definedName>
    <definedName name="PublishDate" localSheetId="21">IndexInformation!$B$2</definedName>
    <definedName name="R_Erg">"Diagramm 2"</definedName>
    <definedName name="R_ROCE">"Diagramm 3"</definedName>
    <definedName name="R_Ums">"Diagramm 1"</definedName>
    <definedName name="Rating" localSheetId="21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portGroup" hidden="1">0</definedName>
    <definedName name="ResearchTopic" localSheetId="21">IndexInformation!$B$4</definedName>
    <definedName name="RIC" localSheetId="21">IndexInformation!$B$21</definedName>
    <definedName name="SAPBEXhrIndnt" hidden="1">1</definedName>
    <definedName name="SAPBEXrevision" hidden="1">5</definedName>
    <definedName name="SAPBEXsysID" hidden="1">"PCD"</definedName>
    <definedName name="SAPBEXwbID" hidden="1">"3VDK27D74V9RRBI46NJ12WML3"</definedName>
    <definedName name="SECSettlement" localSheetId="0">ImportantDisclosures!#REF!</definedName>
    <definedName name="SEDOL" localSheetId="21">IndexInformation!$B$22</definedName>
    <definedName name="SortCurMarketData">[3]MarketData!SortCurMarketData</definedName>
    <definedName name="SourceDefined" localSheetId="0">ImportantDisclosures!$A$19</definedName>
    <definedName name="SPWS_WBID">"96EF96AD-243F-11D3-8B7D-DF72A4219E59"</definedName>
    <definedName name="StockRating" localSheetId="0">ImportantDisclosures!$A$11</definedName>
    <definedName name="SubjectCode" localSheetId="21">IndexInformation!$B$6</definedName>
    <definedName name="SubmitterUserId">IndexInformation!$B$39</definedName>
    <definedName name="SUPPRESSED" localSheetId="22">ModPubIndex!$A$13</definedName>
    <definedName name="TargetPrice" localSheetId="0">ImportantDisclosures!$A$15</definedName>
    <definedName name="TemplateRegion">IndexInformation!$B$36</definedName>
    <definedName name="Ticker" localSheetId="0">ImportantDisclosures!$A$10</definedName>
    <definedName name="Ticker">""</definedName>
    <definedName name="TickerRegion">IndexInformation!$B$41</definedName>
    <definedName name="Tickers" localSheetId="21">IndexInformation!$B$19</definedName>
    <definedName name="UpdateReason" localSheetId="21">IndexInformation!$B$17</definedName>
    <definedName name="USRegDisclosures" localSheetId="0">ImportantDisclosures!#REF!</definedName>
    <definedName name="wrn.All._.Company._.Analyses." hidden="1">{"Methodology and Sourcing",#N/A,FALSE,"Methodology and Sourcing";"britishtelecom",#N/A,FALSE,"BT out";"CTC",#N/A,FALSE,"CTC out";"DT",#N/A,FALSE,"DT out";"FT",#N/A,FALSE,"FT out";"HKT",#N/A,FALSE,"HKT out";"KPN",#N/A,FALSE,"KPN out";"MATAV",#N/A,FALSE,"MATAV out";"PT Telkom",#N/A,FALSE,"PT Telkom out";"Tel Arg",#N/A,FALSE,"Tel Arg out";"Telef Arg",#N/A,FALSE,"TASA out";"Tel Asia",#N/A,FALSE,"Tel. Asia Out";"T de E",#N/A,FALSE,"T de E out";"Tel Malay",#N/A,FALSE,"Tel Malay out";"TELMEX",#N/A,FALSE,"Telmex out";"TNZ",#N/A,FALSE,"TNZ out";"Telkom SA",#N/A,FALSE,"Telkom SA out";"SPT",#N/A,FALSE,"SPT out";"USA",#N/A,FALSE,"USA out"}</definedName>
    <definedName name="wrn.database." hidden="1">{"subs",#N/A,FALSE,"database ";"proportional",#N/A,FALSE,"database "}</definedName>
    <definedName name="wrn.Employee._.Efficiency." hidden="1">{"Employee Efficiency",#N/A,FALSE,"Benchmarking"}</definedName>
    <definedName name="wrn.international.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wrn.Line._.Efficiency." hidden="1">{"Line Efficiency",#N/A,FALSE,"Benchmarking"}</definedName>
    <definedName name="wrn.PrimeCo." hidden="1">{"print 1",#N/A,FALSE,"PrimeCo PCS";"print 2",#N/A,FALSE,"PrimeCo PCS";"valuation",#N/A,FALSE,"PrimeCo PCS"}</definedName>
    <definedName name="wrn.print._.pages." hidden="1">{#N/A,#N/A,FALSE,"Spain MKT";#N/A,#N/A,FALSE,"Assumptions";#N/A,#N/A,FALSE,"Adve";#N/A,#N/A,FALSE,"E-Commerce";#N/A,#N/A,FALSE,"Opex";#N/A,#N/A,FALSE,"P&amp;L";#N/A,#N/A,FALSE,"FCF &amp; DCF"}</definedName>
    <definedName name="wrn.Riverwood_comp_model." hidden="1">{#N/A,#N/A,FALSE,"Che-Ga";#N/A,#N/A,FALSE,"Iv-Sm";#N/A,#N/A,FALSE,"So-We";#N/A,#N/A,FALSE,"Me-Po";#N/A,#N/A,FALSE,"Be-Bo";#N/A,#N/A,FALSE,"Cha-Ki";#N/A,#N/A,FALSE,"In";#N/A,#N/A,FALSE,"Schedule 23";#N/A,#N/A,FALSE,"Schedule 22";#N/A,#N/A,FALSE,"WACC"}</definedName>
    <definedName name="wrn.Tariff._.Analysis." hidden="1">{"Tarifica91",#N/A,FALSE,"Tariffs";"Tarifica92",#N/A,FALSE,"Tariffs";"Tarifica93",#N/A,FALSE,"Tariffs";"Tarifica94",#N/A,FALSE,"Tariffs";"Tarifica95",#N/A,FALSE,"Tariffs";"Tarifica96",#N/A,FALSE,"Tariffs"}</definedName>
    <definedName name="wrn.Tariff._.Comaprison." hidden="1">{"Tariff Comparison",#N/A,FALSE,"Benchmarking";"Tariff Comparison 2",#N/A,FALSE,"Benchmarking";"Tariff Comparison 3",#N/A,FALSE,"Benchmarking"}</definedName>
  </definedNames>
  <calcPr calcId="145621" calcMode="autoNoTable" iterate="1"/>
</workbook>
</file>

<file path=xl/calcChain.xml><?xml version="1.0" encoding="utf-8"?>
<calcChain xmlns="http://schemas.openxmlformats.org/spreadsheetml/2006/main">
  <c r="P256" i="14" l="1"/>
  <c r="O256" i="14"/>
  <c r="N256" i="14"/>
  <c r="P254" i="14"/>
  <c r="O254" i="14"/>
  <c r="N254" i="14"/>
  <c r="O255" i="14"/>
  <c r="P255" i="14"/>
  <c r="N255" i="14"/>
  <c r="M206" i="14" l="1"/>
  <c r="L189" i="14" l="1"/>
  <c r="L182" i="14"/>
  <c r="L164" i="14"/>
  <c r="L163" i="14"/>
  <c r="L162" i="14"/>
  <c r="H50" i="12" l="1"/>
  <c r="BU37" i="21"/>
  <c r="T115" i="14" l="1"/>
  <c r="S115" i="14"/>
  <c r="R115" i="14"/>
  <c r="Q115" i="14"/>
  <c r="P115" i="14"/>
  <c r="O115" i="14"/>
  <c r="N115" i="14"/>
  <c r="M115" i="14"/>
  <c r="AG54" i="12"/>
  <c r="AF54" i="12"/>
  <c r="C29" i="12"/>
  <c r="L326" i="14" l="1"/>
  <c r="BS163" i="21" l="1"/>
  <c r="BR163" i="21"/>
  <c r="BQ163" i="21"/>
  <c r="BK163" i="21"/>
  <c r="BL163" i="21"/>
  <c r="BM163" i="21"/>
  <c r="BN163" i="21"/>
  <c r="O130" i="14"/>
  <c r="N130" i="14"/>
  <c r="BS116" i="21"/>
  <c r="BS117" i="21" s="1"/>
  <c r="BR116" i="21"/>
  <c r="BR117" i="21" s="1"/>
  <c r="BQ117" i="21"/>
  <c r="BM117" i="21"/>
  <c r="BL117" i="21"/>
  <c r="BK117" i="21"/>
  <c r="M130" i="14"/>
  <c r="CF70" i="21"/>
  <c r="CE70" i="21"/>
  <c r="CD70" i="21"/>
  <c r="CC70" i="21"/>
  <c r="BZ70" i="21"/>
  <c r="BY70" i="21"/>
  <c r="BX70" i="21"/>
  <c r="BW70" i="21"/>
  <c r="BT70" i="21"/>
  <c r="BS70" i="21"/>
  <c r="BR70" i="21"/>
  <c r="BQ70" i="21"/>
  <c r="BO71" i="21"/>
  <c r="BI71" i="21"/>
  <c r="BC71" i="21"/>
  <c r="L318" i="14"/>
  <c r="P319" i="14" l="1"/>
  <c r="O319" i="14"/>
  <c r="N319" i="14"/>
  <c r="M319" i="14"/>
  <c r="N64" i="14" l="1"/>
  <c r="M64" i="14"/>
  <c r="BN175" i="3" l="1"/>
  <c r="BM175" i="3"/>
  <c r="BL175" i="3"/>
  <c r="BK175" i="3"/>
  <c r="BH175" i="3"/>
  <c r="BG175" i="3"/>
  <c r="BF175" i="3"/>
  <c r="BE175" i="3"/>
  <c r="BP31" i="21"/>
  <c r="N61" i="14" l="1"/>
  <c r="R175" i="3" l="1"/>
  <c r="Q175" i="3"/>
  <c r="P175" i="3"/>
  <c r="O175" i="3"/>
  <c r="M62" i="14"/>
  <c r="M61" i="14"/>
  <c r="BA303" i="117"/>
  <c r="BP40" i="21"/>
  <c r="L147" i="14" l="1"/>
  <c r="L145" i="14"/>
  <c r="L130" i="14"/>
  <c r="K130" i="14"/>
  <c r="L128" i="14"/>
  <c r="BP55" i="21" l="1"/>
  <c r="P303" i="14"/>
  <c r="P296" i="14"/>
  <c r="T206" i="14"/>
  <c r="T143" i="14"/>
  <c r="T134" i="14"/>
  <c r="T203" i="14" s="1"/>
  <c r="S206" i="14"/>
  <c r="S143" i="14"/>
  <c r="S134" i="14"/>
  <c r="S203" i="14" s="1"/>
  <c r="R206" i="14"/>
  <c r="R143" i="14"/>
  <c r="R134" i="14"/>
  <c r="R203" i="14" s="1"/>
  <c r="Q206" i="14"/>
  <c r="Q143" i="14"/>
  <c r="Q134" i="14"/>
  <c r="Q203" i="14" s="1"/>
  <c r="T118" i="14"/>
  <c r="T93" i="14"/>
  <c r="S118" i="14"/>
  <c r="S93" i="14"/>
  <c r="R118" i="14"/>
  <c r="R93" i="14"/>
  <c r="Q118" i="14"/>
  <c r="Q93" i="14"/>
  <c r="T71" i="14"/>
  <c r="S71" i="14"/>
  <c r="R71" i="14"/>
  <c r="Q71" i="14"/>
  <c r="T52" i="14"/>
  <c r="S52" i="14"/>
  <c r="R52" i="14"/>
  <c r="Q52" i="14"/>
  <c r="P52" i="14"/>
  <c r="O52" i="14"/>
  <c r="N52" i="14"/>
  <c r="M52" i="14"/>
  <c r="L52" i="14"/>
  <c r="T46" i="14"/>
  <c r="S46" i="14"/>
  <c r="R46" i="14"/>
  <c r="Q46" i="14"/>
  <c r="BN156" i="21"/>
  <c r="BN155" i="21"/>
  <c r="BN154" i="21"/>
  <c r="BT138" i="21"/>
  <c r="BS138" i="21"/>
  <c r="BR138" i="21"/>
  <c r="BQ138" i="21"/>
  <c r="BN138" i="21"/>
  <c r="BO48" i="21"/>
  <c r="BX94" i="21"/>
  <c r="BW94" i="21"/>
  <c r="BT94" i="21"/>
  <c r="BS94" i="21"/>
  <c r="BR94" i="21"/>
  <c r="BQ94" i="21"/>
  <c r="BN94" i="21"/>
  <c r="BR21" i="21"/>
  <c r="BX21" i="21" s="1"/>
  <c r="BQ21" i="21"/>
  <c r="BZ21" i="21"/>
  <c r="BY21" i="21"/>
  <c r="BW21" i="21"/>
  <c r="BT21" i="21"/>
  <c r="BS21" i="21"/>
  <c r="BR101" i="15"/>
  <c r="BS101" i="15" s="1"/>
  <c r="BT101" i="15" s="1"/>
  <c r="BN106" i="15"/>
  <c r="BN107" i="15" s="1"/>
  <c r="BN104" i="15"/>
  <c r="BN100" i="15"/>
  <c r="BN101" i="15" s="1"/>
  <c r="BN98" i="15"/>
  <c r="BN97" i="15"/>
  <c r="BM64" i="15"/>
  <c r="BN63" i="15"/>
  <c r="BN64" i="15" s="1"/>
  <c r="BN61" i="15"/>
  <c r="BN45" i="15"/>
  <c r="BN46" i="15" s="1"/>
  <c r="BN44" i="15"/>
  <c r="BN54" i="15"/>
  <c r="BN37" i="15"/>
  <c r="BN38" i="15" s="1"/>
  <c r="BN32" i="15"/>
  <c r="BN33" i="15" s="1"/>
  <c r="BN13" i="15"/>
  <c r="BN14" i="15" s="1"/>
  <c r="BN25" i="15"/>
  <c r="BN26" i="15" s="1"/>
  <c r="CF36" i="16"/>
  <c r="CE36" i="16"/>
  <c r="CD36" i="16"/>
  <c r="BN80" i="16"/>
  <c r="BN81" i="16" s="1"/>
  <c r="BN56" i="16"/>
  <c r="BN55" i="16"/>
  <c r="BN53" i="16"/>
  <c r="BN30" i="16"/>
  <c r="BN29" i="16"/>
  <c r="BN26" i="16" s="1"/>
  <c r="BN27" i="16" s="1"/>
  <c r="BN25" i="16"/>
  <c r="BN37" i="16" s="1"/>
  <c r="BN38" i="16" s="1"/>
  <c r="BN24" i="16"/>
  <c r="BN86" i="16"/>
  <c r="BN93" i="16"/>
  <c r="BN36" i="16"/>
  <c r="BN17" i="16"/>
  <c r="BN18" i="16" s="1"/>
  <c r="DH11" i="17"/>
  <c r="DI11" i="17" s="1"/>
  <c r="DJ11" i="17" s="1"/>
  <c r="DC11" i="17"/>
  <c r="DD11" i="17" s="1"/>
  <c r="DB11" i="17"/>
  <c r="CV11" i="17"/>
  <c r="CW11" i="17" s="1"/>
  <c r="CX11" i="17" s="1"/>
  <c r="CK11" i="17"/>
  <c r="CL11" i="17" s="1"/>
  <c r="CJ11" i="17"/>
  <c r="CR11" i="17"/>
  <c r="CQ11" i="17"/>
  <c r="CP11" i="17"/>
  <c r="CD11" i="17"/>
  <c r="CE11" i="17" s="1"/>
  <c r="CF11" i="17" s="1"/>
  <c r="BN25" i="17"/>
  <c r="BN26" i="17" s="1"/>
  <c r="BN100" i="17"/>
  <c r="BN101" i="17" s="1"/>
  <c r="BM100" i="17"/>
  <c r="BM101" i="17" s="1"/>
  <c r="BN97" i="17"/>
  <c r="BN88" i="17"/>
  <c r="BN91" i="17" s="1"/>
  <c r="BN92" i="17" s="1"/>
  <c r="BM88" i="17"/>
  <c r="BM91" i="17" s="1"/>
  <c r="BM92" i="17" s="1"/>
  <c r="BN106" i="17"/>
  <c r="BN107" i="17" s="1"/>
  <c r="BN104" i="17"/>
  <c r="BN64" i="17"/>
  <c r="BN63" i="17"/>
  <c r="BN61" i="17"/>
  <c r="BN45" i="17"/>
  <c r="BN46" i="17" s="1"/>
  <c r="BM45" i="17"/>
  <c r="BM46" i="17" s="1"/>
  <c r="BN57" i="17"/>
  <c r="BN58" i="17" s="1"/>
  <c r="BN55" i="17"/>
  <c r="BN95" i="17"/>
  <c r="BN54" i="17"/>
  <c r="BN44" i="17"/>
  <c r="BM44" i="17"/>
  <c r="BN37" i="17"/>
  <c r="BN38" i="17" s="1"/>
  <c r="BN32" i="17"/>
  <c r="BN33" i="17" s="1"/>
  <c r="BN29" i="17"/>
  <c r="BN23" i="17"/>
  <c r="DH9" i="20"/>
  <c r="DI9" i="20" s="1"/>
  <c r="DJ9" i="20" s="1"/>
  <c r="DB9" i="20"/>
  <c r="DC9" i="20" s="1"/>
  <c r="DD9" i="20" s="1"/>
  <c r="CV9" i="20"/>
  <c r="CW9" i="20" s="1"/>
  <c r="CX9" i="20" s="1"/>
  <c r="CP9" i="20"/>
  <c r="CQ9" i="20" s="1"/>
  <c r="CR9" i="20" s="1"/>
  <c r="CJ9" i="20"/>
  <c r="CK9" i="20" s="1"/>
  <c r="CL9" i="20" s="1"/>
  <c r="CF9" i="20"/>
  <c r="CE9" i="20"/>
  <c r="CD9" i="20"/>
  <c r="AW289" i="117"/>
  <c r="BN60" i="21"/>
  <c r="BN36" i="21"/>
  <c r="BN11" i="21"/>
  <c r="AW297" i="117"/>
  <c r="BN48" i="15" l="1"/>
  <c r="BN34" i="15"/>
  <c r="BN35" i="15" s="1"/>
  <c r="BN10" i="15"/>
  <c r="BN11" i="15" s="1"/>
  <c r="BN89" i="17"/>
  <c r="BM89" i="17"/>
  <c r="BN48" i="17"/>
  <c r="BM48" i="17"/>
  <c r="BN34" i="17"/>
  <c r="BN35" i="17" s="1"/>
  <c r="BN49" i="15" l="1"/>
  <c r="BN51" i="15"/>
  <c r="BN52" i="15" s="1"/>
  <c r="BN49" i="17"/>
  <c r="BN51" i="17"/>
  <c r="BN52" i="17" s="1"/>
  <c r="BM51" i="17"/>
  <c r="BM52" i="17" s="1"/>
  <c r="BM49" i="17"/>
  <c r="AW229" i="117" l="1"/>
  <c r="AW196" i="117"/>
  <c r="AW197" i="117" s="1"/>
  <c r="AW194" i="117"/>
  <c r="AW178" i="117"/>
  <c r="AW181" i="117" s="1"/>
  <c r="BN204" i="21"/>
  <c r="BN202" i="21"/>
  <c r="BN201" i="21"/>
  <c r="BN189" i="21"/>
  <c r="BN188" i="21"/>
  <c r="BN176" i="21"/>
  <c r="BN175" i="21"/>
  <c r="BN179" i="21"/>
  <c r="AW184" i="117" l="1"/>
  <c r="AW185" i="117" s="1"/>
  <c r="AW182" i="117"/>
  <c r="AW179" i="117"/>
  <c r="AW165" i="117"/>
  <c r="AW166" i="117" s="1"/>
  <c r="AW167" i="117" s="1"/>
  <c r="AW168" i="117" s="1"/>
  <c r="AW171" i="117"/>
  <c r="AW170" i="117"/>
  <c r="AW154" i="117"/>
  <c r="AW151" i="117" s="1"/>
  <c r="AW152" i="117" s="1"/>
  <c r="AW158" i="117"/>
  <c r="AW159" i="117" s="1"/>
  <c r="AW155" i="117" l="1"/>
  <c r="AQ25" i="21" l="1"/>
  <c r="AW25" i="21"/>
  <c r="BI193" i="3"/>
  <c r="DK18" i="3" l="1"/>
  <c r="DE18" i="3"/>
  <c r="CY18" i="3"/>
  <c r="CS18" i="3"/>
  <c r="CM18" i="3"/>
  <c r="BN190" i="3"/>
  <c r="BN191" i="3" s="1"/>
  <c r="BN188" i="3"/>
  <c r="BN183" i="3"/>
  <c r="BN184" i="3" s="1"/>
  <c r="BN181" i="3"/>
  <c r="BN193" i="3"/>
  <c r="BN186" i="3"/>
  <c r="BN83" i="3"/>
  <c r="BN84" i="3" s="1"/>
  <c r="BN86" i="3"/>
  <c r="BN104" i="3"/>
  <c r="BW5" i="3"/>
  <c r="BQ5" i="3"/>
  <c r="BN112" i="3"/>
  <c r="BN152" i="3"/>
  <c r="BN172" i="3"/>
  <c r="BN24" i="20" l="1"/>
  <c r="BN23" i="20"/>
  <c r="BN21" i="20"/>
  <c r="BN18" i="20"/>
  <c r="BN17" i="20"/>
  <c r="BN15" i="20"/>
  <c r="BN12" i="20"/>
  <c r="BN11" i="20"/>
  <c r="BN9" i="20"/>
  <c r="BN8" i="20"/>
  <c r="BN6" i="20"/>
  <c r="DI18" i="4"/>
  <c r="DJ18" i="4" s="1"/>
  <c r="DH18" i="4"/>
  <c r="DB18" i="4"/>
  <c r="DC18" i="4" s="1"/>
  <c r="DD18" i="4" s="1"/>
  <c r="CV18" i="4"/>
  <c r="CW18" i="4" s="1"/>
  <c r="CX18" i="4" s="1"/>
  <c r="CP18" i="4"/>
  <c r="CQ18" i="4" s="1"/>
  <c r="CR18" i="4" s="1"/>
  <c r="CK18" i="4"/>
  <c r="CL18" i="4" s="1"/>
  <c r="CJ18" i="4"/>
  <c r="CD18" i="4"/>
  <c r="CE18" i="4" s="1"/>
  <c r="CF18" i="4" s="1"/>
  <c r="BZ18" i="4"/>
  <c r="BY18" i="4"/>
  <c r="BX18" i="4"/>
  <c r="BN18" i="4"/>
  <c r="BN17" i="4"/>
  <c r="BN15" i="4"/>
  <c r="BN12" i="4"/>
  <c r="BN11" i="4"/>
  <c r="BN9" i="4"/>
  <c r="BN6" i="4"/>
  <c r="BN63" i="9"/>
  <c r="BN64" i="9" s="1"/>
  <c r="BN61" i="9"/>
  <c r="BN45" i="9"/>
  <c r="BN46" i="9" s="1"/>
  <c r="BN44" i="9"/>
  <c r="BN32" i="9"/>
  <c r="BN33" i="9" s="1"/>
  <c r="BN34" i="9" s="1"/>
  <c r="BN35" i="9" s="1"/>
  <c r="BN25" i="9"/>
  <c r="BN26" i="9" s="1"/>
  <c r="BN38" i="9"/>
  <c r="BN37" i="9"/>
  <c r="BX44" i="7"/>
  <c r="BY44" i="7" s="1"/>
  <c r="BZ44" i="7" s="1"/>
  <c r="BN56" i="7"/>
  <c r="BN55" i="7"/>
  <c r="BN53" i="7"/>
  <c r="BN50" i="7"/>
  <c r="BN49" i="7"/>
  <c r="BN47" i="7"/>
  <c r="BN37" i="7"/>
  <c r="BN38" i="7" s="1"/>
  <c r="BN36" i="7"/>
  <c r="BN24" i="7"/>
  <c r="BN25" i="7" s="1"/>
  <c r="BN26" i="7" s="1"/>
  <c r="BN27" i="7" s="1"/>
  <c r="BN29" i="7"/>
  <c r="BN30" i="7" s="1"/>
  <c r="BN17" i="7"/>
  <c r="BN18" i="7" s="1"/>
  <c r="BM20" i="10"/>
  <c r="BM21" i="10" s="1"/>
  <c r="BM17" i="10"/>
  <c r="BM18" i="10" s="1"/>
  <c r="BN25" i="10"/>
  <c r="BN26" i="10" s="1"/>
  <c r="BM25" i="10"/>
  <c r="BM26" i="10" s="1"/>
  <c r="BN37" i="10"/>
  <c r="BN38" i="10" s="1"/>
  <c r="BN44" i="10"/>
  <c r="BN63" i="10"/>
  <c r="BN64" i="10" s="1"/>
  <c r="BN61" i="10"/>
  <c r="BN57" i="10"/>
  <c r="BN58" i="10" s="1"/>
  <c r="BN55" i="10"/>
  <c r="BN24" i="8"/>
  <c r="BN25" i="8" s="1"/>
  <c r="BN36" i="8"/>
  <c r="BN55" i="8"/>
  <c r="BN56" i="8" s="1"/>
  <c r="BN53" i="8"/>
  <c r="BN49" i="8"/>
  <c r="BN50" i="8" s="1"/>
  <c r="BN47" i="8"/>
  <c r="BN30" i="8"/>
  <c r="BN29" i="8"/>
  <c r="BN13" i="8"/>
  <c r="BN14" i="8" s="1"/>
  <c r="BN17" i="8"/>
  <c r="BN18" i="8" s="1"/>
  <c r="BN36" i="2"/>
  <c r="CD11" i="2"/>
  <c r="BN13" i="2"/>
  <c r="BN10" i="2" s="1"/>
  <c r="BN11" i="2" s="1"/>
  <c r="BN29" i="2"/>
  <c r="BN30" i="2" s="1"/>
  <c r="BN17" i="9" l="1"/>
  <c r="BN40" i="7"/>
  <c r="BN13" i="7"/>
  <c r="BN14" i="7" s="1"/>
  <c r="BN10" i="7"/>
  <c r="BN11" i="7" s="1"/>
  <c r="BN26" i="8"/>
  <c r="BN27" i="8" s="1"/>
  <c r="BN37" i="8"/>
  <c r="BN40" i="8" s="1"/>
  <c r="BN43" i="8" s="1"/>
  <c r="BN44" i="8" s="1"/>
  <c r="BN41" i="8"/>
  <c r="BN10" i="8"/>
  <c r="BN11" i="8" s="1"/>
  <c r="BN14" i="2"/>
  <c r="BN178" i="3"/>
  <c r="BN13" i="9" l="1"/>
  <c r="BN14" i="9" s="1"/>
  <c r="BN18" i="9"/>
  <c r="BN20" i="9"/>
  <c r="BN21" i="9" s="1"/>
  <c r="BN41" i="7"/>
  <c r="BN43" i="7"/>
  <c r="BN44" i="7" s="1"/>
  <c r="BN38" i="8"/>
  <c r="BN10" i="9" l="1"/>
  <c r="BN11" i="9" s="1"/>
  <c r="L319" i="14"/>
  <c r="AW27" i="21" l="1"/>
  <c r="AV27" i="21"/>
  <c r="AU27" i="21"/>
  <c r="BA25" i="21" s="1"/>
  <c r="AT27" i="21"/>
  <c r="AS27" i="21"/>
  <c r="BC25" i="21"/>
  <c r="BB25" i="21"/>
  <c r="AZ25" i="21"/>
  <c r="AY25" i="21"/>
  <c r="BI47" i="21" l="1"/>
  <c r="AW47" i="21"/>
  <c r="AW35" i="21"/>
  <c r="BC47" i="21"/>
  <c r="BK24" i="21"/>
  <c r="E54" i="12" l="1"/>
  <c r="AM55" i="12"/>
  <c r="AM54" i="12"/>
  <c r="AM57" i="12"/>
  <c r="AL55" i="12"/>
  <c r="AL56" i="12"/>
  <c r="AL57" i="12"/>
  <c r="AL54" i="12"/>
  <c r="AK54" i="12"/>
  <c r="AK56" i="12"/>
  <c r="AJ54" i="12"/>
  <c r="AJ56" i="12" s="1"/>
  <c r="BM156" i="21"/>
  <c r="BM155" i="21"/>
  <c r="AV297" i="117"/>
  <c r="BM154" i="21"/>
  <c r="BM204" i="21"/>
  <c r="BL204" i="21"/>
  <c r="BK204" i="21"/>
  <c r="BI204" i="21"/>
  <c r="BH204" i="21"/>
  <c r="BG204" i="21"/>
  <c r="BF204" i="21"/>
  <c r="BE204" i="21"/>
  <c r="BM201" i="21"/>
  <c r="BN139" i="21"/>
  <c r="BL139" i="21"/>
  <c r="BK139" i="21"/>
  <c r="BM60" i="21"/>
  <c r="BR184" i="3"/>
  <c r="CF184" i="3"/>
  <c r="CE184" i="3"/>
  <c r="CD184" i="3"/>
  <c r="BX184" i="3"/>
  <c r="BY184" i="3" s="1"/>
  <c r="BZ184" i="3" s="1"/>
  <c r="BM25" i="21"/>
  <c r="BL25" i="21"/>
  <c r="BK25" i="21"/>
  <c r="BI25" i="21"/>
  <c r="BH25" i="21"/>
  <c r="BG25" i="21"/>
  <c r="BF25" i="21"/>
  <c r="BE25" i="21"/>
  <c r="BC27" i="21"/>
  <c r="BB27" i="21"/>
  <c r="BA27" i="21"/>
  <c r="AZ27" i="21"/>
  <c r="AY27" i="21"/>
  <c r="BM27" i="21"/>
  <c r="BL27" i="21"/>
  <c r="BK27" i="21"/>
  <c r="BI27" i="21"/>
  <c r="BH27" i="21"/>
  <c r="BG27" i="21"/>
  <c r="BF27" i="21"/>
  <c r="BE27" i="21"/>
  <c r="BX116" i="21"/>
  <c r="BW116" i="21"/>
  <c r="BQ116" i="21"/>
  <c r="BM189" i="21" l="1"/>
  <c r="BM188" i="21"/>
  <c r="BM116" i="21"/>
  <c r="BM36" i="21"/>
  <c r="BM176" i="21"/>
  <c r="BM175" i="21"/>
  <c r="BM94" i="21"/>
  <c r="BM11" i="21"/>
  <c r="AV229" i="117"/>
  <c r="AV165" i="117"/>
  <c r="AV166" i="117" s="1"/>
  <c r="AV167" i="117" s="1"/>
  <c r="AV168" i="117" s="1"/>
  <c r="AV171" i="117"/>
  <c r="AV170" i="117"/>
  <c r="BM106" i="15" l="1"/>
  <c r="BM107" i="15" s="1"/>
  <c r="BM104" i="15"/>
  <c r="BM100" i="15"/>
  <c r="BM101" i="15" s="1"/>
  <c r="BM97" i="15"/>
  <c r="BM88" i="15"/>
  <c r="BM91" i="15" s="1"/>
  <c r="BM92" i="15" s="1"/>
  <c r="BM95" i="15"/>
  <c r="BM63" i="15"/>
  <c r="BM61" i="15"/>
  <c r="BM58" i="15"/>
  <c r="BM57" i="15"/>
  <c r="BM45" i="15"/>
  <c r="BM46" i="15" s="1"/>
  <c r="BM54" i="15"/>
  <c r="BM44" i="15"/>
  <c r="BM32" i="15"/>
  <c r="BM33" i="15" s="1"/>
  <c r="BM34" i="15" s="1"/>
  <c r="BM35" i="15" s="1"/>
  <c r="BM37" i="15"/>
  <c r="BM14" i="15"/>
  <c r="BM13" i="15"/>
  <c r="BM10" i="15"/>
  <c r="BM11" i="15" s="1"/>
  <c r="BM26" i="15"/>
  <c r="BM25" i="15"/>
  <c r="BZ23" i="16"/>
  <c r="BY23" i="16"/>
  <c r="BX23" i="16"/>
  <c r="BT23" i="16"/>
  <c r="BS23" i="16"/>
  <c r="BR23" i="16"/>
  <c r="BM17" i="16"/>
  <c r="BM18" i="16" s="1"/>
  <c r="BM95" i="16"/>
  <c r="BM96" i="16" s="1"/>
  <c r="BM89" i="16"/>
  <c r="BM90" i="16" s="1"/>
  <c r="BM86" i="16"/>
  <c r="BM80" i="16"/>
  <c r="BM81" i="16" s="1"/>
  <c r="BM37" i="16"/>
  <c r="BM38" i="16" s="1"/>
  <c r="BM36" i="16"/>
  <c r="BM46" i="16"/>
  <c r="BM29" i="16"/>
  <c r="BM30" i="16" s="1"/>
  <c r="BM24" i="16"/>
  <c r="BM25" i="16" s="1"/>
  <c r="DI107" i="17"/>
  <c r="DJ107" i="17" s="1"/>
  <c r="DH107" i="17"/>
  <c r="DB107" i="17"/>
  <c r="DC107" i="17" s="1"/>
  <c r="DD107" i="17" s="1"/>
  <c r="CV107" i="17"/>
  <c r="CW107" i="17" s="1"/>
  <c r="CX107" i="17" s="1"/>
  <c r="CP107" i="17"/>
  <c r="CQ107" i="17" s="1"/>
  <c r="CR107" i="17" s="1"/>
  <c r="CL107" i="17"/>
  <c r="CK107" i="17"/>
  <c r="CJ107" i="17"/>
  <c r="BZ52" i="17"/>
  <c r="BY52" i="17"/>
  <c r="BX52" i="17"/>
  <c r="BM38" i="17"/>
  <c r="BM37" i="17"/>
  <c r="BM33" i="17"/>
  <c r="BM32" i="17"/>
  <c r="BL37" i="17"/>
  <c r="BL32" i="17"/>
  <c r="BL33" i="17" s="1"/>
  <c r="BG37" i="17"/>
  <c r="BG38" i="17" s="1"/>
  <c r="BG32" i="17"/>
  <c r="BG33" i="17" s="1"/>
  <c r="BG34" i="17" s="1"/>
  <c r="BM106" i="17"/>
  <c r="BM107" i="17" s="1"/>
  <c r="BM97" i="17"/>
  <c r="BM58" i="17"/>
  <c r="BM57" i="17"/>
  <c r="BM55" i="17"/>
  <c r="BM54" i="17"/>
  <c r="BM13" i="17"/>
  <c r="BM14" i="17" s="1"/>
  <c r="BM25" i="17"/>
  <c r="BM26" i="17" s="1"/>
  <c r="BM23" i="17"/>
  <c r="BM89" i="15" l="1"/>
  <c r="BM48" i="15"/>
  <c r="BM40" i="16"/>
  <c r="BM26" i="16"/>
  <c r="BM27" i="16" s="1"/>
  <c r="BM34" i="17"/>
  <c r="BM35" i="17" s="1"/>
  <c r="BL34" i="17"/>
  <c r="BL35" i="17" s="1"/>
  <c r="BL38" i="17"/>
  <c r="BG35" i="17"/>
  <c r="BM10" i="17"/>
  <c r="BM11" i="17" s="1"/>
  <c r="BM79" i="9"/>
  <c r="BM80" i="9" s="1"/>
  <c r="BM66" i="9"/>
  <c r="BM67" i="9" s="1"/>
  <c r="BM63" i="9"/>
  <c r="BM64" i="9" s="1"/>
  <c r="BM61" i="9"/>
  <c r="BM45" i="9"/>
  <c r="BM46" i="9" s="1"/>
  <c r="BM44" i="9"/>
  <c r="BM32" i="9"/>
  <c r="BM33" i="9" s="1"/>
  <c r="BM34" i="9" s="1"/>
  <c r="BM35" i="9" s="1"/>
  <c r="BM25" i="9"/>
  <c r="BM26" i="9" s="1"/>
  <c r="BM37" i="9"/>
  <c r="CD36" i="7"/>
  <c r="CE36" i="7" s="1"/>
  <c r="CF36" i="7" s="1"/>
  <c r="BY36" i="7"/>
  <c r="BX36" i="7"/>
  <c r="BM55" i="7"/>
  <c r="BM56" i="7" s="1"/>
  <c r="BM53" i="7"/>
  <c r="BM43" i="7"/>
  <c r="BM44" i="7" s="1"/>
  <c r="BM40" i="7"/>
  <c r="BM41" i="7" s="1"/>
  <c r="BM37" i="7"/>
  <c r="BM36" i="7"/>
  <c r="BM24" i="7"/>
  <c r="BM25" i="7" s="1"/>
  <c r="BM26" i="7" s="1"/>
  <c r="BM27" i="7" s="1"/>
  <c r="BM30" i="7"/>
  <c r="BM29" i="7"/>
  <c r="BM80" i="10"/>
  <c r="BM79" i="10"/>
  <c r="BL79" i="10"/>
  <c r="BM33" i="10"/>
  <c r="BM34" i="10" s="1"/>
  <c r="BM35" i="10" s="1"/>
  <c r="BM32" i="10"/>
  <c r="BM38" i="10"/>
  <c r="BM37" i="10"/>
  <c r="BM44" i="10"/>
  <c r="BM63" i="10"/>
  <c r="BM64" i="10" s="1"/>
  <c r="BM61" i="10"/>
  <c r="BM55" i="8"/>
  <c r="BM56" i="8" s="1"/>
  <c r="BM53" i="8"/>
  <c r="BM49" i="8"/>
  <c r="BM50" i="8" s="1"/>
  <c r="BM47" i="8"/>
  <c r="BM43" i="8"/>
  <c r="BM44" i="8" s="1"/>
  <c r="BM40" i="8"/>
  <c r="BM41" i="8" s="1"/>
  <c r="BL40" i="8"/>
  <c r="BL43" i="8" s="1"/>
  <c r="BL44" i="8" s="1"/>
  <c r="BM36" i="8"/>
  <c r="BM24" i="8"/>
  <c r="BM25" i="8" s="1"/>
  <c r="BM26" i="8" s="1"/>
  <c r="BM27" i="8" s="1"/>
  <c r="BM30" i="8"/>
  <c r="BM29" i="8"/>
  <c r="BM13" i="8"/>
  <c r="BM14" i="8" s="1"/>
  <c r="BM10" i="8"/>
  <c r="BM11" i="8" s="1"/>
  <c r="BM17" i="8"/>
  <c r="BM18" i="8" s="1"/>
  <c r="BM51" i="15" l="1"/>
  <c r="BM52" i="15" s="1"/>
  <c r="BM49" i="15"/>
  <c r="BM43" i="16"/>
  <c r="BM44" i="16" s="1"/>
  <c r="BM41" i="16"/>
  <c r="BM48" i="9"/>
  <c r="BM38" i="7"/>
  <c r="BL80" i="10"/>
  <c r="BL41" i="8"/>
  <c r="BM33" i="2"/>
  <c r="BM49" i="9" l="1"/>
  <c r="BM51" i="9"/>
  <c r="BM52" i="9" s="1"/>
  <c r="BM195" i="3"/>
  <c r="BM194" i="3"/>
  <c r="BM198" i="3"/>
  <c r="BM190" i="3"/>
  <c r="BM191" i="3" s="1"/>
  <c r="BM183" i="3"/>
  <c r="BM184" i="3" s="1"/>
  <c r="BM193" i="3"/>
  <c r="BM186" i="3"/>
  <c r="BM83" i="3"/>
  <c r="BM84" i="3" s="1"/>
  <c r="BM87" i="3"/>
  <c r="BM86" i="3"/>
  <c r="BM98" i="3"/>
  <c r="BM99" i="3" s="1"/>
  <c r="BM102" i="3"/>
  <c r="BM101" i="3"/>
  <c r="BM112" i="3"/>
  <c r="BM106" i="3"/>
  <c r="BM107" i="3" s="1"/>
  <c r="BM110" i="3"/>
  <c r="BM169" i="3"/>
  <c r="BL169" i="3"/>
  <c r="BK169" i="3"/>
  <c r="BM152" i="3"/>
  <c r="BM168" i="3"/>
  <c r="BM172" i="3"/>
  <c r="BM178" i="3"/>
  <c r="BM26" i="20"/>
  <c r="BM24" i="20"/>
  <c r="BM23" i="20"/>
  <c r="BM21" i="20"/>
  <c r="BM12" i="20"/>
  <c r="BM11" i="20"/>
  <c r="BM9" i="20"/>
  <c r="BM8" i="20"/>
  <c r="BM6" i="20"/>
  <c r="BM20" i="4"/>
  <c r="BM22" i="4" s="1"/>
  <c r="BM17" i="4"/>
  <c r="BM18" i="4" s="1"/>
  <c r="BM15" i="4"/>
  <c r="BM11" i="4"/>
  <c r="BM12" i="4" s="1"/>
  <c r="BM9" i="4"/>
  <c r="BM6" i="4"/>
  <c r="BZ44" i="2"/>
  <c r="BX44" i="2"/>
  <c r="BM24" i="2" l="1"/>
  <c r="BM25" i="2" s="1"/>
  <c r="BM29" i="2"/>
  <c r="BM30" i="2" s="1"/>
  <c r="BM17" i="2"/>
  <c r="BM18" i="2" s="1"/>
  <c r="BM36" i="2"/>
  <c r="BM13" i="2" l="1"/>
  <c r="BM10" i="2" s="1"/>
  <c r="BM11" i="2" s="1"/>
  <c r="BM26" i="2"/>
  <c r="BM27" i="2" s="1"/>
  <c r="BM14" i="2" l="1"/>
  <c r="J131" i="14"/>
  <c r="I131" i="14"/>
  <c r="H131" i="14"/>
  <c r="K131" i="14"/>
  <c r="M305" i="14" l="1"/>
  <c r="P299" i="14"/>
  <c r="P292" i="14"/>
  <c r="P294" i="14" s="1"/>
  <c r="P278" i="14"/>
  <c r="P285" i="14"/>
  <c r="P287" i="14" s="1"/>
  <c r="P289" i="14" s="1"/>
  <c r="P280" i="14"/>
  <c r="P282" i="14" s="1"/>
  <c r="P301" i="14" l="1"/>
  <c r="Q302" i="14" s="1"/>
  <c r="U9" i="12" l="1"/>
  <c r="BL159" i="21" l="1"/>
  <c r="BL158" i="21"/>
  <c r="BL155" i="21"/>
  <c r="AU297" i="117"/>
  <c r="BL154" i="21"/>
  <c r="BL156" i="21" s="1"/>
  <c r="BG188" i="21"/>
  <c r="BL187" i="21"/>
  <c r="BK187" i="21"/>
  <c r="BK174" i="21"/>
  <c r="BL174" i="21"/>
  <c r="BL138" i="21"/>
  <c r="BL116" i="21" l="1"/>
  <c r="BL36" i="21"/>
  <c r="BL202" i="21"/>
  <c r="BL201" i="21"/>
  <c r="BL189" i="21"/>
  <c r="BL188" i="21"/>
  <c r="BL176" i="21"/>
  <c r="BL175" i="21"/>
  <c r="BL94" i="21"/>
  <c r="BL11" i="21"/>
  <c r="DI31" i="15"/>
  <c r="DJ31" i="15" s="1"/>
  <c r="DH31" i="15"/>
  <c r="DB31" i="15"/>
  <c r="DC31" i="15" s="1"/>
  <c r="DD31" i="15" s="1"/>
  <c r="CV31" i="15"/>
  <c r="CW31" i="15" s="1"/>
  <c r="CX31" i="15" s="1"/>
  <c r="CP31" i="15"/>
  <c r="CQ31" i="15" s="1"/>
  <c r="CR31" i="15" s="1"/>
  <c r="CJ31" i="15"/>
  <c r="CK31" i="15" s="1"/>
  <c r="CL31" i="15" s="1"/>
  <c r="CD31" i="15"/>
  <c r="CE31" i="15" s="1"/>
  <c r="CF31" i="15" s="1"/>
  <c r="BX31" i="15"/>
  <c r="BY31" i="15" s="1"/>
  <c r="BZ31" i="15" s="1"/>
  <c r="BS31" i="15"/>
  <c r="BT31" i="15" s="1"/>
  <c r="BR31" i="15"/>
  <c r="BL100" i="15"/>
  <c r="BL101" i="15" s="1"/>
  <c r="BL98" i="15"/>
  <c r="BL97" i="15"/>
  <c r="BL88" i="15"/>
  <c r="BL91" i="15" s="1"/>
  <c r="BL92" i="15" s="1"/>
  <c r="BL95" i="15"/>
  <c r="BL104" i="15"/>
  <c r="BL64" i="15"/>
  <c r="BL63" i="15"/>
  <c r="BL61" i="15"/>
  <c r="BL60" i="15"/>
  <c r="BL57" i="15"/>
  <c r="BL58" i="15" s="1"/>
  <c r="BL45" i="15"/>
  <c r="BL46" i="15" s="1"/>
  <c r="BL54" i="15"/>
  <c r="BL44" i="15"/>
  <c r="BL38" i="15"/>
  <c r="BL37" i="15"/>
  <c r="BL34" i="15" s="1"/>
  <c r="BL35" i="15" s="1"/>
  <c r="BL33" i="15"/>
  <c r="BL32" i="15"/>
  <c r="BL26" i="15"/>
  <c r="BL25" i="15"/>
  <c r="CF14" i="16"/>
  <c r="CE14" i="16"/>
  <c r="CD14" i="16"/>
  <c r="BL96" i="16"/>
  <c r="BL95" i="16"/>
  <c r="BL93" i="16"/>
  <c r="BL89" i="16"/>
  <c r="BL90" i="16" s="1"/>
  <c r="BL87" i="16"/>
  <c r="BL86" i="16"/>
  <c r="BL55" i="16"/>
  <c r="BL56" i="16" s="1"/>
  <c r="BL53" i="16"/>
  <c r="BL49" i="16"/>
  <c r="BL50" i="16" s="1"/>
  <c r="BL37" i="16"/>
  <c r="BL38" i="16" s="1"/>
  <c r="BL46" i="16"/>
  <c r="BL36" i="16"/>
  <c r="BL26" i="16"/>
  <c r="BL27" i="16" s="1"/>
  <c r="BL25" i="16"/>
  <c r="BL24" i="16"/>
  <c r="BL30" i="16"/>
  <c r="BK30" i="16"/>
  <c r="BL29" i="16"/>
  <c r="BK29" i="16"/>
  <c r="BL17" i="16"/>
  <c r="BL18" i="16" s="1"/>
  <c r="BK17" i="16"/>
  <c r="BK18" i="16" s="1"/>
  <c r="BT101" i="17"/>
  <c r="BL106" i="17"/>
  <c r="BL107" i="17" s="1"/>
  <c r="BL104" i="17"/>
  <c r="BL100" i="17"/>
  <c r="BL101" i="17" s="1"/>
  <c r="BL98" i="17"/>
  <c r="BL97" i="17"/>
  <c r="BL79" i="9"/>
  <c r="BL80" i="9" s="1"/>
  <c r="BL63" i="17"/>
  <c r="BL64" i="17" s="1"/>
  <c r="BL61" i="17"/>
  <c r="BL60" i="17"/>
  <c r="BL57" i="17"/>
  <c r="BL58" i="17" s="1"/>
  <c r="BL54" i="17"/>
  <c r="BL44" i="17"/>
  <c r="BK37" i="17"/>
  <c r="BK38" i="17" s="1"/>
  <c r="BK26" i="17"/>
  <c r="BL25" i="17"/>
  <c r="BL26" i="17" s="1"/>
  <c r="BK25" i="17"/>
  <c r="BK20" i="17"/>
  <c r="BK21" i="17" s="1"/>
  <c r="BK17" i="17"/>
  <c r="BK18" i="17" s="1"/>
  <c r="DJ131" i="3"/>
  <c r="DI131" i="3"/>
  <c r="DH131" i="3"/>
  <c r="DG131" i="3"/>
  <c r="DD131" i="3"/>
  <c r="DC131" i="3"/>
  <c r="DB131" i="3"/>
  <c r="DA131" i="3"/>
  <c r="CX131" i="3"/>
  <c r="CW131" i="3"/>
  <c r="CV131" i="3"/>
  <c r="CU131" i="3"/>
  <c r="CR131" i="3"/>
  <c r="CQ131" i="3"/>
  <c r="CP131" i="3"/>
  <c r="CO131" i="3"/>
  <c r="BL89" i="15" l="1"/>
  <c r="BL48" i="15"/>
  <c r="BL40" i="16"/>
  <c r="BL13" i="16"/>
  <c r="BL14" i="16" s="1"/>
  <c r="BL10" i="16"/>
  <c r="BL11" i="16" s="1"/>
  <c r="BK13" i="17"/>
  <c r="BK14" i="17" s="1"/>
  <c r="BK10" i="17"/>
  <c r="BK11" i="17" s="1"/>
  <c r="DI184" i="3"/>
  <c r="DJ184" i="3" s="1"/>
  <c r="DH184" i="3"/>
  <c r="DB184" i="3"/>
  <c r="DC184" i="3" s="1"/>
  <c r="DD184" i="3" s="1"/>
  <c r="CV184" i="3"/>
  <c r="CW184" i="3" s="1"/>
  <c r="CX184" i="3" s="1"/>
  <c r="CP184" i="3"/>
  <c r="CQ184" i="3" s="1"/>
  <c r="CR184" i="3" s="1"/>
  <c r="CJ184" i="3"/>
  <c r="CK184" i="3" s="1"/>
  <c r="CL184" i="3" s="1"/>
  <c r="CL131" i="3"/>
  <c r="CK131" i="3"/>
  <c r="CJ131" i="3"/>
  <c r="CI131" i="3"/>
  <c r="BL51" i="15" l="1"/>
  <c r="BL52" i="15" s="1"/>
  <c r="BL49" i="15"/>
  <c r="BL43" i="16"/>
  <c r="BL44" i="16" s="1"/>
  <c r="BL41" i="16"/>
  <c r="CR65" i="3"/>
  <c r="CQ65" i="3"/>
  <c r="CP65" i="3"/>
  <c r="CX65" i="3"/>
  <c r="CW65" i="3"/>
  <c r="CV65" i="3"/>
  <c r="DB65" i="3"/>
  <c r="DJ65" i="3"/>
  <c r="DI65" i="3"/>
  <c r="DH65" i="3"/>
  <c r="BY5" i="3"/>
  <c r="BL198" i="3"/>
  <c r="BL184" i="3"/>
  <c r="BL183" i="3"/>
  <c r="BL98" i="3"/>
  <c r="BL99" i="3" s="1"/>
  <c r="BL101" i="3"/>
  <c r="BL112" i="3"/>
  <c r="BL106" i="3"/>
  <c r="BL107" i="3" s="1"/>
  <c r="BL152" i="3"/>
  <c r="BL172" i="3"/>
  <c r="BL193" i="3"/>
  <c r="BL186" i="3"/>
  <c r="BL178" i="3"/>
  <c r="DC65" i="3" l="1"/>
  <c r="DD65" i="3" s="1"/>
  <c r="BL36" i="2"/>
  <c r="BL29" i="2"/>
  <c r="BL30" i="2" s="1"/>
  <c r="BL63" i="9"/>
  <c r="BL64" i="9" s="1"/>
  <c r="BL61" i="9"/>
  <c r="BL57" i="9"/>
  <c r="BL58" i="9" s="1"/>
  <c r="BL55" i="9"/>
  <c r="BL45" i="9"/>
  <c r="BL46" i="9" s="1"/>
  <c r="BL44" i="9"/>
  <c r="BL37" i="9"/>
  <c r="BL38" i="9" s="1"/>
  <c r="BL32" i="9"/>
  <c r="BL33" i="9" s="1"/>
  <c r="BL25" i="9"/>
  <c r="BL26" i="9" s="1"/>
  <c r="BL58" i="7"/>
  <c r="BL59" i="7" s="1"/>
  <c r="BL55" i="7"/>
  <c r="BL56" i="7" s="1"/>
  <c r="BL53" i="7"/>
  <c r="BL49" i="7"/>
  <c r="BL50" i="7" s="1"/>
  <c r="BL37" i="7"/>
  <c r="BL38" i="7" s="1"/>
  <c r="BL36" i="7"/>
  <c r="BL29" i="7"/>
  <c r="BL30" i="7" s="1"/>
  <c r="BL24" i="7"/>
  <c r="BL25" i="7" s="1"/>
  <c r="BL14" i="7"/>
  <c r="BL13" i="7"/>
  <c r="BL10" i="7" s="1"/>
  <c r="BL11" i="7" s="1"/>
  <c r="BL45" i="10"/>
  <c r="BL46" i="10" s="1"/>
  <c r="BL57" i="10"/>
  <c r="BL58" i="10" s="1"/>
  <c r="BL63" i="10"/>
  <c r="BL64" i="10" s="1"/>
  <c r="BL61" i="10"/>
  <c r="BL44" i="10"/>
  <c r="BL37" i="10"/>
  <c r="BL38" i="10" s="1"/>
  <c r="BL32" i="10"/>
  <c r="BL33" i="10" s="1"/>
  <c r="BL25" i="10"/>
  <c r="BL26" i="10" s="1"/>
  <c r="BL55" i="8"/>
  <c r="BL56" i="8" s="1"/>
  <c r="BL53" i="8"/>
  <c r="BL49" i="8"/>
  <c r="BL50" i="8" s="1"/>
  <c r="BL38" i="8"/>
  <c r="BL37" i="8"/>
  <c r="BL36" i="8"/>
  <c r="BL24" i="8"/>
  <c r="BL25" i="8" s="1"/>
  <c r="BL26" i="8" s="1"/>
  <c r="BL27" i="8" s="1"/>
  <c r="BK30" i="8"/>
  <c r="BL29" i="8"/>
  <c r="BL30" i="8" s="1"/>
  <c r="BK29" i="8"/>
  <c r="BL24" i="20"/>
  <c r="BL21" i="20"/>
  <c r="BL18" i="20"/>
  <c r="BL15" i="20"/>
  <c r="BL12" i="20"/>
  <c r="BL9" i="20"/>
  <c r="BL6" i="20"/>
  <c r="BL6" i="4"/>
  <c r="BL15" i="4"/>
  <c r="BL12" i="4"/>
  <c r="BL18" i="4"/>
  <c r="BL26" i="20"/>
  <c r="BL28" i="20" s="1"/>
  <c r="BL23" i="20"/>
  <c r="BL8" i="20"/>
  <c r="BL11" i="20" s="1"/>
  <c r="BL17" i="20"/>
  <c r="BL20" i="4"/>
  <c r="BL22" i="4" s="1"/>
  <c r="BL17" i="4"/>
  <c r="BL11" i="4"/>
  <c r="AU229" i="117"/>
  <c r="AT185" i="117"/>
  <c r="AT184" i="117"/>
  <c r="AT182" i="117"/>
  <c r="AT181" i="117"/>
  <c r="AU196" i="117"/>
  <c r="AU197" i="117" s="1"/>
  <c r="AU179" i="117"/>
  <c r="AU178" i="117"/>
  <c r="AU181" i="117" s="1"/>
  <c r="AU166" i="117"/>
  <c r="AU167" i="117"/>
  <c r="AU168" i="117" s="1"/>
  <c r="AU165" i="117"/>
  <c r="AU170" i="117"/>
  <c r="AU171" i="117" s="1"/>
  <c r="AU158" i="117"/>
  <c r="AU159" i="117" s="1"/>
  <c r="DE65" i="3" l="1"/>
  <c r="BL48" i="9"/>
  <c r="BL34" i="9"/>
  <c r="BL35" i="9" s="1"/>
  <c r="BL26" i="7"/>
  <c r="BL27" i="7" s="1"/>
  <c r="BL48" i="10"/>
  <c r="BL34" i="10"/>
  <c r="BL35" i="10" s="1"/>
  <c r="AU184" i="117"/>
  <c r="AU185" i="117" s="1"/>
  <c r="AU182" i="117"/>
  <c r="AU154" i="117"/>
  <c r="AU155" i="117" s="1"/>
  <c r="K209" i="14"/>
  <c r="BL49" i="9" l="1"/>
  <c r="BL51" i="9"/>
  <c r="BL52" i="9" s="1"/>
  <c r="BL51" i="10"/>
  <c r="BL52" i="10" s="1"/>
  <c r="BL49" i="10"/>
  <c r="AU151" i="117"/>
  <c r="N151" i="14" l="1"/>
  <c r="O151" i="14" l="1"/>
  <c r="P151" i="14" s="1"/>
  <c r="Q151" i="14" s="1"/>
  <c r="T7" i="12"/>
  <c r="T9" i="12" s="1"/>
  <c r="T11" i="12" s="1"/>
  <c r="T12" i="12" s="1"/>
  <c r="CV198" i="3"/>
  <c r="CW198" i="3" s="1"/>
  <c r="CX198" i="3" s="1"/>
  <c r="Q214" i="14" l="1"/>
  <c r="R151" i="14"/>
  <c r="BU18" i="3"/>
  <c r="BK198" i="3"/>
  <c r="R214" i="14" l="1"/>
  <c r="S151" i="14"/>
  <c r="BG112" i="3"/>
  <c r="BK112" i="3"/>
  <c r="DK126" i="3"/>
  <c r="BK152" i="3"/>
  <c r="BK172" i="3"/>
  <c r="BG168" i="3"/>
  <c r="BU66" i="3"/>
  <c r="BG178" i="3"/>
  <c r="BF178" i="3"/>
  <c r="BK178" i="3"/>
  <c r="BH178" i="3"/>
  <c r="BE178" i="3"/>
  <c r="S214" i="14" l="1"/>
  <c r="T151" i="14"/>
  <c r="T214" i="14" s="1"/>
  <c r="BK101" i="3"/>
  <c r="BK29" i="2"/>
  <c r="BK36" i="2"/>
  <c r="BK66" i="21" l="1"/>
  <c r="BH66" i="21"/>
  <c r="BG66" i="21"/>
  <c r="BF66" i="21"/>
  <c r="BE66" i="21"/>
  <c r="BK42" i="21"/>
  <c r="BH42" i="21"/>
  <c r="BG42" i="21"/>
  <c r="BF42" i="21"/>
  <c r="BE42" i="21"/>
  <c r="BK17" i="21"/>
  <c r="BH17" i="21"/>
  <c r="BG17" i="21"/>
  <c r="BF17" i="21"/>
  <c r="BE17" i="21"/>
  <c r="N39" i="11"/>
  <c r="O39" i="11" s="1"/>
  <c r="P39" i="11" s="1"/>
  <c r="Q39" i="11" s="1"/>
  <c r="R39" i="11" s="1"/>
  <c r="F33" i="11"/>
  <c r="G33" i="11" s="1"/>
  <c r="H33" i="11" s="1"/>
  <c r="I33" i="11" s="1"/>
  <c r="J33" i="11" s="1"/>
  <c r="K33" i="11" s="1"/>
  <c r="L33" i="11" s="1"/>
  <c r="M33" i="11" s="1"/>
  <c r="BK198" i="21"/>
  <c r="BK201" i="21" s="1"/>
  <c r="BH198" i="21"/>
  <c r="BH201" i="21" s="1"/>
  <c r="BG198" i="21"/>
  <c r="BF198" i="21"/>
  <c r="BE198" i="21"/>
  <c r="BK199" i="21" s="1"/>
  <c r="BB198" i="21"/>
  <c r="BH199" i="21" s="1"/>
  <c r="BA198" i="21"/>
  <c r="AZ198" i="21"/>
  <c r="AY198" i="21"/>
  <c r="AV198" i="21"/>
  <c r="AU198" i="21"/>
  <c r="AT198" i="21"/>
  <c r="AS198" i="21"/>
  <c r="AP198" i="21"/>
  <c r="AO198" i="21"/>
  <c r="AN198" i="21"/>
  <c r="AM198" i="21"/>
  <c r="AJ198" i="21"/>
  <c r="AI198" i="21"/>
  <c r="AH198" i="21"/>
  <c r="AG198" i="21"/>
  <c r="AD198" i="21"/>
  <c r="AC198" i="21"/>
  <c r="AB198" i="21"/>
  <c r="AA198" i="21"/>
  <c r="X198" i="21"/>
  <c r="X199" i="21" s="1"/>
  <c r="W198" i="21"/>
  <c r="V198" i="21"/>
  <c r="U198" i="21"/>
  <c r="R198" i="21"/>
  <c r="Q198" i="21"/>
  <c r="P198" i="21"/>
  <c r="O198" i="21"/>
  <c r="L198" i="21"/>
  <c r="K198" i="21"/>
  <c r="J198" i="21"/>
  <c r="P199" i="21" s="1"/>
  <c r="I198" i="21"/>
  <c r="BK207" i="21"/>
  <c r="BI206" i="21"/>
  <c r="BK192" i="21"/>
  <c r="BI191" i="21"/>
  <c r="BK185" i="21"/>
  <c r="BK188" i="21" s="1"/>
  <c r="BH185" i="21"/>
  <c r="BH188" i="21" s="1"/>
  <c r="BG185" i="21"/>
  <c r="BG213" i="21" s="1"/>
  <c r="BF185" i="21"/>
  <c r="BE185" i="21"/>
  <c r="BB185" i="21"/>
  <c r="BA185" i="21"/>
  <c r="AZ185" i="21"/>
  <c r="AY185" i="21"/>
  <c r="AV185" i="21"/>
  <c r="AU185" i="21"/>
  <c r="AT185" i="21"/>
  <c r="AS185" i="21"/>
  <c r="AP185" i="21"/>
  <c r="AO185" i="21"/>
  <c r="AN185" i="21"/>
  <c r="AM185" i="21"/>
  <c r="AJ185" i="21"/>
  <c r="AI185" i="21"/>
  <c r="AH185" i="21"/>
  <c r="AG185" i="21"/>
  <c r="AC185" i="21"/>
  <c r="AB185" i="21"/>
  <c r="AA185" i="21"/>
  <c r="X185" i="21"/>
  <c r="W185" i="21"/>
  <c r="V185" i="21"/>
  <c r="U185" i="21"/>
  <c r="R185" i="21"/>
  <c r="Q185" i="21"/>
  <c r="P185" i="21"/>
  <c r="O185" i="21"/>
  <c r="L185" i="21"/>
  <c r="K185" i="21"/>
  <c r="J185" i="21"/>
  <c r="BI178" i="21"/>
  <c r="BK179" i="21"/>
  <c r="BK172" i="21"/>
  <c r="BH172" i="21"/>
  <c r="BH175" i="21" s="1"/>
  <c r="BN174" i="21" s="1"/>
  <c r="BG172" i="21"/>
  <c r="BG175" i="21" s="1"/>
  <c r="BM174" i="21" s="1"/>
  <c r="BF172" i="21"/>
  <c r="BF175" i="21" s="1"/>
  <c r="BE172" i="21"/>
  <c r="BE175" i="21" s="1"/>
  <c r="BB172" i="21"/>
  <c r="BA172" i="21"/>
  <c r="AZ172" i="21"/>
  <c r="AY172" i="21"/>
  <c r="AV172" i="21"/>
  <c r="AU172" i="21"/>
  <c r="AT172" i="21"/>
  <c r="AS172" i="21"/>
  <c r="AP172" i="21"/>
  <c r="AO172" i="21"/>
  <c r="AN172" i="21"/>
  <c r="AM172" i="21"/>
  <c r="AJ172" i="21"/>
  <c r="AI172" i="21"/>
  <c r="AH172" i="21"/>
  <c r="AG172" i="21"/>
  <c r="AC172" i="21"/>
  <c r="AB172" i="21"/>
  <c r="AA172" i="21"/>
  <c r="X172" i="21"/>
  <c r="W172" i="21"/>
  <c r="V172" i="21"/>
  <c r="U172" i="21"/>
  <c r="R172" i="21"/>
  <c r="Q172" i="21"/>
  <c r="P172" i="21"/>
  <c r="O172" i="21"/>
  <c r="L172" i="21"/>
  <c r="K172" i="21"/>
  <c r="J172" i="21"/>
  <c r="I185" i="21"/>
  <c r="I172" i="21"/>
  <c r="BI66" i="21"/>
  <c r="BC66" i="21"/>
  <c r="AW66" i="21"/>
  <c r="AQ66" i="21"/>
  <c r="AK66" i="21"/>
  <c r="AE66" i="21"/>
  <c r="Y66" i="21"/>
  <c r="S66" i="21"/>
  <c r="M66" i="21"/>
  <c r="BC42" i="21"/>
  <c r="AW42" i="21"/>
  <c r="AQ42" i="21"/>
  <c r="AK42" i="21"/>
  <c r="AE42" i="21"/>
  <c r="Y42" i="21"/>
  <c r="S42" i="21"/>
  <c r="M42" i="21"/>
  <c r="BI17" i="21"/>
  <c r="BC17" i="21"/>
  <c r="AW17" i="21"/>
  <c r="AQ17" i="21"/>
  <c r="AK17" i="21"/>
  <c r="AE17" i="21"/>
  <c r="Y17" i="21"/>
  <c r="S17" i="21"/>
  <c r="M17" i="21"/>
  <c r="AT297" i="117"/>
  <c r="BK154" i="21" s="1"/>
  <c r="BG140" i="21"/>
  <c r="BE140" i="21"/>
  <c r="DK126" i="21"/>
  <c r="DE126" i="21"/>
  <c r="CY126" i="21"/>
  <c r="CS126" i="21"/>
  <c r="CM126" i="21"/>
  <c r="CG126" i="21"/>
  <c r="CA126" i="21"/>
  <c r="BU126" i="21"/>
  <c r="BO126" i="21"/>
  <c r="BI126" i="21"/>
  <c r="DK104" i="21"/>
  <c r="DE104" i="21"/>
  <c r="CY104" i="21"/>
  <c r="CS104" i="21"/>
  <c r="CM104" i="21"/>
  <c r="CG104" i="21"/>
  <c r="CA104" i="21"/>
  <c r="BU104" i="21"/>
  <c r="BO104" i="21"/>
  <c r="BI104" i="21"/>
  <c r="DK82" i="21"/>
  <c r="DE82" i="21"/>
  <c r="CY82" i="21"/>
  <c r="CS82" i="21"/>
  <c r="CM82" i="21"/>
  <c r="CG82" i="21"/>
  <c r="CA82" i="21"/>
  <c r="BU82" i="21"/>
  <c r="BO82" i="21"/>
  <c r="DH101" i="15"/>
  <c r="DI101" i="15" s="1"/>
  <c r="DJ101" i="15" s="1"/>
  <c r="DB101" i="15"/>
  <c r="DC101" i="15" s="1"/>
  <c r="DD101" i="15" s="1"/>
  <c r="CV101" i="15"/>
  <c r="CW101" i="15" s="1"/>
  <c r="CX101" i="15" s="1"/>
  <c r="CP101" i="15"/>
  <c r="CQ101" i="15" s="1"/>
  <c r="CR101" i="15" s="1"/>
  <c r="CJ101" i="15"/>
  <c r="CK101" i="15" s="1"/>
  <c r="CL101" i="15" s="1"/>
  <c r="CD101" i="15"/>
  <c r="CE101" i="15" s="1"/>
  <c r="CF101" i="15" s="1"/>
  <c r="BX101" i="15"/>
  <c r="BY101" i="15" s="1"/>
  <c r="BZ101" i="15" s="1"/>
  <c r="DI92" i="15"/>
  <c r="DJ92" i="15" s="1"/>
  <c r="DH92" i="15"/>
  <c r="DB92" i="15"/>
  <c r="DC92" i="15" s="1"/>
  <c r="DD92" i="15" s="1"/>
  <c r="CV92" i="15"/>
  <c r="CW92" i="15" s="1"/>
  <c r="CX92" i="15" s="1"/>
  <c r="CP92" i="15"/>
  <c r="CQ92" i="15" s="1"/>
  <c r="CR92" i="15" s="1"/>
  <c r="CJ92" i="15"/>
  <c r="CK92" i="15" s="1"/>
  <c r="CL92" i="15" s="1"/>
  <c r="CD92" i="15"/>
  <c r="CE92" i="15" s="1"/>
  <c r="CF92" i="15" s="1"/>
  <c r="BX92" i="15"/>
  <c r="BY92" i="15" s="1"/>
  <c r="BZ92" i="15" s="1"/>
  <c r="DH83" i="15"/>
  <c r="DI83" i="15" s="1"/>
  <c r="DJ83" i="15" s="1"/>
  <c r="DB83" i="15"/>
  <c r="DC83" i="15" s="1"/>
  <c r="DD83" i="15" s="1"/>
  <c r="CV83" i="15"/>
  <c r="CW83" i="15" s="1"/>
  <c r="CX83" i="15" s="1"/>
  <c r="CP83" i="15"/>
  <c r="CQ83" i="15" s="1"/>
  <c r="CR83" i="15" s="1"/>
  <c r="CJ83" i="15"/>
  <c r="CK83" i="15" s="1"/>
  <c r="CL83" i="15" s="1"/>
  <c r="CD83" i="15"/>
  <c r="CE83" i="15" s="1"/>
  <c r="CF83" i="15" s="1"/>
  <c r="BX83" i="15"/>
  <c r="BY83" i="15" s="1"/>
  <c r="BZ83" i="15" s="1"/>
  <c r="BR83" i="15"/>
  <c r="BS83" i="15" s="1"/>
  <c r="BT83" i="15" s="1"/>
  <c r="BK106" i="15"/>
  <c r="BK104" i="15"/>
  <c r="BK100" i="15"/>
  <c r="BK44" i="15"/>
  <c r="BK63" i="15"/>
  <c r="BK61" i="15"/>
  <c r="BK37" i="15"/>
  <c r="BK25" i="15"/>
  <c r="BK104" i="17"/>
  <c r="BK63" i="17"/>
  <c r="BK61" i="17"/>
  <c r="BK44" i="17"/>
  <c r="BK216" i="21" l="1"/>
  <c r="BI42" i="21"/>
  <c r="Q199" i="21"/>
  <c r="V199" i="21"/>
  <c r="AD199" i="21"/>
  <c r="AN199" i="21"/>
  <c r="AP199" i="21"/>
  <c r="AV199" i="21"/>
  <c r="X186" i="21"/>
  <c r="BA199" i="21"/>
  <c r="AO186" i="21"/>
  <c r="AG199" i="21"/>
  <c r="AY199" i="21"/>
  <c r="R186" i="21"/>
  <c r="AJ199" i="21"/>
  <c r="AO199" i="21"/>
  <c r="BG199" i="21"/>
  <c r="BH213" i="21"/>
  <c r="M185" i="21"/>
  <c r="P186" i="21"/>
  <c r="V186" i="21"/>
  <c r="AY186" i="21"/>
  <c r="BE186" i="21"/>
  <c r="BH186" i="21"/>
  <c r="AB199" i="21"/>
  <c r="AT199" i="21"/>
  <c r="AU186" i="21"/>
  <c r="Q186" i="21"/>
  <c r="AT186" i="21"/>
  <c r="BI198" i="21"/>
  <c r="BH216" i="21"/>
  <c r="BH219" i="21" s="1"/>
  <c r="BI175" i="21"/>
  <c r="BE188" i="21"/>
  <c r="BK189" i="21" s="1"/>
  <c r="BG201" i="21"/>
  <c r="BK173" i="21"/>
  <c r="U186" i="21"/>
  <c r="AC186" i="21"/>
  <c r="AI186" i="21"/>
  <c r="AS186" i="21"/>
  <c r="BB186" i="21"/>
  <c r="U199" i="21"/>
  <c r="AC199" i="21"/>
  <c r="AU199" i="21"/>
  <c r="BB199" i="21"/>
  <c r="BF199" i="21"/>
  <c r="BF201" i="21"/>
  <c r="W186" i="21"/>
  <c r="AA186" i="21"/>
  <c r="AG186" i="21"/>
  <c r="AP186" i="21"/>
  <c r="AZ186" i="21"/>
  <c r="BF186" i="21"/>
  <c r="BK186" i="21"/>
  <c r="BF188" i="21"/>
  <c r="R199" i="21"/>
  <c r="W199" i="21"/>
  <c r="AA199" i="21"/>
  <c r="AH199" i="21"/>
  <c r="AS199" i="21"/>
  <c r="AZ199" i="21"/>
  <c r="BE213" i="21"/>
  <c r="BK175" i="21"/>
  <c r="S185" i="21"/>
  <c r="S186" i="21" s="1"/>
  <c r="O186" i="21"/>
  <c r="AB186" i="21"/>
  <c r="AH186" i="21"/>
  <c r="AM186" i="21"/>
  <c r="AN186" i="21"/>
  <c r="AV186" i="21"/>
  <c r="BA186" i="21"/>
  <c r="BG186" i="21"/>
  <c r="BQ188" i="21"/>
  <c r="AI199" i="21"/>
  <c r="AM199" i="21"/>
  <c r="BE199" i="21"/>
  <c r="BE201" i="21"/>
  <c r="BK202" i="21" s="1"/>
  <c r="BF213" i="21"/>
  <c r="BK213" i="21"/>
  <c r="BS175" i="21"/>
  <c r="O199" i="21"/>
  <c r="BI185" i="21"/>
  <c r="BC185" i="21"/>
  <c r="AW185" i="21"/>
  <c r="AQ185" i="21"/>
  <c r="AK185" i="21"/>
  <c r="Y185" i="21"/>
  <c r="BT175" i="21"/>
  <c r="BT201" i="21" s="1"/>
  <c r="P173" i="21"/>
  <c r="V173" i="21"/>
  <c r="AH173" i="21"/>
  <c r="AG173" i="21"/>
  <c r="AS173" i="21"/>
  <c r="Q173" i="21"/>
  <c r="W173" i="21"/>
  <c r="AN173" i="21"/>
  <c r="AT173" i="21"/>
  <c r="M172" i="21"/>
  <c r="R173" i="21"/>
  <c r="X173" i="21"/>
  <c r="AO173" i="21"/>
  <c r="BA173" i="21"/>
  <c r="BG173" i="21"/>
  <c r="AA173" i="21"/>
  <c r="AP173" i="21"/>
  <c r="BB173" i="21"/>
  <c r="BH173" i="21"/>
  <c r="AB173" i="21"/>
  <c r="AI173" i="21"/>
  <c r="AV173" i="21"/>
  <c r="BF173" i="21"/>
  <c r="S172" i="21"/>
  <c r="O173" i="21"/>
  <c r="AC173" i="21"/>
  <c r="AY173" i="21"/>
  <c r="AZ173" i="21"/>
  <c r="AU173" i="21"/>
  <c r="U173" i="21"/>
  <c r="AM173" i="21"/>
  <c r="BE173" i="21"/>
  <c r="BI172" i="21"/>
  <c r="BC172" i="21"/>
  <c r="AW172" i="21"/>
  <c r="AQ172" i="21"/>
  <c r="AK172" i="21"/>
  <c r="Y172" i="21"/>
  <c r="BK156" i="21"/>
  <c r="BK158" i="21"/>
  <c r="BK36" i="16"/>
  <c r="BS24" i="20"/>
  <c r="BT24" i="20" s="1"/>
  <c r="BX24" i="20"/>
  <c r="BY24" i="20" s="1"/>
  <c r="BZ24" i="20" s="1"/>
  <c r="BK13" i="20"/>
  <c r="CP24" i="20"/>
  <c r="CQ24" i="20" s="1"/>
  <c r="CR24" i="20" s="1"/>
  <c r="CV24" i="20"/>
  <c r="CW24" i="20" s="1"/>
  <c r="CX24" i="20" s="1"/>
  <c r="CD24" i="20"/>
  <c r="CE24" i="20" s="1"/>
  <c r="CF24" i="20" s="1"/>
  <c r="DB24" i="20"/>
  <c r="DC24" i="20" s="1"/>
  <c r="DD24" i="20" s="1"/>
  <c r="BW188" i="21" l="1"/>
  <c r="CC188" i="21" s="1"/>
  <c r="BQ187" i="21"/>
  <c r="BT188" i="21"/>
  <c r="BZ188" i="21" s="1"/>
  <c r="BN187" i="21"/>
  <c r="BM202" i="21"/>
  <c r="BY175" i="21"/>
  <c r="CE175" i="21" s="1"/>
  <c r="BS201" i="21"/>
  <c r="BS202" i="21" s="1"/>
  <c r="AQ186" i="21"/>
  <c r="BI188" i="21"/>
  <c r="Y186" i="21"/>
  <c r="AW186" i="21"/>
  <c r="BI186" i="21"/>
  <c r="BI201" i="21"/>
  <c r="BG216" i="21"/>
  <c r="BG219" i="21" s="1"/>
  <c r="BM187" i="21"/>
  <c r="BI213" i="21"/>
  <c r="BF216" i="21"/>
  <c r="BF219" i="21" s="1"/>
  <c r="BK214" i="21"/>
  <c r="BK219" i="21"/>
  <c r="BQ175" i="21"/>
  <c r="BK176" i="21"/>
  <c r="BE216" i="21"/>
  <c r="BE219" i="21" s="1"/>
  <c r="BC186" i="21"/>
  <c r="BZ175" i="21"/>
  <c r="BZ201" i="21" s="1"/>
  <c r="BZ202" i="21" s="1"/>
  <c r="AQ173" i="21"/>
  <c r="S173" i="21"/>
  <c r="AW173" i="21"/>
  <c r="BC173" i="21"/>
  <c r="Y173" i="21"/>
  <c r="BI173" i="21"/>
  <c r="DH24" i="20"/>
  <c r="DI24" i="20" s="1"/>
  <c r="DJ24" i="20" s="1"/>
  <c r="CJ24" i="20"/>
  <c r="CK24" i="20" s="1"/>
  <c r="CL24" i="20" s="1"/>
  <c r="BQ201" i="21" l="1"/>
  <c r="BQ216" i="21" s="1"/>
  <c r="BQ217" i="21" s="1"/>
  <c r="BQ174" i="21"/>
  <c r="CK175" i="21"/>
  <c r="CK201" i="21" s="1"/>
  <c r="CE201" i="21"/>
  <c r="K35" i="11"/>
  <c r="K34" i="11"/>
  <c r="K36" i="11" s="1"/>
  <c r="K37" i="11" s="1"/>
  <c r="BJ188" i="21"/>
  <c r="BY201" i="21"/>
  <c r="BY202" i="21" s="1"/>
  <c r="BI219" i="21"/>
  <c r="BK220" i="21"/>
  <c r="BW175" i="21"/>
  <c r="BW201" i="21" s="1"/>
  <c r="BM216" i="21"/>
  <c r="BS188" i="21"/>
  <c r="BI216" i="21"/>
  <c r="BK217" i="21"/>
  <c r="BT216" i="21"/>
  <c r="BO188" i="21"/>
  <c r="BP188" i="21" s="1"/>
  <c r="BR188" i="21"/>
  <c r="CI188" i="21"/>
  <c r="CF188" i="21"/>
  <c r="CF175" i="21"/>
  <c r="CF201" i="21" s="1"/>
  <c r="BK23" i="20"/>
  <c r="BK17" i="20"/>
  <c r="BK8" i="20"/>
  <c r="BK11" i="20" s="1"/>
  <c r="BK6" i="20"/>
  <c r="BE7" i="4"/>
  <c r="BK17" i="4"/>
  <c r="BK15" i="4"/>
  <c r="BK11" i="4"/>
  <c r="BK9" i="4"/>
  <c r="BK6" i="4"/>
  <c r="BK37" i="9"/>
  <c r="BK25" i="9"/>
  <c r="BK44" i="9"/>
  <c r="BK63" i="9"/>
  <c r="BK61" i="9"/>
  <c r="BK58" i="7"/>
  <c r="BK55" i="7"/>
  <c r="BK53" i="7"/>
  <c r="BK36" i="7"/>
  <c r="BK29" i="7"/>
  <c r="CQ175" i="21" l="1"/>
  <c r="CQ201" i="21" s="1"/>
  <c r="CQ202" i="21" s="1"/>
  <c r="BQ202" i="21"/>
  <c r="CE202" i="21"/>
  <c r="BW202" i="21"/>
  <c r="CF202" i="21"/>
  <c r="CK202" i="21"/>
  <c r="BO189" i="21"/>
  <c r="L34" i="11"/>
  <c r="BM217" i="21"/>
  <c r="BS216" i="21"/>
  <c r="BY188" i="21"/>
  <c r="CC175" i="21"/>
  <c r="CC201" i="21" s="1"/>
  <c r="BX188" i="21"/>
  <c r="BU188" i="21"/>
  <c r="CO188" i="21"/>
  <c r="CL188" i="21"/>
  <c r="CL175" i="21"/>
  <c r="CL201" i="21" s="1"/>
  <c r="CL202" i="21" s="1"/>
  <c r="BK79" i="10"/>
  <c r="BK37" i="10"/>
  <c r="BK25" i="10"/>
  <c r="BK44" i="10"/>
  <c r="BK66" i="10"/>
  <c r="BK63" i="10"/>
  <c r="DK5" i="8"/>
  <c r="DE5" i="8"/>
  <c r="CY5" i="8"/>
  <c r="CS5" i="8"/>
  <c r="CM5" i="8"/>
  <c r="CG5" i="8"/>
  <c r="BK36" i="8"/>
  <c r="BK55" i="8"/>
  <c r="BK53" i="8"/>
  <c r="CW175" i="21" l="1"/>
  <c r="CW201" i="21" s="1"/>
  <c r="CW202" i="21" s="1"/>
  <c r="BU189" i="21"/>
  <c r="M34" i="11"/>
  <c r="CC202" i="21"/>
  <c r="BS217" i="21"/>
  <c r="CI175" i="21"/>
  <c r="CI201" i="21" s="1"/>
  <c r="CA188" i="21"/>
  <c r="CD188" i="21"/>
  <c r="CE188" i="21"/>
  <c r="CR188" i="21"/>
  <c r="CU188" i="21"/>
  <c r="CR175" i="21"/>
  <c r="CR201" i="21" s="1"/>
  <c r="CR202" i="21" s="1"/>
  <c r="DC175" i="21" l="1"/>
  <c r="DC201" i="21" s="1"/>
  <c r="DC202" i="21" s="1"/>
  <c r="CA189" i="21"/>
  <c r="N34" i="11"/>
  <c r="CI202" i="21"/>
  <c r="CK188" i="21"/>
  <c r="CO175" i="21"/>
  <c r="CO201" i="21" s="1"/>
  <c r="CG188" i="21"/>
  <c r="CJ188" i="21"/>
  <c r="DA188" i="21"/>
  <c r="CX188" i="21"/>
  <c r="CX175" i="21"/>
  <c r="CX201" i="21" s="1"/>
  <c r="AT229" i="117"/>
  <c r="AT170" i="117"/>
  <c r="DI175" i="21" l="1"/>
  <c r="DI201" i="21" s="1"/>
  <c r="DI202" i="21" s="1"/>
  <c r="CG189" i="21"/>
  <c r="O34" i="11"/>
  <c r="CX202" i="21"/>
  <c r="CO202" i="21"/>
  <c r="CP188" i="21"/>
  <c r="CM188" i="21"/>
  <c r="CU175" i="21"/>
  <c r="CU201" i="21" s="1"/>
  <c r="CQ188" i="21"/>
  <c r="DG188" i="21"/>
  <c r="DD188" i="21"/>
  <c r="DD175" i="21"/>
  <c r="DD201" i="21" s="1"/>
  <c r="DD202" i="21" s="1"/>
  <c r="CM189" i="21" l="1"/>
  <c r="P34" i="11"/>
  <c r="CU202" i="21"/>
  <c r="CW188" i="21"/>
  <c r="DA175" i="21"/>
  <c r="DA201" i="21" s="1"/>
  <c r="CV188" i="21"/>
  <c r="CS188" i="21"/>
  <c r="DJ188" i="21"/>
  <c r="DJ175" i="21"/>
  <c r="DJ201" i="21" s="1"/>
  <c r="DJ202" i="21" s="1"/>
  <c r="DA202" i="21" l="1"/>
  <c r="CS189" i="21"/>
  <c r="Q34" i="11"/>
  <c r="DC188" i="21"/>
  <c r="CY188" i="21"/>
  <c r="DB188" i="21"/>
  <c r="DG175" i="21"/>
  <c r="CY189" i="21" l="1"/>
  <c r="R34" i="11"/>
  <c r="DG201" i="21"/>
  <c r="DI188" i="21"/>
  <c r="DH188" i="21"/>
  <c r="DE188" i="21"/>
  <c r="DE189" i="21" s="1"/>
  <c r="DG202" i="21" l="1"/>
  <c r="DK188" i="21"/>
  <c r="DK189" i="21" s="1"/>
  <c r="CJ198" i="3"/>
  <c r="CK198" i="3" s="1"/>
  <c r="CL198" i="3" s="1"/>
  <c r="CD198" i="3"/>
  <c r="CE198" i="3" s="1"/>
  <c r="CF198" i="3" s="1"/>
  <c r="BX198" i="3"/>
  <c r="BY198" i="3" s="1"/>
  <c r="BZ198" i="3" s="1"/>
  <c r="K329" i="14"/>
  <c r="K331" i="14" s="1"/>
  <c r="J329" i="14"/>
  <c r="J331" i="14" s="1"/>
  <c r="K324" i="14"/>
  <c r="J324" i="14"/>
  <c r="K317" i="14" l="1"/>
  <c r="J317" i="14"/>
  <c r="P312" i="14"/>
  <c r="O312" i="14"/>
  <c r="N312" i="14"/>
  <c r="M312" i="14"/>
  <c r="L312" i="14"/>
  <c r="K312" i="14"/>
  <c r="J312" i="14"/>
  <c r="K191" i="14" l="1"/>
  <c r="M299" i="14" l="1"/>
  <c r="M292" i="14"/>
  <c r="M294" i="14" s="1"/>
  <c r="M296" i="14" s="1"/>
  <c r="M285" i="14"/>
  <c r="M287" i="14" s="1"/>
  <c r="M289" i="14" s="1"/>
  <c r="K181" i="14"/>
  <c r="CK229" i="117"/>
  <c r="CL229" i="117" s="1"/>
  <c r="CM229" i="117" s="1"/>
  <c r="CT304" i="117"/>
  <c r="CN304" i="117"/>
  <c r="CH304" i="117"/>
  <c r="CB304" i="117"/>
  <c r="BV304" i="117"/>
  <c r="BP304" i="117"/>
  <c r="BJ304" i="117"/>
  <c r="BD304" i="117"/>
  <c r="AX304" i="117"/>
  <c r="K128" i="14"/>
  <c r="K175" i="14"/>
  <c r="K145" i="14"/>
  <c r="K82" i="14"/>
  <c r="P130" i="14" l="1"/>
  <c r="Q130" i="14" s="1"/>
  <c r="R130" i="14" s="1"/>
  <c r="S130" i="14" s="1"/>
  <c r="T130" i="14" s="1"/>
  <c r="AQ297" i="117"/>
  <c r="BH154" i="21"/>
  <c r="BH73" i="21"/>
  <c r="BF73" i="21"/>
  <c r="BG73" i="21"/>
  <c r="CF21" i="21"/>
  <c r="CL21" i="21" s="1"/>
  <c r="CR21" i="21" s="1"/>
  <c r="CX21" i="21" s="1"/>
  <c r="DD21" i="21" s="1"/>
  <c r="DJ21" i="21" s="1"/>
  <c r="CD21" i="21"/>
  <c r="CJ21" i="21" s="1"/>
  <c r="CP21" i="21" s="1"/>
  <c r="CV21" i="21" s="1"/>
  <c r="DB21" i="21" s="1"/>
  <c r="DH21" i="21" s="1"/>
  <c r="CC21" i="21"/>
  <c r="AQ229" i="117"/>
  <c r="AQ196" i="117"/>
  <c r="AQ194" i="117"/>
  <c r="AQ170" i="117"/>
  <c r="CI21" i="21" l="1"/>
  <c r="BH156" i="21"/>
  <c r="BR52" i="15"/>
  <c r="BS52" i="15" s="1"/>
  <c r="BT52" i="15" s="1"/>
  <c r="BH54" i="15"/>
  <c r="BH97" i="15"/>
  <c r="BH104" i="15"/>
  <c r="BH63" i="15"/>
  <c r="BH61" i="15"/>
  <c r="BH44" i="15"/>
  <c r="BH57" i="15" l="1"/>
  <c r="CO21" i="21"/>
  <c r="BH37" i="15"/>
  <c r="BH25" i="15"/>
  <c r="CU21" i="21" l="1"/>
  <c r="BH63" i="17"/>
  <c r="BH44" i="17"/>
  <c r="BH37" i="17"/>
  <c r="BH25" i="17"/>
  <c r="BR11" i="16"/>
  <c r="BS11" i="16" s="1"/>
  <c r="BT11" i="16" s="1"/>
  <c r="BH55" i="16"/>
  <c r="BH36" i="16"/>
  <c r="BH29" i="16"/>
  <c r="DA21" i="21" l="1"/>
  <c r="BX9" i="20"/>
  <c r="BY9" i="20" s="1"/>
  <c r="BZ9" i="20" s="1"/>
  <c r="BH13" i="20"/>
  <c r="BG13" i="20"/>
  <c r="BF13" i="20"/>
  <c r="BE13" i="20"/>
  <c r="BH23" i="20"/>
  <c r="BH8" i="20"/>
  <c r="BH11" i="20" s="1"/>
  <c r="BH63" i="9"/>
  <c r="BH61" i="9"/>
  <c r="BH44" i="9"/>
  <c r="BH37" i="9"/>
  <c r="BH25" i="9"/>
  <c r="BH55" i="7"/>
  <c r="BH53" i="7"/>
  <c r="BH36" i="7"/>
  <c r="BH29" i="7"/>
  <c r="BH37" i="10"/>
  <c r="BH25" i="10"/>
  <c r="BH44" i="10"/>
  <c r="BH63" i="10"/>
  <c r="BH61" i="10"/>
  <c r="BH55" i="8"/>
  <c r="BH53" i="8"/>
  <c r="BH49" i="8"/>
  <c r="BH36" i="8"/>
  <c r="BH29" i="8"/>
  <c r="DG21" i="21" l="1"/>
  <c r="BH17" i="4"/>
  <c r="BH11" i="4"/>
  <c r="BY32" i="3" l="1"/>
  <c r="BZ32" i="3" s="1"/>
  <c r="BX32" i="3"/>
  <c r="CG32" i="3"/>
  <c r="BH101" i="3"/>
  <c r="BH112" i="3"/>
  <c r="BH152" i="3"/>
  <c r="BH168" i="3"/>
  <c r="BH36" i="2"/>
  <c r="BH29" i="2"/>
  <c r="L38" i="138" l="1"/>
  <c r="M38" i="138" s="1"/>
  <c r="D38" i="138"/>
  <c r="E38" i="138" s="1"/>
  <c r="M33" i="138"/>
  <c r="L33" i="138"/>
  <c r="D33" i="138"/>
  <c r="E33" i="138" s="1"/>
  <c r="K25" i="138"/>
  <c r="K24" i="138"/>
  <c r="C23" i="138"/>
  <c r="C25" i="138" s="1"/>
  <c r="K23" i="138" l="1"/>
  <c r="K26" i="138" s="1"/>
  <c r="AP297" i="117" l="1"/>
  <c r="BG154" i="21" s="1"/>
  <c r="BG146" i="21"/>
  <c r="CE21" i="21"/>
  <c r="BG158" i="21" l="1"/>
  <c r="CK21" i="21"/>
  <c r="CG21" i="21"/>
  <c r="BG156" i="21"/>
  <c r="BG106" i="15"/>
  <c r="BG104" i="15"/>
  <c r="BG100" i="15"/>
  <c r="BG97" i="15"/>
  <c r="BG63" i="15"/>
  <c r="BG61" i="15"/>
  <c r="BG54" i="15"/>
  <c r="BG57" i="15" s="1"/>
  <c r="BG44" i="15"/>
  <c r="BG25" i="15"/>
  <c r="BG37" i="15"/>
  <c r="BG106" i="17"/>
  <c r="BG63" i="17"/>
  <c r="BG44" i="17"/>
  <c r="BG25" i="17"/>
  <c r="BG36" i="16"/>
  <c r="BG29" i="16"/>
  <c r="BG23" i="20"/>
  <c r="BG8" i="20"/>
  <c r="BG11" i="20" s="1"/>
  <c r="BG17" i="4"/>
  <c r="BG11" i="4"/>
  <c r="CQ21" i="21" l="1"/>
  <c r="CM21" i="21"/>
  <c r="BG37" i="9"/>
  <c r="BG25" i="9"/>
  <c r="BG44" i="9"/>
  <c r="BG63" i="9"/>
  <c r="BG61" i="9"/>
  <c r="BG55" i="7"/>
  <c r="BG53" i="7"/>
  <c r="BG36" i="7"/>
  <c r="BG29" i="7"/>
  <c r="BG60" i="10"/>
  <c r="BG63" i="10" s="1"/>
  <c r="BG44" i="10"/>
  <c r="BG37" i="10"/>
  <c r="BG25" i="10"/>
  <c r="BG58" i="8"/>
  <c r="BG55" i="8"/>
  <c r="BG53" i="8"/>
  <c r="BG49" i="8"/>
  <c r="BG47" i="8"/>
  <c r="BG36" i="8"/>
  <c r="BG29" i="8"/>
  <c r="BA289" i="117"/>
  <c r="BB289" i="117" s="1"/>
  <c r="BC289" i="117" s="1"/>
  <c r="CQ185" i="117"/>
  <c r="CR185" i="117" s="1"/>
  <c r="CS185" i="117" s="1"/>
  <c r="CE185" i="117"/>
  <c r="CF185" i="117" s="1"/>
  <c r="CG185" i="117" s="1"/>
  <c r="BM193" i="117"/>
  <c r="BN193" i="117" s="1"/>
  <c r="BG61" i="10" l="1"/>
  <c r="CW21" i="21"/>
  <c r="CS21" i="21"/>
  <c r="BY155" i="117"/>
  <c r="BZ155" i="117" s="1"/>
  <c r="CA155" i="117" s="1"/>
  <c r="BM155" i="117"/>
  <c r="BN155" i="117" s="1"/>
  <c r="BO155" i="117" s="1"/>
  <c r="BG155" i="117"/>
  <c r="BH155" i="117" s="1"/>
  <c r="BI155" i="117" s="1"/>
  <c r="AP261" i="117"/>
  <c r="AP229" i="117"/>
  <c r="AP196" i="117"/>
  <c r="AP194" i="117"/>
  <c r="AP170" i="117"/>
  <c r="DC21" i="21" l="1"/>
  <c r="CY21" i="21"/>
  <c r="DB198" i="3"/>
  <c r="DC198" i="3" s="1"/>
  <c r="DD198" i="3" s="1"/>
  <c r="DI21" i="21" l="1"/>
  <c r="DK21" i="21" s="1"/>
  <c r="DE21" i="21"/>
  <c r="DK32" i="3"/>
  <c r="DE32" i="3"/>
  <c r="CY32" i="3"/>
  <c r="CS32" i="3"/>
  <c r="CM32" i="3"/>
  <c r="BG152" i="3" l="1"/>
  <c r="CG66" i="3"/>
  <c r="CA66" i="3"/>
  <c r="BG101" i="3"/>
  <c r="BG110" i="3"/>
  <c r="CJ14" i="2" l="1"/>
  <c r="CK14" i="2" s="1"/>
  <c r="CL14" i="2" s="1"/>
  <c r="BG36" i="2"/>
  <c r="BG29" i="2"/>
  <c r="AO297" i="117" l="1"/>
  <c r="BF154" i="21" s="1"/>
  <c r="BF156" i="21" s="1"/>
  <c r="AN297" i="117"/>
  <c r="CQ269" i="117"/>
  <c r="CR269" i="117" s="1"/>
  <c r="CS269" i="117" s="1"/>
  <c r="CK269" i="117"/>
  <c r="CL269" i="117" s="1"/>
  <c r="CM269" i="117" s="1"/>
  <c r="CE269" i="117"/>
  <c r="CF269" i="117" s="1"/>
  <c r="CG269" i="117" s="1"/>
  <c r="BY269" i="117"/>
  <c r="BZ269" i="117" s="1"/>
  <c r="CA269" i="117" s="1"/>
  <c r="BS269" i="117"/>
  <c r="BT269" i="117" s="1"/>
  <c r="BU269" i="117" s="1"/>
  <c r="BM269" i="117"/>
  <c r="BN269" i="117" s="1"/>
  <c r="BO269" i="117" s="1"/>
  <c r="BG269" i="117"/>
  <c r="BH269" i="117" s="1"/>
  <c r="BI269" i="117" s="1"/>
  <c r="BU261" i="117"/>
  <c r="BO261" i="117"/>
  <c r="BI261" i="117"/>
  <c r="BC261" i="117"/>
  <c r="AW261" i="117"/>
  <c r="BY193" i="117"/>
  <c r="BZ193" i="117" s="1"/>
  <c r="CB193" i="117" s="1"/>
  <c r="BS193" i="117"/>
  <c r="BT193" i="117" s="1"/>
  <c r="BV193" i="117" s="1"/>
  <c r="BG193" i="117"/>
  <c r="BH193" i="117" s="1"/>
  <c r="CE155" i="117"/>
  <c r="CF155" i="117" s="1"/>
  <c r="CG155" i="117" s="1"/>
  <c r="AO229" i="117"/>
  <c r="AO196" i="117"/>
  <c r="AO170" i="117"/>
  <c r="BF106" i="15"/>
  <c r="BF103" i="15"/>
  <c r="BF100" i="15"/>
  <c r="BE100" i="15"/>
  <c r="BF97" i="15"/>
  <c r="BF60" i="15"/>
  <c r="BF63" i="15" s="1"/>
  <c r="BF54" i="15"/>
  <c r="BF44" i="15"/>
  <c r="BF25" i="15"/>
  <c r="DH83" i="17"/>
  <c r="DI83" i="17" s="1"/>
  <c r="DJ83" i="17" s="1"/>
  <c r="DB83" i="17"/>
  <c r="DC83" i="17" s="1"/>
  <c r="DD83" i="17" s="1"/>
  <c r="CV83" i="17"/>
  <c r="CW83" i="17" s="1"/>
  <c r="CX83" i="17" s="1"/>
  <c r="CP83" i="17"/>
  <c r="CQ83" i="17" s="1"/>
  <c r="CR83" i="17" s="1"/>
  <c r="CJ83" i="17"/>
  <c r="CK83" i="17" s="1"/>
  <c r="CL83" i="17" s="1"/>
  <c r="CD83" i="17"/>
  <c r="CE83" i="17" s="1"/>
  <c r="CF83" i="17" s="1"/>
  <c r="BX83" i="17"/>
  <c r="BY83" i="17" s="1"/>
  <c r="BZ83" i="17" s="1"/>
  <c r="BR83" i="17"/>
  <c r="BS83" i="17" s="1"/>
  <c r="BT83" i="17" s="1"/>
  <c r="BF106" i="17"/>
  <c r="BF63" i="17"/>
  <c r="BF61" i="17"/>
  <c r="BF44" i="17"/>
  <c r="BF25" i="17"/>
  <c r="BE25" i="17"/>
  <c r="BF37" i="17"/>
  <c r="BE37" i="17"/>
  <c r="BF95" i="16"/>
  <c r="BF93" i="16"/>
  <c r="BF86" i="16"/>
  <c r="BF89" i="16" s="1"/>
  <c r="DH75" i="16"/>
  <c r="DI75" i="16" s="1"/>
  <c r="DJ75" i="16" s="1"/>
  <c r="DC75" i="16"/>
  <c r="DD75" i="16" s="1"/>
  <c r="DB75" i="16"/>
  <c r="CV75" i="16"/>
  <c r="CW75" i="16" s="1"/>
  <c r="CX75" i="16" s="1"/>
  <c r="CP75" i="16"/>
  <c r="CQ75" i="16" s="1"/>
  <c r="CR75" i="16" s="1"/>
  <c r="CK75" i="16"/>
  <c r="CL75" i="16" s="1"/>
  <c r="CJ75" i="16"/>
  <c r="CD75" i="16"/>
  <c r="CE75" i="16" s="1"/>
  <c r="CF75" i="16" s="1"/>
  <c r="BX75" i="16"/>
  <c r="BY75" i="16" s="1"/>
  <c r="BZ75" i="16" s="1"/>
  <c r="BS75" i="16"/>
  <c r="BT75" i="16" s="1"/>
  <c r="BR75" i="16"/>
  <c r="BF55" i="16"/>
  <c r="BF53" i="16"/>
  <c r="BF46" i="16"/>
  <c r="BF36" i="16"/>
  <c r="BF29" i="16"/>
  <c r="BE29" i="16"/>
  <c r="BK101" i="15" l="1"/>
  <c r="AY44" i="21"/>
  <c r="BF8" i="20"/>
  <c r="BF11" i="20" s="1"/>
  <c r="BF23" i="20"/>
  <c r="BF17" i="4"/>
  <c r="BF11" i="4"/>
  <c r="BF63" i="9"/>
  <c r="BF61" i="9"/>
  <c r="BF44" i="9"/>
  <c r="BE44" i="9"/>
  <c r="BF37" i="9"/>
  <c r="BE37" i="9"/>
  <c r="BF25" i="9"/>
  <c r="BE25" i="9"/>
  <c r="BK26" i="9" s="1"/>
  <c r="BF58" i="7"/>
  <c r="BE58" i="7"/>
  <c r="BF55" i="7"/>
  <c r="BE55" i="7"/>
  <c r="BF53" i="7"/>
  <c r="BE53" i="7"/>
  <c r="BF36" i="7"/>
  <c r="BE36" i="7"/>
  <c r="BF29" i="7"/>
  <c r="BE29" i="7"/>
  <c r="BK30" i="7" s="1"/>
  <c r="BF79" i="10"/>
  <c r="BF63" i="10"/>
  <c r="BF61" i="10"/>
  <c r="BF44" i="10"/>
  <c r="BE44" i="10"/>
  <c r="BF37" i="10"/>
  <c r="BF25" i="10"/>
  <c r="BF55" i="8"/>
  <c r="BF53" i="8"/>
  <c r="BF36" i="8"/>
  <c r="BF29" i="8"/>
  <c r="AJ132" i="3"/>
  <c r="AI132" i="3"/>
  <c r="AH132" i="3"/>
  <c r="AG132" i="3"/>
  <c r="AP132" i="3"/>
  <c r="AO132" i="3"/>
  <c r="AN132" i="3"/>
  <c r="AM132" i="3"/>
  <c r="AV132" i="3"/>
  <c r="AU132" i="3"/>
  <c r="AT132" i="3"/>
  <c r="AS132" i="3"/>
  <c r="BB132" i="3"/>
  <c r="BA132" i="3"/>
  <c r="AZ132" i="3"/>
  <c r="AY132" i="3"/>
  <c r="BH132" i="3"/>
  <c r="BG132" i="3"/>
  <c r="BF132" i="3"/>
  <c r="BE132" i="3"/>
  <c r="BN131" i="3"/>
  <c r="BT131" i="3" s="1"/>
  <c r="BM131" i="3"/>
  <c r="BS131" i="3" s="1"/>
  <c r="BL131" i="3"/>
  <c r="BR131" i="3" s="1"/>
  <c r="BK131" i="3"/>
  <c r="BK132" i="3" s="1"/>
  <c r="BN132" i="3"/>
  <c r="BM132" i="3"/>
  <c r="BL132" i="3"/>
  <c r="BS132" i="3" l="1"/>
  <c r="BY131" i="3"/>
  <c r="BR132" i="3"/>
  <c r="BX131" i="3"/>
  <c r="BT132" i="3"/>
  <c r="BZ131" i="3"/>
  <c r="BK56" i="7"/>
  <c r="BK38" i="9"/>
  <c r="BQ131" i="3"/>
  <c r="BW131" i="3" s="1"/>
  <c r="BK59" i="7"/>
  <c r="CE193" i="117"/>
  <c r="CF193" i="117" s="1"/>
  <c r="CH193" i="117" s="1"/>
  <c r="CJ193" i="117"/>
  <c r="CP193" i="117" s="1"/>
  <c r="BQ132" i="3"/>
  <c r="BF144" i="3"/>
  <c r="BF112" i="3"/>
  <c r="BF101" i="3" s="1"/>
  <c r="BF152" i="3"/>
  <c r="BF36" i="2"/>
  <c r="BF29" i="2"/>
  <c r="CD131" i="3" l="1"/>
  <c r="CC131" i="3"/>
  <c r="CF131" i="3"/>
  <c r="CE131" i="3"/>
  <c r="CK193" i="117"/>
  <c r="CL193" i="117" l="1"/>
  <c r="CN193" i="117" s="1"/>
  <c r="CQ193" i="117"/>
  <c r="CR193" i="117" s="1"/>
  <c r="AN188" i="117"/>
  <c r="CT193" i="117" l="1"/>
  <c r="C69" i="12"/>
  <c r="K28" i="138" s="1"/>
  <c r="BY146" i="117"/>
  <c r="AN304" i="117"/>
  <c r="AR304" i="117" s="1"/>
  <c r="K319" i="14" s="1"/>
  <c r="BE154" i="21"/>
  <c r="BE106" i="15"/>
  <c r="BE37" i="15"/>
  <c r="BK38" i="15" s="1"/>
  <c r="BE63" i="15"/>
  <c r="AY63" i="15"/>
  <c r="AY106" i="15"/>
  <c r="BB112" i="15"/>
  <c r="BA112" i="15"/>
  <c r="AZ112" i="15"/>
  <c r="AY82" i="15"/>
  <c r="BE44" i="15"/>
  <c r="AY4" i="15"/>
  <c r="AY5" i="15" s="1"/>
  <c r="BE25" i="15"/>
  <c r="BK26" i="15" s="1"/>
  <c r="BE106" i="17"/>
  <c r="BE97" i="17"/>
  <c r="BE98" i="17"/>
  <c r="BE63" i="17"/>
  <c r="BK64" i="17" s="1"/>
  <c r="BE54" i="17"/>
  <c r="BK54" i="17" s="1"/>
  <c r="BE44" i="17"/>
  <c r="BE92" i="16"/>
  <c r="BE95" i="16" s="1"/>
  <c r="BE86" i="16"/>
  <c r="BK86" i="16" s="1"/>
  <c r="BK89" i="16" s="1"/>
  <c r="CA75" i="16"/>
  <c r="BE52" i="16"/>
  <c r="BK52" i="16" s="1"/>
  <c r="BE46" i="16"/>
  <c r="BK46" i="16" s="1"/>
  <c r="BE36" i="16"/>
  <c r="AN196" i="117"/>
  <c r="AN190" i="117"/>
  <c r="AN170" i="117"/>
  <c r="AY8" i="20"/>
  <c r="BK90" i="16" l="1"/>
  <c r="BE55" i="17"/>
  <c r="BE64" i="15"/>
  <c r="BK64" i="15"/>
  <c r="BK55" i="16"/>
  <c r="BK53" i="16"/>
  <c r="BE89" i="16"/>
  <c r="BE57" i="17"/>
  <c r="BK97" i="17"/>
  <c r="BE100" i="17"/>
  <c r="BE93" i="16"/>
  <c r="BK92" i="16"/>
  <c r="AT171" i="117"/>
  <c r="BE55" i="16"/>
  <c r="BE107" i="15"/>
  <c r="BK107" i="15"/>
  <c r="BK155" i="21"/>
  <c r="BE156" i="21"/>
  <c r="BZ146" i="117"/>
  <c r="CB146" i="117" s="1"/>
  <c r="BE23" i="20"/>
  <c r="BK24" i="20" s="1"/>
  <c r="BE17" i="20"/>
  <c r="BK18" i="20" s="1"/>
  <c r="BE8" i="20"/>
  <c r="BE11" i="20" l="1"/>
  <c r="BK12" i="20" s="1"/>
  <c r="BK9" i="20"/>
  <c r="BK95" i="16"/>
  <c r="BK96" i="16" s="1"/>
  <c r="BK93" i="16"/>
  <c r="BK100" i="17"/>
  <c r="BK101" i="17" s="1"/>
  <c r="BK98" i="17"/>
  <c r="BK56" i="16"/>
  <c r="BU75" i="16"/>
  <c r="BE11" i="4"/>
  <c r="BK12" i="4" s="1"/>
  <c r="BE17" i="4"/>
  <c r="BK18" i="4" s="1"/>
  <c r="BE79" i="9"/>
  <c r="BE63" i="9"/>
  <c r="BE61" i="9"/>
  <c r="BK64" i="9" l="1"/>
  <c r="BE33" i="20"/>
  <c r="BE60" i="10"/>
  <c r="BK61" i="10" s="1"/>
  <c r="BE37" i="10"/>
  <c r="BE25" i="10"/>
  <c r="BK26" i="10" s="1"/>
  <c r="BE36" i="8"/>
  <c r="BE29" i="8"/>
  <c r="BE55" i="8"/>
  <c r="BE53" i="8"/>
  <c r="BE101" i="3"/>
  <c r="BE112" i="3"/>
  <c r="BB112" i="3"/>
  <c r="BE152" i="3"/>
  <c r="BE168" i="3"/>
  <c r="BK102" i="3" l="1"/>
  <c r="BE66" i="10"/>
  <c r="BK38" i="10"/>
  <c r="BK56" i="8"/>
  <c r="BE63" i="10"/>
  <c r="BE61" i="10"/>
  <c r="BE36" i="2"/>
  <c r="BE29" i="2"/>
  <c r="BK30" i="2" l="1"/>
  <c r="BK67" i="10"/>
  <c r="BK64" i="10"/>
  <c r="J299" i="14" l="1"/>
  <c r="J292" i="14"/>
  <c r="J294" i="14" s="1"/>
  <c r="J296" i="14" s="1"/>
  <c r="J285" i="14"/>
  <c r="J287" i="14" s="1"/>
  <c r="J289" i="14" s="1"/>
  <c r="M255" i="14" l="1"/>
  <c r="J191" i="14"/>
  <c r="J141" i="14"/>
  <c r="J128" i="14"/>
  <c r="J300" i="14" s="1"/>
  <c r="J301" i="14" s="1"/>
  <c r="J303" i="14" s="1"/>
  <c r="AV162" i="21"/>
  <c r="AU162" i="21"/>
  <c r="AT162" i="21"/>
  <c r="BB162" i="21"/>
  <c r="BA162" i="21"/>
  <c r="AZ162" i="21"/>
  <c r="AY162" i="21"/>
  <c r="AK303" i="117"/>
  <c r="AK297" i="117"/>
  <c r="BB154" i="21"/>
  <c r="BH155" i="21" s="1"/>
  <c r="AV154" i="21"/>
  <c r="AF62" i="12"/>
  <c r="AF63" i="12" s="1"/>
  <c r="BP193" i="117"/>
  <c r="CQ168" i="117"/>
  <c r="CR168" i="117" s="1"/>
  <c r="CS168" i="117" s="1"/>
  <c r="CK168" i="117"/>
  <c r="CL168" i="117" s="1"/>
  <c r="CM168" i="117" s="1"/>
  <c r="CE168" i="117"/>
  <c r="CF168" i="117" s="1"/>
  <c r="CG168" i="117" s="1"/>
  <c r="BY168" i="117"/>
  <c r="BZ168" i="117" s="1"/>
  <c r="CA168" i="117" s="1"/>
  <c r="BS168" i="117"/>
  <c r="BT168" i="117" s="1"/>
  <c r="BU168" i="117" s="1"/>
  <c r="BM168" i="117"/>
  <c r="BN168" i="117" s="1"/>
  <c r="BO168" i="117" s="1"/>
  <c r="BG168" i="117"/>
  <c r="BH168" i="117" s="1"/>
  <c r="BI168" i="117" s="1"/>
  <c r="AK298" i="117"/>
  <c r="AK170" i="117"/>
  <c r="AQ171" i="117" s="1"/>
  <c r="AK194" i="117"/>
  <c r="AK188" i="117"/>
  <c r="BB57" i="15"/>
  <c r="BB100" i="15"/>
  <c r="BB63" i="15"/>
  <c r="BB61" i="15"/>
  <c r="BB44" i="15"/>
  <c r="BB37" i="15"/>
  <c r="BH38" i="15" s="1"/>
  <c r="BB25" i="15"/>
  <c r="BH26" i="15" s="1"/>
  <c r="CJ101" i="17"/>
  <c r="CK101" i="17" s="1"/>
  <c r="CL101" i="17" s="1"/>
  <c r="CD101" i="17"/>
  <c r="CE101" i="17"/>
  <c r="CF101" i="17" s="1"/>
  <c r="BX101" i="17"/>
  <c r="BY101" i="17" s="1"/>
  <c r="BZ101" i="17" s="1"/>
  <c r="BB100" i="17"/>
  <c r="BB101" i="17" s="1"/>
  <c r="BB89" i="16"/>
  <c r="BB90" i="16" s="1"/>
  <c r="BB95" i="16"/>
  <c r="BB96" i="16" s="1"/>
  <c r="BB97" i="17"/>
  <c r="BH97" i="17" s="1"/>
  <c r="BH100" i="17" s="1"/>
  <c r="BB54" i="17"/>
  <c r="BH54" i="17" s="1"/>
  <c r="BB44" i="17"/>
  <c r="BB29" i="17"/>
  <c r="BB25" i="17"/>
  <c r="BH26" i="17" s="1"/>
  <c r="BB37" i="17"/>
  <c r="BH38" i="17" s="1"/>
  <c r="BB93" i="16"/>
  <c r="BB92" i="16"/>
  <c r="BB84" i="16"/>
  <c r="BB52" i="16"/>
  <c r="BB55" i="16" s="1"/>
  <c r="BB86" i="16"/>
  <c r="BH86" i="16" s="1"/>
  <c r="BH89" i="16" s="1"/>
  <c r="BB36" i="16"/>
  <c r="BB29" i="16"/>
  <c r="BB26" i="20"/>
  <c r="BB33" i="20" s="1"/>
  <c r="BB23" i="20"/>
  <c r="BB21" i="20"/>
  <c r="BB11" i="20"/>
  <c r="BB8" i="20"/>
  <c r="BB15" i="20"/>
  <c r="BB6" i="20"/>
  <c r="BB11" i="4"/>
  <c r="BB9" i="4"/>
  <c r="BB17" i="4"/>
  <c r="BB15" i="4"/>
  <c r="BB6" i="4"/>
  <c r="BB44" i="9"/>
  <c r="BB37" i="9"/>
  <c r="BH38" i="9" s="1"/>
  <c r="BB25" i="9"/>
  <c r="BH26" i="9" s="1"/>
  <c r="BB63" i="9"/>
  <c r="BH64" i="9" s="1"/>
  <c r="BB61" i="9"/>
  <c r="BB57" i="9"/>
  <c r="BB55" i="9"/>
  <c r="BB37" i="7"/>
  <c r="BB36" i="7"/>
  <c r="BB58" i="7"/>
  <c r="BB55" i="7"/>
  <c r="BH56" i="7" s="1"/>
  <c r="BB53" i="7"/>
  <c r="BB49" i="7"/>
  <c r="BB47" i="7"/>
  <c r="BB29" i="7"/>
  <c r="BH30" i="7" s="1"/>
  <c r="BB57" i="10"/>
  <c r="BB55" i="10"/>
  <c r="BB63" i="10"/>
  <c r="BH64" i="10" s="1"/>
  <c r="BB61" i="10"/>
  <c r="BB44" i="10"/>
  <c r="BB37" i="10"/>
  <c r="BH38" i="10" s="1"/>
  <c r="BB25" i="10"/>
  <c r="BH26" i="10" s="1"/>
  <c r="BB58" i="8"/>
  <c r="BB55" i="8"/>
  <c r="BH56" i="8" s="1"/>
  <c r="BB53" i="8"/>
  <c r="BB49" i="8"/>
  <c r="BH50" i="8" s="1"/>
  <c r="BB36" i="8"/>
  <c r="BB29" i="8"/>
  <c r="BH30" i="8" s="1"/>
  <c r="BB40" i="7"/>
  <c r="BB101" i="3"/>
  <c r="DK66" i="3"/>
  <c r="DE66" i="3"/>
  <c r="CY66" i="3"/>
  <c r="CS66" i="3"/>
  <c r="CK67" i="3"/>
  <c r="BB43" i="7"/>
  <c r="BB110" i="3"/>
  <c r="BB152" i="3"/>
  <c r="BB172" i="3"/>
  <c r="BB178" i="3"/>
  <c r="BB36" i="2"/>
  <c r="BB29" i="2"/>
  <c r="C80" i="12"/>
  <c r="E53" i="12" s="1"/>
  <c r="AE63" i="12"/>
  <c r="DH152" i="21"/>
  <c r="DK58" i="21"/>
  <c r="DK46" i="21"/>
  <c r="DK34" i="21"/>
  <c r="DB152" i="21"/>
  <c r="DE58" i="21"/>
  <c r="DE46" i="21"/>
  <c r="DE34" i="21"/>
  <c r="BA146" i="21"/>
  <c r="BG147" i="21" s="1"/>
  <c r="AJ297" i="117"/>
  <c r="BA154" i="21" s="1"/>
  <c r="BG155" i="21" s="1"/>
  <c r="AJ298" i="117"/>
  <c r="CY46" i="21"/>
  <c r="CS46" i="21"/>
  <c r="CM46" i="21"/>
  <c r="CG46" i="21"/>
  <c r="CA46" i="21"/>
  <c r="AJ303" i="117"/>
  <c r="BJ193" i="117"/>
  <c r="BD193" i="117"/>
  <c r="AX193" i="117"/>
  <c r="AJ170" i="117"/>
  <c r="AP171" i="117" s="1"/>
  <c r="CQ155" i="117"/>
  <c r="CR155" i="117" s="1"/>
  <c r="CS155" i="117" s="1"/>
  <c r="CK155" i="117"/>
  <c r="CL155" i="117" s="1"/>
  <c r="CM155" i="117" s="1"/>
  <c r="BS155" i="117"/>
  <c r="BT155" i="117" s="1"/>
  <c r="BU155" i="117" s="1"/>
  <c r="CQ146" i="117"/>
  <c r="CR146" i="117" s="1"/>
  <c r="CT146" i="117" s="1"/>
  <c r="CK146" i="117"/>
  <c r="CL146" i="117" s="1"/>
  <c r="CN146" i="117" s="1"/>
  <c r="CS312" i="117"/>
  <c r="DJ60" i="21" s="1"/>
  <c r="CR312" i="117"/>
  <c r="DI60" i="21" s="1"/>
  <c r="CQ312" i="117"/>
  <c r="DH60" i="21" s="1"/>
  <c r="CP312" i="117"/>
  <c r="DG60" i="21" s="1"/>
  <c r="CT280" i="117"/>
  <c r="CT269" i="117"/>
  <c r="CS267" i="117"/>
  <c r="CR267" i="117"/>
  <c r="CQ267" i="117"/>
  <c r="CP267" i="117"/>
  <c r="CT267" i="117"/>
  <c r="CS261" i="117"/>
  <c r="CR261" i="117"/>
  <c r="CQ261" i="117"/>
  <c r="CP261" i="117"/>
  <c r="CT246" i="117"/>
  <c r="CQ229" i="117"/>
  <c r="CR229" i="117" s="1"/>
  <c r="CS229" i="117" s="1"/>
  <c r="CS194" i="117"/>
  <c r="CR194" i="117"/>
  <c r="CQ194" i="117"/>
  <c r="CP194" i="117"/>
  <c r="CQ152" i="117"/>
  <c r="CR152" i="117" s="1"/>
  <c r="CS152" i="117" s="1"/>
  <c r="CM312" i="117"/>
  <c r="DD60" i="21" s="1"/>
  <c r="CL312" i="117"/>
  <c r="DC60" i="21" s="1"/>
  <c r="CK312" i="117"/>
  <c r="DB60" i="21" s="1"/>
  <c r="CJ312" i="117"/>
  <c r="DA60" i="21" s="1"/>
  <c r="CN280" i="117"/>
  <c r="CN269" i="117"/>
  <c r="CM267" i="117"/>
  <c r="CL267" i="117"/>
  <c r="CK267" i="117"/>
  <c r="CN267" i="117" s="1"/>
  <c r="CJ267" i="117"/>
  <c r="CM261" i="117"/>
  <c r="CL261" i="117"/>
  <c r="CK261" i="117"/>
  <c r="CJ261" i="117"/>
  <c r="CN246" i="117"/>
  <c r="CM194" i="117"/>
  <c r="CL194" i="117"/>
  <c r="CK194" i="117"/>
  <c r="CJ194" i="117"/>
  <c r="CK185" i="117"/>
  <c r="CL185" i="117" s="1"/>
  <c r="CM185" i="117" s="1"/>
  <c r="CK152" i="117"/>
  <c r="CL152" i="117" s="1"/>
  <c r="CM152" i="117" s="1"/>
  <c r="CE146" i="117"/>
  <c r="CF146" i="117" s="1"/>
  <c r="CH146" i="117" s="1"/>
  <c r="BS146" i="117"/>
  <c r="BT146" i="117" s="1"/>
  <c r="BV146" i="117" s="1"/>
  <c r="BM146" i="117"/>
  <c r="BN146" i="117" s="1"/>
  <c r="BP146" i="117" s="1"/>
  <c r="BG146" i="117"/>
  <c r="BD146" i="117"/>
  <c r="CC64" i="15"/>
  <c r="CD64" i="15"/>
  <c r="CE64" i="15"/>
  <c r="CF64" i="15"/>
  <c r="DJ64" i="15"/>
  <c r="DI64" i="15"/>
  <c r="DH64" i="15"/>
  <c r="DG64" i="15"/>
  <c r="DD64" i="15"/>
  <c r="DC64" i="15"/>
  <c r="DB64" i="15"/>
  <c r="DA64" i="15"/>
  <c r="BA106" i="15"/>
  <c r="BA100" i="15"/>
  <c r="AZ100" i="15"/>
  <c r="BA57" i="15"/>
  <c r="BA63" i="15"/>
  <c r="BG64" i="15" s="1"/>
  <c r="AZ63" i="15"/>
  <c r="BA61" i="15"/>
  <c r="BA44" i="15"/>
  <c r="BA25" i="15"/>
  <c r="BG26" i="15" s="1"/>
  <c r="BA37" i="15"/>
  <c r="BG38" i="15" s="1"/>
  <c r="DJ64" i="17"/>
  <c r="DI64" i="17"/>
  <c r="DH64" i="17"/>
  <c r="DG64" i="17"/>
  <c r="DD64" i="17"/>
  <c r="DC64" i="17"/>
  <c r="DB64" i="17"/>
  <c r="DA64" i="17"/>
  <c r="BA44" i="17"/>
  <c r="BA37" i="17"/>
  <c r="BA25" i="17"/>
  <c r="BG26" i="17" s="1"/>
  <c r="DK75" i="16"/>
  <c r="DJ56" i="16"/>
  <c r="DI56" i="16"/>
  <c r="DH56" i="16"/>
  <c r="DG56" i="16"/>
  <c r="DE75" i="16"/>
  <c r="DD56" i="16"/>
  <c r="DC56" i="16"/>
  <c r="DB56" i="16"/>
  <c r="DA56" i="16"/>
  <c r="BA36" i="16"/>
  <c r="BA29" i="16"/>
  <c r="BA17" i="4"/>
  <c r="BA15" i="4"/>
  <c r="BA11" i="4"/>
  <c r="BA6" i="4"/>
  <c r="BA23" i="20"/>
  <c r="BA8" i="20"/>
  <c r="BA11" i="20" s="1"/>
  <c r="BA6" i="20"/>
  <c r="DJ64" i="9"/>
  <c r="DI64" i="9"/>
  <c r="DH64" i="9"/>
  <c r="DG64" i="9"/>
  <c r="DD64" i="9"/>
  <c r="DC64" i="9"/>
  <c r="DB64" i="9"/>
  <c r="DA64" i="9"/>
  <c r="BA79" i="9"/>
  <c r="BA66" i="9"/>
  <c r="BA63" i="9"/>
  <c r="BG64" i="9" s="1"/>
  <c r="BA61" i="9"/>
  <c r="BA44" i="9"/>
  <c r="BA37" i="9"/>
  <c r="BG38" i="9" s="1"/>
  <c r="BA25" i="9"/>
  <c r="BG26" i="9" s="1"/>
  <c r="DK5" i="7"/>
  <c r="DE5" i="7"/>
  <c r="CY5" i="7"/>
  <c r="CS5" i="7"/>
  <c r="CM5" i="7"/>
  <c r="BA55" i="7"/>
  <c r="BG56" i="7" s="1"/>
  <c r="BA53" i="7"/>
  <c r="BA36" i="7"/>
  <c r="BA29" i="7"/>
  <c r="DJ56" i="7"/>
  <c r="DI56" i="7"/>
  <c r="DH56" i="7"/>
  <c r="DG56" i="7"/>
  <c r="DD56" i="7"/>
  <c r="DC56" i="7"/>
  <c r="DB56" i="7"/>
  <c r="DA56" i="7"/>
  <c r="BA63" i="10"/>
  <c r="BG64" i="10" s="1"/>
  <c r="BA61" i="10"/>
  <c r="BA44" i="10"/>
  <c r="BA37" i="10"/>
  <c r="BG38" i="10" s="1"/>
  <c r="BA25" i="10"/>
  <c r="BG26" i="10" s="1"/>
  <c r="DJ64" i="10"/>
  <c r="DI64" i="10"/>
  <c r="DH64" i="10"/>
  <c r="DG64" i="10"/>
  <c r="DD64" i="10"/>
  <c r="DC64" i="10"/>
  <c r="DB64" i="10"/>
  <c r="DA64" i="10"/>
  <c r="DJ56" i="8"/>
  <c r="DI56" i="8"/>
  <c r="DH56" i="8"/>
  <c r="DG56" i="8"/>
  <c r="DD56" i="8"/>
  <c r="DC56" i="8"/>
  <c r="DB56" i="8"/>
  <c r="DA56" i="8"/>
  <c r="BA55" i="8"/>
  <c r="BG56" i="8" s="1"/>
  <c r="BA53" i="8"/>
  <c r="BA36" i="8"/>
  <c r="BA29" i="8"/>
  <c r="DK204" i="3"/>
  <c r="DH198" i="3"/>
  <c r="DI198" i="3" s="1"/>
  <c r="DJ198" i="3" s="1"/>
  <c r="DJ67" i="3"/>
  <c r="DJ72" i="3" s="1"/>
  <c r="DI67" i="3"/>
  <c r="DI71" i="3" s="1"/>
  <c r="DH67" i="3"/>
  <c r="DH70" i="3" s="1"/>
  <c r="DG67" i="3"/>
  <c r="DG71" i="3" s="1"/>
  <c r="DK65" i="3"/>
  <c r="DK64" i="3"/>
  <c r="DK27" i="3"/>
  <c r="DJ22" i="3"/>
  <c r="DI22" i="3"/>
  <c r="DH22" i="3"/>
  <c r="DG22" i="3"/>
  <c r="DJ12" i="3"/>
  <c r="DI12" i="3"/>
  <c r="DH12" i="3"/>
  <c r="DG12" i="3"/>
  <c r="DK12" i="3"/>
  <c r="DE204" i="3"/>
  <c r="DE126" i="3"/>
  <c r="DD67" i="3"/>
  <c r="DD72" i="3" s="1"/>
  <c r="DC67" i="3"/>
  <c r="DC70" i="3" s="1"/>
  <c r="DB67" i="3"/>
  <c r="DB70" i="3" s="1"/>
  <c r="DA67" i="3"/>
  <c r="DA72" i="3" s="1"/>
  <c r="DE64" i="3"/>
  <c r="DE27" i="3"/>
  <c r="DD22" i="3"/>
  <c r="DC22" i="3"/>
  <c r="DB22" i="3"/>
  <c r="DA22" i="3"/>
  <c r="DE22" i="3" s="1"/>
  <c r="DD12" i="3"/>
  <c r="DC12" i="3"/>
  <c r="DB12" i="3"/>
  <c r="DE12" i="3" s="1"/>
  <c r="DA12" i="3"/>
  <c r="CY126" i="3"/>
  <c r="CS126" i="3"/>
  <c r="CM126" i="3"/>
  <c r="CJ5" i="3"/>
  <c r="CP5" i="3" s="1"/>
  <c r="CV5" i="3" s="1"/>
  <c r="DB5" i="3" s="1"/>
  <c r="DH5" i="3" s="1"/>
  <c r="CC5" i="3"/>
  <c r="CI5" i="3" s="1"/>
  <c r="CO5" i="3" s="1"/>
  <c r="CU5" i="3" s="1"/>
  <c r="DA5" i="3" s="1"/>
  <c r="DG5" i="3" s="1"/>
  <c r="BZ5" i="3"/>
  <c r="CF5" i="3" s="1"/>
  <c r="CL5" i="3" s="1"/>
  <c r="CR5" i="3" s="1"/>
  <c r="CX5" i="3" s="1"/>
  <c r="DD5" i="3" s="1"/>
  <c r="DJ5" i="3" s="1"/>
  <c r="BA101" i="3"/>
  <c r="BA110" i="3"/>
  <c r="BA112" i="3"/>
  <c r="BA166" i="3"/>
  <c r="BA152" i="3"/>
  <c r="BA172" i="3"/>
  <c r="BA178" i="3"/>
  <c r="DJ56" i="2"/>
  <c r="DI56" i="2"/>
  <c r="DH56" i="2"/>
  <c r="DG56" i="2"/>
  <c r="DD56" i="2"/>
  <c r="DC56" i="2"/>
  <c r="DB56" i="2"/>
  <c r="DA56" i="2"/>
  <c r="BA36" i="2"/>
  <c r="BA29" i="2"/>
  <c r="BG30" i="2" s="1"/>
  <c r="DJ71" i="3"/>
  <c r="DB72" i="3"/>
  <c r="DD70" i="3"/>
  <c r="DC72" i="3"/>
  <c r="DC71" i="3"/>
  <c r="DD71" i="3"/>
  <c r="DG72" i="3"/>
  <c r="DJ70" i="3"/>
  <c r="DA71" i="3"/>
  <c r="DB71" i="3"/>
  <c r="AH304" i="117"/>
  <c r="AL304" i="117" s="1"/>
  <c r="J319" i="14" s="1"/>
  <c r="BR198" i="3"/>
  <c r="BS198" i="3" s="1"/>
  <c r="BT198" i="3" s="1"/>
  <c r="BA56" i="2"/>
  <c r="BB56" i="2"/>
  <c r="BB152" i="21"/>
  <c r="BA152" i="21"/>
  <c r="AI298" i="117"/>
  <c r="AI297" i="117"/>
  <c r="AZ154" i="21"/>
  <c r="BF155" i="21" s="1"/>
  <c r="AZ25" i="17"/>
  <c r="BF26" i="17" s="1"/>
  <c r="AZ25" i="15"/>
  <c r="BF26" i="15" s="1"/>
  <c r="AZ106" i="15"/>
  <c r="AZ44" i="15"/>
  <c r="AZ37" i="15"/>
  <c r="AZ24" i="15"/>
  <c r="AZ106" i="17"/>
  <c r="BF107" i="17" s="1"/>
  <c r="AZ63" i="17"/>
  <c r="BF64" i="17" s="1"/>
  <c r="AZ44" i="17"/>
  <c r="AZ37" i="17"/>
  <c r="BF38" i="17" s="1"/>
  <c r="AZ95" i="16"/>
  <c r="BF96" i="16" s="1"/>
  <c r="AZ89" i="16"/>
  <c r="BF90" i="16" s="1"/>
  <c r="AZ55" i="16"/>
  <c r="BF56" i="16" s="1"/>
  <c r="AZ36" i="16"/>
  <c r="AZ29" i="16"/>
  <c r="BF30" i="16" s="1"/>
  <c r="AZ193" i="3"/>
  <c r="BO65" i="3"/>
  <c r="BU65" i="3"/>
  <c r="CY64" i="3"/>
  <c r="CS64" i="3"/>
  <c r="CM64" i="3"/>
  <c r="CG64" i="3"/>
  <c r="CA64" i="3"/>
  <c r="AZ112" i="3"/>
  <c r="AY112" i="3"/>
  <c r="AY101" i="3" s="1"/>
  <c r="AV112" i="3"/>
  <c r="AZ110" i="3"/>
  <c r="AY110" i="3"/>
  <c r="AV110" i="3"/>
  <c r="AU110" i="3"/>
  <c r="AT110" i="3"/>
  <c r="AS110" i="3"/>
  <c r="AP110" i="3"/>
  <c r="AO110" i="3"/>
  <c r="AN110" i="3"/>
  <c r="AM110" i="3"/>
  <c r="AV101" i="3"/>
  <c r="AA109" i="3"/>
  <c r="AG110" i="3" s="1"/>
  <c r="AB109" i="3"/>
  <c r="AH110" i="3" s="1"/>
  <c r="AC109" i="3"/>
  <c r="AI110" i="3" s="1"/>
  <c r="AD109" i="3"/>
  <c r="AJ110" i="3" s="1"/>
  <c r="AW109" i="3"/>
  <c r="AW110" i="3" s="1"/>
  <c r="AQ109" i="3"/>
  <c r="AQ110" i="3" s="1"/>
  <c r="AK109" i="3"/>
  <c r="AK110" i="3" s="1"/>
  <c r="X104" i="3"/>
  <c r="W104" i="3"/>
  <c r="V104" i="3"/>
  <c r="R104" i="3"/>
  <c r="Q104" i="3"/>
  <c r="P104" i="3"/>
  <c r="AZ172" i="3"/>
  <c r="AZ178" i="3"/>
  <c r="AZ152" i="3"/>
  <c r="CG18" i="3"/>
  <c r="CA18" i="3"/>
  <c r="AI196" i="117"/>
  <c r="AO197" i="117" s="1"/>
  <c r="AI194" i="117"/>
  <c r="AI170" i="117"/>
  <c r="AO171" i="117" s="1"/>
  <c r="AH170" i="117"/>
  <c r="AN171" i="117" s="1"/>
  <c r="AY13" i="20"/>
  <c r="AY33" i="20" s="1"/>
  <c r="BE34" i="20" s="1"/>
  <c r="AZ8" i="20"/>
  <c r="AZ11" i="20"/>
  <c r="AZ17" i="20"/>
  <c r="AZ15" i="20"/>
  <c r="AZ23" i="20"/>
  <c r="AZ21" i="20"/>
  <c r="AZ6" i="20"/>
  <c r="AZ17" i="4"/>
  <c r="BR17" i="4" s="1"/>
  <c r="AZ15" i="4"/>
  <c r="AZ11" i="4"/>
  <c r="AZ6" i="4"/>
  <c r="AE109" i="3"/>
  <c r="AZ44" i="9"/>
  <c r="AZ37" i="9"/>
  <c r="BF38" i="9" s="1"/>
  <c r="AZ25" i="9"/>
  <c r="BF26" i="9" s="1"/>
  <c r="AZ63" i="9"/>
  <c r="BF64" i="9" s="1"/>
  <c r="AY63" i="9"/>
  <c r="BE64" i="9" s="1"/>
  <c r="AZ61" i="9"/>
  <c r="AY61" i="9"/>
  <c r="AZ58" i="7"/>
  <c r="BF59" i="7" s="1"/>
  <c r="AZ55" i="7"/>
  <c r="BF56" i="7" s="1"/>
  <c r="AZ53" i="7"/>
  <c r="AZ36" i="7"/>
  <c r="AZ49" i="7"/>
  <c r="AZ47" i="7"/>
  <c r="AZ29" i="7"/>
  <c r="BF30" i="7" s="1"/>
  <c r="AZ66" i="10"/>
  <c r="AZ63" i="10"/>
  <c r="BF64" i="10" s="1"/>
  <c r="AZ61" i="10"/>
  <c r="AZ44" i="10"/>
  <c r="AZ37" i="10"/>
  <c r="BF38" i="10" s="1"/>
  <c r="AZ25" i="10"/>
  <c r="BF26" i="10" s="1"/>
  <c r="AZ55" i="8"/>
  <c r="BF56" i="8" s="1"/>
  <c r="AZ53" i="8"/>
  <c r="AZ36" i="8"/>
  <c r="AZ29" i="8"/>
  <c r="AZ36" i="2"/>
  <c r="AZ73" i="2"/>
  <c r="AZ74" i="2" s="1"/>
  <c r="AZ29" i="2"/>
  <c r="M83" i="14"/>
  <c r="N83" i="14" s="1"/>
  <c r="O83" i="14" s="1"/>
  <c r="P83" i="14" s="1"/>
  <c r="Q83" i="14" s="1"/>
  <c r="R83" i="14" s="1"/>
  <c r="S83" i="14" s="1"/>
  <c r="T83" i="14" s="1"/>
  <c r="I191" i="14"/>
  <c r="Y16" i="2"/>
  <c r="Z16" i="2" s="1"/>
  <c r="X16" i="2"/>
  <c r="CI70" i="21"/>
  <c r="CO70" i="21" s="1"/>
  <c r="CU70" i="21" s="1"/>
  <c r="DA70" i="21" s="1"/>
  <c r="DG70" i="21" s="1"/>
  <c r="CJ70" i="21"/>
  <c r="CP70" i="21" s="1"/>
  <c r="CV70" i="21" s="1"/>
  <c r="DB70" i="21" s="1"/>
  <c r="DH70" i="21" s="1"/>
  <c r="AV21" i="21"/>
  <c r="I128" i="14"/>
  <c r="J278" i="14" s="1"/>
  <c r="J280" i="14" s="1"/>
  <c r="J282" i="14" s="1"/>
  <c r="AY100" i="15"/>
  <c r="AV97" i="15"/>
  <c r="AV100" i="15" s="1"/>
  <c r="AV63" i="15"/>
  <c r="AV61" i="15"/>
  <c r="AV54" i="15"/>
  <c r="AV44" i="15"/>
  <c r="AY44" i="15"/>
  <c r="AY37" i="15"/>
  <c r="BE38" i="15" s="1"/>
  <c r="AV37" i="15"/>
  <c r="AV25" i="15"/>
  <c r="AY23" i="15"/>
  <c r="AY25" i="15" s="1"/>
  <c r="AV23" i="15"/>
  <c r="AY100" i="17"/>
  <c r="BE101" i="17" s="1"/>
  <c r="AV100" i="17"/>
  <c r="AS100" i="17"/>
  <c r="AS98" i="17"/>
  <c r="AV44" i="17"/>
  <c r="AY44" i="17"/>
  <c r="AV37" i="17"/>
  <c r="AY37" i="17"/>
  <c r="BE38" i="17" s="1"/>
  <c r="AY23" i="17"/>
  <c r="AY25" i="17" s="1"/>
  <c r="AV23" i="17"/>
  <c r="AV25" i="17" s="1"/>
  <c r="AV89" i="16"/>
  <c r="AY89" i="16"/>
  <c r="BE90" i="16" s="1"/>
  <c r="AY95" i="16"/>
  <c r="BE96" i="16" s="1"/>
  <c r="AY93" i="16"/>
  <c r="AY55" i="16"/>
  <c r="BE56" i="16" s="1"/>
  <c r="AY53" i="16"/>
  <c r="AV55" i="16"/>
  <c r="AV53" i="16"/>
  <c r="AV95" i="16"/>
  <c r="AV93" i="16"/>
  <c r="AY84" i="16"/>
  <c r="AV84" i="16"/>
  <c r="AY36" i="16"/>
  <c r="AV36" i="16"/>
  <c r="AV29" i="16"/>
  <c r="AY29" i="16"/>
  <c r="BE30" i="16" s="1"/>
  <c r="AH269" i="117"/>
  <c r="AE269" i="117"/>
  <c r="AD269" i="117"/>
  <c r="AC269" i="117"/>
  <c r="AE170" i="117"/>
  <c r="AK171" i="117" s="1"/>
  <c r="AD170" i="117"/>
  <c r="AC170" i="117"/>
  <c r="AI171" i="117" s="1"/>
  <c r="AB170" i="117"/>
  <c r="AH171" i="117" s="1"/>
  <c r="AY17" i="4"/>
  <c r="AY15" i="4"/>
  <c r="AV17" i="4"/>
  <c r="AV15" i="4"/>
  <c r="AY11" i="4"/>
  <c r="AV11" i="4"/>
  <c r="AY9" i="4"/>
  <c r="AY6" i="4"/>
  <c r="AV6" i="4"/>
  <c r="AY11" i="20"/>
  <c r="AV8" i="20"/>
  <c r="AY23" i="20"/>
  <c r="AY21" i="20"/>
  <c r="AV26" i="20"/>
  <c r="AV23" i="20"/>
  <c r="AV21" i="20"/>
  <c r="AY6" i="20"/>
  <c r="AV6" i="20"/>
  <c r="AU6" i="20"/>
  <c r="AU112" i="3"/>
  <c r="AU101" i="3" s="1"/>
  <c r="AT112" i="3"/>
  <c r="AT101" i="3" s="1"/>
  <c r="AS112" i="3"/>
  <c r="AS101" i="3" s="1"/>
  <c r="AV143" i="3"/>
  <c r="AP112" i="3"/>
  <c r="AP101" i="3" s="1"/>
  <c r="AO112" i="3"/>
  <c r="AO101" i="3" s="1"/>
  <c r="AN112" i="3"/>
  <c r="AN101" i="3" s="1"/>
  <c r="AM112" i="3"/>
  <c r="AM101" i="3" s="1"/>
  <c r="AZ168" i="3"/>
  <c r="AZ169" i="3" s="1"/>
  <c r="AY168" i="3"/>
  <c r="AV168" i="3"/>
  <c r="AU168" i="3"/>
  <c r="AT168" i="3"/>
  <c r="AS168" i="3"/>
  <c r="AY169" i="3" s="1"/>
  <c r="AY152" i="3"/>
  <c r="AV152" i="3"/>
  <c r="AY172" i="3"/>
  <c r="AV172" i="3"/>
  <c r="AY178" i="3"/>
  <c r="AV178" i="3"/>
  <c r="AY36" i="2"/>
  <c r="AV29" i="2"/>
  <c r="AY29" i="2"/>
  <c r="BE30" i="2" s="1"/>
  <c r="AV63" i="9"/>
  <c r="AV61" i="9"/>
  <c r="AY57" i="9"/>
  <c r="AY55" i="9"/>
  <c r="AV57" i="9"/>
  <c r="AV55" i="9"/>
  <c r="AV44" i="9"/>
  <c r="AY44" i="9"/>
  <c r="AY37" i="9"/>
  <c r="BE38" i="9" s="1"/>
  <c r="AV37" i="9"/>
  <c r="BB38" i="9" s="1"/>
  <c r="AY23" i="9"/>
  <c r="AY25" i="9" s="1"/>
  <c r="AV23" i="9"/>
  <c r="AV25" i="9" s="1"/>
  <c r="AV55" i="7"/>
  <c r="AV53" i="7"/>
  <c r="AY55" i="7"/>
  <c r="AY53" i="7"/>
  <c r="AV36" i="7"/>
  <c r="AY36" i="7"/>
  <c r="AY29" i="7"/>
  <c r="BE30" i="7" s="1"/>
  <c r="AV29" i="7"/>
  <c r="BB30" i="7" s="1"/>
  <c r="AY79" i="10"/>
  <c r="AV79" i="10"/>
  <c r="AV63" i="10"/>
  <c r="AV61" i="10"/>
  <c r="AY63" i="10"/>
  <c r="BE64" i="10" s="1"/>
  <c r="AY61" i="10"/>
  <c r="AV44" i="10"/>
  <c r="AY44" i="10"/>
  <c r="AV25" i="10"/>
  <c r="AY37" i="10"/>
  <c r="BE38" i="10" s="1"/>
  <c r="AV37" i="10"/>
  <c r="AY23" i="10"/>
  <c r="AY25" i="10" s="1"/>
  <c r="AV23" i="10"/>
  <c r="AV55" i="8"/>
  <c r="AV53" i="8"/>
  <c r="AY55" i="8"/>
  <c r="BE56" i="8" s="1"/>
  <c r="AY53" i="8"/>
  <c r="AY36" i="8"/>
  <c r="AV36" i="8"/>
  <c r="AY29" i="8"/>
  <c r="BE30" i="8" s="1"/>
  <c r="AV29" i="8"/>
  <c r="BB30" i="8" s="1"/>
  <c r="AV36" i="2"/>
  <c r="AE304" i="117"/>
  <c r="AE196" i="117"/>
  <c r="BC164" i="117"/>
  <c r="BI164" i="117" s="1"/>
  <c r="BO164" i="117" s="1"/>
  <c r="BU164" i="117" s="1"/>
  <c r="CA164" i="117" s="1"/>
  <c r="CG164" i="117" s="1"/>
  <c r="CM164" i="117" s="1"/>
  <c r="CS164" i="117" s="1"/>
  <c r="BB164" i="117"/>
  <c r="BH164" i="117" s="1"/>
  <c r="BN164" i="117" s="1"/>
  <c r="BT164" i="117" s="1"/>
  <c r="BZ164" i="117" s="1"/>
  <c r="CF164" i="117" s="1"/>
  <c r="CL164" i="117" s="1"/>
  <c r="CR164" i="117" s="1"/>
  <c r="BA164" i="117"/>
  <c r="BG164" i="117" s="1"/>
  <c r="BM164" i="117" s="1"/>
  <c r="BS164" i="117" s="1"/>
  <c r="BY164" i="117" s="1"/>
  <c r="CE164" i="117" s="1"/>
  <c r="CK164" i="117" s="1"/>
  <c r="CQ164" i="117" s="1"/>
  <c r="AT164" i="117"/>
  <c r="C64" i="12"/>
  <c r="AU154" i="21"/>
  <c r="AU23" i="15"/>
  <c r="AU25" i="15" s="1"/>
  <c r="AU97" i="15"/>
  <c r="AU100" i="15" s="1"/>
  <c r="AU98" i="15"/>
  <c r="AU54" i="15"/>
  <c r="AU95" i="15"/>
  <c r="AU106" i="15"/>
  <c r="AU104" i="15"/>
  <c r="AU63" i="15"/>
  <c r="AU61" i="15"/>
  <c r="AU44" i="15"/>
  <c r="AU37" i="15"/>
  <c r="AU103" i="17"/>
  <c r="AU60" i="17"/>
  <c r="BA60" i="17" s="1"/>
  <c r="AU97" i="17"/>
  <c r="AU54" i="17"/>
  <c r="BA54" i="17" s="1"/>
  <c r="BG54" i="17" s="1"/>
  <c r="AU44" i="17"/>
  <c r="AU37" i="17"/>
  <c r="AU23" i="17"/>
  <c r="AU25" i="17" s="1"/>
  <c r="BA26" i="17" s="1"/>
  <c r="AV155" i="21"/>
  <c r="AU61" i="17"/>
  <c r="AU92" i="16"/>
  <c r="BA92" i="16" s="1"/>
  <c r="AU89" i="16"/>
  <c r="AU86" i="16"/>
  <c r="BA86" i="16" s="1"/>
  <c r="AU52" i="16"/>
  <c r="AU47" i="16"/>
  <c r="AU46" i="16"/>
  <c r="BA46" i="16" s="1"/>
  <c r="BG46" i="16" s="1"/>
  <c r="AU36" i="16"/>
  <c r="AU29" i="16"/>
  <c r="CE229" i="117"/>
  <c r="CF229" i="117" s="1"/>
  <c r="CG229" i="117" s="1"/>
  <c r="BY229" i="117"/>
  <c r="BZ229" i="117" s="1"/>
  <c r="CA229" i="117" s="1"/>
  <c r="BS229" i="117"/>
  <c r="BT229" i="117" s="1"/>
  <c r="BU229" i="117" s="1"/>
  <c r="BM229" i="117"/>
  <c r="BN229" i="117" s="1"/>
  <c r="BO229" i="117" s="1"/>
  <c r="BG229" i="117"/>
  <c r="BH229" i="117" s="1"/>
  <c r="BI229" i="117" s="1"/>
  <c r="AE228" i="117"/>
  <c r="AK229" i="117" s="1"/>
  <c r="AD228" i="117"/>
  <c r="AJ229" i="117" s="1"/>
  <c r="AE298" i="117"/>
  <c r="AD298" i="117"/>
  <c r="AD304" i="117"/>
  <c r="BY185" i="117"/>
  <c r="BZ185" i="117" s="1"/>
  <c r="CA185" i="117" s="1"/>
  <c r="BS185" i="117"/>
  <c r="BT185" i="117" s="1"/>
  <c r="BU185" i="117" s="1"/>
  <c r="BM185" i="117"/>
  <c r="BN185" i="117" s="1"/>
  <c r="BO185" i="117" s="1"/>
  <c r="BG185" i="117"/>
  <c r="BH185" i="117" s="1"/>
  <c r="BI185" i="117" s="1"/>
  <c r="CE152" i="117"/>
  <c r="CF152" i="117" s="1"/>
  <c r="CG152" i="117" s="1"/>
  <c r="BY152" i="117"/>
  <c r="BZ152" i="117" s="1"/>
  <c r="CA152" i="117" s="1"/>
  <c r="BS152" i="117"/>
  <c r="BT152" i="117" s="1"/>
  <c r="BU152" i="117" s="1"/>
  <c r="BM152" i="117"/>
  <c r="BN152" i="117" s="1"/>
  <c r="BO152" i="117" s="1"/>
  <c r="BG152" i="117"/>
  <c r="BH152" i="117" s="1"/>
  <c r="BI152" i="117" s="1"/>
  <c r="BA152" i="117"/>
  <c r="AU17" i="4"/>
  <c r="AU15" i="4"/>
  <c r="AU11" i="4"/>
  <c r="AU9" i="4"/>
  <c r="AU6" i="4"/>
  <c r="AU23" i="20"/>
  <c r="BA24" i="20" s="1"/>
  <c r="AU8" i="20"/>
  <c r="AU143" i="3"/>
  <c r="AU125" i="3"/>
  <c r="AV125" i="3" s="1"/>
  <c r="AU166" i="3"/>
  <c r="AU152" i="3"/>
  <c r="AU172" i="3"/>
  <c r="AU178" i="3"/>
  <c r="AU36" i="2"/>
  <c r="AU29" i="2"/>
  <c r="AU55" i="8"/>
  <c r="BA56" i="8" s="1"/>
  <c r="AU53" i="8"/>
  <c r="AU36" i="8"/>
  <c r="AU29" i="8"/>
  <c r="AU44" i="9"/>
  <c r="AU63" i="9"/>
  <c r="BA64" i="9" s="1"/>
  <c r="AU61" i="9"/>
  <c r="AU37" i="9"/>
  <c r="AU23" i="9"/>
  <c r="AU25" i="9" s="1"/>
  <c r="AU36" i="7"/>
  <c r="AU47" i="7"/>
  <c r="AU55" i="7"/>
  <c r="AU53" i="7"/>
  <c r="AU29" i="7"/>
  <c r="AU66" i="10"/>
  <c r="AU63" i="10"/>
  <c r="BA64" i="10" s="1"/>
  <c r="AU44" i="10"/>
  <c r="AU37" i="10"/>
  <c r="BA38" i="10" s="1"/>
  <c r="AU79" i="10"/>
  <c r="AU23" i="10"/>
  <c r="AU25" i="10" s="1"/>
  <c r="F255" i="14"/>
  <c r="G255" i="14"/>
  <c r="H255" i="14"/>
  <c r="I255" i="14"/>
  <c r="J255" i="14"/>
  <c r="K255" i="14"/>
  <c r="L255" i="14"/>
  <c r="E255" i="14"/>
  <c r="P271" i="14"/>
  <c r="O271" i="14"/>
  <c r="N271" i="14"/>
  <c r="M271" i="14"/>
  <c r="L271" i="14"/>
  <c r="K271" i="14"/>
  <c r="J271" i="14"/>
  <c r="I271" i="14"/>
  <c r="H271" i="14"/>
  <c r="G271" i="14"/>
  <c r="F271" i="14"/>
  <c r="E271" i="14"/>
  <c r="G257" i="14"/>
  <c r="E257" i="14"/>
  <c r="P251" i="14"/>
  <c r="O251" i="14"/>
  <c r="N251" i="14"/>
  <c r="M251" i="14"/>
  <c r="L251" i="14"/>
  <c r="K251" i="14"/>
  <c r="BU46" i="21"/>
  <c r="BO46" i="21"/>
  <c r="BI46" i="21"/>
  <c r="AT154" i="21"/>
  <c r="AC304" i="117"/>
  <c r="AC228" i="117"/>
  <c r="AI229" i="117" s="1"/>
  <c r="AC298" i="117"/>
  <c r="AC196" i="117"/>
  <c r="AI197" i="117" s="1"/>
  <c r="AC190" i="117"/>
  <c r="AT60" i="15"/>
  <c r="AT61" i="15" s="1"/>
  <c r="AT63" i="15"/>
  <c r="AT44" i="15"/>
  <c r="AT97" i="15"/>
  <c r="AT100" i="15" s="1"/>
  <c r="AT54" i="15"/>
  <c r="AT37" i="15"/>
  <c r="AT23" i="15"/>
  <c r="AT25" i="15" s="1"/>
  <c r="AT103" i="17"/>
  <c r="AT97" i="17"/>
  <c r="AT100" i="17" s="1"/>
  <c r="AT101" i="17" s="1"/>
  <c r="AZ97" i="17"/>
  <c r="BF97" i="17" s="1"/>
  <c r="BF100" i="17" s="1"/>
  <c r="AT104" i="17"/>
  <c r="AZ104" i="17"/>
  <c r="AT106" i="17"/>
  <c r="AZ107" i="17" s="1"/>
  <c r="AT109" i="17"/>
  <c r="AT60" i="17"/>
  <c r="AT44" i="17"/>
  <c r="AT54" i="17"/>
  <c r="AT37" i="17"/>
  <c r="AT23" i="17"/>
  <c r="AT25" i="17"/>
  <c r="AZ26" i="17" s="1"/>
  <c r="AT89" i="16"/>
  <c r="AZ90" i="16" s="1"/>
  <c r="AT86" i="16"/>
  <c r="AZ87" i="16" s="1"/>
  <c r="AT92" i="16"/>
  <c r="AZ93" i="16" s="1"/>
  <c r="AT55" i="16"/>
  <c r="AZ56" i="16" s="1"/>
  <c r="AT52" i="16"/>
  <c r="AZ53" i="16" s="1"/>
  <c r="AT36" i="16"/>
  <c r="AT46" i="16"/>
  <c r="AT47" i="16" s="1"/>
  <c r="AT29" i="16"/>
  <c r="AT17" i="4"/>
  <c r="AT15" i="4"/>
  <c r="AT11" i="4"/>
  <c r="AT9" i="4"/>
  <c r="AT6" i="4"/>
  <c r="AT63" i="17"/>
  <c r="AZ64" i="17"/>
  <c r="AZ61" i="17"/>
  <c r="AZ100" i="17"/>
  <c r="AZ101" i="17" s="1"/>
  <c r="AT55" i="17"/>
  <c r="AZ54" i="17"/>
  <c r="BF54" i="17" s="1"/>
  <c r="AZ55" i="17"/>
  <c r="AT61" i="17"/>
  <c r="M70" i="11"/>
  <c r="N70" i="11" s="1"/>
  <c r="AT23" i="20"/>
  <c r="AT21" i="20"/>
  <c r="AT8" i="20"/>
  <c r="AZ9" i="20" s="1"/>
  <c r="AT11" i="20"/>
  <c r="AZ12" i="20" s="1"/>
  <c r="AT6" i="20"/>
  <c r="AT137" i="3"/>
  <c r="AT126" i="3"/>
  <c r="AT198" i="3"/>
  <c r="AT172" i="3"/>
  <c r="AT143" i="3"/>
  <c r="AZ144" i="3" s="1"/>
  <c r="AT152" i="3"/>
  <c r="AT178" i="3"/>
  <c r="AT36" i="2"/>
  <c r="AT29" i="2"/>
  <c r="AT66" i="9"/>
  <c r="AT63" i="9"/>
  <c r="AT61" i="9"/>
  <c r="AT44" i="9"/>
  <c r="AT25" i="9"/>
  <c r="AZ26" i="9" s="1"/>
  <c r="AT37" i="9"/>
  <c r="AT23" i="9"/>
  <c r="AT55" i="7"/>
  <c r="AT53" i="7"/>
  <c r="AT49" i="7"/>
  <c r="AZ50" i="7" s="1"/>
  <c r="AT47" i="7"/>
  <c r="AT36" i="7"/>
  <c r="AS36" i="7"/>
  <c r="AT29" i="7"/>
  <c r="AZ30" i="7" s="1"/>
  <c r="AT66" i="10"/>
  <c r="AZ67" i="10" s="1"/>
  <c r="AT63" i="10"/>
  <c r="AZ64" i="10" s="1"/>
  <c r="AT61" i="10"/>
  <c r="AT44" i="10"/>
  <c r="AT57" i="10"/>
  <c r="AT55" i="10"/>
  <c r="AT37" i="10"/>
  <c r="AT25" i="10"/>
  <c r="AZ26" i="10" s="1"/>
  <c r="AT23" i="10"/>
  <c r="AT58" i="8"/>
  <c r="AT55" i="8"/>
  <c r="AT56" i="8" s="1"/>
  <c r="AT53" i="8"/>
  <c r="AT36" i="8"/>
  <c r="AT29" i="8"/>
  <c r="H152" i="14"/>
  <c r="H243" i="14"/>
  <c r="G243" i="14"/>
  <c r="F243" i="14"/>
  <c r="E243" i="14"/>
  <c r="D243" i="14"/>
  <c r="C243" i="14"/>
  <c r="D241" i="14"/>
  <c r="C241" i="14"/>
  <c r="H191" i="14"/>
  <c r="G191" i="14"/>
  <c r="H62" i="14"/>
  <c r="G62" i="14"/>
  <c r="G64" i="14" s="1"/>
  <c r="H150" i="14"/>
  <c r="BJ269" i="117"/>
  <c r="BD269" i="117"/>
  <c r="CP198" i="3"/>
  <c r="CQ198" i="3" s="1"/>
  <c r="CR198" i="3" s="1"/>
  <c r="H38" i="14"/>
  <c r="H257" i="14" s="1"/>
  <c r="AB228" i="117"/>
  <c r="Y228" i="117"/>
  <c r="H128" i="14"/>
  <c r="H261" i="14" s="1"/>
  <c r="AQ152" i="21"/>
  <c r="H27" i="14" s="1"/>
  <c r="H143" i="14" s="1"/>
  <c r="H22" i="14"/>
  <c r="H251" i="14" s="1"/>
  <c r="AS155" i="21"/>
  <c r="AP155" i="21"/>
  <c r="AP163" i="21"/>
  <c r="AB304" i="117"/>
  <c r="Y304" i="117"/>
  <c r="AR193" i="117"/>
  <c r="Y53" i="117"/>
  <c r="X53" i="117"/>
  <c r="AV137" i="3"/>
  <c r="AU137" i="3"/>
  <c r="AP137" i="3"/>
  <c r="AO137" i="3"/>
  <c r="AU138" i="3" s="1"/>
  <c r="AN137" i="3"/>
  <c r="AT138" i="3"/>
  <c r="AD137" i="3"/>
  <c r="AC137" i="3"/>
  <c r="AB137" i="3"/>
  <c r="AA137" i="3"/>
  <c r="AJ137" i="3"/>
  <c r="AI137" i="3"/>
  <c r="AH137" i="3"/>
  <c r="AG137" i="3"/>
  <c r="AK137" i="3" s="1"/>
  <c r="AV138" i="3"/>
  <c r="CG126" i="3"/>
  <c r="CA126" i="3"/>
  <c r="BU126" i="3"/>
  <c r="BO126" i="3"/>
  <c r="BI126" i="3"/>
  <c r="BC126" i="3"/>
  <c r="AW125" i="3"/>
  <c r="AK125" i="3"/>
  <c r="AM137" i="3" s="1"/>
  <c r="AQ137" i="3" s="1"/>
  <c r="AG126" i="3"/>
  <c r="AJ126" i="3"/>
  <c r="AI126" i="3"/>
  <c r="AH126" i="3"/>
  <c r="AK126" i="3" s="1"/>
  <c r="AN126" i="3"/>
  <c r="AO126" i="3"/>
  <c r="AP126" i="3"/>
  <c r="AQ125" i="3"/>
  <c r="AS137" i="3" s="1"/>
  <c r="AS126" i="3"/>
  <c r="AM126" i="3"/>
  <c r="AY125" i="3"/>
  <c r="AQ126" i="3"/>
  <c r="AS143" i="3"/>
  <c r="AP143" i="3"/>
  <c r="AS152" i="3"/>
  <c r="AP152" i="3"/>
  <c r="AS172" i="3"/>
  <c r="AP172" i="3"/>
  <c r="AS178" i="3"/>
  <c r="AP178" i="3"/>
  <c r="AS6" i="4"/>
  <c r="AP6" i="4"/>
  <c r="AP23" i="20"/>
  <c r="AV24" i="20" s="1"/>
  <c r="AP21" i="20"/>
  <c r="AS8" i="20"/>
  <c r="AS11" i="20"/>
  <c r="AP11" i="20"/>
  <c r="AP8" i="20"/>
  <c r="AS6" i="20"/>
  <c r="AP6" i="20"/>
  <c r="BC46" i="21"/>
  <c r="AS17" i="4"/>
  <c r="AS15" i="4"/>
  <c r="AP17" i="4"/>
  <c r="AP15" i="4"/>
  <c r="AS11" i="4"/>
  <c r="AP11" i="4"/>
  <c r="AV12" i="4" s="1"/>
  <c r="AS100" i="15"/>
  <c r="AS101" i="15" s="1"/>
  <c r="AP100" i="15"/>
  <c r="AO100" i="15"/>
  <c r="AS63" i="15"/>
  <c r="AS64" i="15" s="1"/>
  <c r="AS61" i="15"/>
  <c r="AS104" i="15"/>
  <c r="AP63" i="15"/>
  <c r="AV64" i="15" s="1"/>
  <c r="AZ125" i="3"/>
  <c r="BA125" i="3" s="1"/>
  <c r="AY137" i="3"/>
  <c r="AS44" i="15"/>
  <c r="AP44" i="15"/>
  <c r="AS37" i="15"/>
  <c r="AP37" i="15"/>
  <c r="AS23" i="15"/>
  <c r="AS25" i="15" s="1"/>
  <c r="AP23" i="15"/>
  <c r="AP25" i="15" s="1"/>
  <c r="AP100" i="17"/>
  <c r="AV101" i="17"/>
  <c r="AO100" i="17"/>
  <c r="AS63" i="17"/>
  <c r="AS61" i="17"/>
  <c r="AP63" i="17"/>
  <c r="AP61" i="17"/>
  <c r="AP44" i="17"/>
  <c r="AS44" i="17"/>
  <c r="AS104" i="17"/>
  <c r="AP104" i="17"/>
  <c r="AO63" i="17"/>
  <c r="AO61" i="17"/>
  <c r="AP37" i="17"/>
  <c r="AS37" i="17"/>
  <c r="AS23" i="17"/>
  <c r="AS25" i="17" s="1"/>
  <c r="AP23" i="17"/>
  <c r="AP25" i="17" s="1"/>
  <c r="AV26" i="17" s="1"/>
  <c r="AP89" i="16"/>
  <c r="AS89" i="16"/>
  <c r="AY90" i="16" s="1"/>
  <c r="AS55" i="16"/>
  <c r="AS56" i="16" s="1"/>
  <c r="AS53" i="16"/>
  <c r="AP55" i="16"/>
  <c r="AP53" i="16"/>
  <c r="AP95" i="16"/>
  <c r="AP93" i="16"/>
  <c r="AS95" i="16"/>
  <c r="AY96" i="16" s="1"/>
  <c r="AS93" i="16"/>
  <c r="AS36" i="16"/>
  <c r="AP36" i="16"/>
  <c r="AP29" i="16"/>
  <c r="AV30" i="16" s="1"/>
  <c r="AS29" i="16"/>
  <c r="AY30" i="16" s="1"/>
  <c r="AV96" i="16"/>
  <c r="AV90" i="16"/>
  <c r="AO64" i="17"/>
  <c r="P206" i="14"/>
  <c r="O206" i="14"/>
  <c r="N206" i="14"/>
  <c r="K206" i="14"/>
  <c r="P46" i="14"/>
  <c r="P71" i="14" s="1"/>
  <c r="O46" i="14"/>
  <c r="O93" i="14"/>
  <c r="O134" i="14" s="1"/>
  <c r="O203" i="14" s="1"/>
  <c r="N46" i="14"/>
  <c r="N93" i="14"/>
  <c r="N134" i="14" s="1"/>
  <c r="N203" i="14" s="1"/>
  <c r="CX64" i="9"/>
  <c r="CW64" i="9"/>
  <c r="CV64" i="9"/>
  <c r="CU64" i="9"/>
  <c r="CR64" i="9"/>
  <c r="CQ64" i="9"/>
  <c r="CP64" i="9"/>
  <c r="CO64" i="9"/>
  <c r="CL64" i="9"/>
  <c r="CK64" i="9"/>
  <c r="CJ64" i="9"/>
  <c r="CI64" i="9"/>
  <c r="CF64" i="9"/>
  <c r="CE64" i="9"/>
  <c r="CD64" i="9"/>
  <c r="CC64" i="9"/>
  <c r="BZ64" i="9"/>
  <c r="BY64" i="9"/>
  <c r="BX64" i="9"/>
  <c r="BW64" i="9"/>
  <c r="O71" i="14"/>
  <c r="N71" i="14"/>
  <c r="P93" i="14"/>
  <c r="P134" i="14" s="1"/>
  <c r="P203" i="14" s="1"/>
  <c r="AS63" i="9"/>
  <c r="AY64" i="9" s="1"/>
  <c r="AS61" i="9"/>
  <c r="AP63" i="9"/>
  <c r="AP61" i="9"/>
  <c r="AS44" i="9"/>
  <c r="AS29" i="9"/>
  <c r="AP29" i="9"/>
  <c r="AS37" i="9"/>
  <c r="AP37" i="9"/>
  <c r="AP36" i="7"/>
  <c r="CG5" i="7"/>
  <c r="CA5" i="7"/>
  <c r="BU5" i="7"/>
  <c r="BO5" i="7"/>
  <c r="BI5" i="7"/>
  <c r="AS23" i="9"/>
  <c r="AS25" i="9" s="1"/>
  <c r="AP23" i="9"/>
  <c r="AP25" i="9" s="1"/>
  <c r="AS55" i="7"/>
  <c r="AS56" i="7" s="1"/>
  <c r="AS53" i="7"/>
  <c r="AP55" i="7"/>
  <c r="AP53" i="7"/>
  <c r="AP63" i="10"/>
  <c r="AP61" i="10"/>
  <c r="AS63" i="10"/>
  <c r="AS61" i="10"/>
  <c r="AP29" i="7"/>
  <c r="AS29" i="7"/>
  <c r="AS44" i="10"/>
  <c r="AP44" i="10"/>
  <c r="AP37" i="10"/>
  <c r="AS37" i="10"/>
  <c r="AS25" i="10"/>
  <c r="AS23" i="10"/>
  <c r="AP23" i="10"/>
  <c r="AP25" i="10" s="1"/>
  <c r="AS55" i="8"/>
  <c r="AS56" i="8" s="1"/>
  <c r="AS53" i="8"/>
  <c r="AP55" i="8"/>
  <c r="AV56" i="8" s="1"/>
  <c r="AP53" i="8"/>
  <c r="AP36" i="2"/>
  <c r="AS36" i="8"/>
  <c r="AP36" i="8"/>
  <c r="AS29" i="8"/>
  <c r="AP29" i="8"/>
  <c r="AS36" i="2"/>
  <c r="AS29" i="2"/>
  <c r="AP29" i="2"/>
  <c r="AO155" i="21"/>
  <c r="AN155" i="21"/>
  <c r="AN146" i="21"/>
  <c r="AN147" i="21" s="1"/>
  <c r="AO23" i="20"/>
  <c r="AU24" i="20" s="1"/>
  <c r="AO21" i="20"/>
  <c r="AO8" i="20"/>
  <c r="AO11" i="20"/>
  <c r="AO6" i="20"/>
  <c r="R259" i="11"/>
  <c r="R260" i="11" s="1"/>
  <c r="S263" i="11" s="1"/>
  <c r="Q259" i="11"/>
  <c r="Q260" i="11" s="1"/>
  <c r="P259" i="11"/>
  <c r="P260" i="11" s="1"/>
  <c r="O259" i="11"/>
  <c r="O260" i="11" s="1"/>
  <c r="N259" i="11"/>
  <c r="N260" i="11"/>
  <c r="AO20" i="4"/>
  <c r="AO17" i="4"/>
  <c r="AU18" i="4" s="1"/>
  <c r="AO15" i="4"/>
  <c r="AO11" i="4"/>
  <c r="AO9" i="4"/>
  <c r="AO6" i="4"/>
  <c r="AO109" i="15"/>
  <c r="AO106" i="15"/>
  <c r="AU107" i="15" s="1"/>
  <c r="AO63" i="15"/>
  <c r="AO61" i="15"/>
  <c r="AO44" i="15"/>
  <c r="AO37" i="15"/>
  <c r="AO23" i="15"/>
  <c r="AO25" i="15" s="1"/>
  <c r="CX64" i="15"/>
  <c r="CW64" i="15"/>
  <c r="CV64" i="15"/>
  <c r="CU64" i="15"/>
  <c r="CR64" i="15"/>
  <c r="CQ64" i="15"/>
  <c r="CP64" i="15"/>
  <c r="CO64" i="15"/>
  <c r="CL64" i="15"/>
  <c r="CK64" i="15"/>
  <c r="CJ64" i="15"/>
  <c r="CI64" i="15"/>
  <c r="BZ64" i="15"/>
  <c r="BY64" i="15"/>
  <c r="BX64" i="15"/>
  <c r="BW64" i="15"/>
  <c r="AO106" i="17"/>
  <c r="AO104" i="17"/>
  <c r="AO44" i="17"/>
  <c r="AO37" i="17"/>
  <c r="AU38" i="17"/>
  <c r="CX64" i="17"/>
  <c r="CW64" i="17"/>
  <c r="CV64" i="17"/>
  <c r="CU64" i="17"/>
  <c r="CR64" i="17"/>
  <c r="CQ64" i="17"/>
  <c r="CP64" i="17"/>
  <c r="CO64" i="17"/>
  <c r="CL64" i="17"/>
  <c r="CK64" i="17"/>
  <c r="CJ64" i="17"/>
  <c r="CI64" i="17"/>
  <c r="CF64" i="17"/>
  <c r="CE64" i="17"/>
  <c r="CD64" i="17"/>
  <c r="CC64" i="17"/>
  <c r="BZ64" i="17"/>
  <c r="BY64" i="17"/>
  <c r="BX64" i="17"/>
  <c r="BW64" i="17"/>
  <c r="AO23" i="17"/>
  <c r="AO25" i="17" s="1"/>
  <c r="AU26" i="17" s="1"/>
  <c r="AO95" i="16"/>
  <c r="AO93" i="16"/>
  <c r="AO89" i="16"/>
  <c r="AO84" i="16"/>
  <c r="AO55" i="16"/>
  <c r="AO53" i="16"/>
  <c r="AO36" i="16"/>
  <c r="AO29" i="16"/>
  <c r="CY75" i="16"/>
  <c r="CX56" i="16"/>
  <c r="CW56" i="16"/>
  <c r="CV56" i="16"/>
  <c r="CU56" i="16"/>
  <c r="CS75" i="16"/>
  <c r="CR56" i="16"/>
  <c r="CQ56" i="16"/>
  <c r="CP56" i="16"/>
  <c r="CO56" i="16"/>
  <c r="CM75" i="16"/>
  <c r="CL56" i="16"/>
  <c r="CK56" i="16"/>
  <c r="CJ56" i="16"/>
  <c r="CI56" i="16"/>
  <c r="CG75" i="16"/>
  <c r="CF56" i="16"/>
  <c r="CE56" i="16"/>
  <c r="CD56" i="16"/>
  <c r="CC56" i="16"/>
  <c r="BZ56" i="16"/>
  <c r="BY56" i="16"/>
  <c r="BX56" i="16"/>
  <c r="BW56" i="16"/>
  <c r="AO63" i="9"/>
  <c r="AU64" i="9" s="1"/>
  <c r="AO61" i="9"/>
  <c r="AO57" i="9"/>
  <c r="AO55" i="9"/>
  <c r="AO44" i="9"/>
  <c r="AO37" i="9"/>
  <c r="AO23" i="9"/>
  <c r="AO25" i="9" s="1"/>
  <c r="AO55" i="7"/>
  <c r="AO53" i="7"/>
  <c r="AO36" i="7"/>
  <c r="AO29" i="7"/>
  <c r="AU30" i="7" s="1"/>
  <c r="CX56" i="7"/>
  <c r="CW56" i="7"/>
  <c r="CV56" i="7"/>
  <c r="CU56" i="7"/>
  <c r="CR56" i="7"/>
  <c r="CQ56" i="7"/>
  <c r="CP56" i="7"/>
  <c r="CO56" i="7"/>
  <c r="CL56" i="7"/>
  <c r="CK56" i="7"/>
  <c r="CJ56" i="7"/>
  <c r="CI56" i="7"/>
  <c r="CF56" i="7"/>
  <c r="CE56" i="7"/>
  <c r="CD56" i="7"/>
  <c r="CC56" i="7"/>
  <c r="BZ56" i="7"/>
  <c r="BY56" i="7"/>
  <c r="BX56" i="7"/>
  <c r="BW56" i="7"/>
  <c r="N250" i="11"/>
  <c r="O250" i="11" s="1"/>
  <c r="P250" i="11" s="1"/>
  <c r="Q250" i="11" s="1"/>
  <c r="R250" i="11" s="1"/>
  <c r="N190" i="11"/>
  <c r="O190" i="11" s="1"/>
  <c r="P190" i="11" s="1"/>
  <c r="Q190" i="11" s="1"/>
  <c r="R190" i="11" s="1"/>
  <c r="AO44" i="10"/>
  <c r="AO37" i="10"/>
  <c r="AO23" i="10"/>
  <c r="AO25" i="10"/>
  <c r="AO63" i="10"/>
  <c r="AU64" i="10" s="1"/>
  <c r="AO61" i="10"/>
  <c r="AO79" i="10"/>
  <c r="CX64" i="10"/>
  <c r="CW64" i="10"/>
  <c r="CV64" i="10"/>
  <c r="CU64" i="10"/>
  <c r="CR64" i="10"/>
  <c r="CQ64" i="10"/>
  <c r="CP64" i="10"/>
  <c r="CO64" i="10"/>
  <c r="CL64" i="10"/>
  <c r="CK64" i="10"/>
  <c r="CJ64" i="10"/>
  <c r="CI64" i="10"/>
  <c r="CF64" i="10"/>
  <c r="CE64" i="10"/>
  <c r="CD64" i="10"/>
  <c r="CC64" i="10"/>
  <c r="BZ64" i="10"/>
  <c r="BY64" i="10"/>
  <c r="BX64" i="10"/>
  <c r="BW64" i="10"/>
  <c r="AO55" i="8"/>
  <c r="AO53" i="8"/>
  <c r="AO36" i="8"/>
  <c r="AO29" i="8"/>
  <c r="X304" i="117"/>
  <c r="CX56" i="8"/>
  <c r="CW56" i="8"/>
  <c r="CV56" i="8"/>
  <c r="CU56" i="8"/>
  <c r="CR56" i="8"/>
  <c r="CQ56" i="8"/>
  <c r="CP56" i="8"/>
  <c r="CO56" i="8"/>
  <c r="CL56" i="8"/>
  <c r="CK56" i="8"/>
  <c r="CJ56" i="8"/>
  <c r="CI56" i="8"/>
  <c r="CF56" i="8"/>
  <c r="CE56" i="8"/>
  <c r="CD56" i="8"/>
  <c r="CC56" i="8"/>
  <c r="BZ56" i="8"/>
  <c r="BY56" i="8"/>
  <c r="BX56" i="8"/>
  <c r="BW56" i="8"/>
  <c r="CA5" i="8"/>
  <c r="N85" i="11"/>
  <c r="O85" i="11" s="1"/>
  <c r="P85" i="11" s="1"/>
  <c r="Q85" i="11" s="1"/>
  <c r="R85" i="11" s="1"/>
  <c r="AL193" i="117"/>
  <c r="CG312" i="117"/>
  <c r="CX60" i="21" s="1"/>
  <c r="CF312" i="117"/>
  <c r="CW60" i="21" s="1"/>
  <c r="CE312" i="117"/>
  <c r="CV60" i="21" s="1"/>
  <c r="CD312" i="117"/>
  <c r="CU60" i="21" s="1"/>
  <c r="CH280" i="117"/>
  <c r="CH269" i="117"/>
  <c r="CG267" i="117"/>
  <c r="CF267" i="117"/>
  <c r="CH267" i="117" s="1"/>
  <c r="CE267" i="117"/>
  <c r="CD267" i="117"/>
  <c r="CG261" i="117"/>
  <c r="CF261" i="117"/>
  <c r="CE261" i="117"/>
  <c r="CD261" i="117"/>
  <c r="CH246" i="117"/>
  <c r="CG194" i="117"/>
  <c r="CF194" i="117"/>
  <c r="CE194" i="117"/>
  <c r="CD194" i="117"/>
  <c r="CA312" i="117"/>
  <c r="CR60" i="21" s="1"/>
  <c r="BZ312" i="117"/>
  <c r="CQ60" i="21" s="1"/>
  <c r="BY312" i="117"/>
  <c r="CP60" i="21" s="1"/>
  <c r="BX312" i="117"/>
  <c r="CO60" i="21" s="1"/>
  <c r="CB280" i="117"/>
  <c r="CB269" i="117"/>
  <c r="CA267" i="117"/>
  <c r="BZ267" i="117"/>
  <c r="BY267" i="117"/>
  <c r="BX267" i="117"/>
  <c r="CA261" i="117"/>
  <c r="BZ261" i="117"/>
  <c r="BY261" i="117"/>
  <c r="BX261" i="117"/>
  <c r="CB246" i="117"/>
  <c r="CA194" i="117"/>
  <c r="BZ194" i="117"/>
  <c r="BY194" i="117"/>
  <c r="BX194" i="117"/>
  <c r="BU312" i="117"/>
  <c r="CL60" i="21" s="1"/>
  <c r="BT312" i="117"/>
  <c r="CK60" i="21" s="1"/>
  <c r="BS312" i="117"/>
  <c r="CJ60" i="21" s="1"/>
  <c r="BR312" i="117"/>
  <c r="CI60" i="21" s="1"/>
  <c r="BV280" i="117"/>
  <c r="BV269" i="117"/>
  <c r="BU267" i="117"/>
  <c r="BT267" i="117"/>
  <c r="BS267" i="117"/>
  <c r="BR267" i="117"/>
  <c r="BT261" i="117"/>
  <c r="BZ262" i="117" s="1"/>
  <c r="BS261" i="117"/>
  <c r="BR261" i="117"/>
  <c r="BV246" i="117"/>
  <c r="BV194" i="117"/>
  <c r="BU194" i="117"/>
  <c r="BT194" i="117"/>
  <c r="BS194" i="117"/>
  <c r="BR194" i="117"/>
  <c r="BO312" i="117"/>
  <c r="CF60" i="21" s="1"/>
  <c r="BN312" i="117"/>
  <c r="CE60" i="21" s="1"/>
  <c r="BM312" i="117"/>
  <c r="CD60" i="21" s="1"/>
  <c r="BL312" i="117"/>
  <c r="CC60" i="21" s="1"/>
  <c r="BP280" i="117"/>
  <c r="BP269" i="117"/>
  <c r="BO267" i="117"/>
  <c r="BN267" i="117"/>
  <c r="BM267" i="117"/>
  <c r="BL267" i="117"/>
  <c r="BP267" i="117"/>
  <c r="BN261" i="117"/>
  <c r="BM261" i="117"/>
  <c r="BL261" i="117"/>
  <c r="BR262" i="117" s="1"/>
  <c r="BP246" i="117"/>
  <c r="BO194" i="117"/>
  <c r="BN194" i="117"/>
  <c r="BM194" i="117"/>
  <c r="BL194" i="117"/>
  <c r="BI312" i="117"/>
  <c r="BZ60" i="21" s="1"/>
  <c r="BH312" i="117"/>
  <c r="BY60" i="21" s="1"/>
  <c r="BG312" i="117"/>
  <c r="BX60" i="21" s="1"/>
  <c r="BF312" i="117"/>
  <c r="BW60" i="21" s="1"/>
  <c r="BJ280" i="117"/>
  <c r="BI267" i="117"/>
  <c r="BH267" i="117"/>
  <c r="BG267" i="117"/>
  <c r="BJ267" i="117" s="1"/>
  <c r="BF267" i="117"/>
  <c r="BH261" i="117"/>
  <c r="BG261" i="117"/>
  <c r="BF261" i="117"/>
  <c r="BJ246" i="117"/>
  <c r="BI194" i="117"/>
  <c r="BH194" i="117"/>
  <c r="BG194" i="117"/>
  <c r="BF194" i="117"/>
  <c r="CY65" i="3"/>
  <c r="CS65" i="3"/>
  <c r="CY58" i="21"/>
  <c r="CY34" i="21"/>
  <c r="CS58" i="21"/>
  <c r="CS34" i="21"/>
  <c r="CM58" i="21"/>
  <c r="CM34" i="21"/>
  <c r="CG58" i="21"/>
  <c r="CG34" i="21"/>
  <c r="CA58" i="21"/>
  <c r="CA34" i="21"/>
  <c r="AO152" i="3"/>
  <c r="AO172" i="3"/>
  <c r="AO143" i="3"/>
  <c r="CM65" i="3"/>
  <c r="CM66" i="3"/>
  <c r="CY27" i="3"/>
  <c r="CS27" i="3"/>
  <c r="CM27" i="3"/>
  <c r="CG27" i="3"/>
  <c r="BO18" i="3"/>
  <c r="BI18" i="3"/>
  <c r="AO178" i="3"/>
  <c r="CY204" i="3"/>
  <c r="CS204" i="3"/>
  <c r="CX67" i="3"/>
  <c r="CX70" i="3" s="1"/>
  <c r="CW67" i="3"/>
  <c r="CV67" i="3"/>
  <c r="CV72" i="3" s="1"/>
  <c r="CU67" i="3"/>
  <c r="CU71" i="3" s="1"/>
  <c r="CR67" i="3"/>
  <c r="CR71" i="3" s="1"/>
  <c r="CQ67" i="3"/>
  <c r="CQ71" i="3" s="1"/>
  <c r="CP67" i="3"/>
  <c r="CP71" i="3"/>
  <c r="CO67" i="3"/>
  <c r="CO70" i="3" s="1"/>
  <c r="CX22" i="3"/>
  <c r="CW22" i="3"/>
  <c r="CV22" i="3"/>
  <c r="CU22" i="3"/>
  <c r="CR22" i="3"/>
  <c r="CQ22" i="3"/>
  <c r="CP22" i="3"/>
  <c r="CO22" i="3"/>
  <c r="CX12" i="3"/>
  <c r="CW12" i="3"/>
  <c r="CV12" i="3"/>
  <c r="CU12" i="3"/>
  <c r="CR12" i="3"/>
  <c r="CQ12" i="3"/>
  <c r="CP12" i="3"/>
  <c r="CO12" i="3"/>
  <c r="CM204" i="3"/>
  <c r="CG204" i="3"/>
  <c r="CA204" i="3"/>
  <c r="CL67" i="3"/>
  <c r="CL72" i="3" s="1"/>
  <c r="CK71" i="3"/>
  <c r="CJ67" i="3"/>
  <c r="CJ71" i="3" s="1"/>
  <c r="CI67" i="3"/>
  <c r="CI70" i="3" s="1"/>
  <c r="CF67" i="3"/>
  <c r="CF72" i="3" s="1"/>
  <c r="CE67" i="3"/>
  <c r="CE72" i="3" s="1"/>
  <c r="CD67" i="3"/>
  <c r="CD70" i="3" s="1"/>
  <c r="CC67" i="3"/>
  <c r="CC72" i="3" s="1"/>
  <c r="BZ67" i="3"/>
  <c r="BZ72" i="3" s="1"/>
  <c r="BY67" i="3"/>
  <c r="BY70" i="3" s="1"/>
  <c r="BX67" i="3"/>
  <c r="BX70" i="3" s="1"/>
  <c r="BW67" i="3"/>
  <c r="BW70" i="3" s="1"/>
  <c r="CG65" i="3"/>
  <c r="CA65" i="3"/>
  <c r="CA32" i="3"/>
  <c r="CA27" i="3"/>
  <c r="CL22" i="3"/>
  <c r="CK22" i="3"/>
  <c r="CM22" i="3" s="1"/>
  <c r="CJ22" i="3"/>
  <c r="CI22" i="3"/>
  <c r="CF22" i="3"/>
  <c r="CE22" i="3"/>
  <c r="CD22" i="3"/>
  <c r="CC22" i="3"/>
  <c r="BZ22" i="3"/>
  <c r="BY22" i="3"/>
  <c r="BX22" i="3"/>
  <c r="BW22" i="3"/>
  <c r="CL12" i="3"/>
  <c r="CK12" i="3"/>
  <c r="CJ12" i="3"/>
  <c r="CI12" i="3"/>
  <c r="CF12" i="3"/>
  <c r="CE12" i="3"/>
  <c r="CD12" i="3"/>
  <c r="CC12" i="3"/>
  <c r="BZ12" i="3"/>
  <c r="BY12" i="3"/>
  <c r="BX12" i="3"/>
  <c r="BW12" i="3"/>
  <c r="CX56" i="2"/>
  <c r="CW56" i="2"/>
  <c r="CV56" i="2"/>
  <c r="CU56" i="2"/>
  <c r="CR56" i="2"/>
  <c r="CQ56" i="2"/>
  <c r="CP56" i="2"/>
  <c r="CO56" i="2"/>
  <c r="CL56" i="2"/>
  <c r="CK56" i="2"/>
  <c r="CJ56" i="2"/>
  <c r="CI56" i="2"/>
  <c r="CF56" i="2"/>
  <c r="CE56" i="2"/>
  <c r="CD56" i="2"/>
  <c r="CC56" i="2"/>
  <c r="BZ56" i="2"/>
  <c r="BY56" i="2"/>
  <c r="BX56" i="2"/>
  <c r="BW56" i="2"/>
  <c r="AO36" i="2"/>
  <c r="AN36" i="2"/>
  <c r="AM36" i="2"/>
  <c r="AO29" i="2"/>
  <c r="BT262" i="117"/>
  <c r="BM262" i="117"/>
  <c r="BV267" i="117"/>
  <c r="BX262" i="117"/>
  <c r="CH194" i="117"/>
  <c r="CB267" i="117"/>
  <c r="CB194" i="117"/>
  <c r="CI71" i="3"/>
  <c r="CL71" i="3"/>
  <c r="CU70" i="3"/>
  <c r="CP72" i="3"/>
  <c r="CP70" i="3"/>
  <c r="CC71" i="3"/>
  <c r="CU72" i="3"/>
  <c r="CX72" i="3"/>
  <c r="CQ72" i="3"/>
  <c r="CQ70" i="3"/>
  <c r="CI72" i="3"/>
  <c r="CK72" i="3"/>
  <c r="CK70" i="3"/>
  <c r="CK73" i="3" s="1"/>
  <c r="CD71" i="3"/>
  <c r="CC70" i="3"/>
  <c r="CD72" i="3"/>
  <c r="CW70" i="3"/>
  <c r="CW72" i="3"/>
  <c r="CR72" i="3"/>
  <c r="CR70" i="3"/>
  <c r="CW71" i="3"/>
  <c r="CW73" i="3" s="1"/>
  <c r="CX71" i="3"/>
  <c r="BZ71" i="3"/>
  <c r="BX72" i="3"/>
  <c r="BX71" i="3"/>
  <c r="CL70" i="3"/>
  <c r="E29" i="12"/>
  <c r="H58" i="14"/>
  <c r="H241" i="14" s="1"/>
  <c r="BK56" i="2"/>
  <c r="BL56" i="2"/>
  <c r="BM56" i="2"/>
  <c r="BN56" i="2"/>
  <c r="AN100" i="15"/>
  <c r="AN98" i="15"/>
  <c r="AN63" i="15"/>
  <c r="AT64" i="15" s="1"/>
  <c r="AN61" i="15"/>
  <c r="AN44" i="15"/>
  <c r="AN37" i="15"/>
  <c r="AT38" i="15" s="1"/>
  <c r="AN23" i="15"/>
  <c r="AN25" i="15" s="1"/>
  <c r="AN106" i="17"/>
  <c r="AN104" i="17"/>
  <c r="AN100" i="17"/>
  <c r="AN98" i="17"/>
  <c r="AN63" i="17"/>
  <c r="AT64" i="17" s="1"/>
  <c r="AN61" i="17"/>
  <c r="AN44" i="17"/>
  <c r="AM44" i="17"/>
  <c r="AN37" i="17"/>
  <c r="AT38" i="17" s="1"/>
  <c r="AN23" i="17"/>
  <c r="AN25" i="17" s="1"/>
  <c r="AT26" i="17" s="1"/>
  <c r="AN95" i="16"/>
  <c r="AN89" i="16"/>
  <c r="AN55" i="16"/>
  <c r="AN36" i="16"/>
  <c r="AN29" i="16"/>
  <c r="AT30" i="16" s="1"/>
  <c r="AN57" i="9"/>
  <c r="AN55" i="9"/>
  <c r="AN44" i="9"/>
  <c r="AN63" i="9"/>
  <c r="AT64" i="9" s="1"/>
  <c r="AN61" i="9"/>
  <c r="R295" i="117"/>
  <c r="R297" i="117" s="1"/>
  <c r="R228" i="117" s="1"/>
  <c r="S295" i="117"/>
  <c r="S297" i="117" s="1"/>
  <c r="AN23" i="9"/>
  <c r="AN25" i="9"/>
  <c r="AT26" i="9" s="1"/>
  <c r="AN37" i="9"/>
  <c r="AN63" i="10"/>
  <c r="AN61" i="10"/>
  <c r="AN44" i="10"/>
  <c r="AN23" i="10"/>
  <c r="AN25" i="10" s="1"/>
  <c r="AT26" i="10" s="1"/>
  <c r="AN37" i="10"/>
  <c r="BC5" i="7"/>
  <c r="AN55" i="7"/>
  <c r="AT56" i="7" s="1"/>
  <c r="AN53" i="7"/>
  <c r="AN36" i="7"/>
  <c r="AN29" i="7"/>
  <c r="AT30" i="7" s="1"/>
  <c r="AN55" i="8"/>
  <c r="AN53" i="8"/>
  <c r="AN36" i="8"/>
  <c r="AN29" i="8"/>
  <c r="AN26" i="20"/>
  <c r="AN23" i="20"/>
  <c r="AT24" i="20" s="1"/>
  <c r="AN8" i="20"/>
  <c r="AT9" i="20" s="1"/>
  <c r="AN6" i="20"/>
  <c r="AN17" i="4"/>
  <c r="AT18" i="4" s="1"/>
  <c r="AN11" i="4"/>
  <c r="AT12" i="4" s="1"/>
  <c r="AN6" i="4"/>
  <c r="W304" i="117"/>
  <c r="AX146" i="117"/>
  <c r="AR146" i="117"/>
  <c r="AL146" i="117"/>
  <c r="AF146" i="117"/>
  <c r="W54" i="117"/>
  <c r="S46" i="117"/>
  <c r="R46" i="117"/>
  <c r="W33" i="117"/>
  <c r="W36" i="117"/>
  <c r="Q46" i="117"/>
  <c r="AN178" i="3"/>
  <c r="AN172" i="3"/>
  <c r="AN152" i="3"/>
  <c r="AN143" i="3"/>
  <c r="AN162" i="3"/>
  <c r="BU32" i="3"/>
  <c r="BO32" i="3"/>
  <c r="BI32" i="3"/>
  <c r="BC32" i="3"/>
  <c r="AN29" i="2"/>
  <c r="AT30" i="2" s="1"/>
  <c r="V291" i="117"/>
  <c r="AQ46" i="21"/>
  <c r="AQ70" i="21"/>
  <c r="K274" i="11"/>
  <c r="L274" i="11"/>
  <c r="S275" i="11"/>
  <c r="F268" i="11"/>
  <c r="G268" i="11"/>
  <c r="H268" i="11"/>
  <c r="I268" i="11" s="1"/>
  <c r="J268" i="11" s="1"/>
  <c r="K268" i="11" s="1"/>
  <c r="L268" i="11" s="1"/>
  <c r="M268" i="11" s="1"/>
  <c r="H163" i="14"/>
  <c r="V295" i="117"/>
  <c r="V297" i="117" s="1"/>
  <c r="Q295" i="117"/>
  <c r="Q297" i="117" s="1"/>
  <c r="W228" i="117"/>
  <c r="AM158" i="21"/>
  <c r="AM161" i="21"/>
  <c r="AS162" i="21" s="1"/>
  <c r="AU19" i="21"/>
  <c r="AZ15" i="21"/>
  <c r="BA15" i="21"/>
  <c r="AY15" i="21"/>
  <c r="BT35" i="8"/>
  <c r="BZ35" i="8" s="1"/>
  <c r="CF35" i="8" s="1"/>
  <c r="CL35" i="8" s="1"/>
  <c r="CR35" i="8" s="1"/>
  <c r="CX35" i="8" s="1"/>
  <c r="DD35" i="8" s="1"/>
  <c r="DJ35" i="8" s="1"/>
  <c r="Y14" i="117"/>
  <c r="AE14" i="117" s="1"/>
  <c r="AK14" i="117" s="1"/>
  <c r="AQ14" i="117" s="1"/>
  <c r="AW14" i="117" s="1"/>
  <c r="BC14" i="117" s="1"/>
  <c r="Y36" i="117"/>
  <c r="W68" i="117"/>
  <c r="X14" i="117"/>
  <c r="X36" i="117"/>
  <c r="AB261" i="117"/>
  <c r="AC261" i="117"/>
  <c r="AD261" i="117"/>
  <c r="X176" i="3"/>
  <c r="X180" i="3"/>
  <c r="X183" i="3" s="1"/>
  <c r="AD183" i="3" s="1"/>
  <c r="U176" i="3"/>
  <c r="U190" i="3"/>
  <c r="V176" i="3"/>
  <c r="V7" i="21" s="1"/>
  <c r="W176" i="3"/>
  <c r="W197" i="3"/>
  <c r="AC197" i="3" s="1"/>
  <c r="AI197" i="3" s="1"/>
  <c r="AP197" i="3"/>
  <c r="AV197" i="3"/>
  <c r="N23" i="11"/>
  <c r="O23" i="11" s="1"/>
  <c r="P23" i="11" s="1"/>
  <c r="Q23" i="11" s="1"/>
  <c r="R23" i="11" s="1"/>
  <c r="N8" i="11"/>
  <c r="O8" i="11" s="1"/>
  <c r="P8" i="11" s="1"/>
  <c r="Q8" i="11" s="1"/>
  <c r="R8" i="11" s="1"/>
  <c r="N55" i="11"/>
  <c r="O55" i="11" s="1"/>
  <c r="P55" i="11" s="1"/>
  <c r="Q55" i="11" s="1"/>
  <c r="R55" i="11" s="1"/>
  <c r="AK261" i="117"/>
  <c r="AH261" i="117"/>
  <c r="AI261" i="117"/>
  <c r="AJ261" i="117"/>
  <c r="AN261" i="117"/>
  <c r="AO261" i="117"/>
  <c r="AU261" i="117"/>
  <c r="AT261" i="117"/>
  <c r="AV261" i="117"/>
  <c r="AV262" i="117" s="1"/>
  <c r="AZ261" i="117"/>
  <c r="BA261" i="117"/>
  <c r="BB261" i="117"/>
  <c r="BH262" i="117" s="1"/>
  <c r="BI262" i="117"/>
  <c r="W193" i="117"/>
  <c r="AC194" i="117" s="1"/>
  <c r="W261" i="117"/>
  <c r="X261" i="117"/>
  <c r="BC312" i="117"/>
  <c r="BT60" i="21" s="1"/>
  <c r="BB312" i="117"/>
  <c r="BS60" i="21" s="1"/>
  <c r="BA312" i="117"/>
  <c r="BR60" i="21" s="1"/>
  <c r="AZ312" i="117"/>
  <c r="BQ60" i="21" s="1"/>
  <c r="AW312" i="117"/>
  <c r="AV312" i="117"/>
  <c r="AU312" i="117"/>
  <c r="BL60" i="21" s="1"/>
  <c r="AT312" i="117"/>
  <c r="BK60" i="21" s="1"/>
  <c r="AQ312" i="117"/>
  <c r="BH60" i="21" s="1"/>
  <c r="AP312" i="117"/>
  <c r="BG60" i="21" s="1"/>
  <c r="AO312" i="117"/>
  <c r="BF60" i="21" s="1"/>
  <c r="AN312" i="117"/>
  <c r="BE60" i="21" s="1"/>
  <c r="AK312" i="117"/>
  <c r="BB60" i="21" s="1"/>
  <c r="AJ312" i="117"/>
  <c r="BA60" i="21" s="1"/>
  <c r="AI312" i="117"/>
  <c r="AZ60" i="21" s="1"/>
  <c r="AH312" i="117"/>
  <c r="AY60" i="21" s="1"/>
  <c r="AE312" i="117"/>
  <c r="AV60" i="21" s="1"/>
  <c r="AD312" i="117"/>
  <c r="AU60" i="21" s="1"/>
  <c r="AC312" i="117"/>
  <c r="AT60" i="21" s="1"/>
  <c r="AB312" i="117"/>
  <c r="AS60" i="21" s="1"/>
  <c r="X312" i="117"/>
  <c r="AO60" i="21" s="1"/>
  <c r="V304" i="117"/>
  <c r="AG64" i="21"/>
  <c r="AG68" i="21"/>
  <c r="AH64" i="21"/>
  <c r="AH68" i="21"/>
  <c r="AI64" i="21"/>
  <c r="AI68" i="21"/>
  <c r="AJ64" i="21"/>
  <c r="AJ68" i="21"/>
  <c r="AG40" i="21"/>
  <c r="AG44" i="21"/>
  <c r="AH40" i="21"/>
  <c r="AH44" i="21"/>
  <c r="AI40" i="21"/>
  <c r="AI44" i="21"/>
  <c r="AJ40" i="21"/>
  <c r="AJ44" i="21"/>
  <c r="AH104" i="21"/>
  <c r="AH105" i="21"/>
  <c r="AH106" i="21"/>
  <c r="AH107" i="21"/>
  <c r="AH108" i="21"/>
  <c r="AH109" i="21"/>
  <c r="AH110" i="21"/>
  <c r="AH112" i="21"/>
  <c r="AH113" i="21"/>
  <c r="AH114" i="21"/>
  <c r="AM104" i="21"/>
  <c r="AM105" i="21"/>
  <c r="AM106" i="21"/>
  <c r="AM107" i="21"/>
  <c r="AM108" i="21"/>
  <c r="AM109" i="21"/>
  <c r="AM110" i="21"/>
  <c r="AM112" i="21"/>
  <c r="AM113" i="21"/>
  <c r="AM114" i="21"/>
  <c r="AJ126" i="21"/>
  <c r="AJ127" i="21"/>
  <c r="AJ128" i="21"/>
  <c r="AJ129" i="21"/>
  <c r="AJ131" i="21"/>
  <c r="AJ132" i="21"/>
  <c r="AJ135" i="21"/>
  <c r="AJ136" i="21"/>
  <c r="AH126" i="21"/>
  <c r="AH127" i="21"/>
  <c r="AH128" i="21"/>
  <c r="AH129" i="21"/>
  <c r="AH130" i="21"/>
  <c r="AH131" i="21"/>
  <c r="AH132" i="21"/>
  <c r="AH134" i="21"/>
  <c r="AH135" i="21"/>
  <c r="AH136" i="21"/>
  <c r="AD126" i="21"/>
  <c r="AD127" i="21"/>
  <c r="AD128" i="21"/>
  <c r="AD129" i="21"/>
  <c r="AD130" i="21"/>
  <c r="AD131" i="21"/>
  <c r="AD132" i="21"/>
  <c r="AD134" i="21"/>
  <c r="AD135" i="21"/>
  <c r="AD136" i="21"/>
  <c r="AI126" i="21"/>
  <c r="AI127" i="21"/>
  <c r="AI128" i="21"/>
  <c r="AI129" i="21"/>
  <c r="AI130" i="21"/>
  <c r="AI131" i="21"/>
  <c r="AI132" i="21"/>
  <c r="AI135" i="21"/>
  <c r="AI136" i="21"/>
  <c r="AC126" i="21"/>
  <c r="AC127" i="21"/>
  <c r="AC128" i="21"/>
  <c r="AC129" i="21"/>
  <c r="AC130" i="21"/>
  <c r="AC131" i="21"/>
  <c r="AC132" i="21"/>
  <c r="AC134" i="21"/>
  <c r="AC135" i="21"/>
  <c r="AC136" i="21"/>
  <c r="AB126" i="21"/>
  <c r="AB127" i="21"/>
  <c r="AB128" i="21"/>
  <c r="AB129" i="21"/>
  <c r="AB130" i="21"/>
  <c r="AB131" i="21"/>
  <c r="AB132" i="21"/>
  <c r="AB134" i="21"/>
  <c r="AB135" i="21"/>
  <c r="AB136" i="21"/>
  <c r="AM82" i="21"/>
  <c r="AM83" i="21"/>
  <c r="AM84" i="21"/>
  <c r="AM85" i="21"/>
  <c r="AM86" i="21"/>
  <c r="AM87" i="21"/>
  <c r="AM88" i="21"/>
  <c r="AM90" i="21"/>
  <c r="AM91" i="21"/>
  <c r="AM92" i="21"/>
  <c r="AG82" i="21"/>
  <c r="AG83" i="21"/>
  <c r="AG84" i="21"/>
  <c r="AG85" i="21"/>
  <c r="AG86" i="21"/>
  <c r="AG87" i="21"/>
  <c r="AG88" i="21"/>
  <c r="AG90" i="21"/>
  <c r="AG91" i="21"/>
  <c r="AG92" i="21"/>
  <c r="AG104" i="21"/>
  <c r="AG105" i="21"/>
  <c r="AG106" i="21"/>
  <c r="AG107" i="21"/>
  <c r="AG108" i="21"/>
  <c r="AG109" i="21"/>
  <c r="AG110" i="21"/>
  <c r="AG112" i="21"/>
  <c r="AG113" i="21"/>
  <c r="AG114" i="21"/>
  <c r="AG8" i="21"/>
  <c r="AG15" i="21"/>
  <c r="AG19" i="21"/>
  <c r="AH8" i="21"/>
  <c r="AH15" i="21"/>
  <c r="AH19" i="21"/>
  <c r="AI8" i="21"/>
  <c r="AI15" i="21"/>
  <c r="AI19" i="21"/>
  <c r="AJ8" i="21"/>
  <c r="AJ15" i="21"/>
  <c r="AJ19" i="21"/>
  <c r="AM106" i="15"/>
  <c r="AM104" i="15"/>
  <c r="AM100" i="15"/>
  <c r="AM98" i="15"/>
  <c r="AM44" i="15"/>
  <c r="AM57" i="15"/>
  <c r="AM55" i="15"/>
  <c r="AM63" i="15"/>
  <c r="AM61" i="15"/>
  <c r="AM23" i="15"/>
  <c r="AM37" i="15"/>
  <c r="AM106" i="17"/>
  <c r="AM104" i="17"/>
  <c r="AM100" i="17"/>
  <c r="AS101" i="17" s="1"/>
  <c r="AM63" i="17"/>
  <c r="AS64" i="17" s="1"/>
  <c r="AM61" i="17"/>
  <c r="AM57" i="17"/>
  <c r="AM55" i="17"/>
  <c r="AM37" i="17"/>
  <c r="AS38" i="17"/>
  <c r="AM23" i="17"/>
  <c r="AM25" i="17" s="1"/>
  <c r="AM95" i="16"/>
  <c r="AS96" i="16" s="1"/>
  <c r="AM93" i="16"/>
  <c r="AM89" i="16"/>
  <c r="AM55" i="16"/>
  <c r="AM53" i="16"/>
  <c r="AM49" i="16"/>
  <c r="AM36" i="16"/>
  <c r="AM29" i="16"/>
  <c r="AS30" i="16" s="1"/>
  <c r="BI5" i="8"/>
  <c r="BC5" i="8"/>
  <c r="AM63" i="9"/>
  <c r="AM61" i="9"/>
  <c r="AM37" i="9"/>
  <c r="AM57" i="9"/>
  <c r="AM55" i="9"/>
  <c r="AM23" i="9"/>
  <c r="AM63" i="10"/>
  <c r="AS64" i="10" s="1"/>
  <c r="AM61" i="10"/>
  <c r="AM36" i="8"/>
  <c r="AM36" i="7"/>
  <c r="AM44" i="10"/>
  <c r="AM55" i="10"/>
  <c r="AM37" i="10"/>
  <c r="AM23" i="10"/>
  <c r="AM25" i="10" s="1"/>
  <c r="AM55" i="7"/>
  <c r="AM53" i="7"/>
  <c r="AM49" i="7"/>
  <c r="AM29" i="7"/>
  <c r="AM55" i="8"/>
  <c r="AM53" i="8"/>
  <c r="AM49" i="8"/>
  <c r="AM47" i="8"/>
  <c r="AM29" i="8"/>
  <c r="AR239" i="117"/>
  <c r="AX269" i="117"/>
  <c r="AR269" i="117"/>
  <c r="AL269" i="117"/>
  <c r="AF269" i="117"/>
  <c r="Z269" i="117"/>
  <c r="BD280" i="117"/>
  <c r="AX280" i="117"/>
  <c r="AR280" i="117"/>
  <c r="AL280" i="117"/>
  <c r="AF280" i="117"/>
  <c r="Z280" i="117"/>
  <c r="BD246" i="117"/>
  <c r="AX246" i="117"/>
  <c r="AR246" i="117"/>
  <c r="K270" i="11" s="1"/>
  <c r="K272" i="11" s="1"/>
  <c r="K275" i="11" s="1"/>
  <c r="AL246" i="117"/>
  <c r="AF246" i="117"/>
  <c r="I22" i="14" s="1"/>
  <c r="I251" i="14" s="1"/>
  <c r="Z246" i="117"/>
  <c r="Z285" i="117"/>
  <c r="W285" i="117"/>
  <c r="AO276" i="117"/>
  <c r="AR276" i="117" s="1"/>
  <c r="AP276" i="117"/>
  <c r="AQ276" i="117"/>
  <c r="AI276" i="117"/>
  <c r="AL276" i="117" s="1"/>
  <c r="AJ276" i="117"/>
  <c r="AK276" i="117"/>
  <c r="AC276" i="117"/>
  <c r="AD276" i="117"/>
  <c r="AF276" i="117" s="1"/>
  <c r="AE276" i="117"/>
  <c r="Y276" i="117"/>
  <c r="X276" i="117"/>
  <c r="W276" i="117"/>
  <c r="AT267" i="117"/>
  <c r="AU267" i="117"/>
  <c r="AV267" i="117"/>
  <c r="AW267" i="117"/>
  <c r="AN267" i="117"/>
  <c r="AH267" i="117"/>
  <c r="AI267" i="117"/>
  <c r="AJ267" i="117"/>
  <c r="AK267" i="117"/>
  <c r="X4" i="3"/>
  <c r="X6" i="3"/>
  <c r="Y6" i="3"/>
  <c r="AA4" i="3" s="1"/>
  <c r="AA6" i="3" s="1"/>
  <c r="AE51" i="3"/>
  <c r="AG51" i="3"/>
  <c r="AM162" i="3"/>
  <c r="V52" i="3"/>
  <c r="V123" i="3"/>
  <c r="W52" i="3"/>
  <c r="AM143" i="3"/>
  <c r="AS144" i="3"/>
  <c r="W4" i="2"/>
  <c r="W6" i="2"/>
  <c r="AM29" i="2"/>
  <c r="AS30" i="2" s="1"/>
  <c r="BQ35" i="2"/>
  <c r="BW35" i="2" s="1"/>
  <c r="CC35" i="2" s="1"/>
  <c r="CI35" i="2" s="1"/>
  <c r="CO35" i="2" s="1"/>
  <c r="CU35" i="2" s="1"/>
  <c r="DA35" i="2" s="1"/>
  <c r="DG35" i="2" s="1"/>
  <c r="S6" i="2"/>
  <c r="U4" i="2"/>
  <c r="U5" i="2" s="1"/>
  <c r="U7" i="2" s="1"/>
  <c r="V4" i="8"/>
  <c r="V6" i="8"/>
  <c r="W4" i="8" s="1"/>
  <c r="W6" i="8" s="1"/>
  <c r="AG29" i="8"/>
  <c r="V4" i="7"/>
  <c r="V6" i="7" s="1"/>
  <c r="W4" i="7" s="1"/>
  <c r="W6" i="7" s="1"/>
  <c r="X4" i="7"/>
  <c r="X6" i="7" s="1"/>
  <c r="Y6" i="7" s="1"/>
  <c r="AG29" i="7"/>
  <c r="AG23" i="9"/>
  <c r="AG25" i="9" s="1"/>
  <c r="V4" i="9"/>
  <c r="V6" i="9" s="1"/>
  <c r="W4" i="9"/>
  <c r="W6" i="9" s="1"/>
  <c r="X4" i="9" s="1"/>
  <c r="X6" i="9" s="1"/>
  <c r="Y6" i="9" s="1"/>
  <c r="AG37" i="9"/>
  <c r="AG23" i="10"/>
  <c r="AG25" i="10"/>
  <c r="V4" i="10"/>
  <c r="V6" i="10"/>
  <c r="W4" i="10" s="1"/>
  <c r="W6" i="10" s="1"/>
  <c r="X4" i="10" s="1"/>
  <c r="X6" i="10" s="1"/>
  <c r="AG37" i="10"/>
  <c r="AG23" i="15"/>
  <c r="AG25" i="15"/>
  <c r="W4" i="15"/>
  <c r="W6" i="15" s="1"/>
  <c r="X4" i="15" s="1"/>
  <c r="X6" i="15" s="1"/>
  <c r="Y6" i="15" s="1"/>
  <c r="AG37" i="15"/>
  <c r="W4" i="16"/>
  <c r="W6" i="16" s="1"/>
  <c r="X4" i="16" s="1"/>
  <c r="X6" i="16"/>
  <c r="Y6" i="16" s="1"/>
  <c r="AA4" i="16" s="1"/>
  <c r="AA6" i="16" s="1"/>
  <c r="AB4" i="16" s="1"/>
  <c r="AB6" i="16" s="1"/>
  <c r="AG29" i="16"/>
  <c r="BQ35" i="16"/>
  <c r="BW35" i="16" s="1"/>
  <c r="CC35" i="16" s="1"/>
  <c r="CI35" i="16" s="1"/>
  <c r="CO35" i="16" s="1"/>
  <c r="CU35" i="16" s="1"/>
  <c r="DA35" i="16" s="1"/>
  <c r="DG35" i="16" s="1"/>
  <c r="AG23" i="17"/>
  <c r="AG25" i="17"/>
  <c r="AG75" i="17" s="1"/>
  <c r="AG72" i="17" s="1"/>
  <c r="W4" i="17"/>
  <c r="W6" i="17"/>
  <c r="X4" i="17" s="1"/>
  <c r="X6" i="17" s="1"/>
  <c r="Y6" i="17" s="1"/>
  <c r="AA4" i="17"/>
  <c r="AA6" i="17" s="1"/>
  <c r="AB4" i="17" s="1"/>
  <c r="AB6" i="17" s="1"/>
  <c r="AC4" i="17" s="1"/>
  <c r="AC6" i="17" s="1"/>
  <c r="AG37" i="17"/>
  <c r="BQ43" i="17"/>
  <c r="BW43" i="17" s="1"/>
  <c r="CC43" i="17" s="1"/>
  <c r="CI43" i="17" s="1"/>
  <c r="CO43" i="17" s="1"/>
  <c r="CU43" i="17" s="1"/>
  <c r="DA43" i="17" s="1"/>
  <c r="DG43" i="17" s="1"/>
  <c r="AG100" i="15"/>
  <c r="W82" i="15"/>
  <c r="W84" i="15"/>
  <c r="X82" i="15" s="1"/>
  <c r="X84" i="15" s="1"/>
  <c r="Y84" i="15" s="1"/>
  <c r="AA82" i="15" s="1"/>
  <c r="AH82" i="15"/>
  <c r="AH83" i="15" s="1"/>
  <c r="AH85" i="15"/>
  <c r="AH88" i="15" s="1"/>
  <c r="AI82" i="15"/>
  <c r="AI83" i="15"/>
  <c r="AJ82" i="15"/>
  <c r="AJ83" i="15"/>
  <c r="AJ85" i="15" s="1"/>
  <c r="AK84" i="15"/>
  <c r="AM82" i="15"/>
  <c r="AM84" i="15" s="1"/>
  <c r="W74" i="16"/>
  <c r="W76" i="16" s="1"/>
  <c r="AG89" i="16"/>
  <c r="AG100" i="17"/>
  <c r="W82" i="17"/>
  <c r="W84" i="17"/>
  <c r="X82" i="17" s="1"/>
  <c r="X84" i="17" s="1"/>
  <c r="BE15" i="21"/>
  <c r="AM11" i="4"/>
  <c r="AS12" i="4" s="1"/>
  <c r="BQ11" i="4"/>
  <c r="BW11" i="4" s="1"/>
  <c r="CC11" i="4" s="1"/>
  <c r="CI11" i="4" s="1"/>
  <c r="CO11" i="4" s="1"/>
  <c r="CU11" i="4" s="1"/>
  <c r="DA11" i="4" s="1"/>
  <c r="DG11" i="4" s="1"/>
  <c r="AM8" i="20"/>
  <c r="AS9" i="20" s="1"/>
  <c r="AH112" i="3"/>
  <c r="AH101" i="3" s="1"/>
  <c r="AH143" i="3"/>
  <c r="AH29" i="2"/>
  <c r="V4" i="2"/>
  <c r="V5" i="2" s="1"/>
  <c r="V7" i="2" s="1"/>
  <c r="AH29" i="8"/>
  <c r="AH29" i="7"/>
  <c r="AH23" i="9"/>
  <c r="AH25" i="9"/>
  <c r="AH37" i="9"/>
  <c r="AH23" i="10"/>
  <c r="AH25" i="10" s="1"/>
  <c r="AH37" i="10"/>
  <c r="AH23" i="15"/>
  <c r="AH25" i="15" s="1"/>
  <c r="AH37" i="15"/>
  <c r="AH29" i="16"/>
  <c r="AH23" i="17"/>
  <c r="AH25" i="17" s="1"/>
  <c r="AH37" i="17"/>
  <c r="AH100" i="15"/>
  <c r="AH89" i="16"/>
  <c r="AH100" i="17"/>
  <c r="AN101" i="17"/>
  <c r="AH11" i="4"/>
  <c r="AH8" i="20"/>
  <c r="AI112" i="3"/>
  <c r="AI101" i="3" s="1"/>
  <c r="AI143" i="3"/>
  <c r="BS171" i="3"/>
  <c r="BY171" i="3" s="1"/>
  <c r="CE171" i="3" s="1"/>
  <c r="CK171" i="3" s="1"/>
  <c r="CQ171" i="3" s="1"/>
  <c r="CW171" i="3" s="1"/>
  <c r="DC171" i="3" s="1"/>
  <c r="DI171" i="3" s="1"/>
  <c r="AI29" i="2"/>
  <c r="AO30" i="2" s="1"/>
  <c r="AI29" i="8"/>
  <c r="AO30" i="8" s="1"/>
  <c r="AI29" i="7"/>
  <c r="AO30" i="7" s="1"/>
  <c r="AI23" i="9"/>
  <c r="AI25" i="9" s="1"/>
  <c r="AI37" i="9"/>
  <c r="AI23" i="10"/>
  <c r="AI25" i="10" s="1"/>
  <c r="AI37" i="10"/>
  <c r="AO38" i="10"/>
  <c r="AI23" i="15"/>
  <c r="AI25" i="15"/>
  <c r="AO26" i="15" s="1"/>
  <c r="AI37" i="15"/>
  <c r="AO38" i="15" s="1"/>
  <c r="AI54" i="15"/>
  <c r="AI29" i="16"/>
  <c r="AO30" i="16"/>
  <c r="AI46" i="16"/>
  <c r="AI109" i="21"/>
  <c r="AI23" i="17"/>
  <c r="AI25" i="17"/>
  <c r="AO26" i="17" s="1"/>
  <c r="AI37" i="17"/>
  <c r="AO38" i="17" s="1"/>
  <c r="AI54" i="17"/>
  <c r="AI110" i="21" s="1"/>
  <c r="AC100" i="15"/>
  <c r="AI100" i="15" s="1"/>
  <c r="AI85" i="15"/>
  <c r="AI88" i="15" s="1"/>
  <c r="AI86" i="16"/>
  <c r="AO87" i="16" s="1"/>
  <c r="AI97" i="17"/>
  <c r="AI114" i="21" s="1"/>
  <c r="AI104" i="21"/>
  <c r="AI105" i="21"/>
  <c r="AI106" i="21"/>
  <c r="AI107" i="21"/>
  <c r="AI108" i="21"/>
  <c r="AI97" i="15"/>
  <c r="AO98" i="15"/>
  <c r="AI11" i="4"/>
  <c r="AI8" i="20"/>
  <c r="AO9" i="20"/>
  <c r="AJ112" i="3"/>
  <c r="AJ101" i="3" s="1"/>
  <c r="AJ143" i="3"/>
  <c r="AP144" i="3"/>
  <c r="BT171" i="3"/>
  <c r="BZ171" i="3" s="1"/>
  <c r="CF171" i="3" s="1"/>
  <c r="CL171" i="3" s="1"/>
  <c r="CR171" i="3" s="1"/>
  <c r="CX171" i="3" s="1"/>
  <c r="DD171" i="3" s="1"/>
  <c r="DJ171" i="3" s="1"/>
  <c r="AJ29" i="2"/>
  <c r="AJ29" i="8"/>
  <c r="AJ29" i="7"/>
  <c r="AJ23" i="9"/>
  <c r="AJ25" i="9"/>
  <c r="AJ37" i="9"/>
  <c r="AJ43" i="9"/>
  <c r="AP44" i="9" s="1"/>
  <c r="AJ23" i="10"/>
  <c r="AJ25" i="10"/>
  <c r="AJ37" i="10"/>
  <c r="AJ23" i="15"/>
  <c r="AJ25" i="15" s="1"/>
  <c r="AJ37" i="15"/>
  <c r="BT43" i="15"/>
  <c r="BZ43" i="15" s="1"/>
  <c r="CF43" i="15" s="1"/>
  <c r="CL43" i="15" s="1"/>
  <c r="CR43" i="15" s="1"/>
  <c r="CX43" i="15" s="1"/>
  <c r="DD43" i="15" s="1"/>
  <c r="DJ43" i="15" s="1"/>
  <c r="AJ29" i="16"/>
  <c r="AJ23" i="17"/>
  <c r="AJ25" i="17"/>
  <c r="AJ37" i="17"/>
  <c r="AP38" i="17" s="1"/>
  <c r="AD100" i="15"/>
  <c r="AJ100" i="15"/>
  <c r="AP101" i="15" s="1"/>
  <c r="AJ89" i="16"/>
  <c r="AP90" i="16" s="1"/>
  <c r="AJ100" i="17"/>
  <c r="AJ104" i="21"/>
  <c r="AJ105" i="21"/>
  <c r="AJ106" i="21"/>
  <c r="AJ107" i="21"/>
  <c r="AK40" i="15"/>
  <c r="AJ108" i="21" s="1"/>
  <c r="AJ109" i="21"/>
  <c r="AJ110" i="21"/>
  <c r="AJ97" i="15"/>
  <c r="AP98" i="15" s="1"/>
  <c r="AK94" i="15"/>
  <c r="AJ113" i="21"/>
  <c r="AJ114" i="21"/>
  <c r="AJ11" i="4"/>
  <c r="AJ8" i="20"/>
  <c r="AP9" i="20" s="1"/>
  <c r="AG158" i="21"/>
  <c r="AG159" i="21" s="1"/>
  <c r="AH158" i="21"/>
  <c r="AH161" i="21" s="1"/>
  <c r="AI146" i="21"/>
  <c r="AI148" i="21" s="1"/>
  <c r="AJ158" i="21"/>
  <c r="G22" i="14"/>
  <c r="G251" i="14" s="1"/>
  <c r="G206" i="14"/>
  <c r="M80" i="14"/>
  <c r="N80" i="14" s="1"/>
  <c r="O80" i="14" s="1"/>
  <c r="P80" i="14" s="1"/>
  <c r="Q80" i="14" s="1"/>
  <c r="R80" i="14" s="1"/>
  <c r="S80" i="14" s="1"/>
  <c r="T80" i="14" s="1"/>
  <c r="M86" i="14"/>
  <c r="N86" i="14" s="1"/>
  <c r="O86" i="14" s="1"/>
  <c r="P86" i="14" s="1"/>
  <c r="Q86" i="14" s="1"/>
  <c r="R86" i="14" s="1"/>
  <c r="S86" i="14" s="1"/>
  <c r="T86" i="14" s="1"/>
  <c r="AM168" i="3"/>
  <c r="AM38" i="21"/>
  <c r="AM40" i="21"/>
  <c r="AM44" i="21"/>
  <c r="AN168" i="3"/>
  <c r="AT169" i="3"/>
  <c r="AN104" i="21"/>
  <c r="AN105" i="21"/>
  <c r="AN106" i="21"/>
  <c r="AN107" i="21"/>
  <c r="AN108" i="21"/>
  <c r="AN109" i="21"/>
  <c r="AN110" i="21"/>
  <c r="AN112" i="21"/>
  <c r="AN113" i="21"/>
  <c r="AN114" i="21"/>
  <c r="AN38" i="21"/>
  <c r="AN40" i="21"/>
  <c r="AN44" i="21"/>
  <c r="AO168" i="3"/>
  <c r="AU169" i="3"/>
  <c r="AO40" i="21"/>
  <c r="G128" i="14"/>
  <c r="G261" i="14" s="1"/>
  <c r="AG159" i="3"/>
  <c r="AG112" i="3"/>
  <c r="AG101" i="3" s="1"/>
  <c r="AG162" i="3"/>
  <c r="AG168" i="3"/>
  <c r="AG38" i="21"/>
  <c r="AH159" i="3"/>
  <c r="AH176" i="3" s="1"/>
  <c r="AH162" i="3"/>
  <c r="AH168" i="3"/>
  <c r="AH38" i="21"/>
  <c r="AI159" i="3"/>
  <c r="AI168" i="3"/>
  <c r="AI38" i="21"/>
  <c r="AJ159" i="3"/>
  <c r="AJ176" i="3" s="1"/>
  <c r="AJ162" i="3"/>
  <c r="AJ168" i="3"/>
  <c r="AJ38" i="21"/>
  <c r="E113" i="14"/>
  <c r="F103" i="14"/>
  <c r="M48" i="21"/>
  <c r="C15" i="14" s="1"/>
  <c r="M146" i="21"/>
  <c r="C21" i="14" s="1"/>
  <c r="C22" i="14"/>
  <c r="C28" i="14"/>
  <c r="C34" i="14"/>
  <c r="C219" i="14"/>
  <c r="O32" i="21"/>
  <c r="O33" i="21"/>
  <c r="O38" i="21"/>
  <c r="O118" i="21" s="1"/>
  <c r="O8" i="4"/>
  <c r="O44" i="21"/>
  <c r="I44" i="21" s="1"/>
  <c r="P32" i="21"/>
  <c r="P33" i="21"/>
  <c r="P8" i="4"/>
  <c r="P44" i="21"/>
  <c r="J44" i="21" s="1"/>
  <c r="Q32" i="21"/>
  <c r="Q33" i="21"/>
  <c r="Q8" i="4"/>
  <c r="Q44" i="21"/>
  <c r="K44" i="21" s="1"/>
  <c r="R32" i="21"/>
  <c r="R33" i="21"/>
  <c r="R8" i="4"/>
  <c r="R44" i="21"/>
  <c r="L44" i="21" s="1"/>
  <c r="S146" i="21"/>
  <c r="D21" i="14" s="1"/>
  <c r="D27" i="14"/>
  <c r="D34" i="14"/>
  <c r="D219" i="14" s="1"/>
  <c r="U32" i="21"/>
  <c r="U33" i="21"/>
  <c r="U8" i="4"/>
  <c r="U40" i="21" s="1"/>
  <c r="U44" i="21"/>
  <c r="V32" i="21"/>
  <c r="V33" i="21"/>
  <c r="V8" i="4"/>
  <c r="V40" i="21"/>
  <c r="V44" i="21"/>
  <c r="W32" i="21"/>
  <c r="W33" i="21"/>
  <c r="W8" i="4"/>
  <c r="W40" i="21"/>
  <c r="W44" i="21"/>
  <c r="X32" i="21"/>
  <c r="X33" i="21"/>
  <c r="X104" i="21"/>
  <c r="X105" i="21"/>
  <c r="X106" i="21"/>
  <c r="X107" i="21"/>
  <c r="X40" i="15"/>
  <c r="X109" i="21"/>
  <c r="X110" i="21"/>
  <c r="X93" i="15"/>
  <c r="X97" i="15" s="1"/>
  <c r="Y94" i="15"/>
  <c r="X113" i="21"/>
  <c r="X114" i="21"/>
  <c r="X8" i="4"/>
  <c r="X40" i="21" s="1"/>
  <c r="X44" i="21"/>
  <c r="Y146" i="21"/>
  <c r="E22" i="14"/>
  <c r="E251" i="14" s="1"/>
  <c r="Y152" i="21"/>
  <c r="E27" i="14" s="1"/>
  <c r="E143" i="14" s="1"/>
  <c r="E58" i="14"/>
  <c r="AA159" i="3"/>
  <c r="AA112" i="3"/>
  <c r="AA101" i="3" s="1"/>
  <c r="AA162" i="3"/>
  <c r="AA168" i="3"/>
  <c r="AA8" i="4"/>
  <c r="AA40" i="21" s="1"/>
  <c r="AA44" i="21"/>
  <c r="AB159" i="3"/>
  <c r="AB112" i="3"/>
  <c r="AB101" i="3" s="1"/>
  <c r="AB168" i="3"/>
  <c r="AB8" i="4"/>
  <c r="AB40" i="21" s="1"/>
  <c r="AB44" i="21"/>
  <c r="AC159" i="3"/>
  <c r="AC112" i="3"/>
  <c r="AC101" i="3" s="1"/>
  <c r="AC168" i="3"/>
  <c r="AC40" i="21"/>
  <c r="AC44" i="21"/>
  <c r="AD159" i="3"/>
  <c r="AD112" i="3"/>
  <c r="AD101" i="3" s="1"/>
  <c r="AD168" i="3"/>
  <c r="AD40" i="21"/>
  <c r="AD44" i="21"/>
  <c r="AA146" i="21"/>
  <c r="AG147" i="21" s="1"/>
  <c r="C156" i="14"/>
  <c r="C210" i="14" s="1"/>
  <c r="D156" i="14"/>
  <c r="D210" i="14"/>
  <c r="E140" i="14"/>
  <c r="E141" i="14"/>
  <c r="F144" i="14"/>
  <c r="F154" i="14"/>
  <c r="F158" i="14"/>
  <c r="G137" i="14"/>
  <c r="G144" i="14"/>
  <c r="AC146" i="21"/>
  <c r="F161" i="14"/>
  <c r="AG52" i="2"/>
  <c r="AG57" i="21"/>
  <c r="AG62" i="21"/>
  <c r="AH52" i="2"/>
  <c r="AH57" i="21"/>
  <c r="AH62" i="21"/>
  <c r="AI52" i="2"/>
  <c r="AI57" i="21" s="1"/>
  <c r="AI62" i="21"/>
  <c r="AJ52" i="2"/>
  <c r="AJ62" i="21"/>
  <c r="C113" i="14"/>
  <c r="D113" i="14"/>
  <c r="F114" i="14"/>
  <c r="G114" i="14"/>
  <c r="F118" i="14"/>
  <c r="M23" i="21"/>
  <c r="C6" i="14" s="1"/>
  <c r="O7" i="21"/>
  <c r="O8" i="21"/>
  <c r="O13" i="21"/>
  <c r="S13" i="21" s="1"/>
  <c r="S96" i="21" s="1"/>
  <c r="O5" i="4"/>
  <c r="O15" i="21"/>
  <c r="O19" i="21"/>
  <c r="P7" i="21"/>
  <c r="P8" i="21"/>
  <c r="P5" i="4"/>
  <c r="P19" i="21"/>
  <c r="Q7" i="21"/>
  <c r="Q8" i="21"/>
  <c r="Q5" i="4"/>
  <c r="Q15" i="21" s="1"/>
  <c r="Q19" i="21"/>
  <c r="R7" i="21"/>
  <c r="R8" i="21"/>
  <c r="R5" i="4"/>
  <c r="R19" i="21"/>
  <c r="U8" i="21"/>
  <c r="U5" i="4"/>
  <c r="U19" i="21"/>
  <c r="V8" i="21"/>
  <c r="V5" i="4"/>
  <c r="V15" i="21" s="1"/>
  <c r="V19" i="21"/>
  <c r="W8" i="21"/>
  <c r="W5" i="4"/>
  <c r="W15" i="21" s="1"/>
  <c r="W19" i="21"/>
  <c r="X8" i="21"/>
  <c r="X5" i="4"/>
  <c r="X15" i="21" s="1"/>
  <c r="X19" i="21"/>
  <c r="X21" i="21"/>
  <c r="Y21" i="21" s="1"/>
  <c r="AA8" i="21"/>
  <c r="AA9" i="21"/>
  <c r="AG9" i="21" s="1"/>
  <c r="AA5" i="4"/>
  <c r="AA19" i="21"/>
  <c r="AA21" i="21"/>
  <c r="AB8" i="21"/>
  <c r="AB9" i="21"/>
  <c r="AH9" i="21" s="1"/>
  <c r="AB5" i="4"/>
  <c r="AB19" i="21"/>
  <c r="AB21" i="21"/>
  <c r="AC8" i="21"/>
  <c r="AC9" i="21"/>
  <c r="AI9" i="21" s="1"/>
  <c r="AO9" i="21" s="1"/>
  <c r="AU9" i="21" s="1"/>
  <c r="BA9" i="21" s="1"/>
  <c r="BG9" i="21" s="1"/>
  <c r="BM9" i="21" s="1"/>
  <c r="BS9" i="21" s="1"/>
  <c r="BY9" i="21" s="1"/>
  <c r="CE9" i="21" s="1"/>
  <c r="CK9" i="21" s="1"/>
  <c r="CQ9" i="21" s="1"/>
  <c r="CW9" i="21" s="1"/>
  <c r="DC9" i="21" s="1"/>
  <c r="DI9" i="21" s="1"/>
  <c r="AC15" i="21"/>
  <c r="AC19" i="21"/>
  <c r="AD8" i="21"/>
  <c r="AD9" i="21"/>
  <c r="AJ9" i="21" s="1"/>
  <c r="AP9" i="21" s="1"/>
  <c r="AD15" i="21"/>
  <c r="AD19" i="21"/>
  <c r="AG13" i="21"/>
  <c r="AH13" i="21"/>
  <c r="AI13" i="21"/>
  <c r="AJ13" i="21"/>
  <c r="AM8" i="21"/>
  <c r="AM13" i="21"/>
  <c r="AM15" i="21"/>
  <c r="AM19" i="21"/>
  <c r="AN8" i="21"/>
  <c r="AN82" i="21"/>
  <c r="AN83" i="21"/>
  <c r="AN84" i="21"/>
  <c r="AN85" i="21"/>
  <c r="AN86" i="21"/>
  <c r="AN87" i="21"/>
  <c r="AN88" i="21"/>
  <c r="AN90" i="21"/>
  <c r="AN91" i="21"/>
  <c r="AN92" i="21"/>
  <c r="AH82" i="21"/>
  <c r="AH83" i="21"/>
  <c r="AH84" i="21"/>
  <c r="AH85" i="21"/>
  <c r="AH86" i="21"/>
  <c r="AH87" i="21"/>
  <c r="AH88" i="21"/>
  <c r="AH90" i="21"/>
  <c r="AH91" i="21"/>
  <c r="AH92" i="21"/>
  <c r="AN13" i="21"/>
  <c r="AN15" i="21"/>
  <c r="AN19" i="21"/>
  <c r="AI82" i="21"/>
  <c r="AI83" i="21"/>
  <c r="AI84" i="21"/>
  <c r="AI85" i="21"/>
  <c r="AI86" i="21"/>
  <c r="AI87" i="21"/>
  <c r="AI88" i="21"/>
  <c r="AI90" i="21"/>
  <c r="AI91" i="21"/>
  <c r="AI92" i="21"/>
  <c r="AO15" i="21"/>
  <c r="AO19" i="21"/>
  <c r="AJ82" i="21"/>
  <c r="AJ83" i="21"/>
  <c r="AJ84" i="21"/>
  <c r="AJ85" i="21"/>
  <c r="AJ86" i="21"/>
  <c r="AJ87" i="21"/>
  <c r="AJ88" i="21"/>
  <c r="AJ90" i="21"/>
  <c r="AJ91" i="21"/>
  <c r="AJ92" i="21"/>
  <c r="AS15" i="21"/>
  <c r="AS19" i="21"/>
  <c r="F38" i="14"/>
  <c r="F257" i="14" s="1"/>
  <c r="F212" i="14"/>
  <c r="O56" i="21"/>
  <c r="O57" i="21"/>
  <c r="O62" i="21"/>
  <c r="O140" i="21" s="1"/>
  <c r="O14" i="4"/>
  <c r="O64" i="21" s="1"/>
  <c r="O68" i="21"/>
  <c r="I68" i="21" s="1"/>
  <c r="P56" i="21"/>
  <c r="P57" i="21"/>
  <c r="P62" i="21"/>
  <c r="P140" i="21" s="1"/>
  <c r="P14" i="4"/>
  <c r="P64" i="21" s="1"/>
  <c r="P68" i="21"/>
  <c r="J68" i="21" s="1"/>
  <c r="Q56" i="21"/>
  <c r="Q57" i="21"/>
  <c r="Q14" i="4"/>
  <c r="Q68" i="21"/>
  <c r="K68" i="21" s="1"/>
  <c r="R56" i="21"/>
  <c r="R57" i="21"/>
  <c r="R14" i="4"/>
  <c r="R64" i="21" s="1"/>
  <c r="R68" i="21"/>
  <c r="L68" i="21" s="1"/>
  <c r="U56" i="21"/>
  <c r="U57" i="21"/>
  <c r="U14" i="4"/>
  <c r="U68" i="21"/>
  <c r="V56" i="21"/>
  <c r="V57" i="21"/>
  <c r="V14" i="4"/>
  <c r="V64" i="21"/>
  <c r="V68" i="21"/>
  <c r="W56" i="21"/>
  <c r="W57" i="21"/>
  <c r="W14" i="4"/>
  <c r="W64" i="21" s="1"/>
  <c r="W68" i="21"/>
  <c r="X56" i="21"/>
  <c r="X57" i="21"/>
  <c r="X14" i="4"/>
  <c r="X64" i="21"/>
  <c r="X68" i="21"/>
  <c r="AA52" i="2"/>
  <c r="AA57" i="21" s="1"/>
  <c r="AA14" i="4"/>
  <c r="AA64" i="21" s="1"/>
  <c r="AA68" i="21"/>
  <c r="AB52" i="2"/>
  <c r="AB14" i="4"/>
  <c r="AB64" i="21" s="1"/>
  <c r="AB68" i="21"/>
  <c r="AC52" i="2"/>
  <c r="AC57" i="21"/>
  <c r="AC64" i="21"/>
  <c r="AC68" i="21"/>
  <c r="AD52" i="2"/>
  <c r="AD57" i="21"/>
  <c r="AD64" i="21"/>
  <c r="AD68" i="21"/>
  <c r="AM52" i="2"/>
  <c r="AM126" i="21"/>
  <c r="AM127" i="21"/>
  <c r="AM128" i="21"/>
  <c r="AM129" i="21"/>
  <c r="AM130" i="21"/>
  <c r="AM131" i="21"/>
  <c r="AM132" i="21"/>
  <c r="AG106" i="15"/>
  <c r="AM107" i="15" s="1"/>
  <c r="AM134" i="21"/>
  <c r="AG95" i="16"/>
  <c r="AM135" i="21"/>
  <c r="AG106" i="17"/>
  <c r="AM107" i="17"/>
  <c r="AM136" i="21"/>
  <c r="AG126" i="21"/>
  <c r="AG127" i="21"/>
  <c r="AG128" i="21"/>
  <c r="AG129" i="21"/>
  <c r="AG130" i="21"/>
  <c r="AG131" i="21"/>
  <c r="AG132" i="21"/>
  <c r="AG134" i="21"/>
  <c r="AG135" i="21"/>
  <c r="AG136" i="21"/>
  <c r="AM64" i="21"/>
  <c r="AN52" i="2"/>
  <c r="AN126" i="21"/>
  <c r="AN127" i="21"/>
  <c r="AN128" i="21"/>
  <c r="AN129" i="21"/>
  <c r="AN130" i="21"/>
  <c r="AN131" i="21"/>
  <c r="AN132" i="21"/>
  <c r="AH106" i="15"/>
  <c r="AH95" i="16"/>
  <c r="AN135" i="21"/>
  <c r="AH106" i="17"/>
  <c r="AN136" i="21"/>
  <c r="AN62" i="21"/>
  <c r="AH17" i="4"/>
  <c r="AN64" i="21"/>
  <c r="AH23" i="20"/>
  <c r="AN68" i="21"/>
  <c r="AI103" i="15"/>
  <c r="AO104" i="15" s="1"/>
  <c r="AI95" i="16"/>
  <c r="AO96" i="16" s="1"/>
  <c r="AI106" i="17"/>
  <c r="AO107" i="17" s="1"/>
  <c r="AI17" i="4"/>
  <c r="AO18" i="4"/>
  <c r="AI23" i="20"/>
  <c r="AO24" i="20" s="1"/>
  <c r="AJ103" i="15"/>
  <c r="AP104" i="15" s="1"/>
  <c r="AJ134" i="21"/>
  <c r="AJ95" i="16"/>
  <c r="AJ106" i="17"/>
  <c r="AJ60" i="15"/>
  <c r="AP61" i="15" s="1"/>
  <c r="AJ130" i="21"/>
  <c r="AJ17" i="4"/>
  <c r="AJ23" i="20"/>
  <c r="AP24" i="20" s="1"/>
  <c r="AM17" i="4"/>
  <c r="AS18" i="4" s="1"/>
  <c r="AM23" i="20"/>
  <c r="BQ95" i="16"/>
  <c r="BW95" i="16" s="1"/>
  <c r="CC95" i="16" s="1"/>
  <c r="CI95" i="16" s="1"/>
  <c r="CO95" i="16" s="1"/>
  <c r="CU95" i="16" s="1"/>
  <c r="DA95" i="16" s="1"/>
  <c r="DG95" i="16" s="1"/>
  <c r="AZ197" i="3"/>
  <c r="F169" i="14"/>
  <c r="C175" i="14"/>
  <c r="D175" i="14"/>
  <c r="E175" i="14"/>
  <c r="D184" i="14"/>
  <c r="E184" i="14"/>
  <c r="C184" i="14"/>
  <c r="C82" i="14"/>
  <c r="D82" i="14"/>
  <c r="E82" i="14"/>
  <c r="F82" i="14"/>
  <c r="G82" i="14"/>
  <c r="M88" i="14"/>
  <c r="N88" i="14" s="1"/>
  <c r="O88" i="14" s="1"/>
  <c r="P88" i="14" s="1"/>
  <c r="Q88" i="14" s="1"/>
  <c r="R88" i="14" s="1"/>
  <c r="S88" i="14" s="1"/>
  <c r="T88" i="14" s="1"/>
  <c r="M76" i="14"/>
  <c r="N76" i="14" s="1"/>
  <c r="O76" i="14" s="1"/>
  <c r="P76" i="14" s="1"/>
  <c r="Q76" i="14" s="1"/>
  <c r="R76" i="14" s="1"/>
  <c r="S76" i="14" s="1"/>
  <c r="T76" i="14" s="1"/>
  <c r="C73" i="14"/>
  <c r="D73" i="14"/>
  <c r="E73" i="14"/>
  <c r="F73" i="14"/>
  <c r="G73" i="14"/>
  <c r="M98" i="14"/>
  <c r="N98" i="14" s="1"/>
  <c r="O98" i="14" s="1"/>
  <c r="P98" i="14" s="1"/>
  <c r="Q98" i="14" s="1"/>
  <c r="R98" i="14" s="1"/>
  <c r="S98" i="14" s="1"/>
  <c r="T98" i="14" s="1"/>
  <c r="C95" i="14"/>
  <c r="D95" i="14"/>
  <c r="E95" i="14"/>
  <c r="F95" i="14"/>
  <c r="G95" i="14"/>
  <c r="M101" i="14"/>
  <c r="N101" i="14" s="1"/>
  <c r="O101" i="14" s="1"/>
  <c r="P101" i="14" s="1"/>
  <c r="Q101" i="14" s="1"/>
  <c r="R101" i="14" s="1"/>
  <c r="S101" i="14" s="1"/>
  <c r="T101" i="14" s="1"/>
  <c r="M106" i="14"/>
  <c r="N106" i="14" s="1"/>
  <c r="O106" i="14" s="1"/>
  <c r="P106" i="14" s="1"/>
  <c r="Q106" i="14" s="1"/>
  <c r="R106" i="14" s="1"/>
  <c r="S106" i="14" s="1"/>
  <c r="T106" i="14" s="1"/>
  <c r="C103" i="14"/>
  <c r="D103" i="14"/>
  <c r="E103" i="14"/>
  <c r="G103" i="14"/>
  <c r="M108" i="14"/>
  <c r="N108" i="14" s="1"/>
  <c r="O108" i="14" s="1"/>
  <c r="P108" i="14" s="1"/>
  <c r="Q108" i="14" s="1"/>
  <c r="R108" i="14" s="1"/>
  <c r="S108" i="14" s="1"/>
  <c r="T108" i="14" s="1"/>
  <c r="C128" i="14"/>
  <c r="D128" i="14"/>
  <c r="D261" i="14" s="1"/>
  <c r="E128" i="14"/>
  <c r="E261" i="14" s="1"/>
  <c r="F128" i="14"/>
  <c r="F261" i="14" s="1"/>
  <c r="I176" i="3"/>
  <c r="I7" i="21" s="1"/>
  <c r="J176" i="3"/>
  <c r="K176" i="3"/>
  <c r="K7" i="21"/>
  <c r="L176" i="3"/>
  <c r="L7" i="21" s="1"/>
  <c r="I8" i="21"/>
  <c r="J8" i="21"/>
  <c r="K8" i="21"/>
  <c r="L8" i="21"/>
  <c r="I21" i="21"/>
  <c r="J21" i="21"/>
  <c r="K21" i="21"/>
  <c r="L21" i="21"/>
  <c r="I9" i="21"/>
  <c r="I5" i="4"/>
  <c r="J9" i="21"/>
  <c r="J5" i="4"/>
  <c r="J15" i="21"/>
  <c r="K9" i="21"/>
  <c r="K5" i="4"/>
  <c r="K15" i="21"/>
  <c r="L9" i="21"/>
  <c r="L5" i="4"/>
  <c r="L15" i="21"/>
  <c r="O90" i="21"/>
  <c r="I90" i="21" s="1"/>
  <c r="P90" i="21"/>
  <c r="J90" i="21" s="1"/>
  <c r="Q90" i="21"/>
  <c r="R90" i="21"/>
  <c r="L90" i="21" s="1"/>
  <c r="O91" i="21"/>
  <c r="I91" i="21" s="1"/>
  <c r="P91" i="21"/>
  <c r="J91" i="21" s="1"/>
  <c r="Q91" i="21"/>
  <c r="K91" i="21" s="1"/>
  <c r="R91" i="21"/>
  <c r="L91" i="21" s="1"/>
  <c r="O92" i="21"/>
  <c r="P92" i="21"/>
  <c r="J92" i="21" s="1"/>
  <c r="Q92" i="21"/>
  <c r="K92" i="21" s="1"/>
  <c r="R92" i="21"/>
  <c r="L92" i="21" s="1"/>
  <c r="I82" i="21"/>
  <c r="I83" i="21"/>
  <c r="I84" i="21"/>
  <c r="I85" i="21"/>
  <c r="I86" i="21"/>
  <c r="I87" i="21"/>
  <c r="I88" i="21"/>
  <c r="J82" i="21"/>
  <c r="J83" i="21"/>
  <c r="J84" i="21"/>
  <c r="J85" i="21"/>
  <c r="J86" i="21"/>
  <c r="J87" i="21"/>
  <c r="J88" i="21"/>
  <c r="K82" i="21"/>
  <c r="K83" i="21"/>
  <c r="K84" i="21"/>
  <c r="K85" i="21"/>
  <c r="K86" i="21"/>
  <c r="K87" i="21"/>
  <c r="K88" i="21"/>
  <c r="L82" i="21"/>
  <c r="L83" i="21"/>
  <c r="L84" i="21"/>
  <c r="L85" i="21"/>
  <c r="L86" i="21"/>
  <c r="L87" i="21"/>
  <c r="L88" i="21"/>
  <c r="S21" i="21"/>
  <c r="O82" i="21"/>
  <c r="O83" i="21"/>
  <c r="O84" i="21"/>
  <c r="O85" i="21"/>
  <c r="O86" i="21"/>
  <c r="O87" i="21"/>
  <c r="O88" i="21"/>
  <c r="P96" i="21"/>
  <c r="P82" i="21"/>
  <c r="P83" i="21"/>
  <c r="P84" i="21"/>
  <c r="P85" i="21"/>
  <c r="P86" i="21"/>
  <c r="P87" i="21"/>
  <c r="P88" i="21"/>
  <c r="Q96" i="21"/>
  <c r="Q82" i="21"/>
  <c r="Q83" i="21"/>
  <c r="Q84" i="21"/>
  <c r="Q85" i="21"/>
  <c r="Q86" i="21"/>
  <c r="Q87" i="21"/>
  <c r="Q88" i="21"/>
  <c r="R96" i="21"/>
  <c r="R82" i="21"/>
  <c r="R83" i="21"/>
  <c r="R84" i="21"/>
  <c r="R85" i="21"/>
  <c r="R86" i="21"/>
  <c r="R87" i="21"/>
  <c r="R88" i="21"/>
  <c r="Y13" i="21"/>
  <c r="U90" i="21"/>
  <c r="V90" i="21"/>
  <c r="W90" i="21"/>
  <c r="X90" i="21"/>
  <c r="U91" i="21"/>
  <c r="V91" i="21"/>
  <c r="W91" i="21"/>
  <c r="X91" i="21"/>
  <c r="U92" i="21"/>
  <c r="V92" i="21"/>
  <c r="W92" i="21"/>
  <c r="X92" i="21"/>
  <c r="U96" i="21"/>
  <c r="U82" i="21"/>
  <c r="U83" i="21"/>
  <c r="U84" i="21"/>
  <c r="U85" i="21"/>
  <c r="U86" i="21"/>
  <c r="U87" i="21"/>
  <c r="U88" i="21"/>
  <c r="V96" i="21"/>
  <c r="V82" i="21"/>
  <c r="V83" i="21"/>
  <c r="V84" i="21"/>
  <c r="V85" i="21"/>
  <c r="V86" i="21"/>
  <c r="V87" i="21"/>
  <c r="V88" i="21"/>
  <c r="W96" i="21"/>
  <c r="W82" i="21"/>
  <c r="W83" i="21"/>
  <c r="W84" i="21"/>
  <c r="W85" i="21"/>
  <c r="W86" i="21"/>
  <c r="W87" i="21"/>
  <c r="W88" i="21"/>
  <c r="X96" i="21"/>
  <c r="X82" i="21"/>
  <c r="X83" i="21"/>
  <c r="X84" i="21"/>
  <c r="X85" i="21"/>
  <c r="X87" i="21"/>
  <c r="X88" i="21"/>
  <c r="AE13" i="21"/>
  <c r="AA90" i="21"/>
  <c r="AB90" i="21"/>
  <c r="AC90" i="21"/>
  <c r="AE94" i="15"/>
  <c r="AA91" i="21"/>
  <c r="AB91" i="21"/>
  <c r="AC91" i="21"/>
  <c r="AD91" i="21"/>
  <c r="AA92" i="21"/>
  <c r="AB92" i="21"/>
  <c r="AC92" i="21"/>
  <c r="AD92" i="21"/>
  <c r="AA96" i="21"/>
  <c r="AA82" i="21"/>
  <c r="AA83" i="21"/>
  <c r="AA84" i="21"/>
  <c r="AA85" i="21"/>
  <c r="AA86" i="21"/>
  <c r="AA87" i="21"/>
  <c r="AA88" i="21"/>
  <c r="AB96" i="21"/>
  <c r="AB82" i="21"/>
  <c r="AB83" i="21"/>
  <c r="AB84" i="21"/>
  <c r="AB85" i="21"/>
  <c r="AB86" i="21"/>
  <c r="AB87" i="21"/>
  <c r="AB88" i="21"/>
  <c r="AC96" i="21"/>
  <c r="AC82" i="21"/>
  <c r="AC83" i="21"/>
  <c r="AC84" i="21"/>
  <c r="AC85" i="21"/>
  <c r="AC86" i="21"/>
  <c r="AC87" i="21"/>
  <c r="AC88" i="21"/>
  <c r="AD96" i="21"/>
  <c r="AD32" i="8"/>
  <c r="AD172" i="21" s="1"/>
  <c r="AD83" i="21"/>
  <c r="AD84" i="21"/>
  <c r="AD85" i="21"/>
  <c r="AE40" i="15"/>
  <c r="AD86" i="21"/>
  <c r="AD87" i="21"/>
  <c r="AD88" i="21"/>
  <c r="AK21" i="21"/>
  <c r="I32" i="21"/>
  <c r="J32" i="21"/>
  <c r="K32" i="21"/>
  <c r="L32" i="21"/>
  <c r="I33" i="21"/>
  <c r="J33" i="21"/>
  <c r="J31" i="21" s="1"/>
  <c r="K33" i="21"/>
  <c r="L33" i="21"/>
  <c r="I46" i="21"/>
  <c r="J46" i="21"/>
  <c r="K46" i="21"/>
  <c r="L46" i="21"/>
  <c r="O112" i="21"/>
  <c r="I112" i="21" s="1"/>
  <c r="P112" i="21"/>
  <c r="J112" i="21" s="1"/>
  <c r="Q112" i="21"/>
  <c r="K112" i="21" s="1"/>
  <c r="R112" i="21"/>
  <c r="L112" i="21" s="1"/>
  <c r="O113" i="21"/>
  <c r="I113" i="21" s="1"/>
  <c r="P113" i="21"/>
  <c r="J113" i="21" s="1"/>
  <c r="Q113" i="21"/>
  <c r="K113" i="21" s="1"/>
  <c r="R113" i="21"/>
  <c r="L113" i="21" s="1"/>
  <c r="O114" i="21"/>
  <c r="I114" i="21" s="1"/>
  <c r="P114" i="21"/>
  <c r="J114" i="21" s="1"/>
  <c r="Q114" i="21"/>
  <c r="K114" i="21" s="1"/>
  <c r="R114" i="21"/>
  <c r="L114" i="21" s="1"/>
  <c r="I104" i="21"/>
  <c r="I105" i="21"/>
  <c r="I106" i="21"/>
  <c r="I107" i="21"/>
  <c r="I108" i="21"/>
  <c r="I109" i="21"/>
  <c r="I110" i="21"/>
  <c r="J104" i="21"/>
  <c r="J105" i="21"/>
  <c r="J106" i="21"/>
  <c r="J107" i="21"/>
  <c r="J108" i="21"/>
  <c r="J109" i="21"/>
  <c r="J110" i="21"/>
  <c r="K104" i="21"/>
  <c r="K105" i="21"/>
  <c r="K106" i="21"/>
  <c r="K107" i="21"/>
  <c r="K108" i="21"/>
  <c r="K109" i="21"/>
  <c r="K110" i="21"/>
  <c r="L104" i="21"/>
  <c r="L105" i="21"/>
  <c r="L106" i="21"/>
  <c r="L107" i="21"/>
  <c r="L108" i="21"/>
  <c r="L109" i="21"/>
  <c r="L110" i="21"/>
  <c r="S97" i="15"/>
  <c r="S112" i="21" s="1"/>
  <c r="S86" i="16"/>
  <c r="S113" i="21" s="1"/>
  <c r="S97" i="17"/>
  <c r="S114" i="21" s="1"/>
  <c r="O104" i="21"/>
  <c r="O105" i="21"/>
  <c r="O106" i="21"/>
  <c r="O107" i="21"/>
  <c r="O108" i="21"/>
  <c r="O109" i="21"/>
  <c r="O110" i="21"/>
  <c r="P118" i="21"/>
  <c r="P104" i="21"/>
  <c r="P105" i="21"/>
  <c r="P106" i="21"/>
  <c r="P107" i="21"/>
  <c r="P108" i="21"/>
  <c r="P109" i="21"/>
  <c r="P110" i="21"/>
  <c r="Q118" i="21"/>
  <c r="Q104" i="21"/>
  <c r="Q105" i="21"/>
  <c r="Q106" i="21"/>
  <c r="Q107" i="21"/>
  <c r="Q108" i="21"/>
  <c r="Q109" i="21"/>
  <c r="Q110" i="21"/>
  <c r="R118" i="21"/>
  <c r="R104" i="21"/>
  <c r="R105" i="21"/>
  <c r="R106" i="21"/>
  <c r="R107" i="21"/>
  <c r="R108" i="21"/>
  <c r="R109" i="21"/>
  <c r="R110" i="21"/>
  <c r="Y86" i="16"/>
  <c r="Y113" i="21" s="1"/>
  <c r="Z113" i="21" s="1"/>
  <c r="Y97" i="17"/>
  <c r="Y114" i="21"/>
  <c r="Z114" i="21" s="1"/>
  <c r="U118" i="21"/>
  <c r="U104" i="21"/>
  <c r="U105" i="21"/>
  <c r="U106" i="21"/>
  <c r="U107" i="21"/>
  <c r="U108" i="21"/>
  <c r="U109" i="21"/>
  <c r="U110" i="21"/>
  <c r="U112" i="21"/>
  <c r="U113" i="21"/>
  <c r="U114" i="21"/>
  <c r="V118" i="21"/>
  <c r="V104" i="21"/>
  <c r="V105" i="21"/>
  <c r="V106" i="21"/>
  <c r="V107" i="21"/>
  <c r="V108" i="21"/>
  <c r="V109" i="21"/>
  <c r="V110" i="21"/>
  <c r="V112" i="21"/>
  <c r="V113" i="21"/>
  <c r="V114" i="21"/>
  <c r="W118" i="21"/>
  <c r="W104" i="21"/>
  <c r="W105" i="21"/>
  <c r="W106" i="21"/>
  <c r="W107" i="21"/>
  <c r="W108" i="21"/>
  <c r="W109" i="21"/>
  <c r="W110" i="21"/>
  <c r="W112" i="21"/>
  <c r="W113" i="21"/>
  <c r="W114" i="21"/>
  <c r="AE38" i="21"/>
  <c r="AE97" i="15"/>
  <c r="AE112" i="21"/>
  <c r="AF112" i="21" s="1"/>
  <c r="AE86" i="16"/>
  <c r="AE113" i="21"/>
  <c r="AF113" i="21" s="1"/>
  <c r="AE97" i="17"/>
  <c r="AE114" i="21"/>
  <c r="AF114" i="21" s="1"/>
  <c r="AA118" i="21"/>
  <c r="AA104" i="21"/>
  <c r="AA105" i="21"/>
  <c r="AA106" i="21"/>
  <c r="AA107" i="21"/>
  <c r="AA108" i="21"/>
  <c r="AA109" i="21"/>
  <c r="AA110" i="21"/>
  <c r="AA112" i="21"/>
  <c r="AA113" i="21"/>
  <c r="AA114" i="21"/>
  <c r="AB118" i="21"/>
  <c r="AB104" i="21"/>
  <c r="AB105" i="21"/>
  <c r="AB106" i="21"/>
  <c r="AB107" i="21"/>
  <c r="AB108" i="21"/>
  <c r="AB109" i="21"/>
  <c r="AB110" i="21"/>
  <c r="AB112" i="21"/>
  <c r="AB113" i="21"/>
  <c r="AB114" i="21"/>
  <c r="AC118" i="21"/>
  <c r="AC104" i="21"/>
  <c r="AC105" i="21"/>
  <c r="AC106" i="21"/>
  <c r="AC107" i="21"/>
  <c r="AC108" i="21"/>
  <c r="AC109" i="21"/>
  <c r="AC110" i="21"/>
  <c r="AC112" i="21"/>
  <c r="AC113" i="21"/>
  <c r="AC114" i="21"/>
  <c r="AD118" i="21"/>
  <c r="AD46" i="8"/>
  <c r="AD185" i="21" s="1"/>
  <c r="AD104" i="21"/>
  <c r="AD105" i="21"/>
  <c r="AD106" i="21"/>
  <c r="AD107" i="21"/>
  <c r="AD109" i="21"/>
  <c r="AD110" i="21"/>
  <c r="AD113" i="21"/>
  <c r="AD114" i="21"/>
  <c r="AK97" i="15"/>
  <c r="AK112" i="21" s="1"/>
  <c r="AL112" i="21" s="1"/>
  <c r="AK86" i="16"/>
  <c r="AK113" i="21" s="1"/>
  <c r="AL113" i="21" s="1"/>
  <c r="AK97" i="17"/>
  <c r="AK114" i="21" s="1"/>
  <c r="AL114" i="21" s="1"/>
  <c r="I56" i="21"/>
  <c r="J56" i="21"/>
  <c r="K56" i="21"/>
  <c r="L56" i="21"/>
  <c r="I57" i="21"/>
  <c r="J57" i="21"/>
  <c r="K57" i="21"/>
  <c r="L57" i="21"/>
  <c r="M72" i="21"/>
  <c r="M140" i="21" s="1"/>
  <c r="I14" i="4"/>
  <c r="J14" i="4"/>
  <c r="J64" i="21" s="1"/>
  <c r="K14" i="4"/>
  <c r="L14" i="4"/>
  <c r="L64" i="21"/>
  <c r="O134" i="21"/>
  <c r="I134" i="21" s="1"/>
  <c r="P134" i="21"/>
  <c r="J134" i="21" s="1"/>
  <c r="Q134" i="21"/>
  <c r="K134" i="21" s="1"/>
  <c r="R134" i="21"/>
  <c r="L134" i="21" s="1"/>
  <c r="O135" i="21"/>
  <c r="I135" i="21" s="1"/>
  <c r="P135" i="21"/>
  <c r="J135" i="21" s="1"/>
  <c r="Q135" i="21"/>
  <c r="K135" i="21" s="1"/>
  <c r="R135" i="21"/>
  <c r="L135" i="21" s="1"/>
  <c r="O136" i="21"/>
  <c r="I136" i="21" s="1"/>
  <c r="P136" i="21"/>
  <c r="J136" i="21" s="1"/>
  <c r="Q136" i="21"/>
  <c r="K136" i="21" s="1"/>
  <c r="R136" i="21"/>
  <c r="L136" i="21" s="1"/>
  <c r="I126" i="21"/>
  <c r="I127" i="21"/>
  <c r="I128" i="21"/>
  <c r="I129" i="21"/>
  <c r="I130" i="21"/>
  <c r="I131" i="21"/>
  <c r="I132" i="21"/>
  <c r="J126" i="21"/>
  <c r="J127" i="21"/>
  <c r="J128" i="21"/>
  <c r="J129" i="21"/>
  <c r="J130" i="21"/>
  <c r="J131" i="21"/>
  <c r="J132" i="21"/>
  <c r="K126" i="21"/>
  <c r="K127" i="21"/>
  <c r="K128" i="21"/>
  <c r="K129" i="21"/>
  <c r="K130" i="21"/>
  <c r="K131" i="21"/>
  <c r="K132" i="21"/>
  <c r="L126" i="21"/>
  <c r="L127" i="21"/>
  <c r="L128" i="21"/>
  <c r="L129" i="21"/>
  <c r="L130" i="21"/>
  <c r="L131" i="21"/>
  <c r="L132" i="21"/>
  <c r="S103" i="15"/>
  <c r="S134" i="21" s="1"/>
  <c r="S92" i="16"/>
  <c r="S135" i="21" s="1"/>
  <c r="S103" i="17"/>
  <c r="S136" i="21" s="1"/>
  <c r="O126" i="21"/>
  <c r="O127" i="21"/>
  <c r="O128" i="21"/>
  <c r="O129" i="21"/>
  <c r="O130" i="21"/>
  <c r="O131" i="21"/>
  <c r="O132" i="21"/>
  <c r="P126" i="21"/>
  <c r="P127" i="21"/>
  <c r="P128" i="21"/>
  <c r="P129" i="21"/>
  <c r="P130" i="21"/>
  <c r="P131" i="21"/>
  <c r="P132" i="21"/>
  <c r="Q140" i="21"/>
  <c r="Q126" i="21"/>
  <c r="Q127" i="21"/>
  <c r="Q128" i="21"/>
  <c r="Q129" i="21"/>
  <c r="Q130" i="21"/>
  <c r="Q131" i="21"/>
  <c r="Q132" i="21"/>
  <c r="R140" i="21"/>
  <c r="R126" i="21"/>
  <c r="R127" i="21"/>
  <c r="R128" i="21"/>
  <c r="R129" i="21"/>
  <c r="R130" i="21"/>
  <c r="R131" i="21"/>
  <c r="R132" i="21"/>
  <c r="Y62" i="21"/>
  <c r="Y103" i="15"/>
  <c r="Y134" i="21"/>
  <c r="Z134" i="21" s="1"/>
  <c r="Y92" i="16"/>
  <c r="Y135" i="21"/>
  <c r="Z135" i="21" s="1"/>
  <c r="Y103" i="17"/>
  <c r="Y136" i="21"/>
  <c r="Z136" i="21" s="1"/>
  <c r="U140" i="21"/>
  <c r="U126" i="21"/>
  <c r="U127" i="21"/>
  <c r="U128" i="21"/>
  <c r="U129" i="21"/>
  <c r="U130" i="21"/>
  <c r="U131" i="21"/>
  <c r="U132" i="21"/>
  <c r="U134" i="21"/>
  <c r="U135" i="21"/>
  <c r="U136" i="21"/>
  <c r="V140" i="21"/>
  <c r="V126" i="21"/>
  <c r="V127" i="21"/>
  <c r="V128" i="21"/>
  <c r="V129" i="21"/>
  <c r="V130" i="21"/>
  <c r="V131" i="21"/>
  <c r="V132" i="21"/>
  <c r="V134" i="21"/>
  <c r="V135" i="21"/>
  <c r="V136" i="21"/>
  <c r="W140" i="21"/>
  <c r="W126" i="21"/>
  <c r="W127" i="21"/>
  <c r="W128" i="21"/>
  <c r="W129" i="21"/>
  <c r="W130" i="21"/>
  <c r="W131" i="21"/>
  <c r="W132" i="21"/>
  <c r="W134" i="21"/>
  <c r="W135" i="21"/>
  <c r="W136" i="21"/>
  <c r="X140" i="21"/>
  <c r="X126" i="21"/>
  <c r="X127" i="21"/>
  <c r="X128" i="21"/>
  <c r="X129" i="21"/>
  <c r="X130" i="21"/>
  <c r="X131" i="21"/>
  <c r="X132" i="21"/>
  <c r="X134" i="21"/>
  <c r="X135" i="21"/>
  <c r="X136" i="21"/>
  <c r="AE62" i="21"/>
  <c r="AE103" i="15"/>
  <c r="AE134" i="21" s="1"/>
  <c r="AF134" i="21" s="1"/>
  <c r="AE92" i="16"/>
  <c r="AE135" i="21" s="1"/>
  <c r="AF135" i="21" s="1"/>
  <c r="AE103" i="17"/>
  <c r="AE136" i="21" s="1"/>
  <c r="AF136" i="21" s="1"/>
  <c r="AA140" i="21"/>
  <c r="AA126" i="21"/>
  <c r="AA127" i="21"/>
  <c r="AA128" i="21"/>
  <c r="AA129" i="21"/>
  <c r="AA130" i="21"/>
  <c r="AA131" i="21"/>
  <c r="AA132" i="21"/>
  <c r="AA134" i="21"/>
  <c r="AA135" i="21"/>
  <c r="AA136" i="21"/>
  <c r="AB140" i="21"/>
  <c r="AC140" i="21"/>
  <c r="AD140" i="21"/>
  <c r="AK92" i="16"/>
  <c r="AK135" i="21" s="1"/>
  <c r="AL135" i="21" s="1"/>
  <c r="AK103" i="17"/>
  <c r="AK136" i="21" s="1"/>
  <c r="AL136" i="21" s="1"/>
  <c r="M6" i="3"/>
  <c r="S6" i="3"/>
  <c r="M16" i="3"/>
  <c r="S16" i="3"/>
  <c r="U104" i="3"/>
  <c r="Y104" i="3" s="1"/>
  <c r="Y16" i="3"/>
  <c r="M10" i="3"/>
  <c r="S10" i="3"/>
  <c r="X51" i="3"/>
  <c r="Y51" i="3"/>
  <c r="Y10" i="3" s="1"/>
  <c r="AA10" i="3"/>
  <c r="AC10" i="3"/>
  <c r="AD10" i="3"/>
  <c r="AE10" i="3"/>
  <c r="D44" i="3"/>
  <c r="E44" i="3" s="1"/>
  <c r="G6" i="2"/>
  <c r="I4" i="2"/>
  <c r="I5" i="2"/>
  <c r="I7" i="2" s="1"/>
  <c r="J4" i="2"/>
  <c r="J5" i="2"/>
  <c r="J7" i="2"/>
  <c r="K4" i="2"/>
  <c r="K5" i="2"/>
  <c r="K7" i="2"/>
  <c r="L4" i="2"/>
  <c r="L5" i="2" s="1"/>
  <c r="L7" i="2" s="1"/>
  <c r="M20" i="2"/>
  <c r="I67" i="2"/>
  <c r="I64" i="2"/>
  <c r="J67" i="2"/>
  <c r="J64" i="2"/>
  <c r="K67" i="2"/>
  <c r="K64" i="2"/>
  <c r="K61" i="2" s="1"/>
  <c r="L67" i="2"/>
  <c r="L64" i="2" s="1"/>
  <c r="M6" i="2"/>
  <c r="P4" i="2"/>
  <c r="P5" i="2"/>
  <c r="P7" i="2" s="1"/>
  <c r="Q4" i="2"/>
  <c r="Q5" i="2"/>
  <c r="Q7" i="2"/>
  <c r="R4" i="2"/>
  <c r="R5" i="2" s="1"/>
  <c r="R7" i="2" s="1"/>
  <c r="S20" i="2"/>
  <c r="O67" i="2"/>
  <c r="O64" i="2" s="1"/>
  <c r="P67" i="2"/>
  <c r="P64" i="2"/>
  <c r="Q67" i="2"/>
  <c r="Q64" i="2"/>
  <c r="Q61" i="2" s="1"/>
  <c r="R67" i="2"/>
  <c r="R64" i="2" s="1"/>
  <c r="Y20" i="2"/>
  <c r="U67" i="2"/>
  <c r="U64" i="2"/>
  <c r="V67" i="2"/>
  <c r="V64" i="2"/>
  <c r="W67" i="2"/>
  <c r="W64" i="2"/>
  <c r="X67" i="2"/>
  <c r="X64" i="2"/>
  <c r="AE20" i="2"/>
  <c r="AA67" i="2"/>
  <c r="AA64" i="2" s="1"/>
  <c r="AB67" i="2"/>
  <c r="AB64" i="2" s="1"/>
  <c r="AC67" i="2"/>
  <c r="AC64" i="2" s="1"/>
  <c r="AD67" i="2"/>
  <c r="AD64" i="2"/>
  <c r="AK20" i="2"/>
  <c r="AG67" i="2"/>
  <c r="AG64" i="2" s="1"/>
  <c r="AH67" i="2"/>
  <c r="AH64" i="2" s="1"/>
  <c r="AI67" i="2"/>
  <c r="AI64" i="2" s="1"/>
  <c r="AJ67" i="2"/>
  <c r="AJ64" i="2" s="1"/>
  <c r="AM67" i="2"/>
  <c r="AM64" i="2"/>
  <c r="AN67" i="2"/>
  <c r="AN64" i="2"/>
  <c r="E198" i="14"/>
  <c r="G198" i="14"/>
  <c r="M6" i="8"/>
  <c r="M6" i="7"/>
  <c r="M6" i="10"/>
  <c r="M6" i="9"/>
  <c r="M6" i="16"/>
  <c r="M6" i="17"/>
  <c r="M6" i="15"/>
  <c r="S6" i="8"/>
  <c r="S6" i="7"/>
  <c r="U4" i="7"/>
  <c r="U5" i="7"/>
  <c r="U7" i="7"/>
  <c r="U17" i="7" s="1"/>
  <c r="S6" i="10"/>
  <c r="S6" i="9"/>
  <c r="S6" i="16"/>
  <c r="S6" i="17"/>
  <c r="U4" i="17" s="1"/>
  <c r="S6" i="15"/>
  <c r="U4" i="15"/>
  <c r="S76" i="16"/>
  <c r="S84" i="17"/>
  <c r="S84" i="15"/>
  <c r="F191" i="14"/>
  <c r="G6" i="7"/>
  <c r="G20" i="7"/>
  <c r="C5" i="7"/>
  <c r="C7" i="7" s="1"/>
  <c r="D4" i="7"/>
  <c r="D5" i="7"/>
  <c r="D7" i="7" s="1"/>
  <c r="E4" i="7"/>
  <c r="E5" i="7"/>
  <c r="E7" i="7" s="1"/>
  <c r="F4" i="7"/>
  <c r="F5" i="7"/>
  <c r="F7" i="7" s="1"/>
  <c r="M20" i="7"/>
  <c r="J4" i="7"/>
  <c r="J5" i="7" s="1"/>
  <c r="K4" i="7"/>
  <c r="K5" i="7" s="1"/>
  <c r="K7" i="7" s="1"/>
  <c r="L4" i="7"/>
  <c r="L5" i="7" s="1"/>
  <c r="L7" i="7" s="1"/>
  <c r="S20" i="7"/>
  <c r="P4" i="7"/>
  <c r="P5" i="7"/>
  <c r="P7" i="7"/>
  <c r="P17" i="7" s="1"/>
  <c r="Q4" i="7"/>
  <c r="Q5" i="7" s="1"/>
  <c r="R4" i="7"/>
  <c r="R5" i="7"/>
  <c r="R7" i="7" s="1"/>
  <c r="Y20" i="7"/>
  <c r="V7" i="7"/>
  <c r="V17" i="7" s="1"/>
  <c r="W7" i="7"/>
  <c r="W17" i="7" s="1"/>
  <c r="X7" i="7"/>
  <c r="X17" i="7" s="1"/>
  <c r="AE20" i="7"/>
  <c r="AK20" i="7"/>
  <c r="G32" i="7"/>
  <c r="M32" i="7"/>
  <c r="S32" i="7"/>
  <c r="Y32" i="7"/>
  <c r="AE32" i="7"/>
  <c r="AK32" i="7"/>
  <c r="G46" i="7"/>
  <c r="M46" i="7"/>
  <c r="S46" i="7"/>
  <c r="Y46" i="7"/>
  <c r="AE46" i="7"/>
  <c r="AK46" i="7"/>
  <c r="G52" i="7"/>
  <c r="M52" i="7"/>
  <c r="S52" i="7"/>
  <c r="Y52" i="7"/>
  <c r="AE52" i="7"/>
  <c r="AK52" i="7"/>
  <c r="G20" i="2"/>
  <c r="C5" i="2"/>
  <c r="C7" i="2" s="1"/>
  <c r="D4" i="2"/>
  <c r="D5" i="2"/>
  <c r="D7" i="2" s="1"/>
  <c r="E4" i="2"/>
  <c r="E5" i="2"/>
  <c r="E7" i="2" s="1"/>
  <c r="F4" i="2"/>
  <c r="F5" i="2"/>
  <c r="F7" i="2" s="1"/>
  <c r="G32" i="2"/>
  <c r="M32" i="2"/>
  <c r="S32" i="2"/>
  <c r="Y32" i="2"/>
  <c r="AE32" i="2"/>
  <c r="AK32" i="2"/>
  <c r="G46" i="2"/>
  <c r="M46" i="2"/>
  <c r="S46" i="2"/>
  <c r="Y46" i="2"/>
  <c r="G52" i="2"/>
  <c r="M52" i="2"/>
  <c r="S52" i="2"/>
  <c r="Y52" i="2"/>
  <c r="AE52" i="2"/>
  <c r="AK52" i="2"/>
  <c r="G6" i="8"/>
  <c r="G20" i="8"/>
  <c r="C5" i="8"/>
  <c r="C7" i="8" s="1"/>
  <c r="D4" i="8"/>
  <c r="D5" i="8"/>
  <c r="D7" i="8" s="1"/>
  <c r="E4" i="8"/>
  <c r="E5" i="8" s="1"/>
  <c r="F4" i="8"/>
  <c r="F5" i="8"/>
  <c r="F7" i="8"/>
  <c r="F17" i="8" s="1"/>
  <c r="M20" i="8"/>
  <c r="J4" i="8"/>
  <c r="J5" i="8"/>
  <c r="J7" i="8" s="1"/>
  <c r="K4" i="8"/>
  <c r="K5" i="8"/>
  <c r="K7" i="8" s="1"/>
  <c r="L4" i="8"/>
  <c r="L5" i="8"/>
  <c r="L7" i="8" s="1"/>
  <c r="S20" i="8"/>
  <c r="P4" i="8"/>
  <c r="P5" i="8" s="1"/>
  <c r="Q4" i="8"/>
  <c r="Q5" i="8" s="1"/>
  <c r="Q7" i="8" s="1"/>
  <c r="R4" i="8"/>
  <c r="R5" i="8"/>
  <c r="R7" i="8" s="1"/>
  <c r="Y20" i="8"/>
  <c r="V7" i="8"/>
  <c r="V17" i="8" s="1"/>
  <c r="AD20" i="8"/>
  <c r="AE20" i="8" s="1"/>
  <c r="AK20" i="8"/>
  <c r="G32" i="8"/>
  <c r="M32" i="8"/>
  <c r="S32" i="8"/>
  <c r="Y32" i="8"/>
  <c r="AE32" i="8"/>
  <c r="AK32" i="8"/>
  <c r="G46" i="8"/>
  <c r="M46" i="8"/>
  <c r="S46" i="8"/>
  <c r="Y46" i="8"/>
  <c r="AE46" i="8"/>
  <c r="AK46" i="8"/>
  <c r="G52" i="8"/>
  <c r="M52" i="8"/>
  <c r="M198" i="21" s="1"/>
  <c r="S52" i="8"/>
  <c r="S198" i="21" s="1"/>
  <c r="S199" i="21" s="1"/>
  <c r="Y52" i="8"/>
  <c r="Y198" i="21" s="1"/>
  <c r="Y199" i="21" s="1"/>
  <c r="AE52" i="8"/>
  <c r="AE198" i="21" s="1"/>
  <c r="AE199" i="21" s="1"/>
  <c r="AK52" i="8"/>
  <c r="AK198" i="21" s="1"/>
  <c r="AK199" i="21" s="1"/>
  <c r="M53" i="3"/>
  <c r="M25" i="3"/>
  <c r="M30" i="3"/>
  <c r="M20" i="3"/>
  <c r="O22" i="3"/>
  <c r="S53" i="3"/>
  <c r="S25" i="3"/>
  <c r="S26" i="3"/>
  <c r="S30" i="3"/>
  <c r="S20" i="3"/>
  <c r="S21" i="3"/>
  <c r="W53" i="3"/>
  <c r="X53" i="3" s="1"/>
  <c r="Y25" i="3"/>
  <c r="AA25" i="3"/>
  <c r="AB25" i="3" s="1"/>
  <c r="Y30" i="3"/>
  <c r="AA30" i="3" s="1"/>
  <c r="X20" i="3"/>
  <c r="Y20" i="3" s="1"/>
  <c r="AQ22" i="3"/>
  <c r="AW22" i="3"/>
  <c r="S176" i="3"/>
  <c r="O159" i="3"/>
  <c r="P159" i="3"/>
  <c r="Q159" i="3"/>
  <c r="R159" i="3"/>
  <c r="U159" i="3"/>
  <c r="V159" i="3"/>
  <c r="W159" i="3"/>
  <c r="X159" i="3"/>
  <c r="O162" i="3"/>
  <c r="O171" i="3"/>
  <c r="P162" i="3"/>
  <c r="Q162" i="3"/>
  <c r="Q171" i="3" s="1"/>
  <c r="R162" i="3"/>
  <c r="U162" i="3"/>
  <c r="U163" i="3"/>
  <c r="V162" i="3"/>
  <c r="W162" i="3"/>
  <c r="Y162" i="3" s="1"/>
  <c r="Y163" i="3" s="1"/>
  <c r="X162" i="3"/>
  <c r="M187" i="3"/>
  <c r="S187" i="3"/>
  <c r="Y187" i="3"/>
  <c r="E18" i="11"/>
  <c r="D7" i="117"/>
  <c r="D147" i="117" s="1"/>
  <c r="H5" i="117"/>
  <c r="H6" i="117"/>
  <c r="N6" i="117"/>
  <c r="T6" i="117"/>
  <c r="Z6" i="117"/>
  <c r="AF6" i="117"/>
  <c r="AL6" i="117"/>
  <c r="AR6" i="117"/>
  <c r="AX6" i="117"/>
  <c r="BD6" i="117"/>
  <c r="D68" i="117"/>
  <c r="E68" i="117"/>
  <c r="E65" i="117"/>
  <c r="F68" i="117"/>
  <c r="G68" i="117"/>
  <c r="J68" i="117"/>
  <c r="K68" i="117"/>
  <c r="K65" i="117"/>
  <c r="L68" i="117"/>
  <c r="M68" i="117"/>
  <c r="M65" i="117"/>
  <c r="P68" i="117"/>
  <c r="Q68" i="117"/>
  <c r="R68" i="117"/>
  <c r="S68" i="117"/>
  <c r="V14" i="117"/>
  <c r="AB14" i="117" s="1"/>
  <c r="AH14" i="117" s="1"/>
  <c r="AN14" i="117" s="1"/>
  <c r="AT14" i="117" s="1"/>
  <c r="AZ14" i="117" s="1"/>
  <c r="V68" i="117"/>
  <c r="AD14" i="117"/>
  <c r="AJ14" i="117"/>
  <c r="AP14" i="117" s="1"/>
  <c r="AV14" i="117" s="1"/>
  <c r="BB14" i="117" s="1"/>
  <c r="P15" i="117"/>
  <c r="S15" i="117"/>
  <c r="H21" i="117"/>
  <c r="N21" i="117"/>
  <c r="T21" i="117"/>
  <c r="J22" i="117"/>
  <c r="K22" i="117"/>
  <c r="L22" i="117"/>
  <c r="M22" i="117"/>
  <c r="P22" i="117"/>
  <c r="Q22" i="117"/>
  <c r="R22" i="117"/>
  <c r="S22" i="117"/>
  <c r="V22" i="117"/>
  <c r="W22" i="117"/>
  <c r="H24" i="117"/>
  <c r="N24" i="117"/>
  <c r="T24" i="117"/>
  <c r="Z24" i="117"/>
  <c r="AF24" i="117"/>
  <c r="AL24" i="117"/>
  <c r="AR24" i="117"/>
  <c r="AX24" i="117"/>
  <c r="BD24" i="117"/>
  <c r="D30" i="117"/>
  <c r="E30" i="117"/>
  <c r="F30" i="117"/>
  <c r="G30" i="117"/>
  <c r="J30" i="117"/>
  <c r="J31" i="117"/>
  <c r="K30" i="117"/>
  <c r="L30" i="117"/>
  <c r="L31" i="117" s="1"/>
  <c r="M30" i="117"/>
  <c r="P30" i="117"/>
  <c r="Q30" i="117"/>
  <c r="R30" i="117"/>
  <c r="S30" i="117"/>
  <c r="V30" i="117"/>
  <c r="V31" i="117" s="1"/>
  <c r="K31" i="117"/>
  <c r="M31" i="117"/>
  <c r="P31" i="117"/>
  <c r="H33" i="117"/>
  <c r="N33" i="117"/>
  <c r="T33" i="117"/>
  <c r="J34" i="117"/>
  <c r="K34" i="117"/>
  <c r="L34" i="117"/>
  <c r="M34" i="117"/>
  <c r="P34" i="117"/>
  <c r="Q34" i="117"/>
  <c r="R34" i="117"/>
  <c r="S34" i="117"/>
  <c r="V34" i="117"/>
  <c r="W34" i="117"/>
  <c r="V36" i="117"/>
  <c r="AB36" i="117" s="1"/>
  <c r="AH36" i="117" s="1"/>
  <c r="AN36" i="117" s="1"/>
  <c r="AT36" i="117" s="1"/>
  <c r="AZ36" i="117" s="1"/>
  <c r="AC36" i="117"/>
  <c r="AD36" i="117"/>
  <c r="AJ36" i="117" s="1"/>
  <c r="AP36" i="117" s="1"/>
  <c r="AV36" i="117" s="1"/>
  <c r="BB36" i="117" s="1"/>
  <c r="AE36" i="117"/>
  <c r="AK36" i="117" s="1"/>
  <c r="AQ36" i="117" s="1"/>
  <c r="AW36" i="117" s="1"/>
  <c r="BC36" i="117" s="1"/>
  <c r="J37" i="117"/>
  <c r="K37" i="117"/>
  <c r="L37" i="117"/>
  <c r="M37" i="117"/>
  <c r="P37" i="117"/>
  <c r="Q37" i="117"/>
  <c r="R37" i="117"/>
  <c r="H47" i="117"/>
  <c r="N47" i="117"/>
  <c r="T47" i="117"/>
  <c r="J48" i="117"/>
  <c r="K48" i="117"/>
  <c r="L48" i="117"/>
  <c r="M48" i="117"/>
  <c r="P48" i="117"/>
  <c r="Q48" i="117"/>
  <c r="R48" i="117"/>
  <c r="S48" i="117"/>
  <c r="V48" i="117"/>
  <c r="D50" i="117"/>
  <c r="E50" i="117"/>
  <c r="F50" i="117"/>
  <c r="G50" i="117"/>
  <c r="J50" i="117"/>
  <c r="K50" i="117"/>
  <c r="L50" i="117"/>
  <c r="M50" i="117"/>
  <c r="P50" i="117"/>
  <c r="Q50" i="117"/>
  <c r="R50" i="117"/>
  <c r="R51" i="117"/>
  <c r="S50" i="117"/>
  <c r="V50" i="117"/>
  <c r="P51" i="117"/>
  <c r="H53" i="117"/>
  <c r="N53" i="117"/>
  <c r="T53" i="117"/>
  <c r="Z53" i="117"/>
  <c r="AF53" i="117"/>
  <c r="AL53" i="117"/>
  <c r="AR53" i="117"/>
  <c r="AX53" i="117"/>
  <c r="BD53" i="117"/>
  <c r="J54" i="117"/>
  <c r="K54" i="117"/>
  <c r="L54" i="117"/>
  <c r="M54" i="117"/>
  <c r="P54" i="117"/>
  <c r="Q54" i="117"/>
  <c r="R54" i="117"/>
  <c r="S54" i="117"/>
  <c r="V54" i="117"/>
  <c r="X54" i="117"/>
  <c r="Y54" i="117"/>
  <c r="AB54" i="117"/>
  <c r="AC54" i="117"/>
  <c r="AD54" i="117"/>
  <c r="AE54" i="117"/>
  <c r="AH54" i="117"/>
  <c r="AI54" i="117"/>
  <c r="AJ54" i="117"/>
  <c r="AK54" i="117"/>
  <c r="AN54" i="117"/>
  <c r="AO54" i="117"/>
  <c r="AP54" i="117"/>
  <c r="AQ54" i="117"/>
  <c r="AT54" i="117"/>
  <c r="AU54" i="117"/>
  <c r="AV54" i="117"/>
  <c r="AW54" i="117"/>
  <c r="AZ54" i="117"/>
  <c r="BA54" i="117"/>
  <c r="BB54" i="117"/>
  <c r="BC54" i="117"/>
  <c r="D56" i="117"/>
  <c r="E56" i="117"/>
  <c r="F56" i="117"/>
  <c r="G56" i="117"/>
  <c r="J56" i="117"/>
  <c r="K56" i="117"/>
  <c r="K57" i="117"/>
  <c r="L56" i="117"/>
  <c r="L57" i="117" s="1"/>
  <c r="M56" i="117"/>
  <c r="N56" i="117"/>
  <c r="P56" i="117"/>
  <c r="Q56" i="117"/>
  <c r="R56" i="117"/>
  <c r="S56" i="117"/>
  <c r="S57" i="117" s="1"/>
  <c r="V56" i="117"/>
  <c r="V57" i="117" s="1"/>
  <c r="M57" i="117"/>
  <c r="D59" i="117"/>
  <c r="D199" i="117" s="1"/>
  <c r="H199" i="117" s="1"/>
  <c r="E59" i="117"/>
  <c r="F59" i="117"/>
  <c r="G59" i="117"/>
  <c r="H59" i="117"/>
  <c r="J59" i="117"/>
  <c r="K59" i="117"/>
  <c r="L59" i="117"/>
  <c r="M59" i="117"/>
  <c r="P59" i="117"/>
  <c r="Q59" i="117"/>
  <c r="R59" i="117"/>
  <c r="S59" i="117"/>
  <c r="S60" i="117"/>
  <c r="V59" i="117"/>
  <c r="L60" i="117"/>
  <c r="E75" i="117"/>
  <c r="E76" i="117"/>
  <c r="F75" i="117"/>
  <c r="F76" i="117"/>
  <c r="F78" i="117" s="1"/>
  <c r="G75" i="117"/>
  <c r="G76" i="117" s="1"/>
  <c r="H75" i="117"/>
  <c r="H77" i="117"/>
  <c r="J75" i="117" s="1"/>
  <c r="K75" i="117"/>
  <c r="K76" i="117" s="1"/>
  <c r="K78" i="117" s="1"/>
  <c r="L75" i="117"/>
  <c r="L76" i="117" s="1"/>
  <c r="L78" i="117" s="1"/>
  <c r="M75" i="117"/>
  <c r="N77" i="117"/>
  <c r="P75" i="117"/>
  <c r="Q75" i="117"/>
  <c r="Q76" i="117"/>
  <c r="Q78" i="117" s="1"/>
  <c r="R75" i="117"/>
  <c r="R76" i="117"/>
  <c r="R78" i="117"/>
  <c r="S75" i="117"/>
  <c r="T77" i="117"/>
  <c r="V75" i="117"/>
  <c r="D76" i="117"/>
  <c r="D78" i="117" s="1"/>
  <c r="M76" i="117"/>
  <c r="M78" i="117"/>
  <c r="S76" i="117"/>
  <c r="S78" i="117" s="1"/>
  <c r="Z76" i="117"/>
  <c r="D86" i="117"/>
  <c r="E86" i="117"/>
  <c r="G86" i="117"/>
  <c r="D138" i="117"/>
  <c r="D135" i="117"/>
  <c r="E138" i="117"/>
  <c r="F138" i="117"/>
  <c r="G138" i="117"/>
  <c r="G135" i="117"/>
  <c r="G132" i="117"/>
  <c r="K86" i="117"/>
  <c r="M86" i="117"/>
  <c r="J138" i="117"/>
  <c r="K138" i="117"/>
  <c r="K135" i="117" s="1"/>
  <c r="L138" i="117"/>
  <c r="M138" i="117"/>
  <c r="P138" i="117"/>
  <c r="Q138" i="117"/>
  <c r="R138" i="117"/>
  <c r="S138" i="117"/>
  <c r="V138" i="117"/>
  <c r="X84" i="117"/>
  <c r="H91" i="117"/>
  <c r="N91" i="117"/>
  <c r="T91" i="117"/>
  <c r="J92" i="117"/>
  <c r="K92" i="117"/>
  <c r="L92" i="117"/>
  <c r="M92" i="117"/>
  <c r="P92" i="117"/>
  <c r="Q92" i="117"/>
  <c r="R92" i="117"/>
  <c r="S92" i="117"/>
  <c r="V92" i="117"/>
  <c r="H94" i="117"/>
  <c r="N94" i="117"/>
  <c r="T94" i="117"/>
  <c r="Z94" i="117"/>
  <c r="D100" i="117"/>
  <c r="H100" i="117" s="1"/>
  <c r="E100" i="117"/>
  <c r="F100" i="117"/>
  <c r="G100" i="117"/>
  <c r="G170" i="117" s="1"/>
  <c r="J100" i="117"/>
  <c r="J101" i="117" s="1"/>
  <c r="K100" i="117"/>
  <c r="L100" i="117"/>
  <c r="N100" i="117" s="1"/>
  <c r="M100" i="117"/>
  <c r="M101" i="117"/>
  <c r="P100" i="117"/>
  <c r="P101" i="117" s="1"/>
  <c r="Q100" i="117"/>
  <c r="R100" i="117"/>
  <c r="S100" i="117"/>
  <c r="V100" i="117"/>
  <c r="V101" i="117" s="1"/>
  <c r="K101" i="117"/>
  <c r="H103" i="117"/>
  <c r="N103" i="117"/>
  <c r="T103" i="117"/>
  <c r="J104" i="117"/>
  <c r="K104" i="117"/>
  <c r="L104" i="117"/>
  <c r="M104" i="117"/>
  <c r="P104" i="117"/>
  <c r="Q104" i="117"/>
  <c r="R104" i="117"/>
  <c r="S104" i="117"/>
  <c r="V104" i="117"/>
  <c r="W106" i="117"/>
  <c r="X106" i="117"/>
  <c r="Y106" i="117"/>
  <c r="J107" i="117"/>
  <c r="K107" i="117"/>
  <c r="L107" i="117"/>
  <c r="M107" i="117"/>
  <c r="P107" i="117"/>
  <c r="Q107" i="117"/>
  <c r="R107" i="117"/>
  <c r="S107" i="117"/>
  <c r="V107" i="117"/>
  <c r="H117" i="117"/>
  <c r="H120" i="117" s="1"/>
  <c r="N117" i="117"/>
  <c r="T117" i="117"/>
  <c r="J118" i="117"/>
  <c r="K118" i="117"/>
  <c r="L118" i="117"/>
  <c r="M118" i="117"/>
  <c r="P118" i="117"/>
  <c r="Q118" i="117"/>
  <c r="R118" i="117"/>
  <c r="S118" i="117"/>
  <c r="V118" i="117"/>
  <c r="D120" i="117"/>
  <c r="E120" i="117"/>
  <c r="F120" i="117"/>
  <c r="G120" i="117"/>
  <c r="J120" i="117"/>
  <c r="K120" i="117"/>
  <c r="L120" i="117"/>
  <c r="M120" i="117"/>
  <c r="P120" i="117"/>
  <c r="P121" i="117" s="1"/>
  <c r="Q120" i="117"/>
  <c r="Q121" i="117" s="1"/>
  <c r="R120" i="117"/>
  <c r="R121" i="117" s="1"/>
  <c r="S120" i="117"/>
  <c r="T120" i="117"/>
  <c r="V120" i="117"/>
  <c r="L121" i="117"/>
  <c r="V121" i="117"/>
  <c r="H123" i="117"/>
  <c r="H126" i="117" s="1"/>
  <c r="N123" i="117"/>
  <c r="T123" i="117"/>
  <c r="Z123" i="117"/>
  <c r="J124" i="117"/>
  <c r="K124" i="117"/>
  <c r="L124" i="117"/>
  <c r="M124" i="117"/>
  <c r="P124" i="117"/>
  <c r="Q124" i="117"/>
  <c r="R124" i="117"/>
  <c r="S124" i="117"/>
  <c r="V124" i="117"/>
  <c r="W124" i="117"/>
  <c r="X124" i="117"/>
  <c r="Y124" i="117"/>
  <c r="D126" i="117"/>
  <c r="E126" i="117"/>
  <c r="F126" i="117"/>
  <c r="G126" i="117"/>
  <c r="J126" i="117"/>
  <c r="K126" i="117"/>
  <c r="L126" i="117"/>
  <c r="M126" i="117"/>
  <c r="P126" i="117"/>
  <c r="P127" i="117" s="1"/>
  <c r="Q126" i="117"/>
  <c r="R126" i="117"/>
  <c r="R127" i="117"/>
  <c r="S126" i="117"/>
  <c r="T126" i="117"/>
  <c r="V126" i="117"/>
  <c r="L127" i="117"/>
  <c r="Q127" i="117"/>
  <c r="V127" i="117"/>
  <c r="D129" i="117"/>
  <c r="E129" i="117"/>
  <c r="F129" i="117"/>
  <c r="G129" i="117"/>
  <c r="J129" i="117"/>
  <c r="J199" i="117" s="1"/>
  <c r="K129" i="117"/>
  <c r="L129" i="117"/>
  <c r="L199" i="117"/>
  <c r="M129" i="117"/>
  <c r="P129" i="117"/>
  <c r="Q129" i="117"/>
  <c r="R129" i="117"/>
  <c r="S129" i="117"/>
  <c r="V129" i="117"/>
  <c r="J130" i="117"/>
  <c r="L130" i="117"/>
  <c r="S130" i="117"/>
  <c r="D145" i="117"/>
  <c r="H145" i="117" s="1"/>
  <c r="D161" i="117"/>
  <c r="H161" i="117" s="1"/>
  <c r="N162" i="117" s="1"/>
  <c r="E161" i="117"/>
  <c r="F161" i="117"/>
  <c r="G161" i="117"/>
  <c r="J161" i="117"/>
  <c r="J162" i="117"/>
  <c r="K161" i="117"/>
  <c r="K162" i="117"/>
  <c r="L161" i="117"/>
  <c r="M161" i="117"/>
  <c r="P161" i="117"/>
  <c r="Q161" i="117"/>
  <c r="Q162" i="117" s="1"/>
  <c r="R161" i="117"/>
  <c r="S161" i="117"/>
  <c r="V161" i="117"/>
  <c r="V162" i="117"/>
  <c r="L162" i="117"/>
  <c r="M162" i="117"/>
  <c r="R162" i="117"/>
  <c r="S162" i="117"/>
  <c r="AF164" i="117"/>
  <c r="AL164" i="117"/>
  <c r="AR164" i="117"/>
  <c r="D170" i="117"/>
  <c r="F170" i="117"/>
  <c r="K170" i="117"/>
  <c r="D173" i="117"/>
  <c r="E173" i="117"/>
  <c r="F173" i="117"/>
  <c r="G173" i="117"/>
  <c r="J173" i="117"/>
  <c r="J174" i="117" s="1"/>
  <c r="K173" i="117"/>
  <c r="L173" i="117"/>
  <c r="L174" i="117" s="1"/>
  <c r="M173" i="117"/>
  <c r="P173" i="117"/>
  <c r="Q173" i="117"/>
  <c r="Q174" i="117" s="1"/>
  <c r="Q217" i="117" s="1"/>
  <c r="R173" i="117"/>
  <c r="S173" i="117"/>
  <c r="S216" i="117" s="1"/>
  <c r="S219" i="117" s="1"/>
  <c r="V173" i="117"/>
  <c r="D187" i="117"/>
  <c r="E187" i="117"/>
  <c r="F187" i="117"/>
  <c r="G187" i="117"/>
  <c r="J187" i="117"/>
  <c r="J188" i="117"/>
  <c r="K187" i="117"/>
  <c r="L187" i="117"/>
  <c r="L188" i="117" s="1"/>
  <c r="M187" i="117"/>
  <c r="P187" i="117"/>
  <c r="P222" i="117" s="1"/>
  <c r="P258" i="117" s="1"/>
  <c r="Q187" i="117"/>
  <c r="R187" i="117"/>
  <c r="S187" i="117"/>
  <c r="V187" i="117"/>
  <c r="P188" i="117"/>
  <c r="J190" i="117"/>
  <c r="D193" i="117"/>
  <c r="E193" i="117"/>
  <c r="F193" i="117"/>
  <c r="F196" i="117" s="1"/>
  <c r="G193" i="117"/>
  <c r="G196" i="117" s="1"/>
  <c r="M197" i="117" s="1"/>
  <c r="J193" i="117"/>
  <c r="J196" i="117"/>
  <c r="K193" i="117"/>
  <c r="L193" i="117"/>
  <c r="L196" i="117" s="1"/>
  <c r="L197" i="117" s="1"/>
  <c r="M193" i="117"/>
  <c r="P193" i="117"/>
  <c r="P196" i="117" s="1"/>
  <c r="Q193" i="117"/>
  <c r="R193" i="117"/>
  <c r="R196" i="117" s="1"/>
  <c r="R197" i="117" s="1"/>
  <c r="S193" i="117"/>
  <c r="V193" i="117"/>
  <c r="V261" i="117" s="1"/>
  <c r="AF193" i="117"/>
  <c r="AR194" i="117"/>
  <c r="L194" i="117"/>
  <c r="V194" i="117"/>
  <c r="W194" i="117"/>
  <c r="Y194" i="117"/>
  <c r="AB194" i="117"/>
  <c r="AD194" i="117"/>
  <c r="AE194" i="117"/>
  <c r="AH194" i="117"/>
  <c r="AJ194" i="117"/>
  <c r="AN194" i="117"/>
  <c r="AO194" i="117"/>
  <c r="AT194" i="117"/>
  <c r="AU194" i="117"/>
  <c r="AV194" i="117"/>
  <c r="AZ194" i="117"/>
  <c r="BA194" i="117"/>
  <c r="BB194" i="117"/>
  <c r="BC194" i="117"/>
  <c r="V196" i="117"/>
  <c r="G199" i="117"/>
  <c r="Q216" i="117"/>
  <c r="V216" i="117"/>
  <c r="R222" i="117"/>
  <c r="V222" i="117"/>
  <c r="P295" i="117"/>
  <c r="P297" i="117" s="1"/>
  <c r="P228" i="117" s="1"/>
  <c r="P234" i="117"/>
  <c r="Q234" i="117"/>
  <c r="R234" i="117"/>
  <c r="S234" i="117"/>
  <c r="T234" i="117" s="1"/>
  <c r="V234" i="117"/>
  <c r="T239" i="117"/>
  <c r="Z239" i="117"/>
  <c r="AF239" i="117"/>
  <c r="AL239" i="117"/>
  <c r="B246" i="117"/>
  <c r="R258" i="117"/>
  <c r="Q261" i="117"/>
  <c r="W262" i="117"/>
  <c r="S261" i="117"/>
  <c r="AE261" i="117"/>
  <c r="AQ261" i="117"/>
  <c r="AH262" i="117"/>
  <c r="AI262" i="117"/>
  <c r="AO262" i="117"/>
  <c r="AT262" i="117"/>
  <c r="T267" i="117"/>
  <c r="AF267" i="117"/>
  <c r="AR267" i="117"/>
  <c r="BD267" i="117"/>
  <c r="T269" i="117"/>
  <c r="T274" i="117"/>
  <c r="T276" i="117"/>
  <c r="T280" i="117"/>
  <c r="J295" i="117"/>
  <c r="K295" i="117"/>
  <c r="K297" i="117" s="1"/>
  <c r="L295" i="117"/>
  <c r="L297" i="117" s="1"/>
  <c r="R298" i="117" s="1"/>
  <c r="M295" i="117"/>
  <c r="M297" i="117" s="1"/>
  <c r="N296" i="117"/>
  <c r="T296" i="117"/>
  <c r="S5" i="20"/>
  <c r="Y6" i="20" s="1"/>
  <c r="Y5" i="20"/>
  <c r="AE5" i="20"/>
  <c r="AK5" i="20"/>
  <c r="AQ5" i="20"/>
  <c r="AQ6" i="20"/>
  <c r="U6" i="20"/>
  <c r="V6" i="20"/>
  <c r="W6" i="20"/>
  <c r="X6" i="20"/>
  <c r="AA6" i="20"/>
  <c r="AB6" i="20"/>
  <c r="AC6" i="20"/>
  <c r="AD6" i="20"/>
  <c r="AG6" i="20"/>
  <c r="AH6" i="20"/>
  <c r="AI6" i="20"/>
  <c r="AJ6" i="20"/>
  <c r="AK6" i="20"/>
  <c r="AM6" i="20"/>
  <c r="O8" i="20"/>
  <c r="P8" i="20"/>
  <c r="Q8" i="20"/>
  <c r="R8" i="20"/>
  <c r="S8" i="20" s="1"/>
  <c r="U8" i="20"/>
  <c r="U11" i="20" s="1"/>
  <c r="V8" i="20"/>
  <c r="W8" i="20"/>
  <c r="W11" i="20"/>
  <c r="X8" i="20"/>
  <c r="AA8" i="20"/>
  <c r="AA9" i="20"/>
  <c r="AB8" i="20"/>
  <c r="AH9" i="20" s="1"/>
  <c r="AC8" i="20"/>
  <c r="AC11" i="20"/>
  <c r="AD8" i="20"/>
  <c r="AG8" i="20"/>
  <c r="AG11" i="20"/>
  <c r="AJ9" i="20"/>
  <c r="AM9" i="20"/>
  <c r="R11" i="20"/>
  <c r="AD11" i="20"/>
  <c r="AH11" i="20"/>
  <c r="AI11" i="20"/>
  <c r="AI12" i="20" s="1"/>
  <c r="AO12" i="20"/>
  <c r="AJ11" i="20"/>
  <c r="AM11" i="20"/>
  <c r="S14" i="20"/>
  <c r="Y14" i="20"/>
  <c r="Y17" i="20" s="1"/>
  <c r="Y18" i="20" s="1"/>
  <c r="AE14" i="20"/>
  <c r="AK14" i="20"/>
  <c r="U15" i="20"/>
  <c r="V15" i="20"/>
  <c r="W15" i="20"/>
  <c r="AA15" i="20"/>
  <c r="AB15" i="20"/>
  <c r="AC15" i="20"/>
  <c r="AD15" i="20"/>
  <c r="AG15" i="20"/>
  <c r="AH15" i="20"/>
  <c r="AI15" i="20"/>
  <c r="AJ15" i="20"/>
  <c r="AM15" i="20"/>
  <c r="AN15" i="20"/>
  <c r="O17" i="20"/>
  <c r="P17" i="20"/>
  <c r="Q17" i="20"/>
  <c r="R17" i="20"/>
  <c r="U17" i="20"/>
  <c r="U18" i="20"/>
  <c r="V17" i="20"/>
  <c r="V18" i="20"/>
  <c r="W17" i="20"/>
  <c r="W18" i="20"/>
  <c r="X17" i="20"/>
  <c r="AA17" i="20"/>
  <c r="AB17" i="20"/>
  <c r="AB18" i="20"/>
  <c r="AC17" i="20"/>
  <c r="AD17" i="20"/>
  <c r="AG17" i="20"/>
  <c r="AH17" i="20"/>
  <c r="AH18" i="20" s="1"/>
  <c r="AI17" i="20"/>
  <c r="AI18" i="20" s="1"/>
  <c r="AJ17" i="20"/>
  <c r="AK17" i="20"/>
  <c r="AM17" i="20"/>
  <c r="AN17" i="20"/>
  <c r="AC18" i="20"/>
  <c r="AJ18" i="20"/>
  <c r="S20" i="20"/>
  <c r="Y20" i="20"/>
  <c r="Y21" i="20" s="1"/>
  <c r="AE20" i="20"/>
  <c r="AK20" i="20"/>
  <c r="AK23" i="20" s="1"/>
  <c r="AK24" i="20" s="1"/>
  <c r="U21" i="20"/>
  <c r="V21" i="20"/>
  <c r="W21" i="20"/>
  <c r="X21" i="20"/>
  <c r="AA21" i="20"/>
  <c r="AB21" i="20"/>
  <c r="AC21" i="20"/>
  <c r="AD21" i="20"/>
  <c r="AG21" i="20"/>
  <c r="AH21" i="20"/>
  <c r="AI21" i="20"/>
  <c r="AJ21" i="20"/>
  <c r="AM21" i="20"/>
  <c r="AN21" i="20"/>
  <c r="O23" i="20"/>
  <c r="P23" i="20"/>
  <c r="Q23" i="20"/>
  <c r="R23" i="20"/>
  <c r="U23" i="20"/>
  <c r="V23" i="20"/>
  <c r="W23" i="20"/>
  <c r="W24" i="20" s="1"/>
  <c r="X23" i="20"/>
  <c r="Y23" i="20"/>
  <c r="AA23" i="20"/>
  <c r="AB23" i="20"/>
  <c r="AB24" i="20" s="1"/>
  <c r="AC23" i="20"/>
  <c r="AD23" i="20"/>
  <c r="AE23" i="20"/>
  <c r="AG23" i="20"/>
  <c r="AG24" i="20" s="1"/>
  <c r="AA24" i="20"/>
  <c r="AH24" i="20"/>
  <c r="AM24" i="20"/>
  <c r="O26" i="20"/>
  <c r="P26" i="20"/>
  <c r="Q26" i="20"/>
  <c r="R26" i="20"/>
  <c r="U26" i="20"/>
  <c r="V26" i="20"/>
  <c r="Y26" i="20"/>
  <c r="W26" i="20"/>
  <c r="X26" i="20"/>
  <c r="AA26" i="20"/>
  <c r="AB26" i="20"/>
  <c r="AC26" i="20"/>
  <c r="AD26" i="20"/>
  <c r="AG26" i="20"/>
  <c r="AG28" i="20"/>
  <c r="AH26" i="20"/>
  <c r="AN28" i="20" s="1"/>
  <c r="AI26" i="20"/>
  <c r="AI28" i="20"/>
  <c r="AJ26" i="20"/>
  <c r="AM26" i="20"/>
  <c r="AM28" i="20" s="1"/>
  <c r="AA1" i="4"/>
  <c r="AC1" i="4"/>
  <c r="AD1" i="4"/>
  <c r="AE4" i="4"/>
  <c r="S5" i="4"/>
  <c r="AE5" i="4"/>
  <c r="AK5" i="4"/>
  <c r="AQ5" i="4"/>
  <c r="V6" i="4"/>
  <c r="W6" i="4"/>
  <c r="X6" i="4"/>
  <c r="AA6" i="4"/>
  <c r="AC6" i="4"/>
  <c r="AD6" i="4"/>
  <c r="AH6" i="4"/>
  <c r="AI6" i="4"/>
  <c r="AJ6" i="4"/>
  <c r="AM6" i="4"/>
  <c r="AE7" i="4"/>
  <c r="Y8" i="4"/>
  <c r="AE8" i="4"/>
  <c r="AK8" i="4"/>
  <c r="AK9" i="4"/>
  <c r="U9" i="4"/>
  <c r="W9" i="4"/>
  <c r="AA9" i="4"/>
  <c r="AB9" i="4"/>
  <c r="AC9" i="4"/>
  <c r="AD9" i="4"/>
  <c r="AG9" i="4"/>
  <c r="AH9" i="4"/>
  <c r="AI9" i="4"/>
  <c r="AJ9" i="4"/>
  <c r="AM9" i="4"/>
  <c r="AN9" i="4"/>
  <c r="O11" i="4"/>
  <c r="Q11" i="4"/>
  <c r="V11" i="4"/>
  <c r="W11" i="4"/>
  <c r="X11" i="4"/>
  <c r="AA11" i="4"/>
  <c r="AC11" i="4"/>
  <c r="AD11" i="4"/>
  <c r="AE11" i="4"/>
  <c r="AG11" i="4"/>
  <c r="AG12" i="4"/>
  <c r="M14" i="4"/>
  <c r="Y14" i="4"/>
  <c r="AE14" i="4"/>
  <c r="AK14" i="4"/>
  <c r="AK17" i="4" s="1"/>
  <c r="U15" i="4"/>
  <c r="V15" i="4"/>
  <c r="W15" i="4"/>
  <c r="X15" i="4"/>
  <c r="AB15" i="4"/>
  <c r="AC15" i="4"/>
  <c r="AD15" i="4"/>
  <c r="AG15" i="4"/>
  <c r="AH15" i="4"/>
  <c r="AI15" i="4"/>
  <c r="AJ15" i="4"/>
  <c r="AM15" i="4"/>
  <c r="AN15" i="4"/>
  <c r="J17" i="4"/>
  <c r="O17" i="4"/>
  <c r="Q17" i="4"/>
  <c r="V17" i="4"/>
  <c r="W17" i="4"/>
  <c r="X17" i="4"/>
  <c r="AA17" i="4"/>
  <c r="AC17" i="4"/>
  <c r="AD17" i="4"/>
  <c r="AJ18" i="4" s="1"/>
  <c r="AE17" i="4"/>
  <c r="AG17" i="4"/>
  <c r="P20" i="4"/>
  <c r="R20" i="4"/>
  <c r="U20" i="4"/>
  <c r="V20" i="4"/>
  <c r="Y20" i="4"/>
  <c r="W20" i="4"/>
  <c r="X20" i="4"/>
  <c r="X21" i="4" s="1"/>
  <c r="AA20" i="4"/>
  <c r="AB20" i="4"/>
  <c r="AC20" i="4"/>
  <c r="AD20" i="4"/>
  <c r="AG20" i="4"/>
  <c r="AK20" i="4" s="1"/>
  <c r="AH20" i="4"/>
  <c r="AI20" i="4"/>
  <c r="AJ20" i="4"/>
  <c r="AM20" i="4"/>
  <c r="AN20" i="4"/>
  <c r="AN21" i="4" s="1"/>
  <c r="S30" i="4"/>
  <c r="Y30" i="4"/>
  <c r="AE30" i="4"/>
  <c r="AI30" i="4"/>
  <c r="AJ30" i="4"/>
  <c r="AK30" i="4" s="1"/>
  <c r="AK31" i="4" s="1"/>
  <c r="AM30" i="4"/>
  <c r="AN30" i="4"/>
  <c r="AP30" i="4"/>
  <c r="AS30" i="4"/>
  <c r="U31" i="4"/>
  <c r="V31" i="4"/>
  <c r="W31" i="4"/>
  <c r="X31" i="4"/>
  <c r="AA31" i="4"/>
  <c r="AB31" i="4"/>
  <c r="AC31" i="4"/>
  <c r="AD31" i="4"/>
  <c r="AG31" i="4"/>
  <c r="AH31" i="4"/>
  <c r="S33" i="4"/>
  <c r="S36" i="4" s="1"/>
  <c r="Y37" i="4" s="1"/>
  <c r="Y33" i="4"/>
  <c r="Y34" i="4"/>
  <c r="AE33" i="4"/>
  <c r="AC36" i="4"/>
  <c r="AI36" i="4" s="1"/>
  <c r="AD36" i="4"/>
  <c r="AG36" i="4"/>
  <c r="AH36" i="4"/>
  <c r="AN36" i="4" s="1"/>
  <c r="U34" i="4"/>
  <c r="V34" i="4"/>
  <c r="W34" i="4"/>
  <c r="X34" i="4"/>
  <c r="AA34" i="4"/>
  <c r="AB34" i="4"/>
  <c r="AC34" i="4"/>
  <c r="AD34" i="4"/>
  <c r="AG34" i="4"/>
  <c r="AH34" i="4"/>
  <c r="O36" i="4"/>
  <c r="P36" i="4"/>
  <c r="Q36" i="4"/>
  <c r="R36" i="4"/>
  <c r="U36" i="4"/>
  <c r="U37" i="4"/>
  <c r="V36" i="4"/>
  <c r="V37" i="4"/>
  <c r="W36" i="4"/>
  <c r="W37" i="4"/>
  <c r="X36" i="4"/>
  <c r="AA36" i="4"/>
  <c r="AA37" i="4" s="1"/>
  <c r="AB36" i="4"/>
  <c r="AB37" i="4" s="1"/>
  <c r="AC37" i="4"/>
  <c r="S39" i="4"/>
  <c r="S42" i="4"/>
  <c r="Y39" i="4"/>
  <c r="AE39" i="4"/>
  <c r="AC42" i="4"/>
  <c r="AI42" i="4"/>
  <c r="AO42" i="4" s="1"/>
  <c r="AD42" i="4"/>
  <c r="AG42" i="4"/>
  <c r="AH42" i="4"/>
  <c r="AN42" i="4" s="1"/>
  <c r="U40" i="4"/>
  <c r="V40" i="4"/>
  <c r="W40" i="4"/>
  <c r="X40" i="4"/>
  <c r="Y40" i="4"/>
  <c r="AA40" i="4"/>
  <c r="AB40" i="4"/>
  <c r="AC40" i="4"/>
  <c r="AD40" i="4"/>
  <c r="AG40" i="4"/>
  <c r="AH40" i="4"/>
  <c r="O42" i="4"/>
  <c r="P42" i="4"/>
  <c r="Q42" i="4"/>
  <c r="R42" i="4"/>
  <c r="U42" i="4"/>
  <c r="U43" i="4"/>
  <c r="V42" i="4"/>
  <c r="W42" i="4"/>
  <c r="W43" i="4" s="1"/>
  <c r="X42" i="4"/>
  <c r="AA42" i="4"/>
  <c r="AA43" i="4"/>
  <c r="AB42" i="4"/>
  <c r="AB43" i="4"/>
  <c r="AC43" i="4"/>
  <c r="O45" i="4"/>
  <c r="P45" i="4"/>
  <c r="Q45" i="4"/>
  <c r="R45" i="4"/>
  <c r="S45" i="4" s="1"/>
  <c r="U45" i="4"/>
  <c r="V45" i="4"/>
  <c r="W45" i="4"/>
  <c r="X45" i="4"/>
  <c r="AA45" i="4"/>
  <c r="AA46" i="4"/>
  <c r="AB45" i="4"/>
  <c r="AC45" i="4"/>
  <c r="AC46" i="4" s="1"/>
  <c r="AD45" i="4"/>
  <c r="AD46" i="4" s="1"/>
  <c r="AG45" i="4"/>
  <c r="AH45" i="4"/>
  <c r="U46" i="4"/>
  <c r="AB46" i="4"/>
  <c r="AG46" i="4"/>
  <c r="S54" i="4"/>
  <c r="Y54" i="4"/>
  <c r="Y55" i="4" s="1"/>
  <c r="AE54" i="4"/>
  <c r="AI54" i="4"/>
  <c r="AJ54" i="4"/>
  <c r="AK54" i="4"/>
  <c r="AK55" i="4" s="1"/>
  <c r="AM54" i="4"/>
  <c r="AN54" i="4"/>
  <c r="AP54" i="4"/>
  <c r="AS54" i="4"/>
  <c r="AY54" i="4" s="1"/>
  <c r="U55" i="4"/>
  <c r="V55" i="4"/>
  <c r="W55" i="4"/>
  <c r="X55" i="4"/>
  <c r="AA55" i="4"/>
  <c r="AB55" i="4"/>
  <c r="AC55" i="4"/>
  <c r="AD55" i="4"/>
  <c r="AG55" i="4"/>
  <c r="AH55" i="4"/>
  <c r="S57" i="4"/>
  <c r="S60" i="4" s="1"/>
  <c r="Y57" i="4"/>
  <c r="AE57" i="4"/>
  <c r="AC60" i="4"/>
  <c r="AI60" i="4" s="1"/>
  <c r="AD60" i="4"/>
  <c r="AG60" i="4"/>
  <c r="AH60" i="4"/>
  <c r="AN60" i="4" s="1"/>
  <c r="U58" i="4"/>
  <c r="V58" i="4"/>
  <c r="W58" i="4"/>
  <c r="X58" i="4"/>
  <c r="AA58" i="4"/>
  <c r="AB58" i="4"/>
  <c r="AC58" i="4"/>
  <c r="AD58" i="4"/>
  <c r="AG58" i="4"/>
  <c r="AH58" i="4"/>
  <c r="O60" i="4"/>
  <c r="P60" i="4"/>
  <c r="Q60" i="4"/>
  <c r="R60" i="4"/>
  <c r="U60" i="4"/>
  <c r="V60" i="4"/>
  <c r="W60" i="4"/>
  <c r="W61" i="4"/>
  <c r="X60" i="4"/>
  <c r="X61" i="4" s="1"/>
  <c r="AA60" i="4"/>
  <c r="AB60" i="4"/>
  <c r="V61" i="4"/>
  <c r="S63" i="4"/>
  <c r="S66" i="4"/>
  <c r="Y63" i="4"/>
  <c r="AE63" i="4"/>
  <c r="AC66" i="4"/>
  <c r="AI66" i="4"/>
  <c r="AD66" i="4"/>
  <c r="AG66" i="4"/>
  <c r="AH66" i="4"/>
  <c r="AN66" i="4"/>
  <c r="U64" i="4"/>
  <c r="V64" i="4"/>
  <c r="W64" i="4"/>
  <c r="X64" i="4"/>
  <c r="AA64" i="4"/>
  <c r="AB64" i="4"/>
  <c r="AC64" i="4"/>
  <c r="AD64" i="4"/>
  <c r="AG64" i="4"/>
  <c r="AH64" i="4"/>
  <c r="O66" i="4"/>
  <c r="P66" i="4"/>
  <c r="Q66" i="4"/>
  <c r="R66" i="4"/>
  <c r="U66" i="4"/>
  <c r="V66" i="4"/>
  <c r="W66" i="4"/>
  <c r="W67" i="4" s="1"/>
  <c r="X66" i="4"/>
  <c r="X67" i="4"/>
  <c r="Y66" i="4"/>
  <c r="Y67" i="4" s="1"/>
  <c r="AA66" i="4"/>
  <c r="AB66" i="4"/>
  <c r="V67" i="4"/>
  <c r="O69" i="4"/>
  <c r="P69" i="4"/>
  <c r="Q69" i="4"/>
  <c r="S69" i="4" s="1"/>
  <c r="Y70" i="4" s="1"/>
  <c r="R69" i="4"/>
  <c r="U69" i="4"/>
  <c r="U70" i="4"/>
  <c r="V69" i="4"/>
  <c r="W69" i="4"/>
  <c r="X69" i="4"/>
  <c r="AA69" i="4"/>
  <c r="AA70" i="4" s="1"/>
  <c r="AB69" i="4"/>
  <c r="AC69" i="4"/>
  <c r="AC70" i="4" s="1"/>
  <c r="AD69" i="4"/>
  <c r="AG69" i="4"/>
  <c r="AH69" i="4"/>
  <c r="S79" i="4"/>
  <c r="Y79" i="4"/>
  <c r="AE79" i="4"/>
  <c r="AE80" i="4"/>
  <c r="AI79" i="4"/>
  <c r="AJ79" i="4"/>
  <c r="AM79" i="4"/>
  <c r="AS79" i="4"/>
  <c r="AY79" i="4" s="1"/>
  <c r="AN79" i="4"/>
  <c r="AP79" i="4"/>
  <c r="U80" i="4"/>
  <c r="V80" i="4"/>
  <c r="W80" i="4"/>
  <c r="X80" i="4"/>
  <c r="AA80" i="4"/>
  <c r="AB80" i="4"/>
  <c r="AC80" i="4"/>
  <c r="AD80" i="4"/>
  <c r="AG80" i="4"/>
  <c r="AH80" i="4"/>
  <c r="S82" i="4"/>
  <c r="S85" i="4"/>
  <c r="Y82" i="4"/>
  <c r="Y85" i="4"/>
  <c r="AE82" i="4"/>
  <c r="AC85" i="4"/>
  <c r="AI85" i="4" s="1"/>
  <c r="AD85" i="4"/>
  <c r="AG85" i="4"/>
  <c r="AH85" i="4"/>
  <c r="AN85" i="4" s="1"/>
  <c r="U83" i="4"/>
  <c r="V83" i="4"/>
  <c r="W83" i="4"/>
  <c r="X83" i="4"/>
  <c r="AA83" i="4"/>
  <c r="AB83" i="4"/>
  <c r="AC83" i="4"/>
  <c r="AD83" i="4"/>
  <c r="AG83" i="4"/>
  <c r="AH83" i="4"/>
  <c r="O85" i="4"/>
  <c r="P85" i="4"/>
  <c r="Q85" i="4"/>
  <c r="R85" i="4"/>
  <c r="U85" i="4"/>
  <c r="V85" i="4"/>
  <c r="V86" i="4"/>
  <c r="W85" i="4"/>
  <c r="W86" i="4"/>
  <c r="X85" i="4"/>
  <c r="X86" i="4"/>
  <c r="AA85" i="4"/>
  <c r="AB85" i="4"/>
  <c r="S88" i="4"/>
  <c r="Y88" i="4"/>
  <c r="Y91" i="4" s="1"/>
  <c r="Y92" i="4" s="1"/>
  <c r="AE88" i="4"/>
  <c r="AC91" i="4"/>
  <c r="AI91" i="4"/>
  <c r="AD91" i="4"/>
  <c r="AJ91" i="4"/>
  <c r="AJ88" i="4" s="1"/>
  <c r="AG91" i="4"/>
  <c r="AM91" i="4"/>
  <c r="AS91" i="4" s="1"/>
  <c r="AH91" i="4"/>
  <c r="AN91" i="4"/>
  <c r="U89" i="4"/>
  <c r="V89" i="4"/>
  <c r="W89" i="4"/>
  <c r="X89" i="4"/>
  <c r="AA89" i="4"/>
  <c r="AB89" i="4"/>
  <c r="AC89" i="4"/>
  <c r="AD89" i="4"/>
  <c r="AG89" i="4"/>
  <c r="AH89" i="4"/>
  <c r="O91" i="4"/>
  <c r="P91" i="4"/>
  <c r="Q91" i="4"/>
  <c r="R91" i="4"/>
  <c r="U91" i="4"/>
  <c r="V91" i="4"/>
  <c r="V92" i="4" s="1"/>
  <c r="W91" i="4"/>
  <c r="X91" i="4"/>
  <c r="X92" i="4" s="1"/>
  <c r="AA91" i="4"/>
  <c r="AB91" i="4"/>
  <c r="AB92" i="4" s="1"/>
  <c r="O94" i="4"/>
  <c r="P94" i="4"/>
  <c r="Q94" i="4"/>
  <c r="R94" i="4"/>
  <c r="U94" i="4"/>
  <c r="U95" i="4" s="1"/>
  <c r="V94" i="4"/>
  <c r="W94" i="4"/>
  <c r="W95" i="4"/>
  <c r="X94" i="4"/>
  <c r="X95" i="4" s="1"/>
  <c r="AA94" i="4"/>
  <c r="AA95" i="4"/>
  <c r="AB94" i="4"/>
  <c r="AC94" i="4"/>
  <c r="AD94" i="4"/>
  <c r="AG94" i="4"/>
  <c r="AG95" i="4" s="1"/>
  <c r="AH94" i="4"/>
  <c r="AH95" i="4" s="1"/>
  <c r="S104" i="4"/>
  <c r="Y104" i="4"/>
  <c r="Y105" i="4" s="1"/>
  <c r="AE104" i="4"/>
  <c r="AI104" i="4"/>
  <c r="AJ104" i="4"/>
  <c r="AM104" i="4"/>
  <c r="AN104" i="4"/>
  <c r="AO104" i="4"/>
  <c r="AU104" i="4" s="1"/>
  <c r="AT104" i="4"/>
  <c r="U105" i="4"/>
  <c r="V105" i="4"/>
  <c r="W105" i="4"/>
  <c r="X105" i="4"/>
  <c r="AA105" i="4"/>
  <c r="AB105" i="4"/>
  <c r="AC105" i="4"/>
  <c r="AD105" i="4"/>
  <c r="AG105" i="4"/>
  <c r="AH105" i="4"/>
  <c r="S107" i="4"/>
  <c r="Y107" i="4"/>
  <c r="AE107" i="4"/>
  <c r="AE108" i="4" s="1"/>
  <c r="AC110" i="4"/>
  <c r="AD110" i="4"/>
  <c r="AJ110" i="4" s="1"/>
  <c r="AG110" i="4"/>
  <c r="AM110" i="4" s="1"/>
  <c r="AH110" i="4"/>
  <c r="U108" i="4"/>
  <c r="V108" i="4"/>
  <c r="W108" i="4"/>
  <c r="X108" i="4"/>
  <c r="AA108" i="4"/>
  <c r="AB108" i="4"/>
  <c r="AC108" i="4"/>
  <c r="AD108" i="4"/>
  <c r="AG108" i="4"/>
  <c r="AH108" i="4"/>
  <c r="O110" i="4"/>
  <c r="P110" i="4"/>
  <c r="Q110" i="4"/>
  <c r="R110" i="4"/>
  <c r="S110" i="4"/>
  <c r="U110" i="4"/>
  <c r="V110" i="4"/>
  <c r="W110" i="4"/>
  <c r="X110" i="4"/>
  <c r="AA110" i="4"/>
  <c r="AA111" i="4"/>
  <c r="AB110" i="4"/>
  <c r="AE110" i="4"/>
  <c r="U111" i="4"/>
  <c r="AB111" i="4"/>
  <c r="S113" i="4"/>
  <c r="Y113" i="4"/>
  <c r="AE113" i="4"/>
  <c r="AE116" i="4"/>
  <c r="AC116" i="4"/>
  <c r="AD116" i="4"/>
  <c r="AJ116" i="4"/>
  <c r="AG116" i="4"/>
  <c r="AM116" i="4" s="1"/>
  <c r="AH116" i="4"/>
  <c r="U114" i="4"/>
  <c r="V114" i="4"/>
  <c r="W114" i="4"/>
  <c r="X114" i="4"/>
  <c r="AA114" i="4"/>
  <c r="AB114" i="4"/>
  <c r="AC114" i="4"/>
  <c r="AD114" i="4"/>
  <c r="AG114" i="4"/>
  <c r="AH114" i="4"/>
  <c r="O116" i="4"/>
  <c r="P116" i="4"/>
  <c r="Q116" i="4"/>
  <c r="R116" i="4"/>
  <c r="U116" i="4"/>
  <c r="V116" i="4"/>
  <c r="W116" i="4"/>
  <c r="W117" i="4" s="1"/>
  <c r="X116" i="4"/>
  <c r="AA116" i="4"/>
  <c r="AA117" i="4" s="1"/>
  <c r="AB116" i="4"/>
  <c r="AB117" i="4"/>
  <c r="O119" i="4"/>
  <c r="P119" i="4"/>
  <c r="Q119" i="4"/>
  <c r="R119" i="4"/>
  <c r="U119" i="4"/>
  <c r="U120" i="4" s="1"/>
  <c r="V119" i="4"/>
  <c r="W119" i="4"/>
  <c r="W120" i="4"/>
  <c r="X119" i="4"/>
  <c r="AA119" i="4"/>
  <c r="AB119" i="4"/>
  <c r="AC119" i="4"/>
  <c r="AD119" i="4"/>
  <c r="AD120" i="4"/>
  <c r="AG119" i="4"/>
  <c r="AG120" i="4" s="1"/>
  <c r="AH119" i="4"/>
  <c r="AH120" i="4"/>
  <c r="X120" i="4"/>
  <c r="AA120" i="4"/>
  <c r="D4" i="15"/>
  <c r="D5" i="15"/>
  <c r="D7" i="15"/>
  <c r="E4" i="15"/>
  <c r="F4" i="15"/>
  <c r="F5" i="15"/>
  <c r="F7" i="15"/>
  <c r="G4" i="15"/>
  <c r="G6" i="15"/>
  <c r="I4" i="15"/>
  <c r="J4" i="15"/>
  <c r="J5" i="15" s="1"/>
  <c r="J7" i="15" s="1"/>
  <c r="K4" i="15"/>
  <c r="K5" i="15"/>
  <c r="K7" i="15" s="1"/>
  <c r="L4" i="15"/>
  <c r="L5" i="15"/>
  <c r="L7" i="15"/>
  <c r="O4" i="15"/>
  <c r="P4" i="15"/>
  <c r="Q4" i="15"/>
  <c r="Q5" i="15"/>
  <c r="R4" i="15"/>
  <c r="R5" i="15" s="1"/>
  <c r="R7" i="15" s="1"/>
  <c r="S4" i="15"/>
  <c r="S5" i="15" s="1"/>
  <c r="V4" i="15"/>
  <c r="V5" i="15"/>
  <c r="V7" i="15" s="1"/>
  <c r="C5" i="15"/>
  <c r="E5" i="15"/>
  <c r="O5" i="15"/>
  <c r="O7" i="15"/>
  <c r="P5" i="15"/>
  <c r="P7" i="15" s="1"/>
  <c r="C7" i="15"/>
  <c r="E7" i="15"/>
  <c r="E20" i="15" s="1"/>
  <c r="Q7" i="15"/>
  <c r="W7" i="15"/>
  <c r="W32" i="15"/>
  <c r="W33" i="15" s="1"/>
  <c r="X7" i="15"/>
  <c r="C23" i="15"/>
  <c r="C25" i="15"/>
  <c r="C17" i="15"/>
  <c r="D23" i="15"/>
  <c r="D25" i="15"/>
  <c r="E23" i="15"/>
  <c r="E25" i="15"/>
  <c r="E17" i="15" s="1"/>
  <c r="F23" i="15"/>
  <c r="F25" i="15"/>
  <c r="I23" i="15"/>
  <c r="I25" i="15" s="1"/>
  <c r="J23" i="15"/>
  <c r="J25" i="15"/>
  <c r="K23" i="15"/>
  <c r="K25" i="15" s="1"/>
  <c r="L23" i="15"/>
  <c r="L25" i="15"/>
  <c r="O23" i="15"/>
  <c r="O25" i="15" s="1"/>
  <c r="P23" i="15"/>
  <c r="P25" i="15"/>
  <c r="Q23" i="15"/>
  <c r="Q25" i="15" s="1"/>
  <c r="R23" i="15"/>
  <c r="R25" i="15"/>
  <c r="U23" i="15"/>
  <c r="U25" i="15" s="1"/>
  <c r="V23" i="15"/>
  <c r="V25" i="15"/>
  <c r="W23" i="15"/>
  <c r="W25" i="15"/>
  <c r="X23" i="15"/>
  <c r="X25" i="15"/>
  <c r="X75" i="15" s="1"/>
  <c r="AA23" i="15"/>
  <c r="AA25" i="15" s="1"/>
  <c r="AB23" i="15"/>
  <c r="AB25" i="15" s="1"/>
  <c r="AC23" i="15"/>
  <c r="AC25" i="15"/>
  <c r="AD23" i="15"/>
  <c r="AD25" i="15"/>
  <c r="AG75" i="15"/>
  <c r="AG72" i="15"/>
  <c r="AI75" i="15"/>
  <c r="AI72" i="15" s="1"/>
  <c r="AN75" i="15"/>
  <c r="AN72" i="15"/>
  <c r="G28" i="15"/>
  <c r="M28" i="15"/>
  <c r="S28" i="15"/>
  <c r="W20" i="15"/>
  <c r="Y28" i="15"/>
  <c r="AE28" i="15"/>
  <c r="AE29" i="15"/>
  <c r="AK28" i="15"/>
  <c r="I29" i="15"/>
  <c r="J29" i="15"/>
  <c r="K29" i="15"/>
  <c r="L29" i="15"/>
  <c r="O29" i="15"/>
  <c r="P29" i="15"/>
  <c r="Q29" i="15"/>
  <c r="R29" i="15"/>
  <c r="U29" i="15"/>
  <c r="V29" i="15"/>
  <c r="W29" i="15"/>
  <c r="X29" i="15"/>
  <c r="AA29" i="15"/>
  <c r="AB29" i="15"/>
  <c r="AC29" i="15"/>
  <c r="AD29" i="15"/>
  <c r="AG29" i="15"/>
  <c r="AH29" i="15"/>
  <c r="AI29" i="15"/>
  <c r="AJ29" i="15"/>
  <c r="AK29" i="15"/>
  <c r="AM29" i="15"/>
  <c r="AN29" i="15"/>
  <c r="E32" i="15"/>
  <c r="E33" i="15" s="1"/>
  <c r="C37" i="15"/>
  <c r="D37" i="15"/>
  <c r="E37" i="15"/>
  <c r="F37" i="15"/>
  <c r="G37" i="15" s="1"/>
  <c r="I37" i="15"/>
  <c r="J37" i="15"/>
  <c r="M37" i="15" s="1"/>
  <c r="K37" i="15"/>
  <c r="L37" i="15"/>
  <c r="O37" i="15"/>
  <c r="P37" i="15"/>
  <c r="Q37" i="15"/>
  <c r="R37" i="15"/>
  <c r="U37" i="15"/>
  <c r="U38" i="15"/>
  <c r="V37" i="15"/>
  <c r="W37" i="15"/>
  <c r="AA37" i="15"/>
  <c r="AB37" i="15"/>
  <c r="AC37" i="15"/>
  <c r="AD37" i="15"/>
  <c r="AK37" i="15"/>
  <c r="K38" i="15"/>
  <c r="AG38" i="15"/>
  <c r="AN38" i="15"/>
  <c r="G40" i="15"/>
  <c r="M40" i="15"/>
  <c r="M41" i="15" s="1"/>
  <c r="S40" i="15"/>
  <c r="S41" i="15"/>
  <c r="I41" i="15"/>
  <c r="J41" i="15"/>
  <c r="K41" i="15"/>
  <c r="L41" i="15"/>
  <c r="O41" i="15"/>
  <c r="P41" i="15"/>
  <c r="Q41" i="15"/>
  <c r="R41" i="15"/>
  <c r="U41" i="15"/>
  <c r="V41" i="15"/>
  <c r="W41" i="15"/>
  <c r="X41" i="15"/>
  <c r="AA41" i="15"/>
  <c r="AB41" i="15"/>
  <c r="AC41" i="15"/>
  <c r="AD41" i="15"/>
  <c r="AG41" i="15"/>
  <c r="AH41" i="15"/>
  <c r="AI41" i="15"/>
  <c r="AJ41" i="15"/>
  <c r="AK41" i="15"/>
  <c r="AM41" i="15"/>
  <c r="AN41" i="15"/>
  <c r="I44" i="15"/>
  <c r="J44" i="15"/>
  <c r="K44" i="15"/>
  <c r="L44" i="15"/>
  <c r="O44" i="15"/>
  <c r="P44" i="15"/>
  <c r="Q44" i="15"/>
  <c r="R44" i="15"/>
  <c r="U44" i="15"/>
  <c r="V44" i="15"/>
  <c r="W44" i="15"/>
  <c r="AA44" i="15"/>
  <c r="AB44" i="15"/>
  <c r="AC44" i="15"/>
  <c r="AG44" i="15"/>
  <c r="AH44" i="15"/>
  <c r="AI44" i="15"/>
  <c r="AJ44" i="15"/>
  <c r="G54" i="15"/>
  <c r="M54" i="15"/>
  <c r="S54" i="15"/>
  <c r="AE54" i="15"/>
  <c r="AK54" i="15"/>
  <c r="AK57" i="15" s="1"/>
  <c r="AK58" i="15" s="1"/>
  <c r="I55" i="15"/>
  <c r="J55" i="15"/>
  <c r="K55" i="15"/>
  <c r="L55" i="15"/>
  <c r="O55" i="15"/>
  <c r="P55" i="15"/>
  <c r="Q55" i="15"/>
  <c r="R55" i="15"/>
  <c r="S55" i="15"/>
  <c r="U55" i="15"/>
  <c r="V55" i="15"/>
  <c r="W55" i="15"/>
  <c r="AA55" i="15"/>
  <c r="AB55" i="15"/>
  <c r="AC55" i="15"/>
  <c r="AG55" i="15"/>
  <c r="AH55" i="15"/>
  <c r="AI55" i="15"/>
  <c r="AJ55" i="15"/>
  <c r="AN55" i="15"/>
  <c r="C57" i="15"/>
  <c r="D57" i="15"/>
  <c r="E57" i="15"/>
  <c r="F57" i="15"/>
  <c r="I57" i="15"/>
  <c r="J57" i="15"/>
  <c r="K57" i="15"/>
  <c r="L57" i="15"/>
  <c r="M57" i="15"/>
  <c r="O57" i="15"/>
  <c r="P57" i="15"/>
  <c r="Q57" i="15"/>
  <c r="R57" i="15"/>
  <c r="U57" i="15"/>
  <c r="V57" i="15"/>
  <c r="W57" i="15"/>
  <c r="W58" i="15"/>
  <c r="AA57" i="15"/>
  <c r="AB57" i="15"/>
  <c r="AB58" i="15" s="1"/>
  <c r="AC57" i="15"/>
  <c r="AD57" i="15"/>
  <c r="AG57" i="15"/>
  <c r="AG58" i="15" s="1"/>
  <c r="AH57" i="15"/>
  <c r="AI57" i="15"/>
  <c r="AI58" i="15" s="1"/>
  <c r="AJ57" i="15"/>
  <c r="AN57" i="15"/>
  <c r="P58" i="15"/>
  <c r="U58" i="15"/>
  <c r="AN58" i="15"/>
  <c r="G60" i="15"/>
  <c r="M60" i="15"/>
  <c r="S60" i="15"/>
  <c r="Y60" i="15"/>
  <c r="AE60" i="15"/>
  <c r="AK60" i="15"/>
  <c r="AK61" i="15" s="1"/>
  <c r="I61" i="15"/>
  <c r="J61" i="15"/>
  <c r="K61" i="15"/>
  <c r="L61" i="15"/>
  <c r="O61" i="15"/>
  <c r="P61" i="15"/>
  <c r="Q61" i="15"/>
  <c r="R61" i="15"/>
  <c r="S61" i="15"/>
  <c r="U61" i="15"/>
  <c r="V61" i="15"/>
  <c r="W61" i="15"/>
  <c r="X61" i="15"/>
  <c r="AA61" i="15"/>
  <c r="AB61" i="15"/>
  <c r="AC61" i="15"/>
  <c r="AD61" i="15"/>
  <c r="AG61" i="15"/>
  <c r="AH61" i="15"/>
  <c r="AI61" i="15"/>
  <c r="AJ61" i="15"/>
  <c r="C63" i="15"/>
  <c r="D63" i="15"/>
  <c r="E63" i="15"/>
  <c r="F63" i="15"/>
  <c r="I63" i="15"/>
  <c r="J63" i="15"/>
  <c r="K63" i="15"/>
  <c r="L63" i="15"/>
  <c r="M63" i="15"/>
  <c r="O63" i="15"/>
  <c r="P63" i="15"/>
  <c r="Q63" i="15"/>
  <c r="R63" i="15"/>
  <c r="S63" i="15"/>
  <c r="U63" i="15"/>
  <c r="U64" i="15" s="1"/>
  <c r="V63" i="15"/>
  <c r="W63" i="15"/>
  <c r="X63" i="15"/>
  <c r="AA63" i="15"/>
  <c r="AB63" i="15"/>
  <c r="AC63" i="15"/>
  <c r="AC64" i="15"/>
  <c r="AD63" i="15"/>
  <c r="AG63" i="15"/>
  <c r="AM64" i="15" s="1"/>
  <c r="AH63" i="15"/>
  <c r="AN64" i="15" s="1"/>
  <c r="AI63" i="15"/>
  <c r="AO64" i="15" s="1"/>
  <c r="AJ63" i="15"/>
  <c r="AK63" i="15"/>
  <c r="L64" i="15"/>
  <c r="Q64" i="15"/>
  <c r="V64" i="15"/>
  <c r="AA64" i="15"/>
  <c r="AH64" i="15"/>
  <c r="AY64" i="15"/>
  <c r="BQ64" i="15"/>
  <c r="BR64" i="15"/>
  <c r="BS64" i="15"/>
  <c r="BT64" i="15"/>
  <c r="C66" i="15"/>
  <c r="D66" i="15"/>
  <c r="E66" i="15"/>
  <c r="F66" i="15"/>
  <c r="I66" i="15"/>
  <c r="I67" i="15"/>
  <c r="J66" i="15"/>
  <c r="K66" i="15"/>
  <c r="K67" i="15" s="1"/>
  <c r="L66" i="15"/>
  <c r="L67" i="15" s="1"/>
  <c r="O66" i="15"/>
  <c r="O67" i="15" s="1"/>
  <c r="P66" i="15"/>
  <c r="Q66" i="15"/>
  <c r="Q67" i="15"/>
  <c r="R66" i="15"/>
  <c r="U66" i="15"/>
  <c r="U67" i="15" s="1"/>
  <c r="V66" i="15"/>
  <c r="W66" i="15"/>
  <c r="W67" i="15"/>
  <c r="AA66" i="15"/>
  <c r="AB66" i="15"/>
  <c r="AC66" i="15"/>
  <c r="AD66" i="15"/>
  <c r="AG66" i="15"/>
  <c r="AG67" i="15"/>
  <c r="AH66" i="15"/>
  <c r="AI66" i="15"/>
  <c r="AI67" i="15" s="1"/>
  <c r="AJ66" i="15"/>
  <c r="AJ67" i="15" s="1"/>
  <c r="AM66" i="15"/>
  <c r="AM67" i="15" s="1"/>
  <c r="AN66" i="15"/>
  <c r="J67" i="15"/>
  <c r="V67" i="15"/>
  <c r="AC67" i="15"/>
  <c r="P82" i="15"/>
  <c r="P83" i="15" s="1"/>
  <c r="P85" i="15" s="1"/>
  <c r="Q82" i="15"/>
  <c r="Q83" i="15"/>
  <c r="Q85" i="15" s="1"/>
  <c r="R82" i="15"/>
  <c r="R83" i="15" s="1"/>
  <c r="R85" i="15" s="1"/>
  <c r="S82" i="15"/>
  <c r="U82" i="15"/>
  <c r="U83" i="15" s="1"/>
  <c r="U85" i="15" s="1"/>
  <c r="V82" i="15"/>
  <c r="V83" i="15"/>
  <c r="V85" i="15" s="1"/>
  <c r="Y82" i="15"/>
  <c r="Y83" i="15"/>
  <c r="AQ82" i="15"/>
  <c r="O83" i="15"/>
  <c r="O85" i="15"/>
  <c r="O88" i="15" s="1"/>
  <c r="O91" i="15" s="1"/>
  <c r="S83" i="15"/>
  <c r="C85" i="15"/>
  <c r="D85" i="15"/>
  <c r="E85" i="15"/>
  <c r="F85" i="15"/>
  <c r="I85" i="15"/>
  <c r="M85" i="15" s="1"/>
  <c r="J85" i="15"/>
  <c r="K85" i="15"/>
  <c r="L85" i="15"/>
  <c r="W85" i="15"/>
  <c r="W88" i="15" s="1"/>
  <c r="X85" i="15"/>
  <c r="X88" i="15"/>
  <c r="X91" i="15"/>
  <c r="S94" i="15"/>
  <c r="G94" i="15"/>
  <c r="M94" i="15"/>
  <c r="U95" i="15"/>
  <c r="V95" i="15"/>
  <c r="W95" i="15"/>
  <c r="X95" i="15"/>
  <c r="AA95" i="15"/>
  <c r="AB95" i="15"/>
  <c r="AC95" i="15"/>
  <c r="AD95" i="15"/>
  <c r="AE95" i="15"/>
  <c r="AG95" i="15"/>
  <c r="AH95" i="15"/>
  <c r="AI95" i="15"/>
  <c r="AJ95" i="15"/>
  <c r="AK95" i="15"/>
  <c r="AM95" i="15"/>
  <c r="AN95" i="15"/>
  <c r="U98" i="15"/>
  <c r="V98" i="15"/>
  <c r="W98" i="15"/>
  <c r="AA98" i="15"/>
  <c r="AB98" i="15"/>
  <c r="AC98" i="15"/>
  <c r="AG98" i="15"/>
  <c r="AH98" i="15"/>
  <c r="AI98" i="15"/>
  <c r="AJ98" i="15"/>
  <c r="AK98" i="15"/>
  <c r="X99" i="15"/>
  <c r="O100" i="15"/>
  <c r="P100" i="15"/>
  <c r="Q100" i="15"/>
  <c r="R100" i="15"/>
  <c r="S100" i="15"/>
  <c r="U100" i="15"/>
  <c r="U101" i="15" s="1"/>
  <c r="V100" i="15"/>
  <c r="V101" i="15"/>
  <c r="W100" i="15"/>
  <c r="AC101" i="15" s="1"/>
  <c r="AA100" i="15"/>
  <c r="AA101" i="15" s="1"/>
  <c r="AB100" i="15"/>
  <c r="AH101" i="15"/>
  <c r="AE100" i="15"/>
  <c r="AK100" i="15"/>
  <c r="AK101" i="15"/>
  <c r="U104" i="15"/>
  <c r="V104" i="15"/>
  <c r="W104" i="15"/>
  <c r="X104" i="15"/>
  <c r="Y104" i="15"/>
  <c r="AA104" i="15"/>
  <c r="AB104" i="15"/>
  <c r="AC104" i="15"/>
  <c r="AD104" i="15"/>
  <c r="AE104" i="15"/>
  <c r="AG104" i="15"/>
  <c r="AH104" i="15"/>
  <c r="AI104" i="15"/>
  <c r="AJ104" i="15"/>
  <c r="O106" i="15"/>
  <c r="P106" i="15"/>
  <c r="Q106" i="15"/>
  <c r="R106" i="15"/>
  <c r="S106" i="15"/>
  <c r="U106" i="15"/>
  <c r="V106" i="15"/>
  <c r="W106" i="15"/>
  <c r="X106" i="15"/>
  <c r="Y106" i="15"/>
  <c r="AA106" i="15"/>
  <c r="AG107" i="15"/>
  <c r="AB106" i="15"/>
  <c r="AH107" i="15" s="1"/>
  <c r="AC106" i="15"/>
  <c r="AD106" i="15"/>
  <c r="AE106" i="15"/>
  <c r="AE107" i="15" s="1"/>
  <c r="O109" i="15"/>
  <c r="P109" i="15"/>
  <c r="Q109" i="15"/>
  <c r="R109" i="15"/>
  <c r="U109" i="15"/>
  <c r="U110" i="15"/>
  <c r="V109" i="15"/>
  <c r="W109" i="15"/>
  <c r="W110" i="15" s="1"/>
  <c r="AA109" i="15"/>
  <c r="AB109" i="15"/>
  <c r="AC109" i="15"/>
  <c r="AC110" i="15"/>
  <c r="AD109" i="15"/>
  <c r="AG109" i="15"/>
  <c r="AG110" i="15"/>
  <c r="AH109" i="15"/>
  <c r="AI109" i="15"/>
  <c r="AJ109" i="15"/>
  <c r="AM109" i="15"/>
  <c r="V110" i="15"/>
  <c r="AA110" i="15"/>
  <c r="AH110" i="15"/>
  <c r="AA112" i="15"/>
  <c r="AB112" i="15"/>
  <c r="AC112" i="15"/>
  <c r="AD112" i="15"/>
  <c r="AG112" i="15"/>
  <c r="O116" i="15"/>
  <c r="O119" i="15"/>
  <c r="P116" i="15"/>
  <c r="Q116" i="15"/>
  <c r="Q119" i="15" s="1"/>
  <c r="W120" i="15" s="1"/>
  <c r="R116" i="15"/>
  <c r="U116" i="15"/>
  <c r="U119" i="15"/>
  <c r="V116" i="15"/>
  <c r="W116" i="15"/>
  <c r="W124" i="15"/>
  <c r="AA116" i="15"/>
  <c r="AA124" i="15" s="1"/>
  <c r="AB116" i="15"/>
  <c r="AC116" i="15"/>
  <c r="AD116" i="15"/>
  <c r="AD124" i="15" s="1"/>
  <c r="AG116" i="15"/>
  <c r="AH116" i="15"/>
  <c r="AH124" i="15" s="1"/>
  <c r="AI116" i="15"/>
  <c r="AI117" i="15" s="1"/>
  <c r="AJ116" i="15"/>
  <c r="AM116" i="15"/>
  <c r="AM124" i="15" s="1"/>
  <c r="AM125" i="15" s="1"/>
  <c r="AN116" i="15"/>
  <c r="AN117" i="15"/>
  <c r="AD119" i="15"/>
  <c r="AI119" i="15"/>
  <c r="AN119" i="15"/>
  <c r="Q124" i="15"/>
  <c r="V124" i="15"/>
  <c r="AC124" i="15"/>
  <c r="AJ124" i="15"/>
  <c r="D4" i="17"/>
  <c r="D5" i="17"/>
  <c r="D7" i="17" s="1"/>
  <c r="E4" i="17"/>
  <c r="E5" i="17"/>
  <c r="E7" i="17"/>
  <c r="E20" i="17" s="1"/>
  <c r="F4" i="17"/>
  <c r="G4" i="17"/>
  <c r="G6" i="17"/>
  <c r="I4" i="17" s="1"/>
  <c r="J4" i="17"/>
  <c r="J5" i="17" s="1"/>
  <c r="J7" i="17" s="1"/>
  <c r="K4" i="17"/>
  <c r="K5" i="17"/>
  <c r="K7" i="17" s="1"/>
  <c r="L4" i="17"/>
  <c r="L5" i="17"/>
  <c r="L7" i="17"/>
  <c r="L20" i="17" s="1"/>
  <c r="O4" i="17"/>
  <c r="P4" i="17"/>
  <c r="P5" i="17"/>
  <c r="P7" i="17" s="1"/>
  <c r="Q4" i="17"/>
  <c r="Q5" i="17"/>
  <c r="Q7" i="17"/>
  <c r="R4" i="17"/>
  <c r="S4" i="17"/>
  <c r="V4" i="17"/>
  <c r="V5" i="17"/>
  <c r="V7" i="17" s="1"/>
  <c r="AE4" i="17"/>
  <c r="C5" i="17"/>
  <c r="C7" i="17"/>
  <c r="F5" i="17"/>
  <c r="F7" i="17" s="1"/>
  <c r="O5" i="17"/>
  <c r="O7" i="17" s="1"/>
  <c r="R5" i="17"/>
  <c r="R7" i="17"/>
  <c r="S5" i="17"/>
  <c r="W7" i="17"/>
  <c r="X7" i="17"/>
  <c r="X20" i="17" s="1"/>
  <c r="X21" i="17" s="1"/>
  <c r="AA7" i="17"/>
  <c r="AA20" i="17"/>
  <c r="AB7" i="17"/>
  <c r="AB20" i="17" s="1"/>
  <c r="C23" i="17"/>
  <c r="C25" i="17" s="1"/>
  <c r="D23" i="17"/>
  <c r="D25" i="17"/>
  <c r="E23" i="17"/>
  <c r="E25" i="17" s="1"/>
  <c r="F23" i="17"/>
  <c r="F25" i="17"/>
  <c r="I23" i="17"/>
  <c r="I25" i="17" s="1"/>
  <c r="J23" i="17"/>
  <c r="J25" i="17"/>
  <c r="K23" i="17"/>
  <c r="K25" i="17" s="1"/>
  <c r="L23" i="17"/>
  <c r="L25" i="17"/>
  <c r="O23" i="17"/>
  <c r="O25" i="17"/>
  <c r="P23" i="17"/>
  <c r="P25" i="17"/>
  <c r="Q23" i="17"/>
  <c r="Q25" i="17"/>
  <c r="R23" i="17"/>
  <c r="R25" i="17" s="1"/>
  <c r="O75" i="17"/>
  <c r="O72" i="17"/>
  <c r="U23" i="17"/>
  <c r="U25" i="17" s="1"/>
  <c r="V23" i="17"/>
  <c r="V25" i="17" s="1"/>
  <c r="W23" i="17"/>
  <c r="W25" i="17"/>
  <c r="W26" i="17" s="1"/>
  <c r="X23" i="17"/>
  <c r="X25" i="17" s="1"/>
  <c r="AA23" i="17"/>
  <c r="AA25" i="17"/>
  <c r="AA17" i="17" s="1"/>
  <c r="AB23" i="17"/>
  <c r="AB25" i="17" s="1"/>
  <c r="AC23" i="17"/>
  <c r="AC25" i="17" s="1"/>
  <c r="AD23" i="17"/>
  <c r="AD25" i="17"/>
  <c r="AA75" i="17"/>
  <c r="AA72" i="17" s="1"/>
  <c r="AM75" i="17"/>
  <c r="AM72" i="17" s="1"/>
  <c r="AN75" i="17"/>
  <c r="AN72" i="17"/>
  <c r="G28" i="17"/>
  <c r="M28" i="17"/>
  <c r="S28" i="17"/>
  <c r="Y28" i="17"/>
  <c r="AE28" i="17"/>
  <c r="AK28" i="17"/>
  <c r="AG26" i="17"/>
  <c r="I29" i="17"/>
  <c r="J29" i="17"/>
  <c r="K29" i="17"/>
  <c r="L29" i="17"/>
  <c r="O29" i="17"/>
  <c r="P29" i="17"/>
  <c r="Q29" i="17"/>
  <c r="R29" i="17"/>
  <c r="U29" i="17"/>
  <c r="V29" i="17"/>
  <c r="W29" i="17"/>
  <c r="X29" i="17"/>
  <c r="AA29" i="17"/>
  <c r="AB29" i="17"/>
  <c r="AC29" i="17"/>
  <c r="AD29" i="17"/>
  <c r="AG29" i="17"/>
  <c r="AH29" i="17"/>
  <c r="AI29" i="17"/>
  <c r="AJ29" i="17"/>
  <c r="AM29" i="17"/>
  <c r="AN29" i="17"/>
  <c r="L32" i="17"/>
  <c r="L33" i="17"/>
  <c r="L45" i="17"/>
  <c r="X32" i="17"/>
  <c r="X33" i="17"/>
  <c r="X45" i="17" s="1"/>
  <c r="C37" i="17"/>
  <c r="D37" i="17"/>
  <c r="E37" i="17"/>
  <c r="F37" i="17"/>
  <c r="I37" i="17"/>
  <c r="I38" i="17"/>
  <c r="J37" i="17"/>
  <c r="K37" i="17"/>
  <c r="L37" i="17"/>
  <c r="O37" i="17"/>
  <c r="P37" i="17"/>
  <c r="Q37" i="17"/>
  <c r="R37" i="17"/>
  <c r="U37" i="17"/>
  <c r="V37" i="17"/>
  <c r="W37" i="17"/>
  <c r="W38" i="17"/>
  <c r="X37" i="17"/>
  <c r="AA37" i="17"/>
  <c r="AG38" i="17" s="1"/>
  <c r="AB37" i="17"/>
  <c r="AB38" i="17"/>
  <c r="AC37" i="17"/>
  <c r="AI38" i="17"/>
  <c r="AD37" i="17"/>
  <c r="G40" i="17"/>
  <c r="M40" i="17"/>
  <c r="S40" i="17"/>
  <c r="Y40" i="17"/>
  <c r="AE40" i="17"/>
  <c r="AK40" i="17"/>
  <c r="I41" i="17"/>
  <c r="J41" i="17"/>
  <c r="K41" i="17"/>
  <c r="L41" i="17"/>
  <c r="O41" i="17"/>
  <c r="P41" i="17"/>
  <c r="Q41" i="17"/>
  <c r="R41" i="17"/>
  <c r="U41" i="17"/>
  <c r="V41" i="17"/>
  <c r="W41" i="17"/>
  <c r="X41" i="17"/>
  <c r="AA41" i="17"/>
  <c r="AB41" i="17"/>
  <c r="AC41" i="17"/>
  <c r="AD41" i="17"/>
  <c r="AG41" i="17"/>
  <c r="AH41" i="17"/>
  <c r="AI41" i="17"/>
  <c r="AJ41" i="17"/>
  <c r="AM41" i="17"/>
  <c r="AN41" i="17"/>
  <c r="I44" i="17"/>
  <c r="J44" i="17"/>
  <c r="K44" i="17"/>
  <c r="L44" i="17"/>
  <c r="O44" i="17"/>
  <c r="P44" i="17"/>
  <c r="Q44" i="17"/>
  <c r="R44" i="17"/>
  <c r="U44" i="17"/>
  <c r="V44" i="17"/>
  <c r="W44" i="17"/>
  <c r="X44" i="17"/>
  <c r="AA44" i="17"/>
  <c r="AB44" i="17"/>
  <c r="AC44" i="17"/>
  <c r="AD44" i="17"/>
  <c r="AG44" i="17"/>
  <c r="AH44" i="17"/>
  <c r="AI44" i="17"/>
  <c r="AJ44" i="17"/>
  <c r="G54" i="17"/>
  <c r="G57" i="17" s="1"/>
  <c r="M58" i="17" s="1"/>
  <c r="M54" i="17"/>
  <c r="S54" i="17"/>
  <c r="S110" i="21"/>
  <c r="Y54" i="17"/>
  <c r="AE54" i="17"/>
  <c r="AE110" i="21"/>
  <c r="AF110" i="21" s="1"/>
  <c r="I55" i="17"/>
  <c r="J55" i="17"/>
  <c r="K55" i="17"/>
  <c r="L55" i="17"/>
  <c r="O55" i="17"/>
  <c r="P55" i="17"/>
  <c r="Q55" i="17"/>
  <c r="R55" i="17"/>
  <c r="U55" i="17"/>
  <c r="V55" i="17"/>
  <c r="W55" i="17"/>
  <c r="X55" i="17"/>
  <c r="AA55" i="17"/>
  <c r="AB55" i="17"/>
  <c r="AC55" i="17"/>
  <c r="AD55" i="17"/>
  <c r="AG55" i="17"/>
  <c r="AH55" i="17"/>
  <c r="AI55" i="17"/>
  <c r="AJ55" i="17"/>
  <c r="AN55" i="17"/>
  <c r="C57" i="17"/>
  <c r="D57" i="17"/>
  <c r="E57" i="17"/>
  <c r="F57" i="17"/>
  <c r="I57" i="17"/>
  <c r="J57" i="17"/>
  <c r="K57" i="17"/>
  <c r="L57" i="17"/>
  <c r="O57" i="17"/>
  <c r="O58" i="17" s="1"/>
  <c r="P57" i="17"/>
  <c r="Q57" i="17"/>
  <c r="Q58" i="17"/>
  <c r="R57" i="17"/>
  <c r="U57" i="17"/>
  <c r="V57" i="17"/>
  <c r="W57" i="17"/>
  <c r="X57" i="17"/>
  <c r="X58" i="17" s="1"/>
  <c r="AA57" i="17"/>
  <c r="AB57" i="17"/>
  <c r="AC57" i="17"/>
  <c r="AC58" i="17" s="1"/>
  <c r="AD57" i="17"/>
  <c r="AG57" i="17"/>
  <c r="AM58" i="17" s="1"/>
  <c r="AH57" i="17"/>
  <c r="AJ57" i="17"/>
  <c r="AN57" i="17"/>
  <c r="AN58" i="17" s="1"/>
  <c r="V58" i="17"/>
  <c r="G60" i="17"/>
  <c r="M60" i="17"/>
  <c r="S60" i="17"/>
  <c r="S132" i="21" s="1"/>
  <c r="Y60" i="17"/>
  <c r="E171" i="11"/>
  <c r="AE60" i="17"/>
  <c r="AK60" i="17"/>
  <c r="AK63" i="17" s="1"/>
  <c r="AK64" i="17" s="1"/>
  <c r="I61" i="17"/>
  <c r="J61" i="17"/>
  <c r="K61" i="17"/>
  <c r="L61" i="17"/>
  <c r="O61" i="17"/>
  <c r="P61" i="17"/>
  <c r="Q61" i="17"/>
  <c r="R61" i="17"/>
  <c r="U61" i="17"/>
  <c r="V61" i="17"/>
  <c r="W61" i="17"/>
  <c r="X61" i="17"/>
  <c r="AA61" i="17"/>
  <c r="AB61" i="17"/>
  <c r="AC61" i="17"/>
  <c r="AD61" i="17"/>
  <c r="AG61" i="17"/>
  <c r="AH61" i="17"/>
  <c r="AI61" i="17"/>
  <c r="AJ61" i="17"/>
  <c r="C63" i="17"/>
  <c r="D63" i="17"/>
  <c r="E63" i="17"/>
  <c r="F63" i="17"/>
  <c r="I63" i="17"/>
  <c r="J63" i="17"/>
  <c r="K63" i="17"/>
  <c r="L63" i="17"/>
  <c r="O63" i="17"/>
  <c r="P63" i="17"/>
  <c r="Q63" i="17"/>
  <c r="R63" i="17"/>
  <c r="U63" i="17"/>
  <c r="U64" i="17"/>
  <c r="V63" i="17"/>
  <c r="W63" i="17"/>
  <c r="W64" i="17"/>
  <c r="X63" i="17"/>
  <c r="AA63" i="17"/>
  <c r="AB63" i="17"/>
  <c r="AB64" i="17"/>
  <c r="AC63" i="17"/>
  <c r="AI64" i="17" s="1"/>
  <c r="AD63" i="17"/>
  <c r="AG63" i="17"/>
  <c r="AG64" i="17" s="1"/>
  <c r="AH63" i="17"/>
  <c r="AN64" i="17" s="1"/>
  <c r="AJ63" i="17"/>
  <c r="AP64" i="17" s="1"/>
  <c r="AD64" i="17"/>
  <c r="AV64" i="17"/>
  <c r="AY64" i="17"/>
  <c r="BE64" i="17"/>
  <c r="BQ64" i="17"/>
  <c r="BR64" i="17"/>
  <c r="BT64" i="17"/>
  <c r="C66" i="17"/>
  <c r="D66" i="17"/>
  <c r="E66" i="17"/>
  <c r="F66" i="17"/>
  <c r="I66" i="17"/>
  <c r="I67" i="17"/>
  <c r="J66" i="17"/>
  <c r="J67" i="17" s="1"/>
  <c r="K66" i="17"/>
  <c r="K67" i="17"/>
  <c r="L66" i="17"/>
  <c r="L67" i="17" s="1"/>
  <c r="O66" i="17"/>
  <c r="P66" i="17"/>
  <c r="Q66" i="17"/>
  <c r="Q67" i="17" s="1"/>
  <c r="R66" i="17"/>
  <c r="U66" i="17"/>
  <c r="U67" i="17"/>
  <c r="V66" i="17"/>
  <c r="V67" i="17" s="1"/>
  <c r="W66" i="17"/>
  <c r="W67" i="17"/>
  <c r="X66" i="17"/>
  <c r="AA66" i="17"/>
  <c r="AA67" i="17"/>
  <c r="AB66" i="17"/>
  <c r="AC66" i="17"/>
  <c r="AD66" i="17"/>
  <c r="AG66" i="17"/>
  <c r="AG67" i="17" s="1"/>
  <c r="AH66" i="17"/>
  <c r="AH67" i="17" s="1"/>
  <c r="AI66" i="17"/>
  <c r="AI67" i="17" s="1"/>
  <c r="AJ66" i="17"/>
  <c r="AJ67" i="17" s="1"/>
  <c r="AM66" i="17"/>
  <c r="AN66" i="17"/>
  <c r="O82" i="17"/>
  <c r="O83" i="17" s="1"/>
  <c r="O85" i="17" s="1"/>
  <c r="P82" i="17"/>
  <c r="P83" i="17" s="1"/>
  <c r="P85" i="17" s="1"/>
  <c r="P88" i="17" s="1"/>
  <c r="P91" i="17" s="1"/>
  <c r="Q82" i="17"/>
  <c r="Q83" i="17" s="1"/>
  <c r="Q85" i="17" s="1"/>
  <c r="R82" i="17"/>
  <c r="R83" i="17" s="1"/>
  <c r="R85" i="17" s="1"/>
  <c r="R88" i="17" s="1"/>
  <c r="R91" i="17" s="1"/>
  <c r="U82" i="17"/>
  <c r="U83" i="17" s="1"/>
  <c r="U85" i="17" s="1"/>
  <c r="V82" i="17"/>
  <c r="V83" i="17" s="1"/>
  <c r="V85" i="17" s="1"/>
  <c r="S94" i="17"/>
  <c r="S95" i="17" s="1"/>
  <c r="Y94" i="17"/>
  <c r="AE94" i="17"/>
  <c r="AK94" i="17"/>
  <c r="U95" i="17"/>
  <c r="V95" i="17"/>
  <c r="W95" i="17"/>
  <c r="X95" i="17"/>
  <c r="AA95" i="17"/>
  <c r="AB95" i="17"/>
  <c r="AC95" i="17"/>
  <c r="AD95" i="17"/>
  <c r="AG95" i="17"/>
  <c r="AH95" i="17"/>
  <c r="AI95" i="17"/>
  <c r="AJ95" i="17"/>
  <c r="AM95" i="17"/>
  <c r="AN95" i="17"/>
  <c r="U98" i="17"/>
  <c r="V98" i="17"/>
  <c r="W98" i="17"/>
  <c r="X98" i="17"/>
  <c r="Y98" i="17"/>
  <c r="AA98" i="17"/>
  <c r="AB98" i="17"/>
  <c r="AC98" i="17"/>
  <c r="AD98" i="17"/>
  <c r="AG98" i="17"/>
  <c r="AH98" i="17"/>
  <c r="AJ98" i="17"/>
  <c r="AK98" i="17"/>
  <c r="AM98" i="17"/>
  <c r="M100" i="17"/>
  <c r="O100" i="17"/>
  <c r="P100" i="17"/>
  <c r="Q100" i="17"/>
  <c r="R100" i="17"/>
  <c r="U100" i="17"/>
  <c r="V100" i="17"/>
  <c r="W100" i="17"/>
  <c r="W101" i="17" s="1"/>
  <c r="X100" i="17"/>
  <c r="Y100" i="17"/>
  <c r="AA100" i="17"/>
  <c r="AG101" i="17"/>
  <c r="AB100" i="17"/>
  <c r="AC100" i="17"/>
  <c r="AD100" i="17"/>
  <c r="AJ101" i="17"/>
  <c r="S104" i="17"/>
  <c r="U104" i="17"/>
  <c r="V104" i="17"/>
  <c r="W104" i="17"/>
  <c r="X104" i="17"/>
  <c r="AA104" i="17"/>
  <c r="AB104" i="17"/>
  <c r="AC104" i="17"/>
  <c r="AD104" i="17"/>
  <c r="AE104" i="17"/>
  <c r="AG104" i="17"/>
  <c r="AH104" i="17"/>
  <c r="AI104" i="17"/>
  <c r="AJ104" i="17"/>
  <c r="M106" i="17"/>
  <c r="O106" i="17"/>
  <c r="P106" i="17"/>
  <c r="Q106" i="17"/>
  <c r="R106" i="17"/>
  <c r="S106" i="17"/>
  <c r="U106" i="17"/>
  <c r="V106" i="17"/>
  <c r="W106" i="17"/>
  <c r="X106" i="17"/>
  <c r="Y106" i="17"/>
  <c r="AA106" i="17"/>
  <c r="AB106" i="17"/>
  <c r="AC106" i="17"/>
  <c r="AD106" i="17"/>
  <c r="M109" i="17"/>
  <c r="O109" i="17"/>
  <c r="P109" i="17"/>
  <c r="Q109" i="17"/>
  <c r="R109" i="17"/>
  <c r="U109" i="17"/>
  <c r="V109" i="17"/>
  <c r="W109" i="17"/>
  <c r="W110" i="17"/>
  <c r="X109" i="17"/>
  <c r="AA109" i="17"/>
  <c r="AB109" i="17"/>
  <c r="AB110" i="17"/>
  <c r="AC109" i="17"/>
  <c r="AD109" i="17"/>
  <c r="AG109" i="17"/>
  <c r="AH109" i="17"/>
  <c r="AJ109" i="17"/>
  <c r="AM109" i="17"/>
  <c r="AN109" i="17"/>
  <c r="AT110" i="17"/>
  <c r="O116" i="17"/>
  <c r="O124" i="17"/>
  <c r="P116" i="17"/>
  <c r="P119" i="17"/>
  <c r="Q116" i="17"/>
  <c r="R116" i="17"/>
  <c r="U116" i="17"/>
  <c r="V116" i="17"/>
  <c r="V117" i="17" s="1"/>
  <c r="W116" i="17"/>
  <c r="W119" i="17" s="1"/>
  <c r="X116" i="17"/>
  <c r="AA116" i="17"/>
  <c r="AA124" i="17"/>
  <c r="AB116" i="17"/>
  <c r="AC116" i="17"/>
  <c r="AD116" i="17"/>
  <c r="AD124" i="17"/>
  <c r="AG116" i="17"/>
  <c r="AG119" i="17"/>
  <c r="AH116" i="17"/>
  <c r="AH124" i="17"/>
  <c r="AI116" i="17"/>
  <c r="AI124" i="17"/>
  <c r="AJ116" i="17"/>
  <c r="AM116" i="17"/>
  <c r="AM119" i="17" s="1"/>
  <c r="AM120" i="17" s="1"/>
  <c r="AN116" i="17"/>
  <c r="AN119" i="17" s="1"/>
  <c r="AN120" i="17" s="1"/>
  <c r="AC117" i="17"/>
  <c r="R119" i="17"/>
  <c r="U119" i="17"/>
  <c r="R124" i="17"/>
  <c r="U124" i="17"/>
  <c r="V124" i="17"/>
  <c r="AC124" i="17"/>
  <c r="AM124" i="17"/>
  <c r="D4" i="16"/>
  <c r="D5" i="16"/>
  <c r="D7" i="16" s="1"/>
  <c r="E4" i="16"/>
  <c r="F4" i="16"/>
  <c r="F5" i="16"/>
  <c r="F7" i="16" s="1"/>
  <c r="G4" i="16"/>
  <c r="G6" i="16"/>
  <c r="I4" i="16"/>
  <c r="J4" i="16"/>
  <c r="J5" i="16" s="1"/>
  <c r="J7" i="16" s="1"/>
  <c r="K4" i="16"/>
  <c r="L4" i="16"/>
  <c r="L5" i="16" s="1"/>
  <c r="L7" i="16" s="1"/>
  <c r="O4" i="16"/>
  <c r="O5" i="16"/>
  <c r="O7" i="16" s="1"/>
  <c r="P4" i="16"/>
  <c r="Q4" i="16"/>
  <c r="Q5" i="16"/>
  <c r="Q7" i="16" s="1"/>
  <c r="R4" i="16"/>
  <c r="R5" i="16"/>
  <c r="R7" i="16"/>
  <c r="S4" i="16"/>
  <c r="S5" i="16" s="1"/>
  <c r="U4" i="16"/>
  <c r="U5" i="16"/>
  <c r="U7" i="16" s="1"/>
  <c r="V4" i="16"/>
  <c r="V5" i="16"/>
  <c r="V7" i="16"/>
  <c r="Y4" i="16"/>
  <c r="Y5" i="16" s="1"/>
  <c r="AE4" i="16"/>
  <c r="C5" i="16"/>
  <c r="E5" i="16"/>
  <c r="E7" i="16"/>
  <c r="K5" i="16"/>
  <c r="K7" i="16" s="1"/>
  <c r="P5" i="16"/>
  <c r="P7" i="16"/>
  <c r="C7" i="16"/>
  <c r="W7" i="16"/>
  <c r="W17" i="16"/>
  <c r="W10" i="16" s="1"/>
  <c r="W13" i="16"/>
  <c r="X7" i="16"/>
  <c r="X24" i="16"/>
  <c r="X25" i="16"/>
  <c r="AA7" i="16"/>
  <c r="C67" i="16"/>
  <c r="C64" i="16"/>
  <c r="C61" i="16"/>
  <c r="D67" i="16"/>
  <c r="E67" i="16"/>
  <c r="E64" i="16"/>
  <c r="E61" i="16"/>
  <c r="F67" i="16"/>
  <c r="F64" i="16" s="1"/>
  <c r="I67" i="16"/>
  <c r="I64" i="16"/>
  <c r="J67" i="16"/>
  <c r="K67" i="16"/>
  <c r="K64" i="16"/>
  <c r="L67" i="16"/>
  <c r="L64" i="16" s="1"/>
  <c r="O67" i="16"/>
  <c r="O64" i="16"/>
  <c r="P67" i="16"/>
  <c r="Q67" i="16"/>
  <c r="Q64" i="16"/>
  <c r="R67" i="16"/>
  <c r="R64" i="16"/>
  <c r="X17" i="16"/>
  <c r="X13" i="16"/>
  <c r="U67" i="16"/>
  <c r="U61" i="16" s="1"/>
  <c r="U64" i="16"/>
  <c r="V67" i="16"/>
  <c r="W67" i="16"/>
  <c r="W61" i="16" s="1"/>
  <c r="W62" i="16" s="1"/>
  <c r="W64" i="16"/>
  <c r="X67" i="16"/>
  <c r="X64" i="16"/>
  <c r="AA67" i="16"/>
  <c r="AA64" i="16"/>
  <c r="AB67" i="16"/>
  <c r="AC67" i="16"/>
  <c r="AC64" i="16" s="1"/>
  <c r="AD67" i="16"/>
  <c r="AG67" i="16"/>
  <c r="AG61" i="16" s="1"/>
  <c r="AG64" i="16"/>
  <c r="AH67" i="16"/>
  <c r="AI67" i="16"/>
  <c r="AI61" i="16" s="1"/>
  <c r="AI64" i="16"/>
  <c r="AJ67" i="16"/>
  <c r="AJ64" i="16" s="1"/>
  <c r="AM67" i="16"/>
  <c r="AM64" i="16" s="1"/>
  <c r="AN67" i="16"/>
  <c r="G20" i="16"/>
  <c r="M20" i="16"/>
  <c r="S20" i="16"/>
  <c r="S21" i="16" s="1"/>
  <c r="Y20" i="16"/>
  <c r="Y21" i="16" s="1"/>
  <c r="AE20" i="16"/>
  <c r="AK20" i="16"/>
  <c r="I21" i="16"/>
  <c r="J21" i="16"/>
  <c r="K21" i="16"/>
  <c r="L21" i="16"/>
  <c r="O21" i="16"/>
  <c r="P21" i="16"/>
  <c r="Q21" i="16"/>
  <c r="R21" i="16"/>
  <c r="U21" i="16"/>
  <c r="V21" i="16"/>
  <c r="W21" i="16"/>
  <c r="X21" i="16"/>
  <c r="AA21" i="16"/>
  <c r="AB21" i="16"/>
  <c r="AC21" i="16"/>
  <c r="AD21" i="16"/>
  <c r="AG21" i="16"/>
  <c r="AH21" i="16"/>
  <c r="AI21" i="16"/>
  <c r="AJ21" i="16"/>
  <c r="AM21" i="16"/>
  <c r="AN21" i="16"/>
  <c r="C29" i="16"/>
  <c r="D29" i="16"/>
  <c r="E29" i="16"/>
  <c r="F29" i="16"/>
  <c r="I29" i="16"/>
  <c r="J29" i="16"/>
  <c r="K29" i="16"/>
  <c r="K30" i="16" s="1"/>
  <c r="L29" i="16"/>
  <c r="L30" i="16" s="1"/>
  <c r="O29" i="16"/>
  <c r="O30" i="16" s="1"/>
  <c r="P29" i="16"/>
  <c r="P30" i="16" s="1"/>
  <c r="Q29" i="16"/>
  <c r="R29" i="16"/>
  <c r="S29" i="16"/>
  <c r="U29" i="16"/>
  <c r="V29" i="16"/>
  <c r="AB30" i="16"/>
  <c r="W29" i="16"/>
  <c r="X29" i="16"/>
  <c r="X30" i="16" s="1"/>
  <c r="AA29" i="16"/>
  <c r="AB29" i="16"/>
  <c r="AH30" i="16"/>
  <c r="AC29" i="16"/>
  <c r="AE29" i="16"/>
  <c r="AD29" i="16"/>
  <c r="AK29" i="16"/>
  <c r="I30" i="16"/>
  <c r="R30" i="16"/>
  <c r="U30" i="16"/>
  <c r="AA30" i="16"/>
  <c r="AG30" i="16"/>
  <c r="AM30" i="16"/>
  <c r="G32" i="16"/>
  <c r="M32" i="16"/>
  <c r="S32" i="16"/>
  <c r="Y32" i="16"/>
  <c r="Y33" i="16" s="1"/>
  <c r="AE32" i="16"/>
  <c r="AK32" i="16"/>
  <c r="AK33" i="16" s="1"/>
  <c r="I33" i="16"/>
  <c r="J33" i="16"/>
  <c r="K33" i="16"/>
  <c r="L33" i="16"/>
  <c r="O33" i="16"/>
  <c r="P33" i="16"/>
  <c r="Q33" i="16"/>
  <c r="R33" i="16"/>
  <c r="U33" i="16"/>
  <c r="V33" i="16"/>
  <c r="W33" i="16"/>
  <c r="X33" i="16"/>
  <c r="AA33" i="16"/>
  <c r="AB33" i="16"/>
  <c r="AC33" i="16"/>
  <c r="AD33" i="16"/>
  <c r="AG33" i="16"/>
  <c r="AH33" i="16"/>
  <c r="AI33" i="16"/>
  <c r="AJ33" i="16"/>
  <c r="AM33" i="16"/>
  <c r="AN33" i="16"/>
  <c r="I36" i="16"/>
  <c r="J36" i="16"/>
  <c r="K36" i="16"/>
  <c r="L36" i="16"/>
  <c r="O36" i="16"/>
  <c r="P36" i="16"/>
  <c r="Q36" i="16"/>
  <c r="R36" i="16"/>
  <c r="U36" i="16"/>
  <c r="V36" i="16"/>
  <c r="W36" i="16"/>
  <c r="X36" i="16"/>
  <c r="AA36" i="16"/>
  <c r="AB36" i="16"/>
  <c r="AC36" i="16"/>
  <c r="AD36" i="16"/>
  <c r="AG36" i="16"/>
  <c r="AH36" i="16"/>
  <c r="AI36" i="16"/>
  <c r="AJ36" i="16"/>
  <c r="G46" i="16"/>
  <c r="M46" i="16"/>
  <c r="M49" i="16" s="1"/>
  <c r="S46" i="16"/>
  <c r="Y46" i="16"/>
  <c r="Y49" i="16" s="1"/>
  <c r="AE46" i="16"/>
  <c r="AK46" i="16"/>
  <c r="AK47" i="16" s="1"/>
  <c r="I47" i="16"/>
  <c r="J47" i="16"/>
  <c r="K47" i="16"/>
  <c r="L47" i="16"/>
  <c r="M47" i="16"/>
  <c r="O47" i="16"/>
  <c r="P47" i="16"/>
  <c r="Q47" i="16"/>
  <c r="R47" i="16"/>
  <c r="U47" i="16"/>
  <c r="V47" i="16"/>
  <c r="W47" i="16"/>
  <c r="X47" i="16"/>
  <c r="AA47" i="16"/>
  <c r="AB47" i="16"/>
  <c r="AC47" i="16"/>
  <c r="AD47" i="16"/>
  <c r="AG47" i="16"/>
  <c r="AH47" i="16"/>
  <c r="AI47" i="16"/>
  <c r="AJ47" i="16"/>
  <c r="AM47" i="16"/>
  <c r="AN47" i="16"/>
  <c r="C49" i="16"/>
  <c r="D49" i="16"/>
  <c r="E49" i="16"/>
  <c r="F49" i="16"/>
  <c r="I49" i="16"/>
  <c r="J49" i="16"/>
  <c r="K49" i="16"/>
  <c r="K50" i="16" s="1"/>
  <c r="L49" i="16"/>
  <c r="O49" i="16"/>
  <c r="P49" i="16"/>
  <c r="Q49" i="16"/>
  <c r="R49" i="16"/>
  <c r="R50" i="16" s="1"/>
  <c r="U49" i="16"/>
  <c r="V49" i="16"/>
  <c r="W49" i="16"/>
  <c r="X49" i="16"/>
  <c r="AA49" i="16"/>
  <c r="AB49" i="16"/>
  <c r="AC49" i="16"/>
  <c r="AC50" i="16" s="1"/>
  <c r="AD49" i="16"/>
  <c r="AG49" i="16"/>
  <c r="AH49" i="16"/>
  <c r="AI49" i="16"/>
  <c r="AJ49" i="16"/>
  <c r="AK49" i="16"/>
  <c r="AN49" i="16"/>
  <c r="AN50" i="16"/>
  <c r="I50" i="16"/>
  <c r="P50" i="16"/>
  <c r="U50" i="16"/>
  <c r="AI50" i="16"/>
  <c r="G52" i="16"/>
  <c r="M52" i="16"/>
  <c r="S52" i="16"/>
  <c r="Y52" i="16"/>
  <c r="Y55" i="16" s="1"/>
  <c r="Y56" i="16" s="1"/>
  <c r="AE52" i="16"/>
  <c r="AK52" i="16"/>
  <c r="I53" i="16"/>
  <c r="J53" i="16"/>
  <c r="K53" i="16"/>
  <c r="L53" i="16"/>
  <c r="O53" i="16"/>
  <c r="P53" i="16"/>
  <c r="Q53" i="16"/>
  <c r="R53" i="16"/>
  <c r="U53" i="16"/>
  <c r="V53" i="16"/>
  <c r="W53" i="16"/>
  <c r="X53" i="16"/>
  <c r="AA53" i="16"/>
  <c r="AB53" i="16"/>
  <c r="AC53" i="16"/>
  <c r="AD53" i="16"/>
  <c r="AG53" i="16"/>
  <c r="AH53" i="16"/>
  <c r="AI53" i="16"/>
  <c r="AJ53" i="16"/>
  <c r="AN53" i="16"/>
  <c r="C55" i="16"/>
  <c r="D55" i="16"/>
  <c r="E55" i="16"/>
  <c r="F55" i="16"/>
  <c r="I55" i="16"/>
  <c r="I56" i="16" s="1"/>
  <c r="J55" i="16"/>
  <c r="K55" i="16"/>
  <c r="L55" i="16"/>
  <c r="O55" i="16"/>
  <c r="P55" i="16"/>
  <c r="P56" i="16"/>
  <c r="Q55" i="16"/>
  <c r="R55" i="16"/>
  <c r="R56" i="16" s="1"/>
  <c r="U55" i="16"/>
  <c r="U56" i="16" s="1"/>
  <c r="V55" i="16"/>
  <c r="W55" i="16"/>
  <c r="W56" i="16"/>
  <c r="X55" i="16"/>
  <c r="X56" i="16" s="1"/>
  <c r="AA55" i="16"/>
  <c r="AB55" i="16"/>
  <c r="AC55" i="16"/>
  <c r="AD55" i="16"/>
  <c r="AG55" i="16"/>
  <c r="AG56" i="16"/>
  <c r="AH55" i="16"/>
  <c r="AI55" i="16"/>
  <c r="AJ55" i="16"/>
  <c r="AP56" i="16" s="1"/>
  <c r="L56" i="16"/>
  <c r="O56" i="16"/>
  <c r="V56" i="16"/>
  <c r="AA56" i="16"/>
  <c r="AJ56" i="16"/>
  <c r="BQ56" i="16"/>
  <c r="BR56" i="16"/>
  <c r="BT56" i="16"/>
  <c r="C58" i="16"/>
  <c r="D58" i="16"/>
  <c r="E58" i="16"/>
  <c r="F58" i="16"/>
  <c r="G58" i="16"/>
  <c r="I58" i="16"/>
  <c r="I59" i="16" s="1"/>
  <c r="J58" i="16"/>
  <c r="K58" i="16"/>
  <c r="K59" i="16" s="1"/>
  <c r="L58" i="16"/>
  <c r="L59" i="16" s="1"/>
  <c r="O58" i="16"/>
  <c r="O59" i="16" s="1"/>
  <c r="P58" i="16"/>
  <c r="Q58" i="16"/>
  <c r="Q59" i="16"/>
  <c r="R58" i="16"/>
  <c r="U58" i="16"/>
  <c r="U59" i="16" s="1"/>
  <c r="V58" i="16"/>
  <c r="W58" i="16"/>
  <c r="X58" i="16"/>
  <c r="AA58" i="16"/>
  <c r="AA59" i="16"/>
  <c r="AB58" i="16"/>
  <c r="AC58" i="16"/>
  <c r="AD58" i="16"/>
  <c r="AD59" i="16" s="1"/>
  <c r="AG58" i="16"/>
  <c r="AH58" i="16"/>
  <c r="AI58" i="16"/>
  <c r="AJ58" i="16"/>
  <c r="AM58" i="16"/>
  <c r="AM59" i="16" s="1"/>
  <c r="AN58" i="16"/>
  <c r="P59" i="16"/>
  <c r="W59" i="16"/>
  <c r="AB59" i="16"/>
  <c r="AN59" i="16"/>
  <c r="O74" i="16"/>
  <c r="O75" i="16" s="1"/>
  <c r="O77" i="16" s="1"/>
  <c r="P74" i="16"/>
  <c r="Q74" i="16"/>
  <c r="Q75" i="16"/>
  <c r="Q77" i="16" s="1"/>
  <c r="Q80" i="16" s="1"/>
  <c r="R74" i="16"/>
  <c r="S74" i="16"/>
  <c r="S75" i="16" s="1"/>
  <c r="U74" i="16"/>
  <c r="Y74" i="16" s="1"/>
  <c r="V74" i="16"/>
  <c r="V75" i="16" s="1"/>
  <c r="P75" i="16"/>
  <c r="R75" i="16"/>
  <c r="U75" i="16"/>
  <c r="U77" i="16"/>
  <c r="AE75" i="16"/>
  <c r="AK75" i="16"/>
  <c r="AQ75" i="16"/>
  <c r="AW75" i="16"/>
  <c r="BC75" i="16"/>
  <c r="P77" i="16"/>
  <c r="R77" i="16"/>
  <c r="R80" i="16"/>
  <c r="S83" i="16"/>
  <c r="Y83" i="16"/>
  <c r="AE83" i="16"/>
  <c r="AK83" i="16"/>
  <c r="U84" i="16"/>
  <c r="V84" i="16"/>
  <c r="W84" i="16"/>
  <c r="X84" i="16"/>
  <c r="AA84" i="16"/>
  <c r="AB84" i="16"/>
  <c r="AC84" i="16"/>
  <c r="AD84" i="16"/>
  <c r="AG84" i="16"/>
  <c r="AH84" i="16"/>
  <c r="AI84" i="16"/>
  <c r="AJ84" i="16"/>
  <c r="AM84" i="16"/>
  <c r="AN84" i="16"/>
  <c r="S87" i="16"/>
  <c r="U87" i="16"/>
  <c r="V87" i="16"/>
  <c r="W87" i="16"/>
  <c r="X87" i="16"/>
  <c r="Y87" i="16"/>
  <c r="AA87" i="16"/>
  <c r="AB87" i="16"/>
  <c r="AC87" i="16"/>
  <c r="AD87" i="16"/>
  <c r="AE87" i="16"/>
  <c r="AG87" i="16"/>
  <c r="AH87" i="16"/>
  <c r="AI87" i="16"/>
  <c r="AJ87" i="16"/>
  <c r="AK87" i="16"/>
  <c r="AM87" i="16"/>
  <c r="AN87" i="16"/>
  <c r="M89" i="16"/>
  <c r="O89" i="16"/>
  <c r="P89" i="16"/>
  <c r="Q89" i="16"/>
  <c r="R89" i="16"/>
  <c r="S89" i="16"/>
  <c r="U89" i="16"/>
  <c r="V89" i="16"/>
  <c r="V90" i="16"/>
  <c r="W89" i="16"/>
  <c r="X89" i="16"/>
  <c r="AA89" i="16"/>
  <c r="AB89" i="16"/>
  <c r="AC89" i="16"/>
  <c r="AC90" i="16" s="1"/>
  <c r="AD89" i="16"/>
  <c r="AJ90" i="16"/>
  <c r="AH90" i="16"/>
  <c r="U93" i="16"/>
  <c r="V93" i="16"/>
  <c r="W93" i="16"/>
  <c r="X93" i="16"/>
  <c r="Y93" i="16"/>
  <c r="AA93" i="16"/>
  <c r="AB93" i="16"/>
  <c r="AC93" i="16"/>
  <c r="AD93" i="16"/>
  <c r="AE93" i="16"/>
  <c r="AG93" i="16"/>
  <c r="AH93" i="16"/>
  <c r="AI93" i="16"/>
  <c r="AJ93" i="16"/>
  <c r="AK93" i="16"/>
  <c r="AN93" i="16"/>
  <c r="M95" i="16"/>
  <c r="O95" i="16"/>
  <c r="P95" i="16"/>
  <c r="Q95" i="16"/>
  <c r="R95" i="16"/>
  <c r="U95" i="16"/>
  <c r="V95" i="16"/>
  <c r="W95" i="16"/>
  <c r="X95" i="16"/>
  <c r="Y95" i="16"/>
  <c r="AA95" i="16"/>
  <c r="AG96" i="16"/>
  <c r="AB95" i="16"/>
  <c r="AH96" i="16" s="1"/>
  <c r="AC95" i="16"/>
  <c r="AD95" i="16"/>
  <c r="AK95" i="16"/>
  <c r="U96" i="16"/>
  <c r="AB96" i="16"/>
  <c r="AI96" i="16"/>
  <c r="M98" i="16"/>
  <c r="O98" i="16"/>
  <c r="P98" i="16"/>
  <c r="Q98" i="16"/>
  <c r="R98" i="16"/>
  <c r="U98" i="16"/>
  <c r="U99" i="16"/>
  <c r="V98" i="16"/>
  <c r="W98" i="16"/>
  <c r="X98" i="16"/>
  <c r="AA98" i="16"/>
  <c r="AB98" i="16"/>
  <c r="AC98" i="16"/>
  <c r="AC99" i="16" s="1"/>
  <c r="AD98" i="16"/>
  <c r="AE98" i="16"/>
  <c r="AG98" i="16"/>
  <c r="AH98" i="16"/>
  <c r="AI98" i="16"/>
  <c r="AJ98" i="16"/>
  <c r="AJ99" i="16" s="1"/>
  <c r="AM98" i="16"/>
  <c r="AM99" i="16"/>
  <c r="AN98" i="16"/>
  <c r="AN99" i="16" s="1"/>
  <c r="AD99" i="16"/>
  <c r="AI99" i="16"/>
  <c r="O105" i="16"/>
  <c r="S105" i="16" s="1"/>
  <c r="P105" i="16"/>
  <c r="Q105" i="16"/>
  <c r="R105" i="16"/>
  <c r="R113" i="16" s="1"/>
  <c r="X114" i="16" s="1"/>
  <c r="U105" i="16"/>
  <c r="U108" i="16"/>
  <c r="V105" i="16"/>
  <c r="W105" i="16"/>
  <c r="W113" i="16" s="1"/>
  <c r="X105" i="16"/>
  <c r="AA105" i="16"/>
  <c r="AA106" i="16" s="1"/>
  <c r="AB105" i="16"/>
  <c r="AC105" i="16"/>
  <c r="AC113" i="16" s="1"/>
  <c r="AD105" i="16"/>
  <c r="AG105" i="16"/>
  <c r="AG108" i="16"/>
  <c r="AH105" i="16"/>
  <c r="AI105" i="16"/>
  <c r="AI113" i="16" s="1"/>
  <c r="AJ105" i="16"/>
  <c r="AJ108" i="16" s="1"/>
  <c r="AJ109" i="16" s="1"/>
  <c r="AM105" i="16"/>
  <c r="AM108" i="16" s="1"/>
  <c r="AM109" i="16" s="1"/>
  <c r="AN105" i="16"/>
  <c r="AN108" i="16" s="1"/>
  <c r="AN109" i="16" s="1"/>
  <c r="V106" i="16"/>
  <c r="AM106" i="16"/>
  <c r="R108" i="16"/>
  <c r="W108" i="16"/>
  <c r="AD108" i="16"/>
  <c r="AI108" i="16"/>
  <c r="O113" i="16"/>
  <c r="Q113" i="16"/>
  <c r="V113" i="16"/>
  <c r="X113" i="16"/>
  <c r="AB113" i="16"/>
  <c r="AD113" i="16"/>
  <c r="AH113" i="16"/>
  <c r="AJ113" i="16"/>
  <c r="AN113" i="16"/>
  <c r="D4" i="9"/>
  <c r="D5" i="9" s="1"/>
  <c r="D7" i="9" s="1"/>
  <c r="E4" i="9"/>
  <c r="E5" i="9" s="1"/>
  <c r="E7" i="9" s="1"/>
  <c r="F4" i="9"/>
  <c r="F5" i="9" s="1"/>
  <c r="F7" i="9" s="1"/>
  <c r="G4" i="9"/>
  <c r="G6" i="9"/>
  <c r="J4" i="9"/>
  <c r="J5" i="9"/>
  <c r="J7" i="9" s="1"/>
  <c r="K4" i="9"/>
  <c r="L4" i="9"/>
  <c r="L5" i="9" s="1"/>
  <c r="L7" i="9" s="1"/>
  <c r="O4" i="9"/>
  <c r="O5" i="9" s="1"/>
  <c r="O7" i="9" s="1"/>
  <c r="P4" i="9"/>
  <c r="P5" i="9" s="1"/>
  <c r="P7" i="9" s="1"/>
  <c r="Q4" i="9"/>
  <c r="Q5" i="9" s="1"/>
  <c r="Q7" i="9" s="1"/>
  <c r="R4" i="9"/>
  <c r="R5" i="9" s="1"/>
  <c r="R7" i="9" s="1"/>
  <c r="S4" i="9"/>
  <c r="S5" i="9" s="1"/>
  <c r="U4" i="9"/>
  <c r="C5" i="9"/>
  <c r="C7" i="9" s="1"/>
  <c r="K5" i="9"/>
  <c r="K7" i="9"/>
  <c r="K32" i="9" s="1"/>
  <c r="K33" i="9" s="1"/>
  <c r="V7" i="9"/>
  <c r="W7" i="9"/>
  <c r="W32" i="9" s="1"/>
  <c r="X7" i="9"/>
  <c r="C23" i="9"/>
  <c r="C25" i="9" s="1"/>
  <c r="D23" i="9"/>
  <c r="E23" i="9"/>
  <c r="E25" i="9" s="1"/>
  <c r="F23" i="9"/>
  <c r="I23" i="9"/>
  <c r="I25" i="9"/>
  <c r="J23" i="9"/>
  <c r="J25" i="9" s="1"/>
  <c r="K23" i="9"/>
  <c r="K25" i="9" s="1"/>
  <c r="L23" i="9"/>
  <c r="L25" i="9"/>
  <c r="L75" i="9"/>
  <c r="L72" i="9" s="1"/>
  <c r="O75" i="9"/>
  <c r="O72" i="9" s="1"/>
  <c r="P75" i="9"/>
  <c r="P72" i="9"/>
  <c r="Q75" i="9"/>
  <c r="Q72" i="9"/>
  <c r="Q69" i="9" s="1"/>
  <c r="R75" i="9"/>
  <c r="R72" i="9" s="1"/>
  <c r="V23" i="9"/>
  <c r="V25" i="9"/>
  <c r="V26" i="9" s="1"/>
  <c r="W23" i="9"/>
  <c r="W25" i="9"/>
  <c r="X23" i="9"/>
  <c r="X25" i="9"/>
  <c r="X26" i="9" s="1"/>
  <c r="X17" i="9"/>
  <c r="X13" i="9" s="1"/>
  <c r="U75" i="9"/>
  <c r="U72" i="9" s="1"/>
  <c r="V75" i="9"/>
  <c r="V72" i="9" s="1"/>
  <c r="X75" i="9"/>
  <c r="AA23" i="9"/>
  <c r="AA25" i="9"/>
  <c r="AG26" i="9" s="1"/>
  <c r="AB23" i="9"/>
  <c r="AC23" i="9"/>
  <c r="AC25" i="9"/>
  <c r="AD23" i="9"/>
  <c r="AG75" i="9"/>
  <c r="AG72" i="9" s="1"/>
  <c r="AH75" i="9"/>
  <c r="AJ75" i="9"/>
  <c r="S25" i="9"/>
  <c r="G28" i="9"/>
  <c r="M28" i="9"/>
  <c r="O23" i="9"/>
  <c r="O79" i="9" s="1"/>
  <c r="P23" i="9"/>
  <c r="P79" i="9"/>
  <c r="Q23" i="9"/>
  <c r="R23" i="9"/>
  <c r="R79" i="9" s="1"/>
  <c r="S28" i="9"/>
  <c r="U23" i="9"/>
  <c r="U79" i="9" s="1"/>
  <c r="Y28" i="9"/>
  <c r="AE28" i="9"/>
  <c r="AK28" i="9"/>
  <c r="R26" i="9"/>
  <c r="U26" i="9"/>
  <c r="I29" i="9"/>
  <c r="J29" i="9"/>
  <c r="K29" i="9"/>
  <c r="L29" i="9"/>
  <c r="M29" i="9"/>
  <c r="O29" i="9"/>
  <c r="P29" i="9"/>
  <c r="Q29" i="9"/>
  <c r="R29" i="9"/>
  <c r="U29" i="9"/>
  <c r="V29" i="9"/>
  <c r="W29" i="9"/>
  <c r="X29" i="9"/>
  <c r="AA29" i="9"/>
  <c r="AB29" i="9"/>
  <c r="AC29" i="9"/>
  <c r="AD29" i="9"/>
  <c r="AG29" i="9"/>
  <c r="AH29" i="9"/>
  <c r="AI29" i="9"/>
  <c r="AJ29" i="9"/>
  <c r="AM29" i="9"/>
  <c r="AN29" i="9"/>
  <c r="C37" i="9"/>
  <c r="D37" i="9"/>
  <c r="E37" i="9"/>
  <c r="G37" i="9" s="1"/>
  <c r="F37" i="9"/>
  <c r="I37" i="9"/>
  <c r="J37" i="9"/>
  <c r="K37" i="9"/>
  <c r="L37" i="9"/>
  <c r="M37" i="9"/>
  <c r="O37" i="9"/>
  <c r="O38" i="9" s="1"/>
  <c r="P37" i="9"/>
  <c r="Q37" i="9"/>
  <c r="R37" i="9"/>
  <c r="U37" i="9"/>
  <c r="Y37" i="9" s="1"/>
  <c r="V37" i="9"/>
  <c r="W37" i="9"/>
  <c r="X37" i="9"/>
  <c r="AA37" i="9"/>
  <c r="AA38" i="9" s="1"/>
  <c r="AB37" i="9"/>
  <c r="AC37" i="9"/>
  <c r="AI38" i="9" s="1"/>
  <c r="AD37" i="9"/>
  <c r="AK37" i="9"/>
  <c r="I38" i="9"/>
  <c r="J38" i="9"/>
  <c r="L38" i="9"/>
  <c r="Q38" i="9"/>
  <c r="U38" i="9"/>
  <c r="X38" i="9"/>
  <c r="AC38" i="9"/>
  <c r="AG38" i="9"/>
  <c r="AH38" i="9"/>
  <c r="AJ38" i="9"/>
  <c r="G40" i="9"/>
  <c r="M40" i="9"/>
  <c r="S40" i="9"/>
  <c r="S41" i="9" s="1"/>
  <c r="Y40" i="9"/>
  <c r="AE40" i="9"/>
  <c r="AK40" i="9"/>
  <c r="I41" i="9"/>
  <c r="J41" i="9"/>
  <c r="K41" i="9"/>
  <c r="L41" i="9"/>
  <c r="O41" i="9"/>
  <c r="P41" i="9"/>
  <c r="Q41" i="9"/>
  <c r="R41" i="9"/>
  <c r="U41" i="9"/>
  <c r="V41" i="9"/>
  <c r="W41" i="9"/>
  <c r="X41" i="9"/>
  <c r="AA41" i="9"/>
  <c r="AB41" i="9"/>
  <c r="AC41" i="9"/>
  <c r="AD41" i="9"/>
  <c r="AG41" i="9"/>
  <c r="AH41" i="9"/>
  <c r="AI41" i="9"/>
  <c r="AJ41" i="9"/>
  <c r="AM41" i="9"/>
  <c r="AN41" i="9"/>
  <c r="I44" i="9"/>
  <c r="J44" i="9"/>
  <c r="K44" i="9"/>
  <c r="L44" i="9"/>
  <c r="O44" i="9"/>
  <c r="P44" i="9"/>
  <c r="Q44" i="9"/>
  <c r="R44" i="9"/>
  <c r="U44" i="9"/>
  <c r="V44" i="9"/>
  <c r="W44" i="9"/>
  <c r="X44" i="9"/>
  <c r="AA44" i="9"/>
  <c r="AB44" i="9"/>
  <c r="AC44" i="9"/>
  <c r="AD44" i="9"/>
  <c r="AG44" i="9"/>
  <c r="AH44" i="9"/>
  <c r="AI44" i="9"/>
  <c r="G54" i="9"/>
  <c r="G57" i="9" s="1"/>
  <c r="M58" i="9" s="1"/>
  <c r="M54" i="9"/>
  <c r="S54" i="9"/>
  <c r="Y54" i="9"/>
  <c r="AE54" i="9"/>
  <c r="AK54" i="9"/>
  <c r="I55" i="9"/>
  <c r="J55" i="9"/>
  <c r="K55" i="9"/>
  <c r="L55" i="9"/>
  <c r="O55" i="9"/>
  <c r="P55" i="9"/>
  <c r="Q55" i="9"/>
  <c r="R55" i="9"/>
  <c r="U55" i="9"/>
  <c r="V55" i="9"/>
  <c r="W55" i="9"/>
  <c r="X55" i="9"/>
  <c r="Y55" i="9"/>
  <c r="AA55" i="9"/>
  <c r="AB55" i="9"/>
  <c r="AC55" i="9"/>
  <c r="AD55" i="9"/>
  <c r="AG55" i="9"/>
  <c r="AH55" i="9"/>
  <c r="AI55" i="9"/>
  <c r="AJ55" i="9"/>
  <c r="C57" i="9"/>
  <c r="D57" i="9"/>
  <c r="E57" i="9"/>
  <c r="F57" i="9"/>
  <c r="I57" i="9"/>
  <c r="J57" i="9"/>
  <c r="K57" i="9"/>
  <c r="L57" i="9"/>
  <c r="L58" i="9" s="1"/>
  <c r="O57" i="9"/>
  <c r="P57" i="9"/>
  <c r="P58" i="9" s="1"/>
  <c r="Q57" i="9"/>
  <c r="Q58" i="9" s="1"/>
  <c r="R57" i="9"/>
  <c r="R58" i="9" s="1"/>
  <c r="U57" i="9"/>
  <c r="U58" i="9" s="1"/>
  <c r="V57" i="9"/>
  <c r="W57" i="9"/>
  <c r="W58" i="9"/>
  <c r="X57" i="9"/>
  <c r="AA57" i="9"/>
  <c r="AA58" i="9" s="1"/>
  <c r="AB57" i="9"/>
  <c r="AB58" i="9" s="1"/>
  <c r="AC57" i="9"/>
  <c r="AC58" i="9" s="1"/>
  <c r="AD57" i="9"/>
  <c r="AD58" i="9" s="1"/>
  <c r="AE57" i="9"/>
  <c r="AG57" i="9"/>
  <c r="AH57" i="9"/>
  <c r="AN58" i="9" s="1"/>
  <c r="AI57" i="9"/>
  <c r="AO58" i="9" s="1"/>
  <c r="AJ57" i="9"/>
  <c r="AJ58" i="9" s="1"/>
  <c r="O58" i="9"/>
  <c r="X58" i="9"/>
  <c r="G60" i="9"/>
  <c r="M60" i="9"/>
  <c r="S60" i="9"/>
  <c r="Y60" i="9"/>
  <c r="AE60" i="9"/>
  <c r="AE61" i="9" s="1"/>
  <c r="AK60" i="9"/>
  <c r="I61" i="9"/>
  <c r="J61" i="9"/>
  <c r="K61" i="9"/>
  <c r="L61" i="9"/>
  <c r="O61" i="9"/>
  <c r="P61" i="9"/>
  <c r="Q61" i="9"/>
  <c r="R61" i="9"/>
  <c r="U61" i="9"/>
  <c r="V61" i="9"/>
  <c r="W61" i="9"/>
  <c r="X61" i="9"/>
  <c r="AA61" i="9"/>
  <c r="AB61" i="9"/>
  <c r="AC61" i="9"/>
  <c r="AD61" i="9"/>
  <c r="AG61" i="9"/>
  <c r="AH61" i="9"/>
  <c r="AI61" i="9"/>
  <c r="AJ61" i="9"/>
  <c r="C63" i="9"/>
  <c r="D63" i="9"/>
  <c r="E63" i="9"/>
  <c r="F63" i="9"/>
  <c r="I63" i="9"/>
  <c r="I64" i="9"/>
  <c r="J63" i="9"/>
  <c r="J64" i="9" s="1"/>
  <c r="K63" i="9"/>
  <c r="L63" i="9"/>
  <c r="L64" i="9" s="1"/>
  <c r="O63" i="9"/>
  <c r="O64" i="9" s="1"/>
  <c r="P63" i="9"/>
  <c r="P64" i="9" s="1"/>
  <c r="Q63" i="9"/>
  <c r="Q64" i="9" s="1"/>
  <c r="R63" i="9"/>
  <c r="R64" i="9" s="1"/>
  <c r="S63" i="9"/>
  <c r="U63" i="9"/>
  <c r="V63" i="9"/>
  <c r="W63" i="9"/>
  <c r="X63" i="9"/>
  <c r="AA63" i="9"/>
  <c r="AA64" i="9"/>
  <c r="AB63" i="9"/>
  <c r="AC63" i="9"/>
  <c r="AC64" i="9" s="1"/>
  <c r="AD63" i="9"/>
  <c r="AD64" i="9" s="1"/>
  <c r="AG63" i="9"/>
  <c r="AH63" i="9"/>
  <c r="AI63" i="9"/>
  <c r="AJ63" i="9"/>
  <c r="AP64" i="9" s="1"/>
  <c r="K64" i="9"/>
  <c r="AG64" i="9"/>
  <c r="BQ64" i="9"/>
  <c r="BR64" i="9"/>
  <c r="BS64" i="9"/>
  <c r="BT64" i="9"/>
  <c r="C66" i="9"/>
  <c r="D66" i="9"/>
  <c r="E66" i="9"/>
  <c r="F66" i="9"/>
  <c r="I66" i="9"/>
  <c r="M66" i="9" s="1"/>
  <c r="M67" i="9" s="1"/>
  <c r="J66" i="9"/>
  <c r="K66" i="9"/>
  <c r="K67" i="9" s="1"/>
  <c r="L66" i="9"/>
  <c r="L67" i="9" s="1"/>
  <c r="O66" i="9"/>
  <c r="O67" i="9" s="1"/>
  <c r="P66" i="9"/>
  <c r="Q66" i="9"/>
  <c r="R66" i="9"/>
  <c r="U66" i="9"/>
  <c r="U67" i="9"/>
  <c r="V66" i="9"/>
  <c r="Y66" i="9"/>
  <c r="W66" i="9"/>
  <c r="W67" i="9"/>
  <c r="X66" i="9"/>
  <c r="X67" i="9"/>
  <c r="AA66" i="9"/>
  <c r="AB66" i="9"/>
  <c r="AC66" i="9"/>
  <c r="AD66" i="9"/>
  <c r="AG66" i="9"/>
  <c r="AG67" i="9"/>
  <c r="AH66" i="9"/>
  <c r="AI66" i="9"/>
  <c r="AI67" i="9" s="1"/>
  <c r="AJ66" i="9"/>
  <c r="AJ67" i="9" s="1"/>
  <c r="AM66" i="9"/>
  <c r="AM67" i="9"/>
  <c r="AN66" i="9"/>
  <c r="Q67" i="9"/>
  <c r="S75" i="9"/>
  <c r="C79" i="9"/>
  <c r="E79" i="9"/>
  <c r="I79" i="9"/>
  <c r="J79" i="9"/>
  <c r="K79" i="9"/>
  <c r="K80" i="9"/>
  <c r="L79" i="9"/>
  <c r="Q79" i="9"/>
  <c r="V79" i="9"/>
  <c r="V80" i="9"/>
  <c r="W79" i="9"/>
  <c r="W80" i="9" s="1"/>
  <c r="X79" i="9"/>
  <c r="AA79" i="9"/>
  <c r="AC79" i="9"/>
  <c r="AG79" i="9"/>
  <c r="AG80" i="9" s="1"/>
  <c r="AH79" i="9"/>
  <c r="AI79" i="9"/>
  <c r="AJ79" i="9"/>
  <c r="AN79" i="9"/>
  <c r="AN80" i="9"/>
  <c r="D4" i="10"/>
  <c r="D5" i="10"/>
  <c r="D7" i="10" s="1"/>
  <c r="E4" i="10"/>
  <c r="F4" i="10"/>
  <c r="F5" i="10"/>
  <c r="F7" i="10" s="1"/>
  <c r="G4" i="10"/>
  <c r="G6" i="10"/>
  <c r="I4" i="10"/>
  <c r="J4" i="10"/>
  <c r="J5" i="10"/>
  <c r="J7" i="10" s="1"/>
  <c r="K4" i="10"/>
  <c r="K5" i="10" s="1"/>
  <c r="K7" i="10" s="1"/>
  <c r="L4" i="10"/>
  <c r="O4" i="10"/>
  <c r="O5" i="10"/>
  <c r="O7" i="10"/>
  <c r="O17" i="10" s="1"/>
  <c r="P4" i="10"/>
  <c r="P5" i="10"/>
  <c r="Q4" i="10"/>
  <c r="R4" i="10"/>
  <c r="R5" i="10" s="1"/>
  <c r="R7" i="10" s="1"/>
  <c r="S4" i="10"/>
  <c r="S5" i="10" s="1"/>
  <c r="U4" i="10"/>
  <c r="C5" i="10"/>
  <c r="C7" i="10"/>
  <c r="C20" i="10"/>
  <c r="C17" i="10" s="1"/>
  <c r="E5" i="10"/>
  <c r="E7" i="10"/>
  <c r="E32" i="10"/>
  <c r="E33" i="10" s="1"/>
  <c r="G5" i="10"/>
  <c r="L5" i="10"/>
  <c r="L7" i="10" s="1"/>
  <c r="Q5" i="10"/>
  <c r="Q7" i="10" s="1"/>
  <c r="P7" i="10"/>
  <c r="V7" i="10"/>
  <c r="W7" i="10"/>
  <c r="V8" i="10"/>
  <c r="C25" i="10"/>
  <c r="D25" i="10"/>
  <c r="D75" i="10"/>
  <c r="E25" i="10"/>
  <c r="F25" i="10"/>
  <c r="F75" i="10" s="1"/>
  <c r="I75" i="10"/>
  <c r="I72" i="10"/>
  <c r="J75" i="10"/>
  <c r="J72" i="10"/>
  <c r="J69" i="10" s="1"/>
  <c r="K75" i="10"/>
  <c r="K72" i="10" s="1"/>
  <c r="L75" i="10"/>
  <c r="L72" i="10" s="1"/>
  <c r="O75" i="10"/>
  <c r="O72" i="10"/>
  <c r="P75" i="10"/>
  <c r="P69" i="10" s="1"/>
  <c r="P72" i="10"/>
  <c r="Q75" i="10"/>
  <c r="Q72" i="10"/>
  <c r="R75" i="10"/>
  <c r="R69" i="10" s="1"/>
  <c r="R72" i="10"/>
  <c r="V23" i="10"/>
  <c r="V25" i="10" s="1"/>
  <c r="W23" i="10"/>
  <c r="W25" i="10" s="1"/>
  <c r="X23" i="10"/>
  <c r="X25" i="10"/>
  <c r="X26" i="10" s="1"/>
  <c r="U75" i="10"/>
  <c r="U72" i="10" s="1"/>
  <c r="AA23" i="10"/>
  <c r="AA25" i="10" s="1"/>
  <c r="AB23" i="10"/>
  <c r="AB25" i="10" s="1"/>
  <c r="AC23" i="10"/>
  <c r="AC25" i="10" s="1"/>
  <c r="AD23" i="10"/>
  <c r="AD25" i="10" s="1"/>
  <c r="AG75" i="10"/>
  <c r="AG72" i="10" s="1"/>
  <c r="AJ75" i="10"/>
  <c r="AJ72" i="10"/>
  <c r="AJ69" i="10" s="1"/>
  <c r="AM75" i="10"/>
  <c r="AM72" i="10" s="1"/>
  <c r="AN75" i="10"/>
  <c r="AN72" i="10" s="1"/>
  <c r="G25" i="10"/>
  <c r="M25" i="10"/>
  <c r="S25" i="10"/>
  <c r="G28" i="10"/>
  <c r="M28" i="10"/>
  <c r="S28" i="10"/>
  <c r="V20" i="10"/>
  <c r="Y28" i="10"/>
  <c r="AE28" i="10"/>
  <c r="AK28" i="10"/>
  <c r="AK29" i="10" s="1"/>
  <c r="I23" i="10"/>
  <c r="I79" i="10" s="1"/>
  <c r="J23" i="10"/>
  <c r="K23" i="10"/>
  <c r="K79" i="10"/>
  <c r="L23" i="10"/>
  <c r="O23" i="10"/>
  <c r="P23" i="10"/>
  <c r="Q23" i="10"/>
  <c r="R23" i="10"/>
  <c r="U23" i="10"/>
  <c r="U79" i="10"/>
  <c r="O26" i="10"/>
  <c r="P26" i="10"/>
  <c r="Q26" i="10"/>
  <c r="R26" i="10"/>
  <c r="U26" i="10"/>
  <c r="I29" i="10"/>
  <c r="J29" i="10"/>
  <c r="K29" i="10"/>
  <c r="L29" i="10"/>
  <c r="M29" i="10"/>
  <c r="O29" i="10"/>
  <c r="P29" i="10"/>
  <c r="Q29" i="10"/>
  <c r="R29" i="10"/>
  <c r="U29" i="10"/>
  <c r="V29" i="10"/>
  <c r="W29" i="10"/>
  <c r="X29" i="10"/>
  <c r="AA29" i="10"/>
  <c r="AB29" i="10"/>
  <c r="AC29" i="10"/>
  <c r="AD29" i="10"/>
  <c r="AG29" i="10"/>
  <c r="AH29" i="10"/>
  <c r="AI29" i="10"/>
  <c r="AJ29" i="10"/>
  <c r="AM29" i="10"/>
  <c r="AN29" i="10"/>
  <c r="V32" i="10"/>
  <c r="V33" i="10"/>
  <c r="V45" i="10" s="1"/>
  <c r="C37" i="10"/>
  <c r="D37" i="10"/>
  <c r="E37" i="10"/>
  <c r="F37" i="10"/>
  <c r="I37" i="10"/>
  <c r="J37" i="10"/>
  <c r="J38" i="10"/>
  <c r="K37" i="10"/>
  <c r="L37" i="10"/>
  <c r="L38" i="10"/>
  <c r="O37" i="10"/>
  <c r="O38" i="10" s="1"/>
  <c r="P37" i="10"/>
  <c r="Q37" i="10"/>
  <c r="Q38" i="10"/>
  <c r="R37" i="10"/>
  <c r="R38" i="10" s="1"/>
  <c r="U37" i="10"/>
  <c r="V37" i="10"/>
  <c r="V34" i="10" s="1"/>
  <c r="W37" i="10"/>
  <c r="X37" i="10"/>
  <c r="AA37" i="10"/>
  <c r="AB37" i="10"/>
  <c r="AC37" i="10"/>
  <c r="AD37" i="10"/>
  <c r="AJ38" i="10"/>
  <c r="AK37" i="10"/>
  <c r="I38" i="10"/>
  <c r="P38" i="10"/>
  <c r="U38" i="10"/>
  <c r="W38" i="10"/>
  <c r="X38" i="10"/>
  <c r="AB38" i="10"/>
  <c r="AG38" i="10"/>
  <c r="AI38" i="10"/>
  <c r="AN38" i="10"/>
  <c r="G40" i="10"/>
  <c r="M40" i="10"/>
  <c r="M41" i="10" s="1"/>
  <c r="S40" i="10"/>
  <c r="Y40" i="10"/>
  <c r="Y41" i="10" s="1"/>
  <c r="AE40" i="10"/>
  <c r="AK40" i="10"/>
  <c r="AK41" i="10" s="1"/>
  <c r="I41" i="10"/>
  <c r="J41" i="10"/>
  <c r="K41" i="10"/>
  <c r="L41" i="10"/>
  <c r="O41" i="10"/>
  <c r="P41" i="10"/>
  <c r="Q41" i="10"/>
  <c r="R41" i="10"/>
  <c r="U41" i="10"/>
  <c r="V41" i="10"/>
  <c r="W41" i="10"/>
  <c r="X41" i="10"/>
  <c r="AA41" i="10"/>
  <c r="AB41" i="10"/>
  <c r="AC41" i="10"/>
  <c r="AD41" i="10"/>
  <c r="AG41" i="10"/>
  <c r="AH41" i="10"/>
  <c r="AI41" i="10"/>
  <c r="AJ41" i="10"/>
  <c r="AM41" i="10"/>
  <c r="AN41" i="10"/>
  <c r="I44" i="10"/>
  <c r="J44" i="10"/>
  <c r="K44" i="10"/>
  <c r="L44" i="10"/>
  <c r="O44" i="10"/>
  <c r="P44" i="10"/>
  <c r="Q44" i="10"/>
  <c r="R44" i="10"/>
  <c r="U44" i="10"/>
  <c r="V44" i="10"/>
  <c r="W44" i="10"/>
  <c r="X44" i="10"/>
  <c r="AA44" i="10"/>
  <c r="AB44" i="10"/>
  <c r="AC44" i="10"/>
  <c r="AD44" i="10"/>
  <c r="AG44" i="10"/>
  <c r="AH44" i="10"/>
  <c r="AI44" i="10"/>
  <c r="AJ44" i="10"/>
  <c r="G54" i="10"/>
  <c r="M54" i="10"/>
  <c r="S54" i="10"/>
  <c r="Y54" i="10"/>
  <c r="AE54" i="10"/>
  <c r="AK54" i="10"/>
  <c r="I55" i="10"/>
  <c r="J55" i="10"/>
  <c r="K55" i="10"/>
  <c r="L55" i="10"/>
  <c r="O55" i="10"/>
  <c r="P55" i="10"/>
  <c r="Q55" i="10"/>
  <c r="R55" i="10"/>
  <c r="U55" i="10"/>
  <c r="V55" i="10"/>
  <c r="W55" i="10"/>
  <c r="X55" i="10"/>
  <c r="AA55" i="10"/>
  <c r="AB55" i="10"/>
  <c r="AC55" i="10"/>
  <c r="AD55" i="10"/>
  <c r="AE55" i="10"/>
  <c r="AG55" i="10"/>
  <c r="AH55" i="10"/>
  <c r="AI55" i="10"/>
  <c r="AJ55" i="10"/>
  <c r="AN55" i="10"/>
  <c r="C57" i="10"/>
  <c r="D57" i="10"/>
  <c r="E57" i="10"/>
  <c r="F57" i="10"/>
  <c r="I57" i="10"/>
  <c r="I58" i="10" s="1"/>
  <c r="J57" i="10"/>
  <c r="K57" i="10"/>
  <c r="K58" i="10"/>
  <c r="L57" i="10"/>
  <c r="M57" i="10"/>
  <c r="O57" i="10"/>
  <c r="P57" i="10"/>
  <c r="P58" i="10" s="1"/>
  <c r="Q57" i="10"/>
  <c r="R57" i="10"/>
  <c r="R58" i="10"/>
  <c r="U57" i="10"/>
  <c r="U58" i="10"/>
  <c r="V57" i="10"/>
  <c r="W57" i="10"/>
  <c r="W58" i="10" s="1"/>
  <c r="X57" i="10"/>
  <c r="X58" i="10" s="1"/>
  <c r="AA57" i="10"/>
  <c r="AB57" i="10"/>
  <c r="AC57" i="10"/>
  <c r="AD57" i="10"/>
  <c r="AG57" i="10"/>
  <c r="AG58" i="10" s="1"/>
  <c r="AH57" i="10"/>
  <c r="AI57" i="10"/>
  <c r="AI58" i="10"/>
  <c r="AJ57" i="10"/>
  <c r="AM57" i="10"/>
  <c r="AM58" i="10" s="1"/>
  <c r="AN57" i="10"/>
  <c r="AT58" i="10" s="1"/>
  <c r="J58" i="10"/>
  <c r="V58" i="10"/>
  <c r="AC58" i="10"/>
  <c r="AH58" i="10"/>
  <c r="G60" i="10"/>
  <c r="G63" i="10"/>
  <c r="M60" i="10"/>
  <c r="S60" i="10"/>
  <c r="S63" i="10" s="1"/>
  <c r="S64" i="10" s="1"/>
  <c r="Y60" i="10"/>
  <c r="AE60" i="10"/>
  <c r="AE63" i="10" s="1"/>
  <c r="AK60" i="10"/>
  <c r="I61" i="10"/>
  <c r="J61" i="10"/>
  <c r="K61" i="10"/>
  <c r="L61" i="10"/>
  <c r="O61" i="10"/>
  <c r="P61" i="10"/>
  <c r="Q61" i="10"/>
  <c r="R61" i="10"/>
  <c r="U61" i="10"/>
  <c r="V61" i="10"/>
  <c r="W61" i="10"/>
  <c r="X61" i="10"/>
  <c r="AA61" i="10"/>
  <c r="AB61" i="10"/>
  <c r="AC61" i="10"/>
  <c r="AD61" i="10"/>
  <c r="AE61" i="10"/>
  <c r="AG61" i="10"/>
  <c r="AH61" i="10"/>
  <c r="AI61" i="10"/>
  <c r="AJ61" i="10"/>
  <c r="C63" i="10"/>
  <c r="D63" i="10"/>
  <c r="E63" i="10"/>
  <c r="F63" i="10"/>
  <c r="I63" i="10"/>
  <c r="J63" i="10"/>
  <c r="K63" i="10"/>
  <c r="K64" i="10" s="1"/>
  <c r="L63" i="10"/>
  <c r="M63" i="10"/>
  <c r="O63" i="10"/>
  <c r="P63" i="10"/>
  <c r="P64" i="10"/>
  <c r="Q63" i="10"/>
  <c r="R63" i="10"/>
  <c r="U63" i="10"/>
  <c r="U64" i="10"/>
  <c r="V63" i="10"/>
  <c r="W63" i="10"/>
  <c r="X63" i="10"/>
  <c r="Y63" i="10"/>
  <c r="Y64" i="10" s="1"/>
  <c r="AA63" i="10"/>
  <c r="AB63" i="10"/>
  <c r="AC63" i="10"/>
  <c r="AD63" i="10"/>
  <c r="AD64" i="10" s="1"/>
  <c r="AG63" i="10"/>
  <c r="AM64" i="10" s="1"/>
  <c r="AH63" i="10"/>
  <c r="AI63" i="10"/>
  <c r="AO64" i="10"/>
  <c r="AJ63" i="10"/>
  <c r="AK63" i="10"/>
  <c r="BQ64" i="10"/>
  <c r="BR64" i="10"/>
  <c r="BS64" i="10"/>
  <c r="BT64" i="10"/>
  <c r="C66" i="10"/>
  <c r="D66" i="10"/>
  <c r="E66" i="10"/>
  <c r="F66" i="10"/>
  <c r="I66" i="10"/>
  <c r="I67" i="10" s="1"/>
  <c r="J66" i="10"/>
  <c r="K66" i="10"/>
  <c r="K67" i="10" s="1"/>
  <c r="L66" i="10"/>
  <c r="O66" i="10"/>
  <c r="P66" i="10"/>
  <c r="Q66" i="10"/>
  <c r="R66" i="10"/>
  <c r="R67" i="10"/>
  <c r="U66" i="10"/>
  <c r="U67" i="10" s="1"/>
  <c r="V66" i="10"/>
  <c r="Y66" i="10"/>
  <c r="W66" i="10"/>
  <c r="W67" i="10" s="1"/>
  <c r="X66" i="10"/>
  <c r="X67" i="10"/>
  <c r="AA66" i="10"/>
  <c r="AB66" i="10"/>
  <c r="AC66" i="10"/>
  <c r="AD66" i="10"/>
  <c r="AG66" i="10"/>
  <c r="AG67" i="10" s="1"/>
  <c r="AH66" i="10"/>
  <c r="AK66" i="10"/>
  <c r="AI66" i="10"/>
  <c r="AI67" i="10" s="1"/>
  <c r="AJ66" i="10"/>
  <c r="AM66" i="10"/>
  <c r="AM67" i="10" s="1"/>
  <c r="AN66" i="10"/>
  <c r="AT67" i="10" s="1"/>
  <c r="J67" i="10"/>
  <c r="V67" i="10"/>
  <c r="AC67" i="10"/>
  <c r="AH67" i="10"/>
  <c r="O73" i="10"/>
  <c r="G75" i="10"/>
  <c r="M75" i="10"/>
  <c r="S75" i="10"/>
  <c r="C79" i="10"/>
  <c r="D79" i="10"/>
  <c r="E79" i="10"/>
  <c r="K80" i="10"/>
  <c r="F79" i="10"/>
  <c r="J79" i="10"/>
  <c r="L79" i="10"/>
  <c r="O79" i="10"/>
  <c r="P79" i="10"/>
  <c r="P80" i="10" s="1"/>
  <c r="Q79" i="10"/>
  <c r="R79" i="10"/>
  <c r="V79" i="10"/>
  <c r="X79" i="10"/>
  <c r="AA79" i="10"/>
  <c r="AB79" i="10"/>
  <c r="AC79" i="10"/>
  <c r="AD79" i="10"/>
  <c r="AD80" i="10"/>
  <c r="AG79" i="10"/>
  <c r="AH79" i="10"/>
  <c r="AI79" i="10"/>
  <c r="AI83" i="10" s="1"/>
  <c r="AI84" i="10" s="1"/>
  <c r="AJ79" i="10"/>
  <c r="AM79" i="10"/>
  <c r="AN79" i="10"/>
  <c r="U80" i="10"/>
  <c r="AI80" i="10"/>
  <c r="AN80" i="10"/>
  <c r="U83" i="10"/>
  <c r="G4" i="7"/>
  <c r="Y4" i="7"/>
  <c r="G5" i="7"/>
  <c r="Y5" i="7"/>
  <c r="AE5" i="7"/>
  <c r="AK5" i="7"/>
  <c r="AQ5" i="7"/>
  <c r="AW5" i="7"/>
  <c r="V8" i="7"/>
  <c r="C67" i="7"/>
  <c r="C64" i="7"/>
  <c r="D67" i="7"/>
  <c r="D64" i="7" s="1"/>
  <c r="E67" i="7"/>
  <c r="E64" i="7"/>
  <c r="F67" i="7"/>
  <c r="F61" i="7" s="1"/>
  <c r="F64" i="7"/>
  <c r="I67" i="7"/>
  <c r="I64" i="7"/>
  <c r="J67" i="7"/>
  <c r="J64" i="7"/>
  <c r="K67" i="7"/>
  <c r="K64" i="7"/>
  <c r="L67" i="7"/>
  <c r="L64" i="7"/>
  <c r="O67" i="7"/>
  <c r="O64" i="7"/>
  <c r="P67" i="7"/>
  <c r="P64" i="7"/>
  <c r="P61" i="7" s="1"/>
  <c r="Q67" i="7"/>
  <c r="Q64" i="7" s="1"/>
  <c r="R67" i="7"/>
  <c r="R64" i="7" s="1"/>
  <c r="U67" i="7"/>
  <c r="U64" i="7"/>
  <c r="V67" i="7"/>
  <c r="V64" i="7"/>
  <c r="W67" i="7"/>
  <c r="W64" i="7"/>
  <c r="X67" i="7"/>
  <c r="X64" i="7"/>
  <c r="AA67" i="7"/>
  <c r="AA61" i="7" s="1"/>
  <c r="AA64" i="7"/>
  <c r="AB67" i="7"/>
  <c r="AB64" i="7" s="1"/>
  <c r="AC67" i="7"/>
  <c r="AC64" i="7"/>
  <c r="AC61" i="7" s="1"/>
  <c r="AD67" i="7"/>
  <c r="AD64" i="7" s="1"/>
  <c r="AG67" i="7"/>
  <c r="AG64" i="7"/>
  <c r="AH67" i="7"/>
  <c r="AH64" i="7"/>
  <c r="AI67" i="7"/>
  <c r="AI64" i="7"/>
  <c r="AJ67" i="7"/>
  <c r="AJ64" i="7"/>
  <c r="AM67" i="7"/>
  <c r="AM64" i="7"/>
  <c r="AN67" i="7"/>
  <c r="AN64" i="7"/>
  <c r="AN61" i="7" s="1"/>
  <c r="AN62" i="7" s="1"/>
  <c r="I21" i="7"/>
  <c r="J21" i="7"/>
  <c r="K21" i="7"/>
  <c r="L21" i="7"/>
  <c r="M21" i="7"/>
  <c r="O21" i="7"/>
  <c r="P21" i="7"/>
  <c r="Q21" i="7"/>
  <c r="R21" i="7"/>
  <c r="S21" i="7"/>
  <c r="U21" i="7"/>
  <c r="V21" i="7"/>
  <c r="W21" i="7"/>
  <c r="X21" i="7"/>
  <c r="Y21" i="7"/>
  <c r="AA21" i="7"/>
  <c r="AB21" i="7"/>
  <c r="AC21" i="7"/>
  <c r="AD21" i="7"/>
  <c r="AE21" i="7"/>
  <c r="AG21" i="7"/>
  <c r="AH21" i="7"/>
  <c r="AI21" i="7"/>
  <c r="AJ21" i="7"/>
  <c r="AK21" i="7"/>
  <c r="AM21" i="7"/>
  <c r="AN21" i="7"/>
  <c r="P24" i="7"/>
  <c r="P25" i="7" s="1"/>
  <c r="U24" i="7"/>
  <c r="U25" i="7" s="1"/>
  <c r="V24" i="7"/>
  <c r="W24" i="7"/>
  <c r="W25" i="7" s="1"/>
  <c r="X24" i="7"/>
  <c r="Y24" i="7" s="1"/>
  <c r="Y23" i="7" s="1"/>
  <c r="X25" i="7"/>
  <c r="C29" i="7"/>
  <c r="D29" i="7"/>
  <c r="E29" i="7"/>
  <c r="F29" i="7"/>
  <c r="I29" i="7"/>
  <c r="J29" i="7"/>
  <c r="K29" i="7"/>
  <c r="L29" i="7"/>
  <c r="O29" i="7"/>
  <c r="P29" i="7"/>
  <c r="Q29" i="7"/>
  <c r="S29" i="7" s="1"/>
  <c r="R29" i="7"/>
  <c r="U29" i="7"/>
  <c r="V29" i="7"/>
  <c r="W29" i="7"/>
  <c r="X29" i="7"/>
  <c r="AA29" i="7"/>
  <c r="AB29" i="7"/>
  <c r="AC29" i="7"/>
  <c r="AD29" i="7"/>
  <c r="AD30" i="7"/>
  <c r="AK29" i="7"/>
  <c r="K30" i="7"/>
  <c r="P30" i="7"/>
  <c r="AI30" i="7"/>
  <c r="I33" i="7"/>
  <c r="J33" i="7"/>
  <c r="K33" i="7"/>
  <c r="L33" i="7"/>
  <c r="M33" i="7"/>
  <c r="O33" i="7"/>
  <c r="P33" i="7"/>
  <c r="Q33" i="7"/>
  <c r="R33" i="7"/>
  <c r="S33" i="7"/>
  <c r="U33" i="7"/>
  <c r="V33" i="7"/>
  <c r="W33" i="7"/>
  <c r="X33" i="7"/>
  <c r="Y33" i="7"/>
  <c r="AA33" i="7"/>
  <c r="AB33" i="7"/>
  <c r="AC33" i="7"/>
  <c r="AD33" i="7"/>
  <c r="AE33" i="7"/>
  <c r="AG33" i="7"/>
  <c r="AH33" i="7"/>
  <c r="AI33" i="7"/>
  <c r="AJ33" i="7"/>
  <c r="AK33" i="7"/>
  <c r="AM33" i="7"/>
  <c r="AN33" i="7"/>
  <c r="X37" i="7"/>
  <c r="I36" i="7"/>
  <c r="J36" i="7"/>
  <c r="K36" i="7"/>
  <c r="L36" i="7"/>
  <c r="O36" i="7"/>
  <c r="P36" i="7"/>
  <c r="Q36" i="7"/>
  <c r="R36" i="7"/>
  <c r="U36" i="7"/>
  <c r="V36" i="7"/>
  <c r="W36" i="7"/>
  <c r="AA36" i="7"/>
  <c r="AB36" i="7"/>
  <c r="AC36" i="7"/>
  <c r="AD36" i="7"/>
  <c r="AG36" i="7"/>
  <c r="AH36" i="7"/>
  <c r="AI36" i="7"/>
  <c r="AJ36" i="7"/>
  <c r="I47" i="7"/>
  <c r="J47" i="7"/>
  <c r="K47" i="7"/>
  <c r="L47" i="7"/>
  <c r="M47" i="7"/>
  <c r="O47" i="7"/>
  <c r="P47" i="7"/>
  <c r="Q47" i="7"/>
  <c r="R47" i="7"/>
  <c r="S47" i="7"/>
  <c r="U47" i="7"/>
  <c r="V47" i="7"/>
  <c r="W47" i="7"/>
  <c r="X47" i="7"/>
  <c r="Y47" i="7"/>
  <c r="AA47" i="7"/>
  <c r="AB47" i="7"/>
  <c r="AC47" i="7"/>
  <c r="AD47" i="7"/>
  <c r="AE47" i="7"/>
  <c r="AG47" i="7"/>
  <c r="AH47" i="7"/>
  <c r="AI47" i="7"/>
  <c r="AJ47" i="7"/>
  <c r="AK47" i="7"/>
  <c r="AM47" i="7"/>
  <c r="AN47" i="7"/>
  <c r="C49" i="7"/>
  <c r="D49" i="7"/>
  <c r="E49" i="7"/>
  <c r="F49" i="7"/>
  <c r="G49" i="7"/>
  <c r="I49" i="7"/>
  <c r="J49" i="7"/>
  <c r="K49" i="7"/>
  <c r="Q50" i="7"/>
  <c r="L49" i="7"/>
  <c r="M49" i="7"/>
  <c r="O49" i="7"/>
  <c r="P49" i="7"/>
  <c r="Q49" i="7"/>
  <c r="R49" i="7"/>
  <c r="S49" i="7"/>
  <c r="U49" i="7"/>
  <c r="V49" i="7"/>
  <c r="V50" i="7" s="1"/>
  <c r="W49" i="7"/>
  <c r="X49" i="7"/>
  <c r="Y49" i="7"/>
  <c r="AA49" i="7"/>
  <c r="AA50" i="7" s="1"/>
  <c r="AB49" i="7"/>
  <c r="AC49" i="7"/>
  <c r="AD49" i="7"/>
  <c r="AE49" i="7"/>
  <c r="AG49" i="7"/>
  <c r="AH49" i="7"/>
  <c r="AI49" i="7"/>
  <c r="AJ49" i="7"/>
  <c r="AJ50" i="7" s="1"/>
  <c r="AK49" i="7"/>
  <c r="AN49" i="7"/>
  <c r="AN50" i="7" s="1"/>
  <c r="L50" i="7"/>
  <c r="AE50" i="7"/>
  <c r="I53" i="7"/>
  <c r="J53" i="7"/>
  <c r="K53" i="7"/>
  <c r="L53" i="7"/>
  <c r="M53" i="7"/>
  <c r="O53" i="7"/>
  <c r="P53" i="7"/>
  <c r="Q53" i="7"/>
  <c r="R53" i="7"/>
  <c r="S53" i="7"/>
  <c r="U53" i="7"/>
  <c r="V53" i="7"/>
  <c r="W53" i="7"/>
  <c r="X53" i="7"/>
  <c r="Y53" i="7"/>
  <c r="AA53" i="7"/>
  <c r="AB53" i="7"/>
  <c r="AC53" i="7"/>
  <c r="AD53" i="7"/>
  <c r="AE53" i="7"/>
  <c r="AG53" i="7"/>
  <c r="AH53" i="7"/>
  <c r="AI53" i="7"/>
  <c r="AJ53" i="7"/>
  <c r="AK53" i="7"/>
  <c r="C55" i="7"/>
  <c r="D55" i="7"/>
  <c r="E55" i="7"/>
  <c r="F55" i="7"/>
  <c r="G55" i="7"/>
  <c r="I55" i="7"/>
  <c r="J55" i="7"/>
  <c r="K55" i="7"/>
  <c r="L55" i="7"/>
  <c r="M55" i="7"/>
  <c r="O55" i="7"/>
  <c r="P55" i="7"/>
  <c r="Q55" i="7"/>
  <c r="Q56" i="7"/>
  <c r="R55" i="7"/>
  <c r="S55" i="7"/>
  <c r="U55" i="7"/>
  <c r="V55" i="7"/>
  <c r="W55" i="7"/>
  <c r="X55" i="7"/>
  <c r="Y55" i="7"/>
  <c r="AA55" i="7"/>
  <c r="AA56" i="7" s="1"/>
  <c r="AB55" i="7"/>
  <c r="AC55" i="7"/>
  <c r="AD55" i="7"/>
  <c r="AE55" i="7"/>
  <c r="AG55" i="7"/>
  <c r="AH55" i="7"/>
  <c r="AI55" i="7"/>
  <c r="AJ55" i="7"/>
  <c r="AP56" i="7" s="1"/>
  <c r="AK55" i="7"/>
  <c r="L56" i="7"/>
  <c r="V56" i="7"/>
  <c r="AE56" i="7"/>
  <c r="BQ56" i="7"/>
  <c r="BR56" i="7"/>
  <c r="BS56" i="7"/>
  <c r="BT56" i="7"/>
  <c r="C58" i="7"/>
  <c r="D58" i="7"/>
  <c r="E58" i="7"/>
  <c r="G58" i="7" s="1"/>
  <c r="F58" i="7"/>
  <c r="I58" i="7"/>
  <c r="J58" i="7"/>
  <c r="K58" i="7"/>
  <c r="L58" i="7"/>
  <c r="O58" i="7"/>
  <c r="O59" i="7"/>
  <c r="P58" i="7"/>
  <c r="S58" i="7" s="1"/>
  <c r="Q58" i="7"/>
  <c r="Q59" i="7"/>
  <c r="R58" i="7"/>
  <c r="U58" i="7"/>
  <c r="V58" i="7"/>
  <c r="W58" i="7"/>
  <c r="X58" i="7"/>
  <c r="AA58" i="7"/>
  <c r="AA59" i="7"/>
  <c r="AB58" i="7"/>
  <c r="AC58" i="7"/>
  <c r="AC59" i="7"/>
  <c r="AD58" i="7"/>
  <c r="AD59" i="7"/>
  <c r="AG58" i="7"/>
  <c r="AH58" i="7"/>
  <c r="AI58" i="7"/>
  <c r="AJ58" i="7"/>
  <c r="AM58" i="7"/>
  <c r="AM59" i="7"/>
  <c r="AN58" i="7"/>
  <c r="K59" i="7"/>
  <c r="U59" i="7"/>
  <c r="AB59" i="7"/>
  <c r="AI59" i="7"/>
  <c r="AN59" i="7"/>
  <c r="I65" i="7"/>
  <c r="AG65" i="7"/>
  <c r="G67" i="7"/>
  <c r="M67" i="7"/>
  <c r="S67" i="7"/>
  <c r="Y67" i="7"/>
  <c r="AE67" i="7"/>
  <c r="AK67" i="7"/>
  <c r="Q80" i="7"/>
  <c r="R80" i="7"/>
  <c r="U80" i="7"/>
  <c r="G4" i="8"/>
  <c r="AE5" i="8"/>
  <c r="AK5" i="8"/>
  <c r="AQ5" i="8"/>
  <c r="AW5" i="8"/>
  <c r="BO5" i="8"/>
  <c r="BU5" i="8"/>
  <c r="C67" i="8"/>
  <c r="C64" i="8"/>
  <c r="D67" i="8"/>
  <c r="D64" i="8" s="1"/>
  <c r="E67" i="8"/>
  <c r="E64" i="8"/>
  <c r="E61" i="8"/>
  <c r="F67" i="8"/>
  <c r="F64" i="8" s="1"/>
  <c r="I67" i="8"/>
  <c r="I64" i="8"/>
  <c r="J67" i="8"/>
  <c r="J64" i="8"/>
  <c r="K67" i="8"/>
  <c r="K64" i="8"/>
  <c r="L67" i="8"/>
  <c r="L64" i="8"/>
  <c r="O67" i="8"/>
  <c r="O64" i="8" s="1"/>
  <c r="P67" i="8"/>
  <c r="P64" i="8"/>
  <c r="P65" i="8" s="1"/>
  <c r="Q67" i="8"/>
  <c r="R67" i="8"/>
  <c r="R64" i="8"/>
  <c r="R65" i="8" s="1"/>
  <c r="U67" i="8"/>
  <c r="U64" i="8" s="1"/>
  <c r="V67" i="8"/>
  <c r="V64" i="8" s="1"/>
  <c r="W67" i="8"/>
  <c r="W64" i="8" s="1"/>
  <c r="X67" i="8"/>
  <c r="X64" i="8" s="1"/>
  <c r="AA67" i="8"/>
  <c r="AA64" i="8" s="1"/>
  <c r="AB67" i="8"/>
  <c r="AB64" i="8" s="1"/>
  <c r="AC67" i="8"/>
  <c r="AC64" i="8" s="1"/>
  <c r="AD67" i="8"/>
  <c r="AD64" i="8" s="1"/>
  <c r="AG67" i="8"/>
  <c r="AG64" i="8" s="1"/>
  <c r="AH67" i="8"/>
  <c r="AH64" i="8"/>
  <c r="AI67" i="8"/>
  <c r="AI64" i="8"/>
  <c r="AJ67" i="8"/>
  <c r="AJ64" i="8"/>
  <c r="AM67" i="8"/>
  <c r="AM64" i="8" s="1"/>
  <c r="AN67" i="8"/>
  <c r="AN64" i="8" s="1"/>
  <c r="I21" i="8"/>
  <c r="J21" i="8"/>
  <c r="K21" i="8"/>
  <c r="L21" i="8"/>
  <c r="M21" i="8"/>
  <c r="O21" i="8"/>
  <c r="P21" i="8"/>
  <c r="Q21" i="8"/>
  <c r="R21" i="8"/>
  <c r="S21" i="8"/>
  <c r="U21" i="8"/>
  <c r="V21" i="8"/>
  <c r="W21" i="8"/>
  <c r="X21" i="8"/>
  <c r="Y21" i="8"/>
  <c r="AA21" i="8"/>
  <c r="AB21" i="8"/>
  <c r="AC21" i="8"/>
  <c r="AD21" i="8"/>
  <c r="AG21" i="8"/>
  <c r="AH21" i="8"/>
  <c r="AI21" i="8"/>
  <c r="AJ21" i="8"/>
  <c r="AM21" i="8"/>
  <c r="AN21" i="8"/>
  <c r="F24" i="8"/>
  <c r="V24" i="8"/>
  <c r="V25" i="8" s="1"/>
  <c r="F25" i="8"/>
  <c r="F37" i="8"/>
  <c r="F40" i="8" s="1"/>
  <c r="F43" i="8" s="1"/>
  <c r="C29" i="8"/>
  <c r="D29" i="8"/>
  <c r="E29" i="8"/>
  <c r="F29" i="8"/>
  <c r="G29" i="8"/>
  <c r="I29" i="8"/>
  <c r="J29" i="8"/>
  <c r="K29" i="8"/>
  <c r="K30" i="8" s="1"/>
  <c r="L29" i="8"/>
  <c r="O29" i="8"/>
  <c r="S29" i="8" s="1"/>
  <c r="P29" i="8"/>
  <c r="Q29" i="8"/>
  <c r="R29" i="8"/>
  <c r="R30" i="8"/>
  <c r="U29" i="8"/>
  <c r="V29" i="8"/>
  <c r="W29" i="8"/>
  <c r="X29" i="8"/>
  <c r="AA29" i="8"/>
  <c r="AA30" i="8"/>
  <c r="AB29" i="8"/>
  <c r="AC29" i="8"/>
  <c r="AC30" i="8" s="1"/>
  <c r="AD29" i="8"/>
  <c r="AK29" i="8"/>
  <c r="I30" i="8"/>
  <c r="P30" i="8"/>
  <c r="U30" i="8"/>
  <c r="V30" i="8"/>
  <c r="W30" i="8"/>
  <c r="AB30" i="8"/>
  <c r="AD30" i="8"/>
  <c r="AH30" i="8"/>
  <c r="AJ30" i="8"/>
  <c r="AN30" i="8"/>
  <c r="I33" i="8"/>
  <c r="J33" i="8"/>
  <c r="K33" i="8"/>
  <c r="L33" i="8"/>
  <c r="M33" i="8"/>
  <c r="O33" i="8"/>
  <c r="P33" i="8"/>
  <c r="Q33" i="8"/>
  <c r="R33" i="8"/>
  <c r="S33" i="8"/>
  <c r="U33" i="8"/>
  <c r="V33" i="8"/>
  <c r="W33" i="8"/>
  <c r="X33" i="8"/>
  <c r="Y33" i="8"/>
  <c r="AA33" i="8"/>
  <c r="AB33" i="8"/>
  <c r="AC33" i="8"/>
  <c r="AD33" i="8"/>
  <c r="AE33" i="8"/>
  <c r="AG33" i="8"/>
  <c r="AH33" i="8"/>
  <c r="AI33" i="8"/>
  <c r="AJ33" i="8"/>
  <c r="AK33" i="8"/>
  <c r="AM33" i="8"/>
  <c r="AN33" i="8"/>
  <c r="I36" i="8"/>
  <c r="J36" i="8"/>
  <c r="K36" i="8"/>
  <c r="L36" i="8"/>
  <c r="O36" i="8"/>
  <c r="P36" i="8"/>
  <c r="Q36" i="8"/>
  <c r="R36" i="8"/>
  <c r="U36" i="8"/>
  <c r="V36" i="8"/>
  <c r="W36" i="8"/>
  <c r="X36" i="8"/>
  <c r="AA36" i="8"/>
  <c r="AB36" i="8"/>
  <c r="AC36" i="8"/>
  <c r="AD36" i="8"/>
  <c r="AG36" i="8"/>
  <c r="AH36" i="8"/>
  <c r="AI36" i="8"/>
  <c r="AJ36" i="8"/>
  <c r="I47" i="8"/>
  <c r="J47" i="8"/>
  <c r="K47" i="8"/>
  <c r="L47" i="8"/>
  <c r="M47" i="8"/>
  <c r="O47" i="8"/>
  <c r="P47" i="8"/>
  <c r="Q47" i="8"/>
  <c r="R47" i="8"/>
  <c r="S47" i="8"/>
  <c r="U47" i="8"/>
  <c r="V47" i="8"/>
  <c r="W47" i="8"/>
  <c r="X47" i="8"/>
  <c r="Y47" i="8"/>
  <c r="AA47" i="8"/>
  <c r="AB47" i="8"/>
  <c r="AC47" i="8"/>
  <c r="AD47" i="8"/>
  <c r="AE47" i="8"/>
  <c r="AG47" i="8"/>
  <c r="AH47" i="8"/>
  <c r="AI47" i="8"/>
  <c r="AJ47" i="8"/>
  <c r="AK47" i="8"/>
  <c r="AN47" i="8"/>
  <c r="C49" i="8"/>
  <c r="D49" i="8"/>
  <c r="E49" i="8"/>
  <c r="F49" i="8"/>
  <c r="G49" i="8"/>
  <c r="I49" i="8"/>
  <c r="J49" i="8"/>
  <c r="K49" i="8"/>
  <c r="L49" i="8"/>
  <c r="M49" i="8"/>
  <c r="O49" i="8"/>
  <c r="P49" i="8"/>
  <c r="Q49" i="8"/>
  <c r="R49" i="8"/>
  <c r="S49" i="8"/>
  <c r="U49" i="8"/>
  <c r="V49" i="8"/>
  <c r="W49" i="8"/>
  <c r="W50" i="8"/>
  <c r="X49" i="8"/>
  <c r="Y49" i="8"/>
  <c r="AA49" i="8"/>
  <c r="AB49" i="8"/>
  <c r="AC49" i="8"/>
  <c r="AD49" i="8"/>
  <c r="AE49" i="8"/>
  <c r="AG49" i="8"/>
  <c r="AM50" i="8" s="1"/>
  <c r="AH49" i="8"/>
  <c r="AI49" i="8"/>
  <c r="AJ49" i="8"/>
  <c r="AK49" i="8"/>
  <c r="AN49" i="8"/>
  <c r="AN50" i="8" s="1"/>
  <c r="R50" i="8"/>
  <c r="AB50" i="8"/>
  <c r="AK50" i="8"/>
  <c r="I53" i="8"/>
  <c r="J53" i="8"/>
  <c r="K53" i="8"/>
  <c r="L53" i="8"/>
  <c r="M53" i="8"/>
  <c r="O53" i="8"/>
  <c r="P53" i="8"/>
  <c r="Q53" i="8"/>
  <c r="R53" i="8"/>
  <c r="S53" i="8"/>
  <c r="U53" i="8"/>
  <c r="V53" i="8"/>
  <c r="W53" i="8"/>
  <c r="X53" i="8"/>
  <c r="Y53" i="8"/>
  <c r="AA53" i="8"/>
  <c r="AB53" i="8"/>
  <c r="AC53" i="8"/>
  <c r="AD53" i="8"/>
  <c r="AE53" i="8"/>
  <c r="AG53" i="8"/>
  <c r="AH53" i="8"/>
  <c r="AI53" i="8"/>
  <c r="AJ53" i="8"/>
  <c r="AK53" i="8"/>
  <c r="C55" i="8"/>
  <c r="D55" i="8"/>
  <c r="E55" i="8"/>
  <c r="F55" i="8"/>
  <c r="G55" i="8"/>
  <c r="I55" i="8"/>
  <c r="J55" i="8"/>
  <c r="J56" i="8" s="1"/>
  <c r="K55" i="8"/>
  <c r="K56" i="8" s="1"/>
  <c r="L55" i="8"/>
  <c r="L56" i="8"/>
  <c r="M55" i="8"/>
  <c r="M56" i="8" s="1"/>
  <c r="O55" i="8"/>
  <c r="O56" i="8" s="1"/>
  <c r="P55" i="8"/>
  <c r="Q55" i="8"/>
  <c r="Q56" i="8" s="1"/>
  <c r="R55" i="8"/>
  <c r="S55" i="8"/>
  <c r="U55" i="8"/>
  <c r="V55" i="8"/>
  <c r="V56" i="8" s="1"/>
  <c r="W55" i="8"/>
  <c r="X55" i="8"/>
  <c r="Y55" i="8"/>
  <c r="AA55" i="8"/>
  <c r="AA56" i="8"/>
  <c r="AB55" i="8"/>
  <c r="AC55" i="8"/>
  <c r="AD55" i="8"/>
  <c r="AE55" i="8"/>
  <c r="AE56" i="8" s="1"/>
  <c r="AG55" i="8"/>
  <c r="AH55" i="8"/>
  <c r="AH56" i="8"/>
  <c r="AI55" i="8"/>
  <c r="AO56" i="8" s="1"/>
  <c r="AJ55" i="8"/>
  <c r="AP56" i="8" s="1"/>
  <c r="AJ56" i="8"/>
  <c r="AK55" i="8"/>
  <c r="I56" i="8"/>
  <c r="R56" i="8"/>
  <c r="AB56" i="8"/>
  <c r="BQ56" i="8"/>
  <c r="BR56" i="8"/>
  <c r="BS56" i="8"/>
  <c r="BT56" i="8"/>
  <c r="C58" i="8"/>
  <c r="D58" i="8"/>
  <c r="E58" i="8"/>
  <c r="F58" i="8"/>
  <c r="I58" i="8"/>
  <c r="I59" i="8"/>
  <c r="J58" i="8"/>
  <c r="K58" i="8"/>
  <c r="K59" i="8"/>
  <c r="L58" i="8"/>
  <c r="L59" i="8" s="1"/>
  <c r="O58" i="8"/>
  <c r="P58" i="8"/>
  <c r="Q58" i="8"/>
  <c r="R58" i="8"/>
  <c r="U58" i="8"/>
  <c r="U59" i="8"/>
  <c r="V58" i="8"/>
  <c r="Y58" i="8" s="1"/>
  <c r="Y59" i="8" s="1"/>
  <c r="W58" i="8"/>
  <c r="X58" i="8"/>
  <c r="AA58" i="8"/>
  <c r="AA59" i="8" s="1"/>
  <c r="AB58" i="8"/>
  <c r="AC58" i="8"/>
  <c r="AD58" i="8"/>
  <c r="AG58" i="8"/>
  <c r="AG59" i="8" s="1"/>
  <c r="AH58" i="8"/>
  <c r="AI58" i="8"/>
  <c r="AI59" i="8" s="1"/>
  <c r="AJ58" i="8"/>
  <c r="AJ59" i="8"/>
  <c r="AM58" i="8"/>
  <c r="AN58" i="8"/>
  <c r="AT59" i="8" s="1"/>
  <c r="J59" i="8"/>
  <c r="Q59" i="8"/>
  <c r="V59" i="8"/>
  <c r="AH59" i="8"/>
  <c r="M64" i="8"/>
  <c r="G67" i="8"/>
  <c r="M67" i="8"/>
  <c r="S67" i="8"/>
  <c r="Y67" i="8"/>
  <c r="AK67" i="8"/>
  <c r="G4" i="2"/>
  <c r="G5" i="2" s="1"/>
  <c r="M4" i="2"/>
  <c r="M5" i="2" s="1"/>
  <c r="Y4" i="2"/>
  <c r="Q8" i="2"/>
  <c r="C67" i="2"/>
  <c r="C64" i="2"/>
  <c r="D67" i="2"/>
  <c r="D64" i="2" s="1"/>
  <c r="E67" i="2"/>
  <c r="E64" i="2"/>
  <c r="K65" i="2"/>
  <c r="F67" i="2"/>
  <c r="F64" i="2" s="1"/>
  <c r="F61" i="2" s="1"/>
  <c r="I21" i="2"/>
  <c r="J21" i="2"/>
  <c r="K21" i="2"/>
  <c r="L21" i="2"/>
  <c r="M21" i="2"/>
  <c r="O21" i="2"/>
  <c r="P21" i="2"/>
  <c r="Q21" i="2"/>
  <c r="R21" i="2"/>
  <c r="S21" i="2"/>
  <c r="AA21" i="2"/>
  <c r="AB21" i="2"/>
  <c r="AC21" i="2"/>
  <c r="AD21" i="2"/>
  <c r="AE21" i="2"/>
  <c r="AG21" i="2"/>
  <c r="AH21" i="2"/>
  <c r="AI21" i="2"/>
  <c r="AJ21" i="2"/>
  <c r="AK21" i="2"/>
  <c r="AM21" i="2"/>
  <c r="AN21" i="2"/>
  <c r="C29" i="2"/>
  <c r="D29" i="2"/>
  <c r="E29" i="2"/>
  <c r="F29" i="2"/>
  <c r="I29" i="2"/>
  <c r="I30" i="2"/>
  <c r="J29" i="2"/>
  <c r="K29" i="2"/>
  <c r="K30" i="2" s="1"/>
  <c r="L29" i="2"/>
  <c r="O29" i="2"/>
  <c r="S29" i="2" s="1"/>
  <c r="S30" i="2" s="1"/>
  <c r="P29" i="2"/>
  <c r="Q29" i="2"/>
  <c r="R29" i="2"/>
  <c r="R30" i="2"/>
  <c r="U29" i="2"/>
  <c r="V29" i="2"/>
  <c r="W29" i="2"/>
  <c r="X29" i="2"/>
  <c r="AA29" i="2"/>
  <c r="AA30" i="2"/>
  <c r="AB29" i="2"/>
  <c r="AC29" i="2"/>
  <c r="AC30" i="2" s="1"/>
  <c r="AD29" i="2"/>
  <c r="AE29" i="2" s="1"/>
  <c r="AE30" i="2" s="1"/>
  <c r="AG29" i="2"/>
  <c r="AK29" i="2" s="1"/>
  <c r="AK30" i="2" s="1"/>
  <c r="J30" i="2"/>
  <c r="L30" i="2"/>
  <c r="Q30" i="2"/>
  <c r="AD30" i="2"/>
  <c r="AH30" i="2"/>
  <c r="AJ30" i="2"/>
  <c r="AM30" i="2"/>
  <c r="AN30" i="2"/>
  <c r="I33" i="2"/>
  <c r="J33" i="2"/>
  <c r="K33" i="2"/>
  <c r="L33" i="2"/>
  <c r="M33" i="2"/>
  <c r="O33" i="2"/>
  <c r="P33" i="2"/>
  <c r="Q33" i="2"/>
  <c r="R33" i="2"/>
  <c r="S33" i="2"/>
  <c r="U33" i="2"/>
  <c r="V33" i="2"/>
  <c r="W33" i="2"/>
  <c r="X33" i="2"/>
  <c r="Y33" i="2"/>
  <c r="AA33" i="2"/>
  <c r="AB33" i="2"/>
  <c r="AC33" i="2"/>
  <c r="AD33" i="2"/>
  <c r="AE33" i="2"/>
  <c r="AG33" i="2"/>
  <c r="AH33" i="2"/>
  <c r="AI33" i="2"/>
  <c r="AJ33" i="2"/>
  <c r="AK33" i="2"/>
  <c r="AM33" i="2"/>
  <c r="AN33" i="2"/>
  <c r="I36" i="2"/>
  <c r="J36" i="2"/>
  <c r="K36" i="2"/>
  <c r="L36" i="2"/>
  <c r="O36" i="2"/>
  <c r="P36" i="2"/>
  <c r="Q36" i="2"/>
  <c r="R36" i="2"/>
  <c r="U36" i="2"/>
  <c r="V36" i="2"/>
  <c r="W36" i="2"/>
  <c r="X36" i="2"/>
  <c r="AA36" i="2"/>
  <c r="AB36" i="2"/>
  <c r="AC36" i="2"/>
  <c r="AD36" i="2"/>
  <c r="AG36" i="2"/>
  <c r="AH36" i="2"/>
  <c r="AI36" i="2"/>
  <c r="AJ36" i="2"/>
  <c r="I47" i="2"/>
  <c r="J47" i="2"/>
  <c r="K47" i="2"/>
  <c r="L47" i="2"/>
  <c r="M47" i="2"/>
  <c r="O47" i="2"/>
  <c r="P47" i="2"/>
  <c r="Q47" i="2"/>
  <c r="R47" i="2"/>
  <c r="S47" i="2"/>
  <c r="U47" i="2"/>
  <c r="V47" i="2"/>
  <c r="W47" i="2"/>
  <c r="X47" i="2"/>
  <c r="Y47" i="2"/>
  <c r="C49" i="2"/>
  <c r="D49" i="2"/>
  <c r="E49" i="2"/>
  <c r="F49" i="2"/>
  <c r="G49" i="2"/>
  <c r="I49" i="2"/>
  <c r="J49" i="2"/>
  <c r="J50" i="2" s="1"/>
  <c r="K49" i="2"/>
  <c r="L49" i="2"/>
  <c r="M49" i="2"/>
  <c r="O49" i="2"/>
  <c r="P49" i="2"/>
  <c r="Q49" i="2"/>
  <c r="R49" i="2"/>
  <c r="S49" i="2"/>
  <c r="S50" i="2" s="1"/>
  <c r="U49" i="2"/>
  <c r="V49" i="2"/>
  <c r="W49" i="2"/>
  <c r="X49" i="2"/>
  <c r="Y49" i="2"/>
  <c r="O50" i="2"/>
  <c r="X50" i="2"/>
  <c r="I53" i="2"/>
  <c r="J53" i="2"/>
  <c r="K53" i="2"/>
  <c r="L53" i="2"/>
  <c r="M53" i="2"/>
  <c r="O53" i="2"/>
  <c r="P53" i="2"/>
  <c r="Q53" i="2"/>
  <c r="R53" i="2"/>
  <c r="S53" i="2"/>
  <c r="U53" i="2"/>
  <c r="V53" i="2"/>
  <c r="W53" i="2"/>
  <c r="X53" i="2"/>
  <c r="Y53" i="2"/>
  <c r="AA53" i="2"/>
  <c r="AB53" i="2"/>
  <c r="AC53" i="2"/>
  <c r="AD53" i="2"/>
  <c r="AE53" i="2"/>
  <c r="AG53" i="2"/>
  <c r="AH53" i="2"/>
  <c r="AI53" i="2"/>
  <c r="AJ53" i="2"/>
  <c r="AK53" i="2"/>
  <c r="AM53" i="2"/>
  <c r="AN53" i="2"/>
  <c r="C55" i="2"/>
  <c r="D55" i="2"/>
  <c r="E55" i="2"/>
  <c r="F55" i="2"/>
  <c r="G55" i="2"/>
  <c r="I55" i="2"/>
  <c r="J55" i="2"/>
  <c r="K55" i="2"/>
  <c r="L55" i="2"/>
  <c r="M55" i="2"/>
  <c r="O55" i="2"/>
  <c r="P55" i="2"/>
  <c r="P56" i="2" s="1"/>
  <c r="Q55" i="2"/>
  <c r="R55" i="2"/>
  <c r="S55" i="2"/>
  <c r="U55" i="2"/>
  <c r="U56" i="2" s="1"/>
  <c r="AA56" i="2"/>
  <c r="V55" i="2"/>
  <c r="W55" i="2"/>
  <c r="AC56" i="2"/>
  <c r="X55" i="2"/>
  <c r="AD56" i="2" s="1"/>
  <c r="Y55" i="2"/>
  <c r="Y56" i="2" s="1"/>
  <c r="AE55" i="2"/>
  <c r="AK55" i="2"/>
  <c r="K56" i="2"/>
  <c r="AB56" i="2"/>
  <c r="AG56" i="2"/>
  <c r="AH56" i="2"/>
  <c r="AI56" i="2"/>
  <c r="AJ56" i="2"/>
  <c r="AM56" i="2"/>
  <c r="AN56" i="2"/>
  <c r="AO56" i="2"/>
  <c r="AP56" i="2"/>
  <c r="AS56" i="2"/>
  <c r="AT56" i="2"/>
  <c r="AU56" i="2"/>
  <c r="AV56" i="2"/>
  <c r="AY56" i="2"/>
  <c r="AZ56" i="2"/>
  <c r="BE56" i="2"/>
  <c r="BF56" i="2"/>
  <c r="BG56" i="2"/>
  <c r="BH56" i="2"/>
  <c r="BQ56" i="2"/>
  <c r="BR56" i="2"/>
  <c r="BS56" i="2"/>
  <c r="BT56" i="2"/>
  <c r="C58" i="2"/>
  <c r="D58" i="2"/>
  <c r="G58" i="2"/>
  <c r="E58" i="2"/>
  <c r="F58" i="2"/>
  <c r="I58" i="2"/>
  <c r="J58" i="2"/>
  <c r="K58" i="2"/>
  <c r="L58" i="2"/>
  <c r="O58" i="2"/>
  <c r="O59" i="2"/>
  <c r="P58" i="2"/>
  <c r="Q58" i="2"/>
  <c r="Q59" i="2" s="1"/>
  <c r="R58" i="2"/>
  <c r="U58" i="2"/>
  <c r="U59" i="2" s="1"/>
  <c r="V58" i="2"/>
  <c r="W58" i="2"/>
  <c r="W59" i="2" s="1"/>
  <c r="X58" i="2"/>
  <c r="K59" i="2"/>
  <c r="I65" i="2"/>
  <c r="P65" i="2"/>
  <c r="Q65" i="2"/>
  <c r="AD65" i="2"/>
  <c r="G67" i="2"/>
  <c r="M67" i="2"/>
  <c r="S67" i="2"/>
  <c r="Y67" i="2"/>
  <c r="AE67" i="2"/>
  <c r="AK67" i="2"/>
  <c r="K72" i="2"/>
  <c r="L72" i="2"/>
  <c r="O72" i="2"/>
  <c r="P72" i="2"/>
  <c r="Q72" i="2"/>
  <c r="R72" i="2"/>
  <c r="U72" i="2"/>
  <c r="V72" i="2"/>
  <c r="W72" i="2"/>
  <c r="X72" i="2"/>
  <c r="AA72" i="2"/>
  <c r="AB72" i="2"/>
  <c r="AC72" i="2"/>
  <c r="AD72" i="2"/>
  <c r="AG72" i="2"/>
  <c r="Z73" i="2"/>
  <c r="K74" i="2"/>
  <c r="Q74" i="2"/>
  <c r="U74" i="2"/>
  <c r="Q75" i="2"/>
  <c r="C4" i="3"/>
  <c r="D4" i="3"/>
  <c r="E4" i="3"/>
  <c r="F4" i="3"/>
  <c r="F5" i="3"/>
  <c r="F7" i="3" s="1"/>
  <c r="G4" i="3"/>
  <c r="G6" i="3"/>
  <c r="J4" i="3"/>
  <c r="K4" i="3"/>
  <c r="K5" i="3" s="1"/>
  <c r="K7" i="3" s="1"/>
  <c r="L4" i="3"/>
  <c r="L5" i="3" s="1"/>
  <c r="L7" i="3" s="1"/>
  <c r="O4" i="3"/>
  <c r="S4" i="3" s="1"/>
  <c r="S5" i="3" s="1"/>
  <c r="P4" i="3"/>
  <c r="P5" i="3" s="1"/>
  <c r="P7" i="3" s="1"/>
  <c r="Q4" i="3"/>
  <c r="Q5" i="3"/>
  <c r="Q7" i="3" s="1"/>
  <c r="R4" i="3"/>
  <c r="R5" i="3"/>
  <c r="R7" i="3"/>
  <c r="U4" i="3"/>
  <c r="V4" i="3"/>
  <c r="V5" i="3" s="1"/>
  <c r="V7" i="3" s="1"/>
  <c r="W4" i="3"/>
  <c r="W5" i="3"/>
  <c r="AE4" i="3"/>
  <c r="C5" i="3"/>
  <c r="C7" i="3" s="1"/>
  <c r="D5" i="3"/>
  <c r="D7" i="3" s="1"/>
  <c r="E5" i="3"/>
  <c r="E7" i="3" s="1"/>
  <c r="J5" i="3"/>
  <c r="J7" i="3" s="1"/>
  <c r="O5" i="3"/>
  <c r="O7" i="3" s="1"/>
  <c r="W7" i="3"/>
  <c r="W80" i="3" s="1"/>
  <c r="W83" i="3" s="1"/>
  <c r="X7" i="3"/>
  <c r="AA7" i="3"/>
  <c r="G10" i="3"/>
  <c r="M11" i="3"/>
  <c r="I11" i="3"/>
  <c r="J11" i="3"/>
  <c r="K11" i="3"/>
  <c r="L11" i="3"/>
  <c r="O11" i="3"/>
  <c r="P11" i="3"/>
  <c r="Q11" i="3"/>
  <c r="R11" i="3"/>
  <c r="S11" i="3"/>
  <c r="U11" i="3"/>
  <c r="V11" i="3"/>
  <c r="W11" i="3"/>
  <c r="X11" i="3"/>
  <c r="AA11" i="3"/>
  <c r="AB11" i="3"/>
  <c r="AC11" i="3"/>
  <c r="AD11" i="3"/>
  <c r="C12" i="3"/>
  <c r="D12" i="3"/>
  <c r="E12" i="3"/>
  <c r="F12" i="3"/>
  <c r="J12" i="3"/>
  <c r="K12" i="3"/>
  <c r="L12" i="3"/>
  <c r="O12" i="3"/>
  <c r="P12" i="3"/>
  <c r="Q12" i="3"/>
  <c r="R12" i="3"/>
  <c r="U12" i="3"/>
  <c r="V12" i="3"/>
  <c r="W12" i="3"/>
  <c r="X12" i="3"/>
  <c r="AA64" i="3"/>
  <c r="AA12" i="3"/>
  <c r="AB12" i="3"/>
  <c r="AB51" i="3"/>
  <c r="AB64" i="3"/>
  <c r="AB67" i="3"/>
  <c r="AB71" i="3" s="1"/>
  <c r="AB73" i="3" s="1"/>
  <c r="AD64" i="3"/>
  <c r="AD12" i="3"/>
  <c r="AG12" i="3"/>
  <c r="AH12" i="3"/>
  <c r="AI12" i="3"/>
  <c r="AJ12" i="3"/>
  <c r="AM12" i="3"/>
  <c r="AN12" i="3"/>
  <c r="AO12" i="3"/>
  <c r="AP12" i="3"/>
  <c r="AS12" i="3"/>
  <c r="AT12" i="3"/>
  <c r="AU12" i="3"/>
  <c r="AV12" i="3"/>
  <c r="AY12" i="3"/>
  <c r="AZ12" i="3"/>
  <c r="BA12" i="3"/>
  <c r="BB12" i="3"/>
  <c r="BE12" i="3"/>
  <c r="BF12" i="3"/>
  <c r="BG12" i="3"/>
  <c r="BH12" i="3"/>
  <c r="BK12" i="3"/>
  <c r="BL12" i="3"/>
  <c r="BM12" i="3"/>
  <c r="BN12" i="3"/>
  <c r="BQ12" i="3"/>
  <c r="BR12" i="3"/>
  <c r="BS12" i="3"/>
  <c r="BT12" i="3"/>
  <c r="R17" i="3"/>
  <c r="U17" i="3"/>
  <c r="V17" i="3"/>
  <c r="W17" i="3"/>
  <c r="X17" i="3"/>
  <c r="Y17" i="3"/>
  <c r="O18" i="3"/>
  <c r="P18" i="3"/>
  <c r="Q18" i="3"/>
  <c r="R18" i="3"/>
  <c r="U18" i="3"/>
  <c r="V18" i="3"/>
  <c r="W18" i="3"/>
  <c r="X18" i="3"/>
  <c r="AE18" i="3"/>
  <c r="AK18" i="3"/>
  <c r="AQ18" i="3"/>
  <c r="AW18" i="3"/>
  <c r="BC18" i="3"/>
  <c r="G20" i="3"/>
  <c r="M21" i="3" s="1"/>
  <c r="BQ22" i="3"/>
  <c r="BR22" i="3"/>
  <c r="BS22" i="3"/>
  <c r="BT22" i="3"/>
  <c r="I21" i="3"/>
  <c r="J21" i="3"/>
  <c r="K21" i="3"/>
  <c r="L21" i="3"/>
  <c r="O21" i="3"/>
  <c r="P21" i="3"/>
  <c r="Q21" i="3"/>
  <c r="R21" i="3"/>
  <c r="U21" i="3"/>
  <c r="V21" i="3"/>
  <c r="W21" i="3"/>
  <c r="X21" i="3"/>
  <c r="D22" i="3"/>
  <c r="E22" i="3"/>
  <c r="F22" i="3"/>
  <c r="J22" i="3"/>
  <c r="K22" i="3"/>
  <c r="L22" i="3"/>
  <c r="P22" i="3"/>
  <c r="Q22" i="3"/>
  <c r="R22" i="3"/>
  <c r="V22" i="3"/>
  <c r="W22" i="3"/>
  <c r="AE22" i="3"/>
  <c r="AK22" i="3"/>
  <c r="R26" i="3"/>
  <c r="U26" i="3"/>
  <c r="V26" i="3"/>
  <c r="W26" i="3"/>
  <c r="X26" i="3"/>
  <c r="Y26" i="3"/>
  <c r="AA26" i="3"/>
  <c r="O27" i="3"/>
  <c r="P27" i="3"/>
  <c r="Q27" i="3"/>
  <c r="R27" i="3"/>
  <c r="U27" i="3"/>
  <c r="V27" i="3"/>
  <c r="W27" i="3"/>
  <c r="X27" i="3"/>
  <c r="AE27" i="3"/>
  <c r="AK27" i="3"/>
  <c r="AQ27" i="3"/>
  <c r="AW27" i="3"/>
  <c r="BC27" i="3"/>
  <c r="BI27" i="3"/>
  <c r="BO27" i="3"/>
  <c r="BU27" i="3"/>
  <c r="R31" i="3"/>
  <c r="S31" i="3"/>
  <c r="U31" i="3"/>
  <c r="V31" i="3"/>
  <c r="W31" i="3"/>
  <c r="X31" i="3"/>
  <c r="O32" i="3"/>
  <c r="P32" i="3"/>
  <c r="Q32" i="3"/>
  <c r="R32" i="3"/>
  <c r="S32" i="3" s="1"/>
  <c r="U32" i="3"/>
  <c r="V32" i="3"/>
  <c r="W32" i="3"/>
  <c r="X32" i="3"/>
  <c r="AE32" i="3"/>
  <c r="AK32" i="3"/>
  <c r="AQ32" i="3"/>
  <c r="AW32" i="3"/>
  <c r="I35" i="3"/>
  <c r="J35" i="3"/>
  <c r="K35" i="3"/>
  <c r="L35" i="3"/>
  <c r="M35" i="3"/>
  <c r="O35" i="3"/>
  <c r="P35" i="3"/>
  <c r="Q35" i="3"/>
  <c r="R35" i="3"/>
  <c r="C51" i="3"/>
  <c r="D51" i="3"/>
  <c r="D54" i="3"/>
  <c r="E51" i="3"/>
  <c r="F51" i="3"/>
  <c r="F52" i="3"/>
  <c r="G53" i="3"/>
  <c r="I66" i="3"/>
  <c r="I51" i="3"/>
  <c r="I52" i="3"/>
  <c r="J51" i="3"/>
  <c r="J54" i="3"/>
  <c r="J60" i="3" s="1"/>
  <c r="J61" i="3" s="1"/>
  <c r="J52" i="3"/>
  <c r="K51" i="3"/>
  <c r="K52" i="3"/>
  <c r="L51" i="3"/>
  <c r="L54" i="3" s="1"/>
  <c r="L52" i="3"/>
  <c r="M52" i="3"/>
  <c r="M51" i="3"/>
  <c r="O51" i="3"/>
  <c r="O52" i="3"/>
  <c r="P51" i="3"/>
  <c r="P52" i="3"/>
  <c r="Q51" i="3"/>
  <c r="Q52" i="3"/>
  <c r="R51" i="3"/>
  <c r="R52" i="3"/>
  <c r="S51" i="3"/>
  <c r="U64" i="3"/>
  <c r="U52" i="3"/>
  <c r="U123" i="3" s="1"/>
  <c r="V54" i="3"/>
  <c r="V60" i="3"/>
  <c r="W51" i="3"/>
  <c r="C64" i="3"/>
  <c r="V64" i="3"/>
  <c r="W64" i="3"/>
  <c r="W67" i="3" s="1"/>
  <c r="AK64" i="3"/>
  <c r="AQ64" i="3"/>
  <c r="AW64" i="3"/>
  <c r="BC64" i="3"/>
  <c r="BI64" i="3"/>
  <c r="BO64" i="3"/>
  <c r="BU64" i="3"/>
  <c r="D65" i="3"/>
  <c r="E65" i="3"/>
  <c r="L65" i="3"/>
  <c r="R65" i="3"/>
  <c r="AE65" i="3"/>
  <c r="AK65" i="3"/>
  <c r="AQ65" i="3"/>
  <c r="AW65" i="3"/>
  <c r="BC65" i="3"/>
  <c r="BI65" i="3"/>
  <c r="D66" i="3"/>
  <c r="E66" i="3"/>
  <c r="F66" i="3"/>
  <c r="J66" i="3"/>
  <c r="K66" i="3"/>
  <c r="L66" i="3"/>
  <c r="O66" i="3"/>
  <c r="P66" i="3"/>
  <c r="Q66" i="3"/>
  <c r="R66" i="3"/>
  <c r="U66" i="3"/>
  <c r="V66" i="3"/>
  <c r="AE66" i="3"/>
  <c r="AK66" i="3"/>
  <c r="AQ66" i="3"/>
  <c r="AW66" i="3"/>
  <c r="BC66" i="3"/>
  <c r="BI66" i="3"/>
  <c r="BO66" i="3"/>
  <c r="AD67" i="3"/>
  <c r="AD70" i="3"/>
  <c r="AG67" i="3"/>
  <c r="AG70" i="3" s="1"/>
  <c r="AG73" i="3" s="1"/>
  <c r="AH67" i="3"/>
  <c r="AI67" i="3"/>
  <c r="AI70" i="3" s="1"/>
  <c r="AI73" i="3" s="1"/>
  <c r="AJ67" i="3"/>
  <c r="AJ70" i="3" s="1"/>
  <c r="AJ73" i="3" s="1"/>
  <c r="AM67" i="3"/>
  <c r="AM71" i="3" s="1"/>
  <c r="AM73" i="3" s="1"/>
  <c r="AN67" i="3"/>
  <c r="AN71" i="3"/>
  <c r="AO67" i="3"/>
  <c r="AO70" i="3" s="1"/>
  <c r="AO73" i="3" s="1"/>
  <c r="AP67" i="3"/>
  <c r="AP70" i="3"/>
  <c r="AS67" i="3"/>
  <c r="AS71" i="3" s="1"/>
  <c r="AS73" i="3" s="1"/>
  <c r="AT67" i="3"/>
  <c r="AT71" i="3"/>
  <c r="AU67" i="3"/>
  <c r="AU71" i="3" s="1"/>
  <c r="AU73" i="3" s="1"/>
  <c r="AV67" i="3"/>
  <c r="AV70" i="3"/>
  <c r="AY67" i="3"/>
  <c r="AY70" i="3" s="1"/>
  <c r="AY73" i="3" s="1"/>
  <c r="AZ67" i="3"/>
  <c r="AZ71" i="3"/>
  <c r="BA67" i="3"/>
  <c r="BA71" i="3" s="1"/>
  <c r="BA73" i="3" s="1"/>
  <c r="BB67" i="3"/>
  <c r="BB71" i="3"/>
  <c r="BE67" i="3"/>
  <c r="BE70" i="3" s="1"/>
  <c r="BF67" i="3"/>
  <c r="BF72" i="3" s="1"/>
  <c r="BG67" i="3"/>
  <c r="BG71" i="3" s="1"/>
  <c r="BH67" i="3"/>
  <c r="BH71" i="3" s="1"/>
  <c r="BK67" i="3"/>
  <c r="BK70" i="3" s="1"/>
  <c r="BL67" i="3"/>
  <c r="BL71" i="3" s="1"/>
  <c r="BM67" i="3"/>
  <c r="BM71" i="3" s="1"/>
  <c r="BN67" i="3"/>
  <c r="BN70" i="3" s="1"/>
  <c r="BQ67" i="3"/>
  <c r="BQ70" i="3" s="1"/>
  <c r="BR67" i="3"/>
  <c r="BR72" i="3" s="1"/>
  <c r="BS67" i="3"/>
  <c r="BS70" i="3" s="1"/>
  <c r="BT67" i="3"/>
  <c r="BT70" i="3" s="1"/>
  <c r="AH70" i="3"/>
  <c r="AG71" i="3"/>
  <c r="AD72" i="3"/>
  <c r="AJ72" i="3"/>
  <c r="X80" i="3"/>
  <c r="X83" i="3" s="1"/>
  <c r="AA80" i="3"/>
  <c r="AA83" i="3"/>
  <c r="S86" i="3"/>
  <c r="Y86" i="3"/>
  <c r="AE86" i="3"/>
  <c r="AE87" i="3"/>
  <c r="AK86" i="3"/>
  <c r="U87" i="3"/>
  <c r="V87" i="3"/>
  <c r="W87" i="3"/>
  <c r="X87" i="3"/>
  <c r="AA87" i="3"/>
  <c r="AB87" i="3"/>
  <c r="AC87" i="3"/>
  <c r="AD87" i="3"/>
  <c r="AG87" i="3"/>
  <c r="AH87" i="3"/>
  <c r="AI87" i="3"/>
  <c r="AJ87" i="3"/>
  <c r="V92" i="3"/>
  <c r="V95" i="3" s="1"/>
  <c r="AD92" i="3"/>
  <c r="AD95" i="3"/>
  <c r="S112" i="3"/>
  <c r="Y112" i="3"/>
  <c r="AE112" i="3"/>
  <c r="U113" i="3"/>
  <c r="V113" i="3"/>
  <c r="W113" i="3"/>
  <c r="X113" i="3"/>
  <c r="AA113" i="3"/>
  <c r="AB113" i="3"/>
  <c r="AC113" i="3"/>
  <c r="AD113" i="3"/>
  <c r="AG113" i="3"/>
  <c r="AH113" i="3"/>
  <c r="AI113" i="3"/>
  <c r="AN113" i="3"/>
  <c r="R117" i="3"/>
  <c r="W117" i="3"/>
  <c r="O143" i="3"/>
  <c r="P143" i="3"/>
  <c r="Q143" i="3"/>
  <c r="R143" i="3"/>
  <c r="U143" i="3"/>
  <c r="V143" i="3"/>
  <c r="W143" i="3"/>
  <c r="X143" i="3"/>
  <c r="AA143" i="3"/>
  <c r="AB143" i="3"/>
  <c r="AC143" i="3"/>
  <c r="AD143" i="3"/>
  <c r="AG143" i="3"/>
  <c r="AC144" i="3"/>
  <c r="AI144" i="3"/>
  <c r="S148" i="3"/>
  <c r="Y148" i="3"/>
  <c r="AE148" i="3"/>
  <c r="AK148" i="3"/>
  <c r="AG149" i="3"/>
  <c r="AH149" i="3"/>
  <c r="AI149" i="3"/>
  <c r="AJ149" i="3"/>
  <c r="S151" i="3"/>
  <c r="Y151" i="3"/>
  <c r="AE151" i="3"/>
  <c r="AK151" i="3"/>
  <c r="AK152" i="3"/>
  <c r="AQ151" i="3"/>
  <c r="AG152" i="3"/>
  <c r="AH152" i="3"/>
  <c r="AI152" i="3"/>
  <c r="AJ152" i="3"/>
  <c r="AM152" i="3"/>
  <c r="AQ152" i="3"/>
  <c r="U160" i="3"/>
  <c r="V160" i="3"/>
  <c r="W160" i="3"/>
  <c r="X160" i="3"/>
  <c r="AA160" i="3"/>
  <c r="AB160" i="3"/>
  <c r="AC160" i="3"/>
  <c r="AD160" i="3"/>
  <c r="AG160" i="3"/>
  <c r="AH160" i="3"/>
  <c r="AI160" i="3"/>
  <c r="AJ160" i="3"/>
  <c r="V163" i="3"/>
  <c r="X163" i="3"/>
  <c r="AG163" i="3"/>
  <c r="AN163" i="3"/>
  <c r="S165" i="3"/>
  <c r="Y165" i="3"/>
  <c r="AE165" i="3"/>
  <c r="AK165" i="3"/>
  <c r="AG166" i="3"/>
  <c r="AH166" i="3"/>
  <c r="AI166" i="3"/>
  <c r="AJ166" i="3"/>
  <c r="AM166" i="3"/>
  <c r="AN166" i="3"/>
  <c r="AK168" i="3"/>
  <c r="AG169" i="3"/>
  <c r="AH169" i="3"/>
  <c r="AJ169" i="3"/>
  <c r="AN169" i="3"/>
  <c r="P171" i="3"/>
  <c r="R171" i="3"/>
  <c r="AE171" i="3"/>
  <c r="AK171" i="3"/>
  <c r="AQ171" i="3"/>
  <c r="AG172" i="3"/>
  <c r="AH172" i="3"/>
  <c r="AI172" i="3"/>
  <c r="AJ172" i="3"/>
  <c r="AM172" i="3"/>
  <c r="G176" i="3"/>
  <c r="I177" i="3"/>
  <c r="J177" i="3"/>
  <c r="K177" i="3"/>
  <c r="AA178" i="3"/>
  <c r="AB178" i="3"/>
  <c r="AC178" i="3"/>
  <c r="AD178" i="3"/>
  <c r="AG178" i="3"/>
  <c r="AH178" i="3"/>
  <c r="AI178" i="3"/>
  <c r="AJ178" i="3"/>
  <c r="AM178" i="3"/>
  <c r="C180" i="3"/>
  <c r="C183" i="3"/>
  <c r="D180" i="3"/>
  <c r="E180" i="3"/>
  <c r="E183" i="3" s="1"/>
  <c r="K184" i="3" s="1"/>
  <c r="F180" i="3"/>
  <c r="F183" i="3" s="1"/>
  <c r="J180" i="3"/>
  <c r="L180" i="3"/>
  <c r="O180" i="3"/>
  <c r="P180" i="3"/>
  <c r="P183" i="3"/>
  <c r="Q180" i="3"/>
  <c r="R180" i="3"/>
  <c r="R181" i="3" s="1"/>
  <c r="D183" i="3"/>
  <c r="G187" i="3"/>
  <c r="I188" i="3"/>
  <c r="J188" i="3"/>
  <c r="K188" i="3"/>
  <c r="P188" i="3"/>
  <c r="Q188" i="3"/>
  <c r="R188" i="3"/>
  <c r="S188" i="3"/>
  <c r="C190" i="3"/>
  <c r="D190" i="3"/>
  <c r="E190" i="3"/>
  <c r="F190" i="3"/>
  <c r="J190" i="3"/>
  <c r="L190" i="3"/>
  <c r="O190" i="3"/>
  <c r="P190" i="3"/>
  <c r="P191" i="3" s="1"/>
  <c r="Q190" i="3"/>
  <c r="R190" i="3"/>
  <c r="AA193" i="3"/>
  <c r="AB193" i="3"/>
  <c r="AC193" i="3"/>
  <c r="AD193" i="3"/>
  <c r="AG193" i="3"/>
  <c r="M194" i="3"/>
  <c r="M206" i="3" s="1"/>
  <c r="M207" i="3" s="1"/>
  <c r="S194" i="3"/>
  <c r="S197" i="3"/>
  <c r="Y194" i="3"/>
  <c r="O195" i="3"/>
  <c r="P195" i="3"/>
  <c r="Q195" i="3"/>
  <c r="R195" i="3"/>
  <c r="U195" i="3"/>
  <c r="V195" i="3"/>
  <c r="W195" i="3"/>
  <c r="X195" i="3"/>
  <c r="I197" i="3"/>
  <c r="J197" i="3"/>
  <c r="K197" i="3"/>
  <c r="L197" i="3"/>
  <c r="O197" i="3"/>
  <c r="O198" i="3"/>
  <c r="P197" i="3"/>
  <c r="Q197" i="3"/>
  <c r="R197" i="3"/>
  <c r="I200" i="3"/>
  <c r="J200" i="3"/>
  <c r="K200" i="3"/>
  <c r="L200" i="3"/>
  <c r="O200" i="3"/>
  <c r="P200" i="3"/>
  <c r="Q200" i="3"/>
  <c r="R200" i="3"/>
  <c r="U200" i="3"/>
  <c r="U201" i="3" s="1"/>
  <c r="V200" i="3"/>
  <c r="W200" i="3"/>
  <c r="W201" i="3"/>
  <c r="X200" i="3"/>
  <c r="S204" i="3"/>
  <c r="Y204" i="3"/>
  <c r="AE204" i="3"/>
  <c r="AK204" i="3"/>
  <c r="AQ204" i="3"/>
  <c r="AW204" i="3"/>
  <c r="BC204" i="3"/>
  <c r="BI204" i="3"/>
  <c r="BO204" i="3"/>
  <c r="BU204" i="3"/>
  <c r="F2" i="11"/>
  <c r="G2" i="11" s="1"/>
  <c r="H2" i="11" s="1"/>
  <c r="I2" i="11" s="1"/>
  <c r="J2" i="11" s="1"/>
  <c r="K2" i="11" s="1"/>
  <c r="L2" i="11" s="1"/>
  <c r="M2" i="11" s="1"/>
  <c r="E3" i="11"/>
  <c r="E5" i="11" s="1"/>
  <c r="E6" i="11" s="1"/>
  <c r="E4" i="11"/>
  <c r="F4" i="11"/>
  <c r="G4" i="11"/>
  <c r="F17" i="11"/>
  <c r="G17" i="11" s="1"/>
  <c r="H17" i="11" s="1"/>
  <c r="I17" i="11" s="1"/>
  <c r="J17" i="11" s="1"/>
  <c r="K17" i="11" s="1"/>
  <c r="L17" i="11" s="1"/>
  <c r="M17" i="11" s="1"/>
  <c r="F49" i="11"/>
  <c r="G49" i="11" s="1"/>
  <c r="H49" i="11" s="1"/>
  <c r="I49" i="11" s="1"/>
  <c r="J49" i="11" s="1"/>
  <c r="K49" i="11" s="1"/>
  <c r="L49" i="11" s="1"/>
  <c r="M49" i="11" s="1"/>
  <c r="G52" i="11"/>
  <c r="G53" i="11" s="1"/>
  <c r="F64" i="11"/>
  <c r="G64" i="11" s="1"/>
  <c r="H64" i="11" s="1"/>
  <c r="I64" i="11" s="1"/>
  <c r="J64" i="11" s="1"/>
  <c r="K64" i="11" s="1"/>
  <c r="L64" i="11" s="1"/>
  <c r="M64" i="11" s="1"/>
  <c r="F79" i="11"/>
  <c r="G79" i="11"/>
  <c r="H79" i="11"/>
  <c r="I79" i="11" s="1"/>
  <c r="J79" i="11" s="1"/>
  <c r="K79" i="11" s="1"/>
  <c r="L79" i="11" s="1"/>
  <c r="M79" i="11" s="1"/>
  <c r="E80" i="11"/>
  <c r="E82" i="11" s="1"/>
  <c r="E83" i="11" s="1"/>
  <c r="F80" i="11"/>
  <c r="G80" i="11"/>
  <c r="E81" i="11"/>
  <c r="F81" i="11"/>
  <c r="G81" i="11"/>
  <c r="F94" i="11"/>
  <c r="G94" i="11" s="1"/>
  <c r="H94" i="11" s="1"/>
  <c r="I94" i="11" s="1"/>
  <c r="J94" i="11" s="1"/>
  <c r="K94" i="11" s="1"/>
  <c r="L94" i="11" s="1"/>
  <c r="M94" i="11" s="1"/>
  <c r="E95" i="11"/>
  <c r="F95" i="11"/>
  <c r="G95" i="11"/>
  <c r="E96" i="11"/>
  <c r="F96" i="11"/>
  <c r="F97" i="11" s="1"/>
  <c r="F98" i="11" s="1"/>
  <c r="G96" i="11"/>
  <c r="N100" i="11"/>
  <c r="O100" i="11" s="1"/>
  <c r="P100" i="11" s="1"/>
  <c r="Q100" i="11" s="1"/>
  <c r="R100" i="11" s="1"/>
  <c r="F109" i="11"/>
  <c r="G109" i="11"/>
  <c r="H109" i="11" s="1"/>
  <c r="I109" i="11" s="1"/>
  <c r="J109" i="11" s="1"/>
  <c r="K109" i="11" s="1"/>
  <c r="L109" i="11" s="1"/>
  <c r="M109" i="11" s="1"/>
  <c r="E110" i="11"/>
  <c r="F110" i="11"/>
  <c r="G110" i="11"/>
  <c r="E111" i="11"/>
  <c r="G111" i="11"/>
  <c r="G112" i="11" s="1"/>
  <c r="G113" i="11" s="1"/>
  <c r="N115" i="11"/>
  <c r="O115" i="11" s="1"/>
  <c r="P115" i="11" s="1"/>
  <c r="Q115" i="11" s="1"/>
  <c r="R115" i="11" s="1"/>
  <c r="F124" i="11"/>
  <c r="G124" i="11"/>
  <c r="H124" i="11"/>
  <c r="I124" i="11"/>
  <c r="J124" i="11" s="1"/>
  <c r="K124" i="11" s="1"/>
  <c r="L124" i="11" s="1"/>
  <c r="M124" i="11" s="1"/>
  <c r="E125" i="11"/>
  <c r="G125" i="11"/>
  <c r="E126" i="11"/>
  <c r="E127" i="11" s="1"/>
  <c r="E128" i="11" s="1"/>
  <c r="G126" i="11"/>
  <c r="N130" i="11"/>
  <c r="O130" i="11" s="1"/>
  <c r="P130" i="11" s="1"/>
  <c r="Q130" i="11" s="1"/>
  <c r="R130" i="11" s="1"/>
  <c r="F139" i="11"/>
  <c r="G139" i="11"/>
  <c r="H139" i="11" s="1"/>
  <c r="I139" i="11" s="1"/>
  <c r="J139" i="11" s="1"/>
  <c r="K139" i="11" s="1"/>
  <c r="L139" i="11" s="1"/>
  <c r="M139" i="11" s="1"/>
  <c r="F140" i="11"/>
  <c r="G140" i="11"/>
  <c r="E141" i="11"/>
  <c r="F141" i="11"/>
  <c r="G141" i="11"/>
  <c r="N145" i="11"/>
  <c r="O145" i="11" s="1"/>
  <c r="P145" i="11" s="1"/>
  <c r="Q145" i="11" s="1"/>
  <c r="R145" i="11" s="1"/>
  <c r="F154" i="11"/>
  <c r="G154" i="11" s="1"/>
  <c r="H154" i="11" s="1"/>
  <c r="I154" i="11" s="1"/>
  <c r="J154" i="11" s="1"/>
  <c r="K154" i="11" s="1"/>
  <c r="L154" i="11" s="1"/>
  <c r="M154" i="11" s="1"/>
  <c r="E155" i="11"/>
  <c r="F155" i="11"/>
  <c r="G155" i="11"/>
  <c r="E156" i="11"/>
  <c r="F156" i="11"/>
  <c r="F157" i="11" s="1"/>
  <c r="F158" i="11" s="1"/>
  <c r="G156" i="11"/>
  <c r="N160" i="11"/>
  <c r="O160" i="11" s="1"/>
  <c r="P160" i="11" s="1"/>
  <c r="Q160" i="11" s="1"/>
  <c r="R160" i="11" s="1"/>
  <c r="F169" i="11"/>
  <c r="G169" i="11"/>
  <c r="H169" i="11" s="1"/>
  <c r="I169" i="11" s="1"/>
  <c r="J169" i="11" s="1"/>
  <c r="K169" i="11" s="1"/>
  <c r="L169" i="11" s="1"/>
  <c r="M169" i="11" s="1"/>
  <c r="E170" i="11"/>
  <c r="E172" i="11" s="1"/>
  <c r="E173" i="11" s="1"/>
  <c r="F170" i="11"/>
  <c r="F171" i="11"/>
  <c r="G171" i="11"/>
  <c r="N175" i="11"/>
  <c r="O175" i="11" s="1"/>
  <c r="P175" i="11" s="1"/>
  <c r="Q175" i="11" s="1"/>
  <c r="R175" i="11" s="1"/>
  <c r="F184" i="11"/>
  <c r="G184" i="11" s="1"/>
  <c r="H184" i="11" s="1"/>
  <c r="I184" i="11" s="1"/>
  <c r="J184" i="11" s="1"/>
  <c r="K184" i="11" s="1"/>
  <c r="L184" i="11" s="1"/>
  <c r="M184" i="11" s="1"/>
  <c r="E185" i="11"/>
  <c r="F185" i="11"/>
  <c r="G185" i="11"/>
  <c r="G187" i="11" s="1"/>
  <c r="G188" i="11" s="1"/>
  <c r="E186" i="11"/>
  <c r="F186" i="11"/>
  <c r="F187" i="11" s="1"/>
  <c r="F188" i="11" s="1"/>
  <c r="G186" i="11"/>
  <c r="F199" i="11"/>
  <c r="G199" i="11"/>
  <c r="H199" i="11" s="1"/>
  <c r="I199" i="11" s="1"/>
  <c r="J199" i="11" s="1"/>
  <c r="K199" i="11" s="1"/>
  <c r="L199" i="11" s="1"/>
  <c r="M199" i="11" s="1"/>
  <c r="F200" i="11"/>
  <c r="G200" i="11"/>
  <c r="E201" i="11"/>
  <c r="F201" i="11"/>
  <c r="N205" i="11"/>
  <c r="O205" i="11" s="1"/>
  <c r="P205" i="11" s="1"/>
  <c r="Q205" i="11" s="1"/>
  <c r="R205" i="11" s="1"/>
  <c r="F214" i="11"/>
  <c r="G214" i="11" s="1"/>
  <c r="H214" i="11" s="1"/>
  <c r="I214" i="11" s="1"/>
  <c r="J214" i="11" s="1"/>
  <c r="K214" i="11" s="1"/>
  <c r="L214" i="11" s="1"/>
  <c r="M214" i="11" s="1"/>
  <c r="E215" i="11"/>
  <c r="F215" i="11"/>
  <c r="G215" i="11"/>
  <c r="E216" i="11"/>
  <c r="F216" i="11"/>
  <c r="F217" i="11" s="1"/>
  <c r="F218" i="11" s="1"/>
  <c r="G216" i="11"/>
  <c r="N220" i="11"/>
  <c r="O220" i="11" s="1"/>
  <c r="P220" i="11" s="1"/>
  <c r="Q220" i="11" s="1"/>
  <c r="R220" i="11" s="1"/>
  <c r="F229" i="11"/>
  <c r="G229" i="11" s="1"/>
  <c r="H229" i="11" s="1"/>
  <c r="I229" i="11" s="1"/>
  <c r="J229" i="11" s="1"/>
  <c r="K229" i="11" s="1"/>
  <c r="L229" i="11" s="1"/>
  <c r="M229" i="11" s="1"/>
  <c r="E230" i="11"/>
  <c r="E231" i="11"/>
  <c r="N235" i="11"/>
  <c r="O235" i="11" s="1"/>
  <c r="P235" i="11" s="1"/>
  <c r="Q235" i="11" s="1"/>
  <c r="R235" i="11" s="1"/>
  <c r="F244" i="11"/>
  <c r="G244" i="11"/>
  <c r="H244" i="11" s="1"/>
  <c r="I244" i="11" s="1"/>
  <c r="J244" i="11" s="1"/>
  <c r="K244" i="11" s="1"/>
  <c r="L244" i="11" s="1"/>
  <c r="M244" i="11" s="1"/>
  <c r="E245" i="11"/>
  <c r="F245" i="11"/>
  <c r="G245" i="11"/>
  <c r="E246" i="11"/>
  <c r="F246" i="11"/>
  <c r="G246" i="11"/>
  <c r="F256" i="11"/>
  <c r="G256" i="11"/>
  <c r="H256" i="11" s="1"/>
  <c r="I256" i="11" s="1"/>
  <c r="J256" i="11" s="1"/>
  <c r="K256" i="11" s="1"/>
  <c r="L256" i="11" s="1"/>
  <c r="M256" i="11" s="1"/>
  <c r="F259" i="11"/>
  <c r="G259" i="11"/>
  <c r="H259" i="11"/>
  <c r="I259" i="11"/>
  <c r="J259" i="11"/>
  <c r="J260" i="11"/>
  <c r="J215" i="14" s="1"/>
  <c r="K259" i="11"/>
  <c r="K260" i="11" s="1"/>
  <c r="K215" i="14" s="1"/>
  <c r="L259" i="11"/>
  <c r="L260" i="11" s="1"/>
  <c r="L215" i="14" s="1"/>
  <c r="M259" i="11"/>
  <c r="M260" i="11" s="1"/>
  <c r="F260" i="11"/>
  <c r="F215" i="14"/>
  <c r="G260" i="11"/>
  <c r="H260" i="11"/>
  <c r="H215" i="14" s="1"/>
  <c r="I260" i="11"/>
  <c r="I77" i="12"/>
  <c r="C8" i="21"/>
  <c r="D8" i="21"/>
  <c r="D6" i="21" s="1"/>
  <c r="D23" i="21" s="1"/>
  <c r="E8" i="21"/>
  <c r="E6" i="21" s="1"/>
  <c r="E23" i="21" s="1"/>
  <c r="F8" i="21"/>
  <c r="F6" i="21" s="1"/>
  <c r="F23" i="21" s="1"/>
  <c r="M9" i="21"/>
  <c r="S9" i="21"/>
  <c r="Y9" i="21"/>
  <c r="M19" i="21"/>
  <c r="M34" i="21"/>
  <c r="S34" i="21"/>
  <c r="Y34" i="21"/>
  <c r="AE34" i="21"/>
  <c r="AK34" i="21"/>
  <c r="AQ34" i="21"/>
  <c r="AW34" i="21"/>
  <c r="BC34" i="21"/>
  <c r="BI34" i="21"/>
  <c r="BO34" i="21"/>
  <c r="BU34" i="21"/>
  <c r="S46" i="21"/>
  <c r="Y46" i="21"/>
  <c r="AE46" i="21"/>
  <c r="AK46" i="21"/>
  <c r="M58" i="21"/>
  <c r="S58" i="21"/>
  <c r="Y58" i="21"/>
  <c r="AE58" i="21"/>
  <c r="AK58" i="21"/>
  <c r="AQ58" i="21"/>
  <c r="AW58" i="21"/>
  <c r="BC58" i="21"/>
  <c r="BI58" i="21"/>
  <c r="BO58" i="21"/>
  <c r="BU58" i="21"/>
  <c r="S68" i="21"/>
  <c r="Y68" i="21"/>
  <c r="AE68" i="21"/>
  <c r="AK68" i="21"/>
  <c r="M70" i="21"/>
  <c r="S70" i="21"/>
  <c r="Y70" i="21"/>
  <c r="AE70" i="21"/>
  <c r="AK70" i="21"/>
  <c r="S82" i="21"/>
  <c r="S83" i="21"/>
  <c r="AK96" i="21"/>
  <c r="M104" i="21"/>
  <c r="S104" i="21"/>
  <c r="Y104" i="21"/>
  <c r="AE104" i="21"/>
  <c r="AK104" i="21"/>
  <c r="M105" i="21"/>
  <c r="S105" i="21"/>
  <c r="Y105" i="21"/>
  <c r="AE105" i="21"/>
  <c r="AK105" i="21"/>
  <c r="M106" i="21"/>
  <c r="S106" i="21"/>
  <c r="Y106" i="21"/>
  <c r="AE106" i="21"/>
  <c r="AK106" i="21"/>
  <c r="M107" i="21"/>
  <c r="S107" i="21"/>
  <c r="Y107" i="21"/>
  <c r="AE107" i="21"/>
  <c r="AK107" i="21"/>
  <c r="M108" i="21"/>
  <c r="S108" i="21"/>
  <c r="AE108" i="21"/>
  <c r="AF108" i="21" s="1"/>
  <c r="AK108" i="21"/>
  <c r="AL108" i="21" s="1"/>
  <c r="M109" i="21"/>
  <c r="S109" i="21"/>
  <c r="Y109" i="21"/>
  <c r="Z109" i="21" s="1"/>
  <c r="AE109" i="21"/>
  <c r="AF109" i="21" s="1"/>
  <c r="AK109" i="21"/>
  <c r="AL109" i="21" s="1"/>
  <c r="M110" i="21"/>
  <c r="Y110" i="21"/>
  <c r="Z110" i="21" s="1"/>
  <c r="AE118" i="21"/>
  <c r="AK118" i="21"/>
  <c r="M126" i="21"/>
  <c r="S126" i="21"/>
  <c r="Y126" i="21"/>
  <c r="AE126" i="21"/>
  <c r="AK126" i="21"/>
  <c r="M127" i="21"/>
  <c r="S127" i="21"/>
  <c r="Y127" i="21"/>
  <c r="AE127" i="21"/>
  <c r="AK127" i="21"/>
  <c r="M128" i="21"/>
  <c r="S128" i="21"/>
  <c r="Y128" i="21"/>
  <c r="AE128" i="21"/>
  <c r="AK128" i="21"/>
  <c r="M129" i="21"/>
  <c r="Y129" i="21"/>
  <c r="AK129" i="21"/>
  <c r="M130" i="21"/>
  <c r="S130" i="21"/>
  <c r="Y130" i="21"/>
  <c r="Z130" i="21" s="1"/>
  <c r="AE130" i="21"/>
  <c r="AF130" i="21" s="1"/>
  <c r="AK130" i="21"/>
  <c r="AL130" i="21" s="1"/>
  <c r="M131" i="21"/>
  <c r="S131" i="21"/>
  <c r="Y131" i="21"/>
  <c r="Z131" i="21" s="1"/>
  <c r="AE131" i="21"/>
  <c r="AF131" i="21" s="1"/>
  <c r="AK131" i="21"/>
  <c r="AL131" i="21" s="1"/>
  <c r="M132" i="21"/>
  <c r="AE132" i="21"/>
  <c r="AF132" i="21" s="1"/>
  <c r="AK132" i="21"/>
  <c r="AL132" i="21" s="1"/>
  <c r="AK140" i="21"/>
  <c r="I144" i="21"/>
  <c r="I150" i="21" s="1"/>
  <c r="J144" i="21"/>
  <c r="M144" i="21" s="1"/>
  <c r="K144" i="21"/>
  <c r="K150" i="21" s="1"/>
  <c r="L144" i="21"/>
  <c r="O147" i="21"/>
  <c r="P147" i="21"/>
  <c r="Q147" i="21"/>
  <c r="R147" i="21"/>
  <c r="S147" i="21"/>
  <c r="U147" i="21"/>
  <c r="V147" i="21"/>
  <c r="W147" i="21"/>
  <c r="X147" i="21"/>
  <c r="AD147" i="21"/>
  <c r="AJ147" i="21"/>
  <c r="AM147" i="21"/>
  <c r="J148" i="21"/>
  <c r="K148" i="21"/>
  <c r="L148" i="21"/>
  <c r="O148" i="21"/>
  <c r="P148" i="21"/>
  <c r="Q148" i="21"/>
  <c r="R148" i="21"/>
  <c r="U148" i="21"/>
  <c r="V148" i="21"/>
  <c r="W148" i="21"/>
  <c r="X148" i="21"/>
  <c r="AG148" i="21"/>
  <c r="AH148" i="21"/>
  <c r="AM148" i="21"/>
  <c r="L150" i="21"/>
  <c r="M152" i="21"/>
  <c r="O152" i="21"/>
  <c r="AD152" i="21"/>
  <c r="AE152" i="21" s="1"/>
  <c r="X155" i="21"/>
  <c r="AA155" i="21"/>
  <c r="AB155" i="21"/>
  <c r="AC155" i="21"/>
  <c r="AD155" i="21"/>
  <c r="AG155" i="21"/>
  <c r="AH155" i="21"/>
  <c r="AI155" i="21"/>
  <c r="AJ155" i="21"/>
  <c r="AM155" i="21"/>
  <c r="U158" i="21"/>
  <c r="AA159" i="21" s="1"/>
  <c r="M157" i="21"/>
  <c r="AD158" i="21"/>
  <c r="AD159" i="21" s="1"/>
  <c r="AC159" i="21"/>
  <c r="F22" i="14"/>
  <c r="F251" i="14" s="1"/>
  <c r="F206" i="14"/>
  <c r="D52" i="14"/>
  <c r="E52" i="14"/>
  <c r="F52" i="14"/>
  <c r="G52" i="14"/>
  <c r="H52" i="14"/>
  <c r="D56" i="14"/>
  <c r="E56" i="14"/>
  <c r="H56" i="14"/>
  <c r="D59" i="14"/>
  <c r="C93" i="14"/>
  <c r="C71" i="14" s="1"/>
  <c r="D93" i="14"/>
  <c r="D71" i="14" s="1"/>
  <c r="E93" i="14"/>
  <c r="E71" i="14" s="1"/>
  <c r="F93" i="14"/>
  <c r="F71" i="14" s="1"/>
  <c r="G93" i="14"/>
  <c r="G71" i="14" s="1"/>
  <c r="H93" i="14"/>
  <c r="H71" i="14" s="1"/>
  <c r="I93" i="14"/>
  <c r="I71" i="14" s="1"/>
  <c r="J93" i="14"/>
  <c r="J71" i="14" s="1"/>
  <c r="K93" i="14"/>
  <c r="K134" i="14" s="1"/>
  <c r="K203" i="14" s="1"/>
  <c r="L93" i="14"/>
  <c r="L71" i="14" s="1"/>
  <c r="M93" i="14"/>
  <c r="M71" i="14"/>
  <c r="M77" i="14"/>
  <c r="N77" i="14" s="1"/>
  <c r="O77" i="14" s="1"/>
  <c r="P77" i="14" s="1"/>
  <c r="Q77" i="14" s="1"/>
  <c r="R77" i="14" s="1"/>
  <c r="S77" i="14" s="1"/>
  <c r="T77" i="14" s="1"/>
  <c r="M119" i="14"/>
  <c r="N119" i="14" s="1"/>
  <c r="O119" i="14" s="1"/>
  <c r="P119" i="14" s="1"/>
  <c r="Q119" i="14" s="1"/>
  <c r="R119" i="14" s="1"/>
  <c r="S119" i="14" s="1"/>
  <c r="T119" i="14" s="1"/>
  <c r="D122" i="14"/>
  <c r="E122" i="14"/>
  <c r="D134" i="14"/>
  <c r="D203" i="14"/>
  <c r="H214" i="14"/>
  <c r="G190" i="14"/>
  <c r="C198" i="14"/>
  <c r="D198" i="14"/>
  <c r="C206" i="14"/>
  <c r="D206" i="14"/>
  <c r="H206" i="14"/>
  <c r="C208" i="14"/>
  <c r="D208" i="14"/>
  <c r="E208" i="14"/>
  <c r="F208" i="14"/>
  <c r="E210" i="14"/>
  <c r="F210" i="14"/>
  <c r="G210" i="14"/>
  <c r="C211" i="14"/>
  <c r="D211" i="14"/>
  <c r="E211" i="14"/>
  <c r="F211" i="14"/>
  <c r="G211" i="14"/>
  <c r="C212" i="14"/>
  <c r="D212" i="14"/>
  <c r="G212" i="14"/>
  <c r="D214" i="14"/>
  <c r="E214" i="14"/>
  <c r="F214" i="14"/>
  <c r="G214" i="14"/>
  <c r="G215" i="14"/>
  <c r="I215" i="14"/>
  <c r="E219" i="14"/>
  <c r="AM44" i="9"/>
  <c r="AM62" i="21"/>
  <c r="W65" i="117"/>
  <c r="W62" i="117" s="1"/>
  <c r="W63" i="117" s="1"/>
  <c r="H184" i="14"/>
  <c r="J251" i="14"/>
  <c r="J206" i="14"/>
  <c r="P124" i="17"/>
  <c r="V125" i="17"/>
  <c r="S116" i="17"/>
  <c r="AB101" i="17"/>
  <c r="W85" i="17"/>
  <c r="W88" i="17"/>
  <c r="W91" i="17" s="1"/>
  <c r="AK37" i="17"/>
  <c r="AN38" i="17"/>
  <c r="Y132" i="21"/>
  <c r="Z132" i="21" s="1"/>
  <c r="F230" i="11"/>
  <c r="Y82" i="17"/>
  <c r="BH70" i="3"/>
  <c r="U144" i="3"/>
  <c r="S190" i="3"/>
  <c r="S35" i="3"/>
  <c r="S17" i="3"/>
  <c r="O104" i="3"/>
  <c r="S104" i="3"/>
  <c r="X52" i="3"/>
  <c r="W123" i="3"/>
  <c r="W134" i="3" s="1"/>
  <c r="W140" i="3" s="1"/>
  <c r="Y66" i="3"/>
  <c r="O54" i="3"/>
  <c r="O59" i="3" s="1"/>
  <c r="O61" i="3" s="1"/>
  <c r="AE168" i="3"/>
  <c r="AA163" i="3"/>
  <c r="AH144" i="3"/>
  <c r="U191" i="3"/>
  <c r="O64" i="3"/>
  <c r="G5" i="3"/>
  <c r="AM163" i="3"/>
  <c r="AA144" i="3"/>
  <c r="AE143" i="3"/>
  <c r="Y143" i="3"/>
  <c r="J59" i="3"/>
  <c r="AE159" i="3"/>
  <c r="AI169" i="3"/>
  <c r="AJ113" i="3"/>
  <c r="BA168" i="3"/>
  <c r="AN262" i="117"/>
  <c r="I134" i="14"/>
  <c r="I203" i="14"/>
  <c r="AM169" i="3"/>
  <c r="AS169" i="3"/>
  <c r="AP26" i="17"/>
  <c r="AJ75" i="17"/>
  <c r="AJ72" i="17" s="1"/>
  <c r="S82" i="17"/>
  <c r="S83" i="17"/>
  <c r="G231" i="11"/>
  <c r="W124" i="17"/>
  <c r="AC125" i="17" s="1"/>
  <c r="AI98" i="17"/>
  <c r="AK106" i="17"/>
  <c r="AI57" i="17"/>
  <c r="AI58" i="17" s="1"/>
  <c r="AA32" i="17"/>
  <c r="AA33" i="17" s="1"/>
  <c r="F231" i="11"/>
  <c r="AG124" i="17"/>
  <c r="AM125" i="17" s="1"/>
  <c r="AI119" i="17"/>
  <c r="AM117" i="17"/>
  <c r="AI109" i="17"/>
  <c r="AI110" i="17" s="1"/>
  <c r="AE106" i="17"/>
  <c r="AE107" i="17" s="1"/>
  <c r="AA107" i="17"/>
  <c r="AK104" i="17"/>
  <c r="AK100" i="17"/>
  <c r="S98" i="17"/>
  <c r="AE100" i="17"/>
  <c r="AE101" i="17" s="1"/>
  <c r="AK54" i="17"/>
  <c r="M55" i="17"/>
  <c r="W17" i="17"/>
  <c r="W18" i="17" s="1"/>
  <c r="G230" i="11"/>
  <c r="G232" i="11" s="1"/>
  <c r="G233" i="11" s="1"/>
  <c r="AI107" i="17"/>
  <c r="Y104" i="17"/>
  <c r="S100" i="17"/>
  <c r="AE98" i="17"/>
  <c r="Y41" i="17"/>
  <c r="M29" i="17"/>
  <c r="AI75" i="17"/>
  <c r="AI72" i="17"/>
  <c r="AE116" i="17"/>
  <c r="AE119" i="17"/>
  <c r="O64" i="17"/>
  <c r="Y37" i="17"/>
  <c r="I64" i="17"/>
  <c r="S61" i="17"/>
  <c r="Y55" i="17"/>
  <c r="G5" i="17"/>
  <c r="AT107" i="17"/>
  <c r="AK95" i="17"/>
  <c r="AP101" i="17"/>
  <c r="AK109" i="17"/>
  <c r="Y109" i="17"/>
  <c r="I58" i="17"/>
  <c r="AU262" i="117"/>
  <c r="AW151" i="3"/>
  <c r="M134" i="14"/>
  <c r="M203" i="14"/>
  <c r="D129" i="14"/>
  <c r="D130" i="14"/>
  <c r="E59" i="14"/>
  <c r="E241" i="14"/>
  <c r="F193" i="14"/>
  <c r="K71" i="14"/>
  <c r="E110" i="14"/>
  <c r="E125" i="14"/>
  <c r="F198" i="14"/>
  <c r="E90" i="14"/>
  <c r="G90" i="14"/>
  <c r="C90" i="14"/>
  <c r="F110" i="14"/>
  <c r="G110" i="14"/>
  <c r="L134" i="14"/>
  <c r="L203" i="14" s="1"/>
  <c r="F122" i="14"/>
  <c r="F129" i="14"/>
  <c r="F130" i="14" s="1"/>
  <c r="C110" i="14"/>
  <c r="C125" i="14" s="1"/>
  <c r="C126" i="14" s="1"/>
  <c r="D110" i="14"/>
  <c r="D125" i="14"/>
  <c r="D126" i="14" s="1"/>
  <c r="F90" i="14"/>
  <c r="G154" i="14"/>
  <c r="G158" i="14" s="1"/>
  <c r="F134" i="14"/>
  <c r="F203" i="14" s="1"/>
  <c r="D90" i="14"/>
  <c r="G129" i="14"/>
  <c r="G130" i="14" s="1"/>
  <c r="J134" i="14"/>
  <c r="J203" i="14" s="1"/>
  <c r="E134" i="14"/>
  <c r="E203" i="14" s="1"/>
  <c r="G134" i="14"/>
  <c r="G203" i="14" s="1"/>
  <c r="C134" i="14"/>
  <c r="C203" i="14" s="1"/>
  <c r="H134" i="14"/>
  <c r="H203" i="14" s="1"/>
  <c r="AF261" i="117"/>
  <c r="I51" i="11" s="1"/>
  <c r="U7" i="21"/>
  <c r="X7" i="21"/>
  <c r="AH51" i="3"/>
  <c r="AH10" i="3" s="1"/>
  <c r="AH11" i="3" s="1"/>
  <c r="AG10" i="3"/>
  <c r="AG11" i="3"/>
  <c r="AG92" i="3"/>
  <c r="AG95" i="3"/>
  <c r="X144" i="3"/>
  <c r="I190" i="3"/>
  <c r="O191" i="3" s="1"/>
  <c r="I180" i="3"/>
  <c r="W163" i="3"/>
  <c r="V144" i="3"/>
  <c r="W120" i="3"/>
  <c r="X117" i="3"/>
  <c r="AM113" i="3"/>
  <c r="J65" i="3"/>
  <c r="Q54" i="3"/>
  <c r="Q58" i="3"/>
  <c r="M54" i="3"/>
  <c r="Y31" i="3"/>
  <c r="I12" i="3"/>
  <c r="M12" i="3"/>
  <c r="BB197" i="3"/>
  <c r="AM86" i="3"/>
  <c r="AM159" i="3" s="1"/>
  <c r="AE144" i="3"/>
  <c r="AA67" i="3"/>
  <c r="AA71" i="3" s="1"/>
  <c r="AA73" i="3" s="1"/>
  <c r="Y200" i="3"/>
  <c r="M200" i="3"/>
  <c r="Y195" i="3"/>
  <c r="K190" i="3"/>
  <c r="K191" i="3"/>
  <c r="K180" i="3"/>
  <c r="K183" i="3"/>
  <c r="AK166" i="3"/>
  <c r="AJ144" i="3"/>
  <c r="AB144" i="3"/>
  <c r="AK112" i="3"/>
  <c r="AK113" i="3" s="1"/>
  <c r="Y113" i="3"/>
  <c r="AA92" i="3"/>
  <c r="AA95" i="3"/>
  <c r="W54" i="3"/>
  <c r="W60" i="3"/>
  <c r="P54" i="3"/>
  <c r="K54" i="3"/>
  <c r="G51" i="3"/>
  <c r="I64" i="3"/>
  <c r="U22" i="3"/>
  <c r="Y22" i="3"/>
  <c r="AK12" i="3"/>
  <c r="X190" i="3"/>
  <c r="U171" i="3"/>
  <c r="AA172" i="3"/>
  <c r="X171" i="3"/>
  <c r="AD172" i="3"/>
  <c r="X197" i="3"/>
  <c r="V171" i="3"/>
  <c r="AB172" i="3" s="1"/>
  <c r="W198" i="3"/>
  <c r="W190" i="3"/>
  <c r="W191" i="3"/>
  <c r="V190" i="3"/>
  <c r="V191" i="3"/>
  <c r="Y176" i="3"/>
  <c r="W7" i="21"/>
  <c r="W171" i="3"/>
  <c r="AC172" i="3"/>
  <c r="AV71" i="3"/>
  <c r="AV72" i="3"/>
  <c r="AP71" i="3"/>
  <c r="AM18" i="4"/>
  <c r="AM12" i="4"/>
  <c r="AN18" i="4"/>
  <c r="AT15" i="21"/>
  <c r="AN75" i="9"/>
  <c r="Q60" i="3"/>
  <c r="AW67" i="3"/>
  <c r="AW71" i="3"/>
  <c r="J58" i="3"/>
  <c r="AO64" i="9"/>
  <c r="AI64" i="9"/>
  <c r="F142" i="11"/>
  <c r="F143" i="11" s="1"/>
  <c r="E19" i="11"/>
  <c r="S180" i="3"/>
  <c r="AK143" i="3"/>
  <c r="AK144" i="3"/>
  <c r="X120" i="3"/>
  <c r="R120" i="3"/>
  <c r="AM70" i="3"/>
  <c r="P65" i="3"/>
  <c r="P117" i="3" s="1"/>
  <c r="E64" i="3"/>
  <c r="V58" i="3"/>
  <c r="W55" i="3"/>
  <c r="R54" i="3"/>
  <c r="I54" i="3"/>
  <c r="S18" i="3"/>
  <c r="AW12" i="3"/>
  <c r="I4" i="3"/>
  <c r="S58" i="2"/>
  <c r="AI30" i="2"/>
  <c r="AB30" i="2"/>
  <c r="Y29" i="2"/>
  <c r="AD59" i="8"/>
  <c r="W56" i="8"/>
  <c r="AG50" i="8"/>
  <c r="AH50" i="8"/>
  <c r="AC50" i="8"/>
  <c r="X50" i="8"/>
  <c r="S50" i="8"/>
  <c r="O50" i="8"/>
  <c r="P50" i="8"/>
  <c r="AG30" i="8"/>
  <c r="O30" i="8"/>
  <c r="M29" i="8"/>
  <c r="AE58" i="7"/>
  <c r="AI56" i="7"/>
  <c r="AO56" i="7"/>
  <c r="AD56" i="7"/>
  <c r="Y56" i="7"/>
  <c r="U56" i="7"/>
  <c r="P56" i="7"/>
  <c r="K56" i="7"/>
  <c r="AE29" i="7"/>
  <c r="O61" i="7"/>
  <c r="O67" i="10"/>
  <c r="S61" i="10"/>
  <c r="AN58" i="10"/>
  <c r="Y57" i="10"/>
  <c r="AE41" i="10"/>
  <c r="K38" i="10"/>
  <c r="V67" i="9"/>
  <c r="K61" i="16"/>
  <c r="K62" i="16"/>
  <c r="K65" i="16"/>
  <c r="O58" i="3"/>
  <c r="Y12" i="3"/>
  <c r="M29" i="2"/>
  <c r="Y29" i="8"/>
  <c r="AE79" i="10"/>
  <c r="S79" i="10"/>
  <c r="M66" i="10"/>
  <c r="S37" i="10"/>
  <c r="AE29" i="10"/>
  <c r="Y29" i="10"/>
  <c r="Q80" i="9"/>
  <c r="I80" i="9"/>
  <c r="X191" i="3"/>
  <c r="G190" i="3"/>
  <c r="AK149" i="3"/>
  <c r="AM144" i="3"/>
  <c r="W92" i="3"/>
  <c r="W95" i="3" s="1"/>
  <c r="W96" i="3" s="1"/>
  <c r="AI71" i="3"/>
  <c r="AA70" i="3"/>
  <c r="AK67" i="3"/>
  <c r="M66" i="3"/>
  <c r="S27" i="3"/>
  <c r="L59" i="2"/>
  <c r="I59" i="2"/>
  <c r="V50" i="2"/>
  <c r="Q50" i="2"/>
  <c r="L50" i="2"/>
  <c r="AG30" i="2"/>
  <c r="O30" i="2"/>
  <c r="AK56" i="8"/>
  <c r="AJ50" i="8"/>
  <c r="AE50" i="8"/>
  <c r="AA50" i="8"/>
  <c r="V50" i="8"/>
  <c r="Q50" i="8"/>
  <c r="AI30" i="8"/>
  <c r="X30" i="8"/>
  <c r="Q30" i="8"/>
  <c r="F26" i="8"/>
  <c r="P59" i="7"/>
  <c r="X59" i="7"/>
  <c r="AK56" i="7"/>
  <c r="AB56" i="7"/>
  <c r="W56" i="7"/>
  <c r="R56" i="7"/>
  <c r="M56" i="7"/>
  <c r="I56" i="7"/>
  <c r="J56" i="7"/>
  <c r="U30" i="7"/>
  <c r="AM61" i="7"/>
  <c r="AI65" i="7"/>
  <c r="G79" i="10"/>
  <c r="AI64" i="10"/>
  <c r="O58" i="10"/>
  <c r="AK57" i="10"/>
  <c r="S55" i="10"/>
  <c r="G37" i="10"/>
  <c r="M37" i="10"/>
  <c r="AK66" i="9"/>
  <c r="V64" i="9"/>
  <c r="AE55" i="9"/>
  <c r="V38" i="9"/>
  <c r="S37" i="9"/>
  <c r="S38" i="9" s="1"/>
  <c r="X20" i="9"/>
  <c r="K20" i="9"/>
  <c r="AA113" i="16"/>
  <c r="U113" i="16"/>
  <c r="U114" i="16"/>
  <c r="P113" i="16"/>
  <c r="S113" i="16" s="1"/>
  <c r="S114" i="16" s="1"/>
  <c r="P108" i="16"/>
  <c r="W65" i="16"/>
  <c r="AI56" i="16"/>
  <c r="AO56" i="16"/>
  <c r="AD30" i="16"/>
  <c r="V30" i="16"/>
  <c r="Y29" i="16"/>
  <c r="Y30" i="16" s="1"/>
  <c r="G29" i="16"/>
  <c r="R61" i="16"/>
  <c r="AN124" i="17"/>
  <c r="Q124" i="17"/>
  <c r="S124" i="17" s="1"/>
  <c r="S125" i="17" s="1"/>
  <c r="AD119" i="17"/>
  <c r="AN110" i="17"/>
  <c r="AD107" i="17"/>
  <c r="Y107" i="17"/>
  <c r="U107" i="17"/>
  <c r="V107" i="17"/>
  <c r="Y95" i="17"/>
  <c r="AD67" i="17"/>
  <c r="Y66" i="17"/>
  <c r="V107" i="15"/>
  <c r="AE37" i="15"/>
  <c r="AB38" i="15"/>
  <c r="W8" i="15"/>
  <c r="Q32" i="15"/>
  <c r="Q33" i="15" s="1"/>
  <c r="O32" i="15"/>
  <c r="AJ114" i="16"/>
  <c r="AM50" i="16"/>
  <c r="AG50" i="16"/>
  <c r="X26" i="16"/>
  <c r="AJ119" i="17"/>
  <c r="AJ124" i="17"/>
  <c r="X117" i="17"/>
  <c r="X124" i="17"/>
  <c r="X125" i="17" s="1"/>
  <c r="U125" i="17"/>
  <c r="AG107" i="17"/>
  <c r="AH101" i="17"/>
  <c r="R38" i="17"/>
  <c r="AK29" i="17"/>
  <c r="AE29" i="17"/>
  <c r="AK38" i="15"/>
  <c r="S29" i="10"/>
  <c r="AD67" i="9"/>
  <c r="X64" i="9"/>
  <c r="J58" i="9"/>
  <c r="AK55" i="9"/>
  <c r="S55" i="9"/>
  <c r="S57" i="9"/>
  <c r="W38" i="9"/>
  <c r="Y29" i="9"/>
  <c r="AJ106" i="16"/>
  <c r="X106" i="16"/>
  <c r="AA96" i="16"/>
  <c r="AK84" i="16"/>
  <c r="AJ59" i="16"/>
  <c r="AK55" i="16"/>
  <c r="AA50" i="16"/>
  <c r="M33" i="16"/>
  <c r="AI30" i="16"/>
  <c r="AK21" i="16"/>
  <c r="AE21" i="16"/>
  <c r="M21" i="16"/>
  <c r="AB124" i="17"/>
  <c r="AE124" i="17"/>
  <c r="AM110" i="17"/>
  <c r="AK66" i="17"/>
  <c r="R64" i="17"/>
  <c r="M63" i="17"/>
  <c r="S29" i="17"/>
  <c r="Q20" i="17"/>
  <c r="Q32" i="17"/>
  <c r="Q33" i="17" s="1"/>
  <c r="AG119" i="15"/>
  <c r="AG117" i="15"/>
  <c r="R124" i="15"/>
  <c r="R119" i="15"/>
  <c r="C20" i="15"/>
  <c r="C32" i="15"/>
  <c r="C33" i="15"/>
  <c r="V114" i="16"/>
  <c r="Q30" i="16"/>
  <c r="W30" i="16"/>
  <c r="AD64" i="16"/>
  <c r="AK101" i="17"/>
  <c r="C20" i="17"/>
  <c r="C32" i="17"/>
  <c r="C33" i="17" s="1"/>
  <c r="AK109" i="15"/>
  <c r="AJ110" i="15"/>
  <c r="M61" i="15"/>
  <c r="G63" i="15"/>
  <c r="M64" i="15"/>
  <c r="P38" i="15"/>
  <c r="S37" i="15"/>
  <c r="T161" i="117"/>
  <c r="P162" i="117"/>
  <c r="R31" i="117"/>
  <c r="R170" i="117"/>
  <c r="Q64" i="17"/>
  <c r="AE57" i="17"/>
  <c r="Q17" i="17"/>
  <c r="AM110" i="15"/>
  <c r="AI110" i="15"/>
  <c r="AO110" i="15"/>
  <c r="AA107" i="15"/>
  <c r="W101" i="15"/>
  <c r="W64" i="15"/>
  <c r="R64" i="15"/>
  <c r="I64" i="15"/>
  <c r="G5" i="15"/>
  <c r="Y94" i="4"/>
  <c r="AK26" i="20"/>
  <c r="AK30" i="20" s="1"/>
  <c r="S23" i="20"/>
  <c r="Y24" i="20" s="1"/>
  <c r="U24" i="20"/>
  <c r="S17" i="20"/>
  <c r="AB11" i="20"/>
  <c r="AE8" i="20"/>
  <c r="AE11" i="20"/>
  <c r="S199" i="117"/>
  <c r="S196" i="117"/>
  <c r="Q222" i="117"/>
  <c r="Q190" i="117"/>
  <c r="Q225" i="117" s="1"/>
  <c r="N187" i="117"/>
  <c r="V170" i="117"/>
  <c r="N129" i="117"/>
  <c r="R101" i="117"/>
  <c r="T30" i="117"/>
  <c r="S162" i="3"/>
  <c r="O4" i="8"/>
  <c r="U4" i="8"/>
  <c r="S53" i="16"/>
  <c r="AC30" i="16"/>
  <c r="X65" i="16"/>
  <c r="AB107" i="17"/>
  <c r="W107" i="17"/>
  <c r="X107" i="17"/>
  <c r="S107" i="17"/>
  <c r="AE95" i="17"/>
  <c r="M66" i="17"/>
  <c r="AE61" i="17"/>
  <c r="AH58" i="17"/>
  <c r="J58" i="17"/>
  <c r="K58" i="17"/>
  <c r="M37" i="17"/>
  <c r="Q75" i="17"/>
  <c r="Q72" i="17"/>
  <c r="O124" i="15"/>
  <c r="W119" i="15"/>
  <c r="W117" i="15"/>
  <c r="S116" i="15"/>
  <c r="S119" i="15" s="1"/>
  <c r="AC107" i="15"/>
  <c r="X107" i="15"/>
  <c r="AG101" i="15"/>
  <c r="M66" i="15"/>
  <c r="Y61" i="15"/>
  <c r="AE114" i="4"/>
  <c r="AP91" i="4"/>
  <c r="AH67" i="4"/>
  <c r="Y60" i="4"/>
  <c r="Y61" i="4" s="1"/>
  <c r="Y58" i="4"/>
  <c r="AE55" i="4"/>
  <c r="X46" i="4"/>
  <c r="AI21" i="4"/>
  <c r="AO21" i="4"/>
  <c r="X194" i="117"/>
  <c r="Q194" i="117"/>
  <c r="Q196" i="117"/>
  <c r="H193" i="117"/>
  <c r="P170" i="117"/>
  <c r="E170" i="117"/>
  <c r="L101" i="117"/>
  <c r="T59" i="117"/>
  <c r="F199" i="117"/>
  <c r="L200" i="117"/>
  <c r="Q57" i="117"/>
  <c r="AR54" i="117"/>
  <c r="N48" i="117"/>
  <c r="W31" i="117"/>
  <c r="AE116" i="15"/>
  <c r="AE112" i="15"/>
  <c r="AK66" i="15"/>
  <c r="AJ64" i="15"/>
  <c r="X64" i="15"/>
  <c r="S64" i="15"/>
  <c r="R58" i="15"/>
  <c r="O58" i="15"/>
  <c r="I58" i="15"/>
  <c r="AI38" i="15"/>
  <c r="S29" i="15"/>
  <c r="X111" i="4"/>
  <c r="AG92" i="4"/>
  <c r="AB70" i="4"/>
  <c r="AC61" i="4"/>
  <c r="AE24" i="20"/>
  <c r="AK8" i="20"/>
  <c r="AK9" i="20" s="1"/>
  <c r="S174" i="117"/>
  <c r="S217" i="117" s="1"/>
  <c r="T173" i="117"/>
  <c r="M170" i="117"/>
  <c r="N161" i="117"/>
  <c r="T100" i="117"/>
  <c r="T101" i="117" s="1"/>
  <c r="M51" i="117"/>
  <c r="S31" i="117"/>
  <c r="O4" i="2"/>
  <c r="P64" i="15"/>
  <c r="K64" i="15"/>
  <c r="Q58" i="15"/>
  <c r="AK55" i="15"/>
  <c r="R38" i="15"/>
  <c r="I38" i="15"/>
  <c r="Y29" i="15"/>
  <c r="S116" i="4"/>
  <c r="V111" i="4"/>
  <c r="W111" i="4"/>
  <c r="AK79" i="4"/>
  <c r="AK80" i="4"/>
  <c r="AB67" i="4"/>
  <c r="AE45" i="4"/>
  <c r="W46" i="4"/>
  <c r="L17" i="4"/>
  <c r="AK15" i="4"/>
  <c r="AD18" i="20"/>
  <c r="X9" i="20"/>
  <c r="AE6" i="20"/>
  <c r="S188" i="117"/>
  <c r="H173" i="117"/>
  <c r="T118" i="117"/>
  <c r="S101" i="117"/>
  <c r="N138" i="117"/>
  <c r="BD54" i="117"/>
  <c r="AF54" i="117"/>
  <c r="N54" i="117"/>
  <c r="H30" i="117"/>
  <c r="N68" i="117"/>
  <c r="Y64" i="2"/>
  <c r="AD108" i="21"/>
  <c r="AJ24" i="20"/>
  <c r="AE19" i="21"/>
  <c r="AG176" i="3"/>
  <c r="AN57" i="21"/>
  <c r="AU197" i="3"/>
  <c r="AO198" i="3"/>
  <c r="AP168" i="3"/>
  <c r="AI112" i="21"/>
  <c r="AI100" i="17"/>
  <c r="AO101" i="17"/>
  <c r="W180" i="3"/>
  <c r="AD262" i="117"/>
  <c r="I270" i="11"/>
  <c r="I272" i="11" s="1"/>
  <c r="AC262" i="117"/>
  <c r="X228" i="117"/>
  <c r="AD229" i="117" s="1"/>
  <c r="X298" i="117"/>
  <c r="AE21" i="21"/>
  <c r="AY40" i="21"/>
  <c r="AO12" i="4"/>
  <c r="AM38" i="17"/>
  <c r="AN86" i="3"/>
  <c r="W312" i="117"/>
  <c r="AN60" i="21" s="1"/>
  <c r="AO169" i="3"/>
  <c r="AM38" i="15"/>
  <c r="AZ19" i="21"/>
  <c r="AT19" i="21"/>
  <c r="AW5" i="4"/>
  <c r="AW6" i="4" s="1"/>
  <c r="AU15" i="21"/>
  <c r="BB15" i="21"/>
  <c r="BC5" i="4"/>
  <c r="AP15" i="21"/>
  <c r="AV15" i="21"/>
  <c r="AZ262" i="117"/>
  <c r="AW262" i="117"/>
  <c r="BC262" i="117"/>
  <c r="AX194" i="117"/>
  <c r="AP262" i="117"/>
  <c r="AQ262" i="117"/>
  <c r="AJ262" i="117"/>
  <c r="AW152" i="3"/>
  <c r="BR171" i="3"/>
  <c r="BC171" i="3"/>
  <c r="AQ21" i="21"/>
  <c r="AW46" i="21"/>
  <c r="AW70" i="21"/>
  <c r="E21" i="14"/>
  <c r="Y147" i="21"/>
  <c r="P31" i="21"/>
  <c r="Y84" i="21"/>
  <c r="L55" i="21"/>
  <c r="AQ168" i="3"/>
  <c r="AW171" i="3"/>
  <c r="AW172" i="3"/>
  <c r="BQ72" i="3"/>
  <c r="BB70" i="3"/>
  <c r="BA72" i="3"/>
  <c r="BA70" i="3"/>
  <c r="AZ70" i="3"/>
  <c r="AU70" i="3"/>
  <c r="BC22" i="3"/>
  <c r="AT72" i="3"/>
  <c r="AT70" i="3"/>
  <c r="AS70" i="3"/>
  <c r="AY71" i="3"/>
  <c r="AY72" i="3"/>
  <c r="AO72" i="3"/>
  <c r="F172" i="11"/>
  <c r="F173" i="11" s="1"/>
  <c r="G97" i="11"/>
  <c r="E247" i="11"/>
  <c r="E248" i="11" s="1"/>
  <c r="AK70" i="3"/>
  <c r="AK71" i="3"/>
  <c r="P198" i="3"/>
  <c r="X118" i="3"/>
  <c r="AK72" i="3"/>
  <c r="M58" i="8"/>
  <c r="AC56" i="8"/>
  <c r="AI56" i="8"/>
  <c r="X56" i="8"/>
  <c r="AD56" i="8"/>
  <c r="S56" i="8"/>
  <c r="Y56" i="8"/>
  <c r="I5" i="10"/>
  <c r="I7" i="10"/>
  <c r="M4" i="10"/>
  <c r="M5" i="10" s="1"/>
  <c r="Y206" i="3"/>
  <c r="P201" i="3"/>
  <c r="X201" i="3"/>
  <c r="Q201" i="3"/>
  <c r="O201" i="3"/>
  <c r="L191" i="3"/>
  <c r="J191" i="3"/>
  <c r="I191" i="3"/>
  <c r="R183" i="3"/>
  <c r="X184" i="3"/>
  <c r="X181" i="3"/>
  <c r="AQ172" i="3"/>
  <c r="AK172" i="3"/>
  <c r="AK169" i="3"/>
  <c r="AG144" i="3"/>
  <c r="AD144" i="3"/>
  <c r="W144" i="3"/>
  <c r="S143" i="3"/>
  <c r="Y144" i="3"/>
  <c r="AG93" i="3"/>
  <c r="BH72" i="3"/>
  <c r="BB72" i="3"/>
  <c r="AZ72" i="3"/>
  <c r="AZ73" i="3" s="1"/>
  <c r="AU72" i="3"/>
  <c r="AS72" i="3"/>
  <c r="AM72" i="3"/>
  <c r="AH72" i="3"/>
  <c r="AO71" i="3"/>
  <c r="AJ71" i="3"/>
  <c r="AH71" i="3"/>
  <c r="AD71" i="3"/>
  <c r="AD73" i="3" s="1"/>
  <c r="Q65" i="3"/>
  <c r="Q117" i="3" s="1"/>
  <c r="O65" i="3"/>
  <c r="O117" i="3"/>
  <c r="K65" i="3"/>
  <c r="X64" i="3"/>
  <c r="X92" i="3" s="1"/>
  <c r="J64" i="3"/>
  <c r="J67" i="3"/>
  <c r="O60" i="3"/>
  <c r="V59" i="3"/>
  <c r="Q59" i="3"/>
  <c r="Q55" i="3"/>
  <c r="S52" i="3"/>
  <c r="S123" i="3"/>
  <c r="I22" i="3"/>
  <c r="M22" i="3" s="1"/>
  <c r="P59" i="2"/>
  <c r="X59" i="2"/>
  <c r="AK56" i="2"/>
  <c r="AE56" i="2"/>
  <c r="X56" i="2"/>
  <c r="V56" i="2"/>
  <c r="S56" i="2"/>
  <c r="Q56" i="2"/>
  <c r="O56" i="2"/>
  <c r="L56" i="2"/>
  <c r="J56" i="2"/>
  <c r="Y50" i="2"/>
  <c r="W50" i="2"/>
  <c r="U50" i="2"/>
  <c r="R50" i="2"/>
  <c r="P50" i="2"/>
  <c r="M50" i="2"/>
  <c r="K50" i="2"/>
  <c r="I50" i="2"/>
  <c r="P30" i="2"/>
  <c r="G29" i="2"/>
  <c r="M30" i="2"/>
  <c r="AK58" i="8"/>
  <c r="W59" i="8"/>
  <c r="AC59" i="8"/>
  <c r="AG56" i="8"/>
  <c r="M38" i="10"/>
  <c r="AN72" i="9"/>
  <c r="X72" i="9"/>
  <c r="X73" i="9" s="1"/>
  <c r="Y25" i="9"/>
  <c r="Y26" i="9"/>
  <c r="W26" i="9"/>
  <c r="AD114" i="16"/>
  <c r="AA99" i="16"/>
  <c r="AG99" i="16"/>
  <c r="AG90" i="16"/>
  <c r="AA90" i="16"/>
  <c r="S58" i="16"/>
  <c r="P17" i="16"/>
  <c r="P24" i="16"/>
  <c r="P25" i="16" s="1"/>
  <c r="R17" i="16"/>
  <c r="X18" i="16" s="1"/>
  <c r="R24" i="16"/>
  <c r="R25" i="16"/>
  <c r="C45" i="15"/>
  <c r="W17" i="15"/>
  <c r="W75" i="15"/>
  <c r="W72" i="15"/>
  <c r="F20" i="15"/>
  <c r="F32" i="15"/>
  <c r="F33" i="15" s="1"/>
  <c r="G7" i="15"/>
  <c r="D20" i="15"/>
  <c r="D32" i="15"/>
  <c r="P76" i="117"/>
  <c r="T75" i="117"/>
  <c r="E78" i="117"/>
  <c r="R59" i="8"/>
  <c r="U56" i="8"/>
  <c r="P56" i="8"/>
  <c r="AI50" i="8"/>
  <c r="AD50" i="8"/>
  <c r="Y50" i="8"/>
  <c r="U50" i="8"/>
  <c r="L30" i="8"/>
  <c r="J30" i="8"/>
  <c r="W59" i="7"/>
  <c r="AJ59" i="7"/>
  <c r="L59" i="7"/>
  <c r="I59" i="7"/>
  <c r="AH56" i="7"/>
  <c r="AC56" i="7"/>
  <c r="X56" i="7"/>
  <c r="S56" i="7"/>
  <c r="O56" i="7"/>
  <c r="AH50" i="7"/>
  <c r="AK50" i="7"/>
  <c r="AI50" i="7"/>
  <c r="AG50" i="7"/>
  <c r="AD50" i="7"/>
  <c r="AB50" i="7"/>
  <c r="Y50" i="7"/>
  <c r="W50" i="7"/>
  <c r="U50" i="7"/>
  <c r="R50" i="7"/>
  <c r="P50" i="7"/>
  <c r="M50" i="7"/>
  <c r="K50" i="7"/>
  <c r="I50" i="7"/>
  <c r="X40" i="7"/>
  <c r="G29" i="7"/>
  <c r="V25" i="7"/>
  <c r="V37" i="7"/>
  <c r="K65" i="7"/>
  <c r="E61" i="7"/>
  <c r="C61" i="7"/>
  <c r="AC83" i="10"/>
  <c r="AJ80" i="10"/>
  <c r="F83" i="10"/>
  <c r="Q67" i="10"/>
  <c r="AD67" i="10"/>
  <c r="L67" i="10"/>
  <c r="AJ64" i="10"/>
  <c r="AH64" i="10"/>
  <c r="AC64" i="10"/>
  <c r="AA64" i="10"/>
  <c r="X64" i="10"/>
  <c r="V64" i="10"/>
  <c r="Q64" i="10"/>
  <c r="O64" i="10"/>
  <c r="L64" i="10"/>
  <c r="J64" i="10"/>
  <c r="M64" i="10"/>
  <c r="I64" i="10"/>
  <c r="M61" i="10"/>
  <c r="Q58" i="10"/>
  <c r="AD58" i="10"/>
  <c r="AB58" i="10"/>
  <c r="L58" i="10"/>
  <c r="S41" i="10"/>
  <c r="AH38" i="10"/>
  <c r="AC38" i="10"/>
  <c r="AA38" i="10"/>
  <c r="V38" i="10"/>
  <c r="Y37" i="10"/>
  <c r="Y38" i="10"/>
  <c r="L26" i="10"/>
  <c r="I69" i="10"/>
  <c r="E20" i="10"/>
  <c r="E17" i="10"/>
  <c r="AC80" i="9"/>
  <c r="AA67" i="9"/>
  <c r="R67" i="9"/>
  <c r="U64" i="9"/>
  <c r="AK61" i="9"/>
  <c r="Y61" i="9"/>
  <c r="M61" i="9"/>
  <c r="AH58" i="9"/>
  <c r="V58" i="9"/>
  <c r="AI58" i="9"/>
  <c r="K58" i="9"/>
  <c r="I58" i="9"/>
  <c r="M55" i="9"/>
  <c r="AB38" i="9"/>
  <c r="R38" i="9"/>
  <c r="P38" i="9"/>
  <c r="K38" i="9"/>
  <c r="AE37" i="9"/>
  <c r="AE38" i="9" s="1"/>
  <c r="AE29" i="9"/>
  <c r="AK29" i="9"/>
  <c r="AJ72" i="9"/>
  <c r="AJ69" i="9"/>
  <c r="AH72" i="9"/>
  <c r="AH69" i="9" s="1"/>
  <c r="AN70" i="9" s="1"/>
  <c r="Y4" i="9"/>
  <c r="U5" i="9"/>
  <c r="U7" i="9"/>
  <c r="AM113" i="16"/>
  <c r="AM114" i="16" s="1"/>
  <c r="AG113" i="16"/>
  <c r="AG114" i="16"/>
  <c r="AE105" i="16"/>
  <c r="AE108" i="16" s="1"/>
  <c r="AE109" i="16" s="1"/>
  <c r="AB108" i="16"/>
  <c r="S98" i="16"/>
  <c r="AJ96" i="16"/>
  <c r="AD96" i="16"/>
  <c r="AC96" i="16"/>
  <c r="W96" i="16"/>
  <c r="AC59" i="16"/>
  <c r="AI59" i="16"/>
  <c r="M55" i="16"/>
  <c r="K56" i="16"/>
  <c r="Q56" i="16"/>
  <c r="AE53" i="16"/>
  <c r="AJ50" i="16"/>
  <c r="AD50" i="16"/>
  <c r="AH50" i="16"/>
  <c r="L50" i="16"/>
  <c r="J50" i="16"/>
  <c r="G49" i="16"/>
  <c r="AK30" i="16"/>
  <c r="AJ30" i="16"/>
  <c r="I61" i="16"/>
  <c r="I65" i="16"/>
  <c r="G20" i="15"/>
  <c r="X99" i="16"/>
  <c r="W99" i="16"/>
  <c r="X96" i="16"/>
  <c r="V96" i="16"/>
  <c r="AD90" i="16"/>
  <c r="AB90" i="16"/>
  <c r="S90" i="16"/>
  <c r="W90" i="16"/>
  <c r="U90" i="16"/>
  <c r="AG65" i="16"/>
  <c r="X59" i="16"/>
  <c r="AD56" i="16"/>
  <c r="AB56" i="16"/>
  <c r="J56" i="16"/>
  <c r="X50" i="16"/>
  <c r="V50" i="16"/>
  <c r="Q50" i="16"/>
  <c r="O50" i="16"/>
  <c r="AE47" i="16"/>
  <c r="J30" i="16"/>
  <c r="W24" i="16"/>
  <c r="W25" i="16" s="1"/>
  <c r="X8" i="16"/>
  <c r="AH125" i="17"/>
  <c r="AJ125" i="17"/>
  <c r="AI125" i="17"/>
  <c r="AG125" i="17"/>
  <c r="AB119" i="17"/>
  <c r="AH117" i="17"/>
  <c r="AJ120" i="17"/>
  <c r="AG110" i="17"/>
  <c r="AJ110" i="17"/>
  <c r="AC110" i="17"/>
  <c r="AA110" i="17"/>
  <c r="AJ107" i="17"/>
  <c r="AH107" i="17"/>
  <c r="AC101" i="17"/>
  <c r="AA101" i="17"/>
  <c r="X101" i="17"/>
  <c r="V101" i="17"/>
  <c r="S101" i="17"/>
  <c r="U101" i="17"/>
  <c r="AC67" i="17"/>
  <c r="R67" i="17"/>
  <c r="AJ64" i="17"/>
  <c r="AC64" i="17"/>
  <c r="AA64" i="17"/>
  <c r="L64" i="17"/>
  <c r="J64" i="17"/>
  <c r="Y61" i="17"/>
  <c r="AJ58" i="17"/>
  <c r="AG58" i="17"/>
  <c r="W58" i="17"/>
  <c r="U58" i="17"/>
  <c r="AK57" i="17"/>
  <c r="AK58" i="17" s="1"/>
  <c r="G63" i="17"/>
  <c r="E32" i="17"/>
  <c r="E33" i="17" s="1"/>
  <c r="Y29" i="17"/>
  <c r="O69" i="17"/>
  <c r="AI124" i="15"/>
  <c r="AI125" i="15" s="1"/>
  <c r="AG124" i="15"/>
  <c r="AG125" i="15" s="1"/>
  <c r="AB124" i="15"/>
  <c r="U124" i="15"/>
  <c r="U125" i="15" s="1"/>
  <c r="P124" i="15"/>
  <c r="S124" i="15" s="1"/>
  <c r="AB119" i="15"/>
  <c r="P119" i="15"/>
  <c r="AB117" i="15"/>
  <c r="AD107" i="15"/>
  <c r="AB107" i="15"/>
  <c r="Y107" i="15"/>
  <c r="W107" i="15"/>
  <c r="U107" i="15"/>
  <c r="AB101" i="15"/>
  <c r="G85" i="15"/>
  <c r="AH67" i="15"/>
  <c r="AA67" i="15"/>
  <c r="R67" i="15"/>
  <c r="S66" i="15"/>
  <c r="S67" i="15" s="1"/>
  <c r="O64" i="15"/>
  <c r="J64" i="15"/>
  <c r="AE63" i="15"/>
  <c r="AK64" i="15" s="1"/>
  <c r="AI64" i="15"/>
  <c r="AG64" i="15"/>
  <c r="AE61" i="15"/>
  <c r="K58" i="15"/>
  <c r="AJ58" i="15"/>
  <c r="AH58" i="15"/>
  <c r="AC58" i="15"/>
  <c r="AA58" i="15"/>
  <c r="L58" i="15"/>
  <c r="J58" i="15"/>
  <c r="S57" i="15"/>
  <c r="S58" i="15" s="1"/>
  <c r="M55" i="15"/>
  <c r="AJ38" i="15"/>
  <c r="AH38" i="15"/>
  <c r="AD38" i="15"/>
  <c r="W38" i="15"/>
  <c r="M29" i="15"/>
  <c r="X20" i="15"/>
  <c r="AG117" i="4"/>
  <c r="X117" i="4"/>
  <c r="V117" i="4"/>
  <c r="U117" i="4"/>
  <c r="AD111" i="4"/>
  <c r="AE105" i="4"/>
  <c r="AD92" i="4"/>
  <c r="AH92" i="4"/>
  <c r="AC92" i="4"/>
  <c r="AA92" i="4"/>
  <c r="AM88" i="4"/>
  <c r="S91" i="4"/>
  <c r="AB86" i="4"/>
  <c r="Y86" i="4"/>
  <c r="Y80" i="4"/>
  <c r="AG70" i="4"/>
  <c r="AC67" i="4"/>
  <c r="Y64" i="4"/>
  <c r="AH61" i="4"/>
  <c r="AB61" i="4"/>
  <c r="AH43" i="4"/>
  <c r="AH37" i="4"/>
  <c r="X37" i="4"/>
  <c r="V21" i="4"/>
  <c r="AJ21" i="4"/>
  <c r="AG18" i="4"/>
  <c r="W18" i="4"/>
  <c r="AK11" i="4"/>
  <c r="AK12" i="4"/>
  <c r="AC12" i="4"/>
  <c r="AQ6" i="4"/>
  <c r="AJ28" i="20"/>
  <c r="V24" i="20"/>
  <c r="AA18" i="20"/>
  <c r="AN18" i="20"/>
  <c r="X18" i="20"/>
  <c r="Y15" i="20"/>
  <c r="AK11" i="20"/>
  <c r="AK12" i="20"/>
  <c r="AM12" i="20"/>
  <c r="AH12" i="20"/>
  <c r="P11" i="20"/>
  <c r="AC9" i="20"/>
  <c r="Z267" i="117"/>
  <c r="AK262" i="117"/>
  <c r="S222" i="117"/>
  <c r="Q199" i="117"/>
  <c r="E196" i="117"/>
  <c r="AL194" i="117"/>
  <c r="S190" i="117"/>
  <c r="S225" i="117"/>
  <c r="L190" i="117"/>
  <c r="R188" i="117"/>
  <c r="G190" i="117"/>
  <c r="F190" i="117"/>
  <c r="D190" i="117"/>
  <c r="J191" i="117"/>
  <c r="S170" i="117"/>
  <c r="Q170" i="117"/>
  <c r="L170" i="117"/>
  <c r="L171" i="117"/>
  <c r="J170" i="117"/>
  <c r="Q130" i="117"/>
  <c r="R130" i="117"/>
  <c r="P130" i="117"/>
  <c r="K127" i="117"/>
  <c r="J127" i="117"/>
  <c r="K121" i="117"/>
  <c r="J121" i="117"/>
  <c r="Q101" i="117"/>
  <c r="Q60" i="117"/>
  <c r="J60" i="117"/>
  <c r="AX54" i="117"/>
  <c r="AL54" i="117"/>
  <c r="T54" i="117"/>
  <c r="S51" i="117"/>
  <c r="H50" i="117"/>
  <c r="L51" i="117"/>
  <c r="J51" i="117"/>
  <c r="Q31" i="117"/>
  <c r="M62" i="117"/>
  <c r="I4" i="7"/>
  <c r="AD125" i="17"/>
  <c r="X110" i="17"/>
  <c r="AH64" i="17"/>
  <c r="X64" i="17"/>
  <c r="V64" i="17"/>
  <c r="AD58" i="17"/>
  <c r="AB58" i="17"/>
  <c r="R58" i="17"/>
  <c r="P58" i="17"/>
  <c r="AC125" i="15"/>
  <c r="W125" i="15"/>
  <c r="S109" i="15"/>
  <c r="AE66" i="15"/>
  <c r="AK67" i="15" s="1"/>
  <c r="G66" i="15"/>
  <c r="M67" i="15"/>
  <c r="AD64" i="15"/>
  <c r="AB64" i="15"/>
  <c r="V58" i="15"/>
  <c r="C34" i="15"/>
  <c r="X43" i="4"/>
  <c r="V43" i="4"/>
  <c r="AJ12" i="20"/>
  <c r="M130" i="117"/>
  <c r="V51" i="117"/>
  <c r="I61" i="2"/>
  <c r="J61" i="2"/>
  <c r="AJ106" i="15"/>
  <c r="AJ112" i="21"/>
  <c r="AZ64" i="21"/>
  <c r="AM96" i="16"/>
  <c r="AN9" i="20"/>
  <c r="AL267" i="117"/>
  <c r="AX267" i="117"/>
  <c r="Z276" i="117"/>
  <c r="AM26" i="17"/>
  <c r="V40" i="7"/>
  <c r="G98" i="11"/>
  <c r="S200" i="3"/>
  <c r="V201" i="3"/>
  <c r="O203" i="3"/>
  <c r="L181" i="3"/>
  <c r="L183" i="3"/>
  <c r="L184" i="3" s="1"/>
  <c r="M180" i="3"/>
  <c r="J181" i="3"/>
  <c r="J183" i="3"/>
  <c r="J184" i="3" s="1"/>
  <c r="Y87" i="3"/>
  <c r="AQ67" i="3"/>
  <c r="AQ71" i="3"/>
  <c r="G66" i="3"/>
  <c r="O67" i="3"/>
  <c r="O72" i="3" s="1"/>
  <c r="O73" i="3" s="1"/>
  <c r="E67" i="3"/>
  <c r="E72" i="3" s="1"/>
  <c r="E73" i="3" s="1"/>
  <c r="U54" i="3"/>
  <c r="U65" i="3"/>
  <c r="R59" i="3"/>
  <c r="R60" i="3"/>
  <c r="R58" i="3"/>
  <c r="R64" i="3"/>
  <c r="P55" i="3"/>
  <c r="V55" i="3"/>
  <c r="P59" i="3"/>
  <c r="P60" i="3"/>
  <c r="P58" i="3"/>
  <c r="P64" i="3"/>
  <c r="M59" i="3"/>
  <c r="M60" i="3"/>
  <c r="M58" i="3"/>
  <c r="K59" i="3"/>
  <c r="K60" i="3"/>
  <c r="K58" i="3"/>
  <c r="K64" i="3"/>
  <c r="I59" i="3"/>
  <c r="I60" i="3"/>
  <c r="I58" i="3"/>
  <c r="F54" i="3"/>
  <c r="F65" i="3"/>
  <c r="D45" i="3"/>
  <c r="D58" i="3"/>
  <c r="D59" i="3"/>
  <c r="D60" i="3"/>
  <c r="Y32" i="3"/>
  <c r="Y27" i="3"/>
  <c r="Y18" i="3"/>
  <c r="BC12" i="3"/>
  <c r="S12" i="3"/>
  <c r="X8" i="3"/>
  <c r="X81" i="3"/>
  <c r="R80" i="3"/>
  <c r="R83" i="3" s="1"/>
  <c r="M58" i="2"/>
  <c r="M59" i="2" s="1"/>
  <c r="J59" i="2"/>
  <c r="AN59" i="8"/>
  <c r="S58" i="8"/>
  <c r="S59" i="8" s="1"/>
  <c r="P59" i="8"/>
  <c r="AK58" i="7"/>
  <c r="AK59" i="7" s="1"/>
  <c r="AH59" i="7"/>
  <c r="M58" i="7"/>
  <c r="M59" i="7" s="1"/>
  <c r="J59" i="7"/>
  <c r="X43" i="7"/>
  <c r="AC30" i="7"/>
  <c r="AA30" i="7"/>
  <c r="X26" i="7"/>
  <c r="X30" i="7"/>
  <c r="V26" i="7"/>
  <c r="V30" i="7"/>
  <c r="Q30" i="7"/>
  <c r="O30" i="7"/>
  <c r="L30" i="7"/>
  <c r="J30" i="7"/>
  <c r="AK64" i="7"/>
  <c r="Y64" i="7"/>
  <c r="M64" i="7"/>
  <c r="AK79" i="10"/>
  <c r="AK80" i="10" s="1"/>
  <c r="AH80" i="10"/>
  <c r="AH83" i="10"/>
  <c r="AJ83" i="10"/>
  <c r="AD83" i="10"/>
  <c r="AA80" i="10"/>
  <c r="V80" i="10"/>
  <c r="V83" i="10"/>
  <c r="L80" i="10"/>
  <c r="AE66" i="10"/>
  <c r="AE67" i="10" s="1"/>
  <c r="AB67" i="10"/>
  <c r="G66" i="10"/>
  <c r="M67" i="10"/>
  <c r="I8" i="10"/>
  <c r="I20" i="10"/>
  <c r="I21" i="10" s="1"/>
  <c r="I32" i="10"/>
  <c r="O8" i="10"/>
  <c r="I17" i="10"/>
  <c r="V8" i="16"/>
  <c r="V17" i="16"/>
  <c r="V24" i="16"/>
  <c r="N262" i="11"/>
  <c r="R201" i="3"/>
  <c r="S195" i="3"/>
  <c r="S206" i="3"/>
  <c r="S207" i="3" s="1"/>
  <c r="R191" i="3"/>
  <c r="P181" i="3"/>
  <c r="K181" i="3"/>
  <c r="S181" i="3"/>
  <c r="S183" i="3"/>
  <c r="Q181" i="3"/>
  <c r="Q183" i="3"/>
  <c r="O181" i="3"/>
  <c r="O183" i="3"/>
  <c r="AE113" i="3"/>
  <c r="O92" i="3"/>
  <c r="AK87" i="3"/>
  <c r="BN72" i="3"/>
  <c r="BE72" i="3"/>
  <c r="AP72" i="3"/>
  <c r="AP73" i="3"/>
  <c r="AN72" i="3"/>
  <c r="AI72" i="3"/>
  <c r="AG72" i="3"/>
  <c r="AB72" i="3"/>
  <c r="AN70" i="3"/>
  <c r="AB70" i="3"/>
  <c r="BC67" i="3"/>
  <c r="S66" i="3"/>
  <c r="V65" i="3"/>
  <c r="V67" i="3"/>
  <c r="V72" i="3" s="1"/>
  <c r="V73" i="3" s="1"/>
  <c r="X67" i="3"/>
  <c r="Q64" i="3"/>
  <c r="L64" i="3"/>
  <c r="C67" i="3"/>
  <c r="O55" i="3"/>
  <c r="W58" i="3"/>
  <c r="W59" i="3"/>
  <c r="Y64" i="3"/>
  <c r="U92" i="3"/>
  <c r="J55" i="3"/>
  <c r="G52" i="3"/>
  <c r="E54" i="3"/>
  <c r="F64" i="3"/>
  <c r="C54" i="3"/>
  <c r="D64" i="3"/>
  <c r="S22" i="3"/>
  <c r="AQ12" i="3"/>
  <c r="AC64" i="3"/>
  <c r="AB92" i="3"/>
  <c r="G12" i="3"/>
  <c r="Y4" i="3"/>
  <c r="Y5" i="3" s="1"/>
  <c r="U5" i="3"/>
  <c r="U7" i="3"/>
  <c r="R59" i="2"/>
  <c r="Y58" i="2"/>
  <c r="Y59" i="2" s="1"/>
  <c r="V59" i="2"/>
  <c r="W56" i="2"/>
  <c r="R56" i="2"/>
  <c r="M56" i="2"/>
  <c r="I56" i="2"/>
  <c r="E61" i="2"/>
  <c r="C61" i="2"/>
  <c r="AM59" i="8"/>
  <c r="X59" i="8"/>
  <c r="O59" i="8"/>
  <c r="AE58" i="8"/>
  <c r="AE59" i="8" s="1"/>
  <c r="AB59" i="8"/>
  <c r="G58" i="8"/>
  <c r="M59" i="8" s="1"/>
  <c r="AJ61" i="8"/>
  <c r="AI61" i="8"/>
  <c r="AH61" i="8"/>
  <c r="R61" i="8"/>
  <c r="P61" i="8"/>
  <c r="L61" i="8"/>
  <c r="K61" i="8"/>
  <c r="K62" i="8"/>
  <c r="K65" i="8"/>
  <c r="J61" i="8"/>
  <c r="I61" i="8"/>
  <c r="I65" i="8"/>
  <c r="C61" i="8"/>
  <c r="AN65" i="7"/>
  <c r="U65" i="7"/>
  <c r="P65" i="7"/>
  <c r="AG59" i="7"/>
  <c r="R59" i="7"/>
  <c r="Y58" i="7"/>
  <c r="V59" i="7"/>
  <c r="AM56" i="7"/>
  <c r="AG56" i="7"/>
  <c r="AC50" i="7"/>
  <c r="X50" i="7"/>
  <c r="S50" i="7"/>
  <c r="O50" i="7"/>
  <c r="J50" i="7"/>
  <c r="AK30" i="7"/>
  <c r="AG30" i="7"/>
  <c r="AB30" i="7"/>
  <c r="W30" i="7"/>
  <c r="R30" i="7"/>
  <c r="I30" i="7"/>
  <c r="AJ30" i="7"/>
  <c r="AH30" i="7"/>
  <c r="Y29" i="7"/>
  <c r="M29" i="7"/>
  <c r="AM65" i="7"/>
  <c r="AJ61" i="7"/>
  <c r="AI61" i="7"/>
  <c r="AH61" i="7"/>
  <c r="AG61" i="7"/>
  <c r="AC65" i="7"/>
  <c r="AA65" i="7"/>
  <c r="X61" i="7"/>
  <c r="W61" i="7"/>
  <c r="V61" i="7"/>
  <c r="V62" i="7" s="1"/>
  <c r="V65" i="7"/>
  <c r="U61" i="7"/>
  <c r="O65" i="7"/>
  <c r="L61" i="7"/>
  <c r="L62" i="7" s="1"/>
  <c r="L65" i="7"/>
  <c r="K61" i="7"/>
  <c r="J61" i="7"/>
  <c r="I61" i="7"/>
  <c r="AG83" i="10"/>
  <c r="O83" i="10"/>
  <c r="AG80" i="10"/>
  <c r="AB80" i="10"/>
  <c r="R80" i="10"/>
  <c r="AM83" i="10"/>
  <c r="AM80" i="10"/>
  <c r="X80" i="10"/>
  <c r="Q80" i="10"/>
  <c r="R83" i="10"/>
  <c r="P83" i="10"/>
  <c r="J80" i="10"/>
  <c r="AJ67" i="10"/>
  <c r="AA67" i="10"/>
  <c r="AN67" i="10"/>
  <c r="S66" i="10"/>
  <c r="S67" i="10" s="1"/>
  <c r="P67" i="10"/>
  <c r="AG64" i="10"/>
  <c r="AB64" i="10"/>
  <c r="W64" i="10"/>
  <c r="R64" i="10"/>
  <c r="AK61" i="10"/>
  <c r="F126" i="11"/>
  <c r="AE129" i="21"/>
  <c r="Y61" i="10"/>
  <c r="S129" i="21"/>
  <c r="AJ58" i="10"/>
  <c r="AA58" i="10"/>
  <c r="AK55" i="10"/>
  <c r="AE57" i="10"/>
  <c r="AE58" i="10" s="1"/>
  <c r="F125" i="11"/>
  <c r="Y55" i="10"/>
  <c r="S57" i="10"/>
  <c r="S58" i="10" s="1"/>
  <c r="M55" i="10"/>
  <c r="G57" i="10"/>
  <c r="M58" i="10"/>
  <c r="U80" i="16"/>
  <c r="R8" i="17"/>
  <c r="R32" i="17"/>
  <c r="R33" i="17" s="1"/>
  <c r="X8" i="17"/>
  <c r="R20" i="17"/>
  <c r="M26" i="10"/>
  <c r="X75" i="10"/>
  <c r="S72" i="10"/>
  <c r="E75" i="10"/>
  <c r="K26" i="10"/>
  <c r="C75" i="10"/>
  <c r="I26" i="10"/>
  <c r="W20" i="10"/>
  <c r="W32" i="10"/>
  <c r="W33" i="10" s="1"/>
  <c r="P17" i="10"/>
  <c r="C32" i="10"/>
  <c r="Y4" i="10"/>
  <c r="U5" i="10"/>
  <c r="U7" i="10" s="1"/>
  <c r="M79" i="9"/>
  <c r="AE66" i="9"/>
  <c r="AE67" i="9"/>
  <c r="AB67" i="9"/>
  <c r="G66" i="9"/>
  <c r="AK41" i="9"/>
  <c r="AK63" i="9"/>
  <c r="Y41" i="9"/>
  <c r="Y63" i="9"/>
  <c r="Y64" i="9" s="1"/>
  <c r="M41" i="9"/>
  <c r="M63" i="9"/>
  <c r="F25" i="9"/>
  <c r="L26" i="9" s="1"/>
  <c r="F79" i="9"/>
  <c r="L80" i="9" s="1"/>
  <c r="D25" i="9"/>
  <c r="D79" i="9"/>
  <c r="G79" i="9" s="1"/>
  <c r="M80" i="9" s="1"/>
  <c r="I4" i="9"/>
  <c r="G5" i="9"/>
  <c r="AN114" i="16"/>
  <c r="AK105" i="16"/>
  <c r="AN106" i="16"/>
  <c r="AH108" i="16"/>
  <c r="AI106" i="16"/>
  <c r="AC108" i="16"/>
  <c r="AG106" i="16"/>
  <c r="AA108" i="16"/>
  <c r="AA109" i="16"/>
  <c r="Y98" i="16"/>
  <c r="V99" i="16"/>
  <c r="AE84" i="16"/>
  <c r="AE95" i="16"/>
  <c r="AE96" i="16" s="1"/>
  <c r="S84" i="16"/>
  <c r="S95" i="16"/>
  <c r="P80" i="16"/>
  <c r="AK58" i="16"/>
  <c r="AH59" i="16"/>
  <c r="M58" i="16"/>
  <c r="M59" i="16" s="1"/>
  <c r="J59" i="16"/>
  <c r="AH64" i="16"/>
  <c r="AK67" i="16"/>
  <c r="AA61" i="16"/>
  <c r="AA65" i="16"/>
  <c r="V64" i="16"/>
  <c r="Y67" i="16"/>
  <c r="Q61" i="16"/>
  <c r="Q62" i="16"/>
  <c r="Q65" i="16"/>
  <c r="O61" i="16"/>
  <c r="O65" i="16"/>
  <c r="P13" i="16"/>
  <c r="J64" i="16"/>
  <c r="M67" i="16"/>
  <c r="D64" i="16"/>
  <c r="G67" i="16"/>
  <c r="AA17" i="16"/>
  <c r="AA24" i="16"/>
  <c r="E17" i="16"/>
  <c r="E24" i="16"/>
  <c r="E25" i="16" s="1"/>
  <c r="M4" i="16"/>
  <c r="M5" i="16" s="1"/>
  <c r="I5" i="16"/>
  <c r="I7" i="16" s="1"/>
  <c r="AN125" i="17"/>
  <c r="AK116" i="17"/>
  <c r="AN117" i="17"/>
  <c r="AH119" i="17"/>
  <c r="AI117" i="17"/>
  <c r="AC119" i="17"/>
  <c r="AG117" i="17"/>
  <c r="AA119" i="17"/>
  <c r="AE109" i="17"/>
  <c r="AH110" i="17"/>
  <c r="AN67" i="17"/>
  <c r="S66" i="17"/>
  <c r="P67" i="17"/>
  <c r="L48" i="17"/>
  <c r="AE41" i="17"/>
  <c r="AE63" i="17"/>
  <c r="S41" i="17"/>
  <c r="S63" i="17"/>
  <c r="S64" i="17" s="1"/>
  <c r="AJ38" i="17"/>
  <c r="AH38" i="17"/>
  <c r="AN69" i="17"/>
  <c r="Q13" i="17"/>
  <c r="L17" i="17"/>
  <c r="L75" i="17"/>
  <c r="L26" i="17"/>
  <c r="J75" i="17"/>
  <c r="J26" i="17"/>
  <c r="AB32" i="17"/>
  <c r="W8" i="17"/>
  <c r="W20" i="17"/>
  <c r="V125" i="15"/>
  <c r="AM117" i="15"/>
  <c r="AM119" i="15"/>
  <c r="AM120" i="15" s="1"/>
  <c r="V117" i="15"/>
  <c r="V119" i="15"/>
  <c r="AE109" i="15"/>
  <c r="C48" i="15"/>
  <c r="AI26" i="15"/>
  <c r="AC75" i="15"/>
  <c r="AC26" i="15"/>
  <c r="W69" i="15"/>
  <c r="W13" i="15"/>
  <c r="V75" i="15"/>
  <c r="V26" i="15"/>
  <c r="P26" i="15"/>
  <c r="P75" i="15"/>
  <c r="J75" i="15"/>
  <c r="J26" i="15"/>
  <c r="D17" i="15"/>
  <c r="D75" i="15"/>
  <c r="L8" i="15"/>
  <c r="L32" i="15"/>
  <c r="L33" i="15" s="1"/>
  <c r="L20" i="15"/>
  <c r="F111" i="11"/>
  <c r="W79" i="10"/>
  <c r="AB83" i="10" s="1"/>
  <c r="P73" i="10"/>
  <c r="AE37" i="10"/>
  <c r="AD38" i="10"/>
  <c r="P32" i="10"/>
  <c r="P33" i="10" s="1"/>
  <c r="S26" i="10"/>
  <c r="J26" i="10"/>
  <c r="P20" i="10"/>
  <c r="Q69" i="10"/>
  <c r="O69" i="10"/>
  <c r="D72" i="10"/>
  <c r="J73" i="10" s="1"/>
  <c r="E13" i="10"/>
  <c r="O20" i="10"/>
  <c r="O21" i="10" s="1"/>
  <c r="O32" i="10"/>
  <c r="AI80" i="9"/>
  <c r="P80" i="9"/>
  <c r="AK79" i="9"/>
  <c r="AH67" i="9"/>
  <c r="AC67" i="9"/>
  <c r="J67" i="9"/>
  <c r="AN67" i="9"/>
  <c r="S66" i="9"/>
  <c r="S67" i="9" s="1"/>
  <c r="P67" i="9"/>
  <c r="AB64" i="9"/>
  <c r="W64" i="9"/>
  <c r="AN64" i="9"/>
  <c r="AH64" i="9"/>
  <c r="AE63" i="9"/>
  <c r="G63" i="9"/>
  <c r="S61" i="9"/>
  <c r="AK57" i="9"/>
  <c r="AK58" i="9" s="1"/>
  <c r="AM58" i="9"/>
  <c r="AG58" i="9"/>
  <c r="Y57" i="9"/>
  <c r="M57" i="9"/>
  <c r="AE41" i="9"/>
  <c r="X32" i="9"/>
  <c r="X33" i="9" s="1"/>
  <c r="V32" i="9"/>
  <c r="V33" i="9" s="1"/>
  <c r="S29" i="9"/>
  <c r="Y75" i="9"/>
  <c r="AD25" i="9"/>
  <c r="AD79" i="9"/>
  <c r="AD80" i="9" s="1"/>
  <c r="AC75" i="9"/>
  <c r="AC26" i="9"/>
  <c r="AB25" i="9"/>
  <c r="AE25" i="9" s="1"/>
  <c r="AB79" i="9"/>
  <c r="AH80" i="9" s="1"/>
  <c r="AA75" i="9"/>
  <c r="AA26" i="9"/>
  <c r="W17" i="9"/>
  <c r="W75" i="9"/>
  <c r="I75" i="9"/>
  <c r="O26" i="9"/>
  <c r="Y7" i="9"/>
  <c r="U17" i="9"/>
  <c r="U32" i="9"/>
  <c r="AH114" i="16"/>
  <c r="AB114" i="16"/>
  <c r="AH106" i="16"/>
  <c r="AC106" i="16"/>
  <c r="AD106" i="16"/>
  <c r="X108" i="16"/>
  <c r="Y105" i="16"/>
  <c r="AB106" i="16"/>
  <c r="V108" i="16"/>
  <c r="V109" i="16"/>
  <c r="W106" i="16"/>
  <c r="Q108" i="16"/>
  <c r="W109" i="16"/>
  <c r="U106" i="16"/>
  <c r="O108" i="16"/>
  <c r="U109" i="16" s="1"/>
  <c r="AB99" i="16"/>
  <c r="AK98" i="16"/>
  <c r="AK99" i="16" s="1"/>
  <c r="AH99" i="16"/>
  <c r="AE99" i="16"/>
  <c r="X90" i="16"/>
  <c r="AE89" i="16"/>
  <c r="Y84" i="16"/>
  <c r="AK89" i="16"/>
  <c r="Y89" i="16"/>
  <c r="Y90" i="16" s="1"/>
  <c r="AD65" i="16"/>
  <c r="U65" i="16"/>
  <c r="AG59" i="16"/>
  <c r="R59" i="16"/>
  <c r="Y58" i="16"/>
  <c r="Y59" i="16" s="1"/>
  <c r="V59" i="16"/>
  <c r="S59" i="16"/>
  <c r="AH56" i="16"/>
  <c r="AC56" i="16"/>
  <c r="AK53" i="16"/>
  <c r="AE55" i="16"/>
  <c r="AE56" i="16" s="1"/>
  <c r="Y53" i="16"/>
  <c r="S55" i="16"/>
  <c r="S56" i="16"/>
  <c r="M53" i="16"/>
  <c r="G55" i="16"/>
  <c r="M56" i="16" s="1"/>
  <c r="AB50" i="16"/>
  <c r="W50" i="16"/>
  <c r="S47" i="16"/>
  <c r="M105" i="16"/>
  <c r="X37" i="16"/>
  <c r="AE33" i="16"/>
  <c r="AE49" i="16"/>
  <c r="S33" i="16"/>
  <c r="S49" i="16"/>
  <c r="AN64" i="16"/>
  <c r="AH61" i="16"/>
  <c r="AB64" i="16"/>
  <c r="AE67" i="16"/>
  <c r="X61" i="16"/>
  <c r="X62" i="16"/>
  <c r="V61" i="16"/>
  <c r="X10" i="16"/>
  <c r="P64" i="16"/>
  <c r="S67" i="16"/>
  <c r="R13" i="16"/>
  <c r="J61" i="16"/>
  <c r="I62" i="16"/>
  <c r="C17" i="16"/>
  <c r="C24" i="16"/>
  <c r="G5" i="16"/>
  <c r="AA125" i="17"/>
  <c r="AB125" i="17"/>
  <c r="AJ117" i="17"/>
  <c r="AA117" i="17"/>
  <c r="AD117" i="17"/>
  <c r="X119" i="17"/>
  <c r="Y116" i="17"/>
  <c r="AE117" i="17" s="1"/>
  <c r="AB117" i="17"/>
  <c r="V119" i="17"/>
  <c r="S119" i="17"/>
  <c r="W117" i="17"/>
  <c r="Q119" i="17"/>
  <c r="U117" i="17"/>
  <c r="O119" i="17"/>
  <c r="U120" i="17"/>
  <c r="AD110" i="17"/>
  <c r="U110" i="17"/>
  <c r="S109" i="17"/>
  <c r="S110" i="17"/>
  <c r="V110" i="17"/>
  <c r="AC107" i="17"/>
  <c r="AD101" i="17"/>
  <c r="Y101" i="17"/>
  <c r="AM67" i="17"/>
  <c r="X67" i="17"/>
  <c r="O67" i="17"/>
  <c r="AE66" i="17"/>
  <c r="AE67" i="17"/>
  <c r="AB67" i="17"/>
  <c r="Y67" i="17"/>
  <c r="G66" i="17"/>
  <c r="P64" i="17"/>
  <c r="K64" i="17"/>
  <c r="Y63" i="17"/>
  <c r="AK61" i="17"/>
  <c r="M61" i="17"/>
  <c r="AA58" i="17"/>
  <c r="L58" i="17"/>
  <c r="S57" i="17"/>
  <c r="AE55" i="17"/>
  <c r="Y57" i="17"/>
  <c r="S55" i="17"/>
  <c r="M57" i="17"/>
  <c r="M116" i="17"/>
  <c r="AK41" i="17"/>
  <c r="M41" i="17"/>
  <c r="AD38" i="17"/>
  <c r="U38" i="17"/>
  <c r="P38" i="17"/>
  <c r="K38" i="17"/>
  <c r="AE37" i="17"/>
  <c r="AC38" i="17"/>
  <c r="AA38" i="17"/>
  <c r="X34" i="17"/>
  <c r="X38" i="17"/>
  <c r="V38" i="17"/>
  <c r="S37" i="17"/>
  <c r="Q38" i="17"/>
  <c r="O38" i="17"/>
  <c r="L34" i="17"/>
  <c r="L38" i="17"/>
  <c r="J38" i="17"/>
  <c r="G37" i="17"/>
  <c r="W32" i="17"/>
  <c r="W33" i="17"/>
  <c r="W45" i="17" s="1"/>
  <c r="P26" i="17"/>
  <c r="AI69" i="17"/>
  <c r="AG69" i="17"/>
  <c r="AD75" i="17"/>
  <c r="AJ26" i="17"/>
  <c r="W75" i="17"/>
  <c r="P75" i="17"/>
  <c r="F75" i="17"/>
  <c r="D75" i="17"/>
  <c r="U120" i="15"/>
  <c r="U117" i="15"/>
  <c r="AJ117" i="15"/>
  <c r="AJ119" i="15"/>
  <c r="AJ120" i="15"/>
  <c r="AK116" i="15"/>
  <c r="AH117" i="15"/>
  <c r="AH119" i="15"/>
  <c r="AH120" i="15"/>
  <c r="AE119" i="15"/>
  <c r="AC117" i="15"/>
  <c r="AC119" i="15"/>
  <c r="AC120" i="15"/>
  <c r="AA117" i="15"/>
  <c r="AA119" i="15"/>
  <c r="AA120" i="15" s="1"/>
  <c r="AN69" i="15"/>
  <c r="AG69" i="15"/>
  <c r="R26" i="15"/>
  <c r="R75" i="15"/>
  <c r="X26" i="15"/>
  <c r="L17" i="15"/>
  <c r="L75" i="15"/>
  <c r="L26" i="15"/>
  <c r="F17" i="15"/>
  <c r="F75" i="15"/>
  <c r="C13" i="15"/>
  <c r="C10" i="15"/>
  <c r="S119" i="4"/>
  <c r="AN116" i="4"/>
  <c r="AH117" i="4"/>
  <c r="AJ113" i="4"/>
  <c r="AJ114" i="4" s="1"/>
  <c r="AP116" i="4"/>
  <c r="AI110" i="4"/>
  <c r="AC111" i="4"/>
  <c r="Y108" i="4"/>
  <c r="Y110" i="4"/>
  <c r="Y111" i="4"/>
  <c r="AZ104" i="4"/>
  <c r="AS104" i="4"/>
  <c r="S94" i="4"/>
  <c r="AN88" i="4"/>
  <c r="AN89" i="4"/>
  <c r="AT91" i="4"/>
  <c r="AM89" i="4"/>
  <c r="AI88" i="4"/>
  <c r="AO91" i="4"/>
  <c r="AE89" i="4"/>
  <c r="AE91" i="4"/>
  <c r="AE92" i="4" s="1"/>
  <c r="U86" i="4"/>
  <c r="AA86" i="4"/>
  <c r="AE83" i="4"/>
  <c r="AE85" i="4"/>
  <c r="AE86" i="4"/>
  <c r="AV79" i="4"/>
  <c r="AJ42" i="4"/>
  <c r="AD43" i="4"/>
  <c r="AM36" i="4"/>
  <c r="AG37" i="4"/>
  <c r="S26" i="20"/>
  <c r="AD9" i="20"/>
  <c r="X11" i="20"/>
  <c r="Y8" i="20"/>
  <c r="AB9" i="20"/>
  <c r="V11" i="20"/>
  <c r="V9" i="20"/>
  <c r="W9" i="20"/>
  <c r="Q11" i="20"/>
  <c r="W12" i="20" s="1"/>
  <c r="U9" i="20"/>
  <c r="O11" i="20"/>
  <c r="V219" i="117"/>
  <c r="V258" i="117"/>
  <c r="V188" i="117"/>
  <c r="V223" i="117"/>
  <c r="V190" i="117"/>
  <c r="H187" i="117"/>
  <c r="H190" i="117" s="1"/>
  <c r="K188" i="117"/>
  <c r="S171" i="117"/>
  <c r="T170" i="117"/>
  <c r="J171" i="117"/>
  <c r="H129" i="117"/>
  <c r="N130" i="117"/>
  <c r="K130" i="117"/>
  <c r="E199" i="117"/>
  <c r="Z124" i="117"/>
  <c r="N124" i="117"/>
  <c r="N126" i="117"/>
  <c r="N127" i="117" s="1"/>
  <c r="T124" i="117"/>
  <c r="E88" i="117"/>
  <c r="E95" i="117"/>
  <c r="E96" i="117" s="1"/>
  <c r="M95" i="117"/>
  <c r="M96" i="117" s="1"/>
  <c r="M88" i="117"/>
  <c r="R60" i="117"/>
  <c r="R199" i="117"/>
  <c r="R200" i="117" s="1"/>
  <c r="P60" i="117"/>
  <c r="P199" i="117"/>
  <c r="V60" i="117"/>
  <c r="J57" i="117"/>
  <c r="P57" i="117"/>
  <c r="AI36" i="117"/>
  <c r="G65" i="117"/>
  <c r="G205" i="117" s="1"/>
  <c r="D65" i="117"/>
  <c r="D62" i="117"/>
  <c r="H68" i="117"/>
  <c r="S159" i="3"/>
  <c r="J17" i="2"/>
  <c r="J24" i="2"/>
  <c r="J25" i="2" s="1"/>
  <c r="AB110" i="15"/>
  <c r="Y95" i="15"/>
  <c r="AN67" i="15"/>
  <c r="AB67" i="15"/>
  <c r="P67" i="15"/>
  <c r="AE57" i="15"/>
  <c r="G57" i="15"/>
  <c r="M58" i="15" s="1"/>
  <c r="AC38" i="15"/>
  <c r="AA38" i="15"/>
  <c r="X38" i="15"/>
  <c r="V38" i="15"/>
  <c r="Q38" i="15"/>
  <c r="O38" i="15"/>
  <c r="L38" i="15"/>
  <c r="J38" i="15"/>
  <c r="Y37" i="15"/>
  <c r="X32" i="15"/>
  <c r="X33" i="15" s="1"/>
  <c r="AD26" i="15"/>
  <c r="Q20" i="15"/>
  <c r="O20" i="15"/>
  <c r="G25" i="15"/>
  <c r="AD75" i="15"/>
  <c r="E75" i="15"/>
  <c r="C75" i="15"/>
  <c r="M4" i="15"/>
  <c r="M5" i="15" s="1"/>
  <c r="I5" i="15"/>
  <c r="I7" i="15"/>
  <c r="V120" i="4"/>
  <c r="AE119" i="4"/>
  <c r="AD117" i="4"/>
  <c r="AI116" i="4"/>
  <c r="AC117" i="4"/>
  <c r="Y114" i="4"/>
  <c r="Y116" i="4"/>
  <c r="Y117" i="4" s="1"/>
  <c r="AG111" i="4"/>
  <c r="AN110" i="4"/>
  <c r="AH111" i="4"/>
  <c r="AK104" i="4"/>
  <c r="AK105" i="4" s="1"/>
  <c r="AP104" i="4"/>
  <c r="V95" i="4"/>
  <c r="AE94" i="4"/>
  <c r="AE95" i="4" s="1"/>
  <c r="AB95" i="4"/>
  <c r="Y95" i="4"/>
  <c r="W92" i="4"/>
  <c r="U92" i="4"/>
  <c r="Y89" i="4"/>
  <c r="AP88" i="4"/>
  <c r="AP89" i="4" s="1"/>
  <c r="AV91" i="4"/>
  <c r="AC86" i="4"/>
  <c r="Y83" i="4"/>
  <c r="X70" i="4"/>
  <c r="AD70" i="4"/>
  <c r="Y69" i="4"/>
  <c r="U67" i="4"/>
  <c r="AA67" i="4"/>
  <c r="AN63" i="4"/>
  <c r="AN64" i="4"/>
  <c r="AT66" i="4"/>
  <c r="AI63" i="4"/>
  <c r="AO66" i="4"/>
  <c r="AE64" i="4"/>
  <c r="AE66" i="4"/>
  <c r="AE67" i="4" s="1"/>
  <c r="U61" i="4"/>
  <c r="AA61" i="4"/>
  <c r="AE58" i="4"/>
  <c r="AE60" i="4"/>
  <c r="AE61" i="4" s="1"/>
  <c r="AV54" i="4"/>
  <c r="AH46" i="4"/>
  <c r="AM42" i="4"/>
  <c r="AG43" i="4"/>
  <c r="AJ36" i="4"/>
  <c r="AD37" i="4"/>
  <c r="AY30" i="4"/>
  <c r="AT30" i="4"/>
  <c r="AO30" i="4"/>
  <c r="Y31" i="4"/>
  <c r="AE31" i="4"/>
  <c r="Y36" i="4"/>
  <c r="Y42" i="4"/>
  <c r="Y43" i="4" s="1"/>
  <c r="AM21" i="4"/>
  <c r="AG21" i="4"/>
  <c r="AI18" i="4"/>
  <c r="AC18" i="4"/>
  <c r="AD18" i="4"/>
  <c r="AI12" i="4"/>
  <c r="AD12" i="4"/>
  <c r="W12" i="4"/>
  <c r="AK6" i="4"/>
  <c r="AI24" i="20"/>
  <c r="AC24" i="20"/>
  <c r="AD24" i="20"/>
  <c r="X24" i="20"/>
  <c r="AK21" i="20"/>
  <c r="AE21" i="20"/>
  <c r="AG18" i="20"/>
  <c r="AM18" i="20"/>
  <c r="AE15" i="20"/>
  <c r="AE17" i="20"/>
  <c r="AE18" i="20" s="1"/>
  <c r="AK15" i="20"/>
  <c r="S258" i="117"/>
  <c r="S264" i="117"/>
  <c r="S272" i="117"/>
  <c r="S278" i="117" s="1"/>
  <c r="S282" i="117" s="1"/>
  <c r="Q219" i="117"/>
  <c r="Q258" i="117"/>
  <c r="V199" i="117"/>
  <c r="M194" i="117"/>
  <c r="S194" i="117"/>
  <c r="M196" i="117"/>
  <c r="N193" i="117"/>
  <c r="K194" i="117"/>
  <c r="K196" i="117"/>
  <c r="J194" i="117"/>
  <c r="D196" i="117"/>
  <c r="J197" i="117" s="1"/>
  <c r="E190" i="117"/>
  <c r="M188" i="117"/>
  <c r="T216" i="117"/>
  <c r="R174" i="117"/>
  <c r="R217" i="117" s="1"/>
  <c r="R190" i="117"/>
  <c r="R216" i="117"/>
  <c r="R219" i="117"/>
  <c r="P174" i="117"/>
  <c r="P217" i="117"/>
  <c r="P190" i="117"/>
  <c r="V174" i="117"/>
  <c r="V217" i="117" s="1"/>
  <c r="P216" i="117"/>
  <c r="P219" i="117" s="1"/>
  <c r="V220" i="117" s="1"/>
  <c r="Q171" i="117"/>
  <c r="V130" i="117"/>
  <c r="M127" i="117"/>
  <c r="S127" i="117"/>
  <c r="M121" i="117"/>
  <c r="S121" i="117"/>
  <c r="N104" i="117"/>
  <c r="T104" i="117"/>
  <c r="T92" i="117"/>
  <c r="N92" i="117"/>
  <c r="T138" i="117"/>
  <c r="M135" i="117"/>
  <c r="M136" i="117" s="1"/>
  <c r="D132" i="117"/>
  <c r="V77" i="117"/>
  <c r="Z75" i="117"/>
  <c r="R88" i="117"/>
  <c r="R95" i="117"/>
  <c r="R96" i="117" s="1"/>
  <c r="P78" i="117"/>
  <c r="T76" i="117"/>
  <c r="R57" i="117"/>
  <c r="Q51" i="117"/>
  <c r="K51" i="117"/>
  <c r="T56" i="117"/>
  <c r="T57" i="117"/>
  <c r="T34" i="117"/>
  <c r="T50" i="117"/>
  <c r="N34" i="117"/>
  <c r="H56" i="117"/>
  <c r="N57" i="117" s="1"/>
  <c r="T22" i="117"/>
  <c r="N22" i="117"/>
  <c r="K62" i="117"/>
  <c r="K66" i="117"/>
  <c r="Q65" i="117"/>
  <c r="I4" i="8"/>
  <c r="Y4" i="15"/>
  <c r="U5" i="15"/>
  <c r="U7" i="15" s="1"/>
  <c r="AM85" i="4"/>
  <c r="AG86" i="4"/>
  <c r="AJ85" i="4"/>
  <c r="AD86" i="4"/>
  <c r="AT79" i="4"/>
  <c r="AO79" i="4"/>
  <c r="AQ79" i="4" s="1"/>
  <c r="AH70" i="4"/>
  <c r="AM66" i="4"/>
  <c r="AG67" i="4"/>
  <c r="AJ66" i="4"/>
  <c r="AD67" i="4"/>
  <c r="AM60" i="4"/>
  <c r="AG61" i="4"/>
  <c r="AJ60" i="4"/>
  <c r="AD61" i="4"/>
  <c r="AT54" i="4"/>
  <c r="AO54" i="4"/>
  <c r="AQ54" i="4" s="1"/>
  <c r="Y45" i="4"/>
  <c r="Y46" i="4" s="1"/>
  <c r="V46" i="4"/>
  <c r="AI39" i="4"/>
  <c r="AE40" i="4"/>
  <c r="AE42" i="4"/>
  <c r="AE34" i="4"/>
  <c r="AE36" i="4"/>
  <c r="AE37" i="4" s="1"/>
  <c r="AV30" i="4"/>
  <c r="AE20" i="4"/>
  <c r="AH21" i="4"/>
  <c r="AE15" i="4"/>
  <c r="AE9" i="4"/>
  <c r="AE26" i="20"/>
  <c r="AE27" i="20" s="1"/>
  <c r="AH28" i="20"/>
  <c r="AC12" i="20"/>
  <c r="AG9" i="20"/>
  <c r="AA11" i="20"/>
  <c r="R194" i="117"/>
  <c r="R261" i="117"/>
  <c r="X262" i="117" s="1"/>
  <c r="P194" i="117"/>
  <c r="P261" i="117"/>
  <c r="T261" i="117"/>
  <c r="T187" i="117"/>
  <c r="Q188" i="117"/>
  <c r="M174" i="117"/>
  <c r="M190" i="117"/>
  <c r="M191" i="117" s="1"/>
  <c r="N173" i="117"/>
  <c r="K174" i="117"/>
  <c r="K190" i="117"/>
  <c r="P171" i="117"/>
  <c r="K171" i="117"/>
  <c r="T129" i="117"/>
  <c r="T130" i="117" s="1"/>
  <c r="T127" i="117"/>
  <c r="N118" i="117"/>
  <c r="N120" i="117"/>
  <c r="N121" i="117" s="1"/>
  <c r="E135" i="117"/>
  <c r="E132" i="117" s="1"/>
  <c r="E202" i="117" s="1"/>
  <c r="E208" i="117" s="1"/>
  <c r="E156" i="117" s="1"/>
  <c r="H138" i="117"/>
  <c r="M60" i="117"/>
  <c r="M199" i="117"/>
  <c r="M200" i="117" s="1"/>
  <c r="N59" i="117"/>
  <c r="N60" i="117" s="1"/>
  <c r="K60" i="117"/>
  <c r="K199" i="117"/>
  <c r="Z54" i="117"/>
  <c r="T48" i="117"/>
  <c r="N50" i="117"/>
  <c r="N51" i="117"/>
  <c r="Q62" i="117"/>
  <c r="T68" i="117"/>
  <c r="E62" i="117"/>
  <c r="E205" i="117"/>
  <c r="E5" i="117"/>
  <c r="E7" i="117"/>
  <c r="D8" i="117"/>
  <c r="Y159" i="3"/>
  <c r="Y7" i="7"/>
  <c r="O4" i="7"/>
  <c r="F200" i="14"/>
  <c r="Q17" i="2"/>
  <c r="Q24" i="2"/>
  <c r="Q25" i="2" s="1"/>
  <c r="K17" i="2"/>
  <c r="K24" i="2"/>
  <c r="K25" i="2" s="1"/>
  <c r="AA16" i="3"/>
  <c r="AA104" i="3"/>
  <c r="K64" i="21"/>
  <c r="K17" i="4"/>
  <c r="Q18" i="4" s="1"/>
  <c r="I64" i="21"/>
  <c r="I17" i="4"/>
  <c r="O18" i="4"/>
  <c r="J7" i="21"/>
  <c r="J6" i="21" s="1"/>
  <c r="M176" i="3"/>
  <c r="J95" i="14"/>
  <c r="AN61" i="2"/>
  <c r="AM61" i="2"/>
  <c r="AD61" i="2"/>
  <c r="X61" i="2"/>
  <c r="W61" i="2"/>
  <c r="V61" i="2"/>
  <c r="U61" i="2"/>
  <c r="P61" i="2"/>
  <c r="P62" i="2" s="1"/>
  <c r="AD90" i="21"/>
  <c r="AD112" i="21"/>
  <c r="I15" i="21"/>
  <c r="M5" i="4"/>
  <c r="S6" i="4"/>
  <c r="H103" i="14"/>
  <c r="I95" i="14"/>
  <c r="H95" i="14"/>
  <c r="AB57" i="21"/>
  <c r="U64" i="21"/>
  <c r="AA15" i="4"/>
  <c r="U17" i="4"/>
  <c r="AB15" i="21"/>
  <c r="AB1" i="4"/>
  <c r="AB6" i="4"/>
  <c r="AB11" i="4"/>
  <c r="AB17" i="4"/>
  <c r="R15" i="21"/>
  <c r="R17" i="4"/>
  <c r="R18" i="4" s="1"/>
  <c r="M114" i="14"/>
  <c r="N114" i="14" s="1"/>
  <c r="O114" i="14" s="1"/>
  <c r="P114" i="14" s="1"/>
  <c r="Q114" i="14" s="1"/>
  <c r="R114" i="14" s="1"/>
  <c r="S114" i="14" s="1"/>
  <c r="T114" i="14" s="1"/>
  <c r="F113" i="14"/>
  <c r="G118" i="14"/>
  <c r="AJ57" i="21"/>
  <c r="AI134" i="21"/>
  <c r="AI106" i="15"/>
  <c r="AO107" i="15" s="1"/>
  <c r="AK103" i="15"/>
  <c r="AM57" i="21"/>
  <c r="Q64" i="21"/>
  <c r="S14" i="4"/>
  <c r="AA15" i="21"/>
  <c r="AG6" i="4"/>
  <c r="U15" i="21"/>
  <c r="Y5" i="4"/>
  <c r="Y6" i="4" s="1"/>
  <c r="U6" i="4"/>
  <c r="U11" i="4"/>
  <c r="U12" i="4" s="1"/>
  <c r="P15" i="21"/>
  <c r="P17" i="4"/>
  <c r="AK159" i="3"/>
  <c r="BS35" i="8"/>
  <c r="BY35" i="8" s="1"/>
  <c r="CE35" i="8" s="1"/>
  <c r="CK35" i="8" s="1"/>
  <c r="CQ35" i="8" s="1"/>
  <c r="CW35" i="8" s="1"/>
  <c r="DC35" i="8" s="1"/>
  <c r="DI35" i="8" s="1"/>
  <c r="AI162" i="3"/>
  <c r="AN30" i="16"/>
  <c r="AN144" i="3"/>
  <c r="AM38" i="9"/>
  <c r="AA4" i="7"/>
  <c r="U24" i="2"/>
  <c r="U17" i="2"/>
  <c r="AB4" i="3"/>
  <c r="AB6" i="3"/>
  <c r="J270" i="11"/>
  <c r="J272" i="11" s="1"/>
  <c r="L270" i="11"/>
  <c r="L272" i="11" s="1"/>
  <c r="L275" i="11" s="1"/>
  <c r="AM30" i="7"/>
  <c r="AM26" i="10"/>
  <c r="AM25" i="9"/>
  <c r="AM79" i="9"/>
  <c r="AM64" i="17"/>
  <c r="R40" i="21"/>
  <c r="L8" i="4"/>
  <c r="X9" i="4"/>
  <c r="R11" i="4"/>
  <c r="Q40" i="21"/>
  <c r="K8" i="4"/>
  <c r="Q20" i="4"/>
  <c r="W21" i="4" s="1"/>
  <c r="P40" i="21"/>
  <c r="J8" i="4"/>
  <c r="V9" i="4"/>
  <c r="P11" i="4"/>
  <c r="O40" i="21"/>
  <c r="S40" i="21" s="1"/>
  <c r="I8" i="4"/>
  <c r="S8" i="4"/>
  <c r="O20" i="4"/>
  <c r="AK38" i="21"/>
  <c r="AY17" i="20"/>
  <c r="AG161" i="21"/>
  <c r="AJ12" i="4"/>
  <c r="AI9" i="20"/>
  <c r="AY19" i="21"/>
  <c r="AM56" i="16"/>
  <c r="AA176" i="3"/>
  <c r="X42" i="15"/>
  <c r="X54" i="15" s="1"/>
  <c r="Y40" i="15"/>
  <c r="AG7" i="21"/>
  <c r="BS35" i="2"/>
  <c r="BY35" i="2" s="1"/>
  <c r="CE35" i="2" s="1"/>
  <c r="CK35" i="2" s="1"/>
  <c r="CQ35" i="2" s="1"/>
  <c r="CW35" i="2" s="1"/>
  <c r="DC35" i="2" s="1"/>
  <c r="DI35" i="2" s="1"/>
  <c r="BF19" i="21"/>
  <c r="BK15" i="21"/>
  <c r="BE20" i="4"/>
  <c r="W7" i="2"/>
  <c r="X4" i="2"/>
  <c r="X6" i="2" s="1"/>
  <c r="AM30" i="8"/>
  <c r="AM38" i="10"/>
  <c r="AM64" i="9"/>
  <c r="AM90" i="16"/>
  <c r="BQ89" i="16"/>
  <c r="BW89" i="16" s="1"/>
  <c r="CC89" i="16" s="1"/>
  <c r="CI89" i="16" s="1"/>
  <c r="CO89" i="16" s="1"/>
  <c r="CU89" i="16" s="1"/>
  <c r="DA89" i="16" s="1"/>
  <c r="DG89" i="16" s="1"/>
  <c r="V312" i="117"/>
  <c r="AM60" i="21"/>
  <c r="V306" i="117"/>
  <c r="AM11" i="21"/>
  <c r="V309" i="117"/>
  <c r="AJ183" i="3"/>
  <c r="Y261" i="117"/>
  <c r="Y312" i="117"/>
  <c r="AP60" i="21" s="1"/>
  <c r="AP19" i="21"/>
  <c r="BB168" i="3"/>
  <c r="BH169" i="3" s="1"/>
  <c r="AJ161" i="21"/>
  <c r="AI89" i="16"/>
  <c r="AO90" i="16"/>
  <c r="AI113" i="21"/>
  <c r="AM56" i="8"/>
  <c r="AM50" i="7"/>
  <c r="AM101" i="17"/>
  <c r="AM58" i="15"/>
  <c r="AM101" i="15"/>
  <c r="AR261" i="117"/>
  <c r="AL261" i="117"/>
  <c r="V180" i="3"/>
  <c r="V197" i="3"/>
  <c r="AN24" i="20"/>
  <c r="AN30" i="7"/>
  <c r="AN38" i="9"/>
  <c r="AN96" i="16"/>
  <c r="AN101" i="15"/>
  <c r="U180" i="3"/>
  <c r="U197" i="3"/>
  <c r="I206" i="14"/>
  <c r="W56" i="117"/>
  <c r="W57" i="117" s="1"/>
  <c r="AN12" i="4"/>
  <c r="AN56" i="8"/>
  <c r="AN56" i="7"/>
  <c r="AN64" i="10"/>
  <c r="AN56" i="16"/>
  <c r="AN90" i="16"/>
  <c r="BR89" i="16"/>
  <c r="BX89" i="16" s="1"/>
  <c r="CD89" i="16" s="1"/>
  <c r="CJ89" i="16" s="1"/>
  <c r="CP89" i="16" s="1"/>
  <c r="CV89" i="16" s="1"/>
  <c r="DB89" i="16" s="1"/>
  <c r="DH89" i="16" s="1"/>
  <c r="AN107" i="17"/>
  <c r="W13" i="17"/>
  <c r="W10" i="17" s="1"/>
  <c r="W11" i="17" s="1"/>
  <c r="AK107" i="17"/>
  <c r="AK124" i="17"/>
  <c r="AK125" i="17"/>
  <c r="BB73" i="3"/>
  <c r="AA106" i="3"/>
  <c r="Y52" i="3"/>
  <c r="X123" i="3"/>
  <c r="X134" i="3"/>
  <c r="I61" i="3"/>
  <c r="X121" i="3"/>
  <c r="BQ151" i="3"/>
  <c r="BE169" i="3"/>
  <c r="BA169" i="3"/>
  <c r="BC168" i="3"/>
  <c r="BR151" i="3"/>
  <c r="BF168" i="3"/>
  <c r="BA9" i="4"/>
  <c r="AM87" i="3"/>
  <c r="AQ169" i="3"/>
  <c r="AP169" i="3"/>
  <c r="AV169" i="3"/>
  <c r="M67" i="17"/>
  <c r="Y124" i="17"/>
  <c r="Y125" i="17" s="1"/>
  <c r="Q69" i="17"/>
  <c r="S67" i="17"/>
  <c r="M64" i="17"/>
  <c r="W125" i="17"/>
  <c r="AK55" i="17"/>
  <c r="G170" i="11"/>
  <c r="AK110" i="21"/>
  <c r="AL110" i="21" s="1"/>
  <c r="BC172" i="3"/>
  <c r="E126" i="14"/>
  <c r="BA197" i="3"/>
  <c r="AV73" i="3"/>
  <c r="U172" i="3"/>
  <c r="J72" i="3"/>
  <c r="J71" i="3"/>
  <c r="R184" i="3"/>
  <c r="Q61" i="3"/>
  <c r="AA72" i="3"/>
  <c r="Q191" i="3"/>
  <c r="AH92" i="3"/>
  <c r="AH95" i="3" s="1"/>
  <c r="AH96" i="3" s="1"/>
  <c r="V61" i="3"/>
  <c r="AW72" i="3"/>
  <c r="AW70" i="3"/>
  <c r="AI51" i="3"/>
  <c r="I183" i="3"/>
  <c r="O184" i="3" s="1"/>
  <c r="I184" i="3"/>
  <c r="I181" i="3"/>
  <c r="AG96" i="3"/>
  <c r="AD197" i="3"/>
  <c r="X198" i="3"/>
  <c r="V172" i="3"/>
  <c r="Y207" i="3"/>
  <c r="Y171" i="3"/>
  <c r="Y190" i="3"/>
  <c r="Y191" i="3"/>
  <c r="Y197" i="3"/>
  <c r="Y198" i="3" s="1"/>
  <c r="Y177" i="3"/>
  <c r="AY64" i="21"/>
  <c r="M66" i="117"/>
  <c r="AK110" i="15"/>
  <c r="Q10" i="17"/>
  <c r="Y99" i="16"/>
  <c r="AK67" i="10"/>
  <c r="AH73" i="3"/>
  <c r="AD61" i="16"/>
  <c r="M30" i="8"/>
  <c r="R171" i="117"/>
  <c r="AE117" i="4"/>
  <c r="P10" i="16"/>
  <c r="N170" i="117"/>
  <c r="L191" i="117"/>
  <c r="O5" i="8"/>
  <c r="S4" i="8"/>
  <c r="T162" i="117"/>
  <c r="O33" i="15"/>
  <c r="S38" i="10"/>
  <c r="I5" i="3"/>
  <c r="I7" i="3" s="1"/>
  <c r="M4" i="3"/>
  <c r="M5" i="3"/>
  <c r="AN159" i="3"/>
  <c r="AN87" i="3"/>
  <c r="W183" i="3"/>
  <c r="AC183" i="3"/>
  <c r="AI183" i="3" s="1"/>
  <c r="W181" i="3"/>
  <c r="U5" i="8"/>
  <c r="Y4" i="8"/>
  <c r="AA114" i="16"/>
  <c r="N188" i="117"/>
  <c r="AB125" i="15"/>
  <c r="Y58" i="17"/>
  <c r="Y64" i="17"/>
  <c r="V120" i="15"/>
  <c r="AI101" i="17"/>
  <c r="O5" i="2"/>
  <c r="O7" i="2"/>
  <c r="S4" i="2"/>
  <c r="S5" i="2"/>
  <c r="H196" i="117"/>
  <c r="V171" i="117"/>
  <c r="AE30" i="16"/>
  <c r="AW21" i="21"/>
  <c r="BC70" i="21"/>
  <c r="AT73" i="3"/>
  <c r="S20" i="4"/>
  <c r="Y21" i="4"/>
  <c r="AK56" i="16"/>
  <c r="AE90" i="16"/>
  <c r="AG120" i="15"/>
  <c r="W34" i="17"/>
  <c r="AK64" i="9"/>
  <c r="AP68" i="21"/>
  <c r="R26" i="16"/>
  <c r="R37" i="16"/>
  <c r="R40" i="16"/>
  <c r="R43" i="16" s="1"/>
  <c r="X44" i="16" s="1"/>
  <c r="AN73" i="9"/>
  <c r="AK73" i="3"/>
  <c r="Y11" i="4"/>
  <c r="Y17" i="4"/>
  <c r="AQ30" i="4"/>
  <c r="AQ31" i="4" s="1"/>
  <c r="T60" i="117"/>
  <c r="S191" i="117"/>
  <c r="R264" i="117"/>
  <c r="R272" i="117" s="1"/>
  <c r="R278" i="117" s="1"/>
  <c r="R282" i="117" s="1"/>
  <c r="AK27" i="20"/>
  <c r="AI120" i="15"/>
  <c r="Y79" i="10"/>
  <c r="Y80" i="10" s="1"/>
  <c r="AM84" i="10"/>
  <c r="AA83" i="10"/>
  <c r="AA84" i="10" s="1"/>
  <c r="AN73" i="3"/>
  <c r="AE125" i="17"/>
  <c r="AJ107" i="15"/>
  <c r="I5" i="7"/>
  <c r="M4" i="7"/>
  <c r="G32" i="15"/>
  <c r="G31" i="15" s="1"/>
  <c r="D33" i="15"/>
  <c r="X69" i="9"/>
  <c r="AN69" i="9"/>
  <c r="S54" i="3"/>
  <c r="S59" i="3" s="1"/>
  <c r="S61" i="3" s="1"/>
  <c r="S65" i="3"/>
  <c r="AK38" i="9"/>
  <c r="V183" i="3"/>
  <c r="V181" i="3"/>
  <c r="AW5" i="20"/>
  <c r="AW6" i="20" s="1"/>
  <c r="AV19" i="21"/>
  <c r="AP183" i="3"/>
  <c r="BR35" i="2"/>
  <c r="BX35" i="2" s="1"/>
  <c r="CD35" i="2" s="1"/>
  <c r="CJ35" i="2" s="1"/>
  <c r="CP35" i="2" s="1"/>
  <c r="CV35" i="2" s="1"/>
  <c r="DB35" i="2" s="1"/>
  <c r="DH35" i="2" s="1"/>
  <c r="AU40" i="21"/>
  <c r="AS40" i="21"/>
  <c r="AS9" i="4"/>
  <c r="AS20" i="4"/>
  <c r="AS22" i="4" s="1"/>
  <c r="U183" i="3"/>
  <c r="Y180" i="3"/>
  <c r="U181" i="3"/>
  <c r="AW168" i="3"/>
  <c r="AW169" i="3"/>
  <c r="K51" i="11"/>
  <c r="AR262" i="117"/>
  <c r="BR106" i="17"/>
  <c r="BX106" i="17" s="1"/>
  <c r="CD106" i="17" s="1"/>
  <c r="CJ106" i="17" s="1"/>
  <c r="CP106" i="17" s="1"/>
  <c r="CV106" i="17" s="1"/>
  <c r="DB106" i="17" s="1"/>
  <c r="DH106" i="17" s="1"/>
  <c r="AP146" i="21"/>
  <c r="AP158" i="21" s="1"/>
  <c r="AP159" i="21" s="1"/>
  <c r="AA7" i="21"/>
  <c r="AA177" i="3"/>
  <c r="AG177" i="3"/>
  <c r="AQ14" i="4"/>
  <c r="AO64" i="21"/>
  <c r="BQ5" i="20"/>
  <c r="BE19" i="21"/>
  <c r="AQ8" i="20"/>
  <c r="BB64" i="21"/>
  <c r="I11" i="4"/>
  <c r="O12" i="4"/>
  <c r="I40" i="21"/>
  <c r="M8" i="4"/>
  <c r="M11" i="4" s="1"/>
  <c r="S12" i="4" s="1"/>
  <c r="I20" i="4"/>
  <c r="L20" i="4"/>
  <c r="L40" i="21"/>
  <c r="L11" i="4"/>
  <c r="R12" i="4"/>
  <c r="AM80" i="9"/>
  <c r="U13" i="2"/>
  <c r="AK162" i="3"/>
  <c r="BA40" i="21"/>
  <c r="M96" i="14"/>
  <c r="N96" i="14" s="1"/>
  <c r="AI176" i="3"/>
  <c r="S15" i="4"/>
  <c r="S17" i="4"/>
  <c r="Y15" i="4"/>
  <c r="AI107" i="15"/>
  <c r="AP64" i="21"/>
  <c r="AB18" i="4"/>
  <c r="AH18" i="4"/>
  <c r="U18" i="4"/>
  <c r="AA18" i="4"/>
  <c r="BQ17" i="4"/>
  <c r="BE64" i="21"/>
  <c r="Y61" i="2"/>
  <c r="I103" i="14"/>
  <c r="I110" i="14" s="1"/>
  <c r="S177" i="3"/>
  <c r="M190" i="3"/>
  <c r="M197" i="3"/>
  <c r="S198" i="3" s="1"/>
  <c r="AB16" i="3"/>
  <c r="AB104" i="3"/>
  <c r="AA17" i="3"/>
  <c r="K13" i="2"/>
  <c r="K10" i="2"/>
  <c r="Q13" i="2"/>
  <c r="Q10" i="2" s="1"/>
  <c r="Q18" i="2"/>
  <c r="D18" i="117"/>
  <c r="D25" i="117"/>
  <c r="T121" i="117"/>
  <c r="K191" i="117"/>
  <c r="Q191" i="117"/>
  <c r="N174" i="117"/>
  <c r="N190" i="117"/>
  <c r="N191" i="117" s="1"/>
  <c r="T190" i="117"/>
  <c r="T188" i="117"/>
  <c r="T222" i="117"/>
  <c r="S200" i="117"/>
  <c r="Y18" i="4"/>
  <c r="AE18" i="4"/>
  <c r="U21" i="4"/>
  <c r="BB30" i="4"/>
  <c r="AJ57" i="4"/>
  <c r="AP60" i="4"/>
  <c r="AS60" i="4"/>
  <c r="AM57" i="4"/>
  <c r="AJ63" i="4"/>
  <c r="AJ64" i="4" s="1"/>
  <c r="AP66" i="4"/>
  <c r="AS66" i="4"/>
  <c r="AM63" i="4"/>
  <c r="AP85" i="4"/>
  <c r="AJ82" i="4"/>
  <c r="AS85" i="4"/>
  <c r="AM82" i="4"/>
  <c r="K63" i="117"/>
  <c r="P88" i="117"/>
  <c r="P95" i="117"/>
  <c r="R81" i="117"/>
  <c r="P191" i="117"/>
  <c r="P225" i="117"/>
  <c r="T174" i="117"/>
  <c r="T217" i="117" s="1"/>
  <c r="S197" i="117"/>
  <c r="V200" i="117"/>
  <c r="Q264" i="117"/>
  <c r="Q272" i="117" s="1"/>
  <c r="Q278" i="117" s="1"/>
  <c r="Q282" i="117" s="1"/>
  <c r="AK18" i="20"/>
  <c r="BE30" i="4"/>
  <c r="AJ33" i="4"/>
  <c r="AP36" i="4"/>
  <c r="AS42" i="4"/>
  <c r="AM39" i="4"/>
  <c r="AO63" i="4"/>
  <c r="AO64" i="4" s="1"/>
  <c r="AU66" i="4"/>
  <c r="AT63" i="4"/>
  <c r="AT64" i="4"/>
  <c r="AZ66" i="4"/>
  <c r="AV88" i="4"/>
  <c r="AV89" i="4" s="1"/>
  <c r="BB91" i="4"/>
  <c r="AN107" i="4"/>
  <c r="AT110" i="4"/>
  <c r="AO116" i="4"/>
  <c r="AI113" i="4"/>
  <c r="I20" i="15"/>
  <c r="I21" i="15"/>
  <c r="I8" i="15"/>
  <c r="I32" i="15"/>
  <c r="C72" i="15"/>
  <c r="C69" i="15"/>
  <c r="G17" i="15"/>
  <c r="G75" i="15"/>
  <c r="O21" i="15"/>
  <c r="AE38" i="15"/>
  <c r="Y38" i="15"/>
  <c r="D202" i="117"/>
  <c r="D205" i="117"/>
  <c r="T199" i="117"/>
  <c r="M84" i="117"/>
  <c r="M85" i="117" s="1"/>
  <c r="T171" i="117"/>
  <c r="V225" i="117"/>
  <c r="V191" i="117"/>
  <c r="V226" i="117" s="1"/>
  <c r="V12" i="20"/>
  <c r="AB12" i="20"/>
  <c r="AE9" i="20"/>
  <c r="Y11" i="20"/>
  <c r="X12" i="4"/>
  <c r="M17" i="4"/>
  <c r="AS36" i="4"/>
  <c r="AM33" i="4"/>
  <c r="AJ39" i="4"/>
  <c r="AJ40" i="4"/>
  <c r="AP42" i="4"/>
  <c r="BB79" i="4"/>
  <c r="AI89" i="4"/>
  <c r="BF104" i="4"/>
  <c r="AO110" i="4"/>
  <c r="AI107" i="4"/>
  <c r="AP113" i="4"/>
  <c r="AP114" i="4" s="1"/>
  <c r="AV116" i="4"/>
  <c r="F13" i="15"/>
  <c r="F10" i="15" s="1"/>
  <c r="L13" i="15"/>
  <c r="L18" i="15"/>
  <c r="F72" i="17"/>
  <c r="F69" i="17" s="1"/>
  <c r="AD72" i="17"/>
  <c r="AD69" i="17" s="1"/>
  <c r="S38" i="17"/>
  <c r="X120" i="17"/>
  <c r="AD120" i="17"/>
  <c r="C25" i="16"/>
  <c r="R10" i="16"/>
  <c r="P65" i="16"/>
  <c r="P61" i="16"/>
  <c r="P62" i="16" s="1"/>
  <c r="S64" i="16"/>
  <c r="V62" i="16"/>
  <c r="AN65" i="16"/>
  <c r="AN61" i="16"/>
  <c r="AN62" i="16"/>
  <c r="X38" i="16"/>
  <c r="X40" i="16"/>
  <c r="Y108" i="16"/>
  <c r="AE106" i="16"/>
  <c r="U33" i="9"/>
  <c r="Y20" i="9"/>
  <c r="W20" i="9"/>
  <c r="W13" i="9"/>
  <c r="AH26" i="9"/>
  <c r="AB75" i="9"/>
  <c r="AB26" i="9"/>
  <c r="AC72" i="9"/>
  <c r="S58" i="9"/>
  <c r="AJ80" i="9"/>
  <c r="O33" i="10"/>
  <c r="O70" i="10"/>
  <c r="AK38" i="10"/>
  <c r="AE38" i="10"/>
  <c r="L21" i="15"/>
  <c r="D72" i="15"/>
  <c r="D69" i="15"/>
  <c r="J72" i="15"/>
  <c r="V72" i="15"/>
  <c r="AB33" i="17"/>
  <c r="J72" i="17"/>
  <c r="J69" i="17" s="1"/>
  <c r="L13" i="17"/>
  <c r="AK67" i="17"/>
  <c r="AA120" i="17"/>
  <c r="AG120" i="17"/>
  <c r="AI120" i="17"/>
  <c r="AA25" i="16"/>
  <c r="AD62" i="16"/>
  <c r="AH65" i="16"/>
  <c r="AC109" i="16"/>
  <c r="AI109" i="16"/>
  <c r="M64" i="9"/>
  <c r="S64" i="9"/>
  <c r="Y67" i="9"/>
  <c r="C33" i="10"/>
  <c r="E10" i="10"/>
  <c r="D69" i="10"/>
  <c r="E72" i="10"/>
  <c r="I62" i="7"/>
  <c r="M61" i="7"/>
  <c r="O62" i="7"/>
  <c r="M61" i="8"/>
  <c r="I62" i="8"/>
  <c r="I62" i="2"/>
  <c r="AA8" i="3"/>
  <c r="AA81" i="3"/>
  <c r="U80" i="3"/>
  <c r="U83" i="3"/>
  <c r="C58" i="3"/>
  <c r="C59" i="3"/>
  <c r="C60" i="3"/>
  <c r="C45" i="3"/>
  <c r="K55" i="3"/>
  <c r="E58" i="3"/>
  <c r="E59" i="3"/>
  <c r="E60" i="3"/>
  <c r="U93" i="3"/>
  <c r="U95" i="3"/>
  <c r="AA93" i="3"/>
  <c r="W61" i="3"/>
  <c r="C71" i="3"/>
  <c r="C72" i="3"/>
  <c r="Q67" i="3"/>
  <c r="Q70" i="3"/>
  <c r="Q92" i="3"/>
  <c r="X71" i="3"/>
  <c r="X72" i="3"/>
  <c r="V71" i="3"/>
  <c r="V117" i="3"/>
  <c r="BC70" i="3"/>
  <c r="BC72" i="3"/>
  <c r="AE58" i="17"/>
  <c r="V25" i="16"/>
  <c r="AB109" i="16"/>
  <c r="I33" i="10"/>
  <c r="AE80" i="10"/>
  <c r="D61" i="3"/>
  <c r="G65" i="3"/>
  <c r="F58" i="3"/>
  <c r="F60" i="3"/>
  <c r="K67" i="3"/>
  <c r="K70" i="3" s="1"/>
  <c r="K73" i="3" s="1"/>
  <c r="S64" i="3"/>
  <c r="P67" i="3"/>
  <c r="R67" i="3"/>
  <c r="Y65" i="3"/>
  <c r="U67" i="3"/>
  <c r="U71" i="3"/>
  <c r="U117" i="3"/>
  <c r="U58" i="3"/>
  <c r="U60" i="3"/>
  <c r="U55" i="3"/>
  <c r="O120" i="3"/>
  <c r="M183" i="3"/>
  <c r="S201" i="3"/>
  <c r="Y201" i="3"/>
  <c r="F125" i="14"/>
  <c r="F126" i="14" s="1"/>
  <c r="AT64" i="21"/>
  <c r="AV64" i="21"/>
  <c r="AA197" i="3"/>
  <c r="U198" i="3"/>
  <c r="BA19" i="21"/>
  <c r="AS44" i="21"/>
  <c r="AS15" i="20"/>
  <c r="AS17" i="20"/>
  <c r="AS18" i="20" s="1"/>
  <c r="AB197" i="3"/>
  <c r="V198" i="3"/>
  <c r="J51" i="11"/>
  <c r="AL262" i="117"/>
  <c r="BR43" i="10"/>
  <c r="BX43" i="10" s="1"/>
  <c r="CD43" i="10" s="1"/>
  <c r="CJ43" i="10" s="1"/>
  <c r="CP43" i="10" s="1"/>
  <c r="CV43" i="10" s="1"/>
  <c r="DB43" i="10" s="1"/>
  <c r="DH43" i="10" s="1"/>
  <c r="AI90" i="16"/>
  <c r="BG15" i="21"/>
  <c r="BC151" i="3"/>
  <c r="BC152" i="3" s="1"/>
  <c r="AP44" i="21"/>
  <c r="AP26" i="20"/>
  <c r="AP28" i="20" s="1"/>
  <c r="AP17" i="20"/>
  <c r="AP18" i="20" s="1"/>
  <c r="AP15" i="20"/>
  <c r="AE262" i="117"/>
  <c r="Y262" i="117"/>
  <c r="AM36" i="21"/>
  <c r="V315" i="117"/>
  <c r="W24" i="2"/>
  <c r="W25" i="2"/>
  <c r="W17" i="2"/>
  <c r="W8" i="2"/>
  <c r="W74" i="2"/>
  <c r="W75" i="2" s="1"/>
  <c r="BQ43" i="10"/>
  <c r="BW43" i="10" s="1"/>
  <c r="CC43" i="10" s="1"/>
  <c r="CI43" i="10" s="1"/>
  <c r="CO43" i="10" s="1"/>
  <c r="CU43" i="10" s="1"/>
  <c r="DA43" i="10" s="1"/>
  <c r="DG43" i="10" s="1"/>
  <c r="BR43" i="15"/>
  <c r="BX43" i="15" s="1"/>
  <c r="CD43" i="15" s="1"/>
  <c r="CJ43" i="15" s="1"/>
  <c r="CP43" i="15" s="1"/>
  <c r="CV43" i="15" s="1"/>
  <c r="DB43" i="15" s="1"/>
  <c r="DH43" i="15" s="1"/>
  <c r="BR35" i="16"/>
  <c r="BX35" i="16" s="1"/>
  <c r="CD35" i="16" s="1"/>
  <c r="CJ35" i="16" s="1"/>
  <c r="CP35" i="16" s="1"/>
  <c r="CV35" i="16" s="1"/>
  <c r="DB35" i="16" s="1"/>
  <c r="DH35" i="16" s="1"/>
  <c r="BR5" i="20"/>
  <c r="BX5" i="20" s="1"/>
  <c r="X86" i="21"/>
  <c r="AE41" i="15"/>
  <c r="Y63" i="15"/>
  <c r="Y41" i="15"/>
  <c r="AU20" i="4"/>
  <c r="AU22" i="4" s="1"/>
  <c r="BR197" i="3"/>
  <c r="BX197" i="3" s="1"/>
  <c r="CD197" i="3" s="1"/>
  <c r="CJ197" i="3" s="1"/>
  <c r="CP197" i="3" s="1"/>
  <c r="CV197" i="3" s="1"/>
  <c r="DB197" i="3" s="1"/>
  <c r="AY15" i="20"/>
  <c r="S11" i="4"/>
  <c r="Y9" i="4"/>
  <c r="J20" i="4"/>
  <c r="J40" i="21"/>
  <c r="J11" i="4"/>
  <c r="P12" i="4" s="1"/>
  <c r="K11" i="4"/>
  <c r="Q12" i="4" s="1"/>
  <c r="K40" i="21"/>
  <c r="K20" i="4"/>
  <c r="AM26" i="9"/>
  <c r="AM75" i="9"/>
  <c r="AC4" i="3"/>
  <c r="AC6" i="3" s="1"/>
  <c r="AB7" i="3"/>
  <c r="U25" i="2"/>
  <c r="AA6" i="7"/>
  <c r="AE4" i="7"/>
  <c r="AK160" i="3"/>
  <c r="P18" i="4"/>
  <c r="V18" i="4"/>
  <c r="AK134" i="21"/>
  <c r="AL134" i="21" s="1"/>
  <c r="AK106" i="15"/>
  <c r="AK107" i="15"/>
  <c r="AK104" i="15"/>
  <c r="G201" i="11"/>
  <c r="G202" i="11" s="1"/>
  <c r="G203" i="11" s="1"/>
  <c r="G113" i="14"/>
  <c r="G122" i="14"/>
  <c r="H118" i="14"/>
  <c r="L118" i="14"/>
  <c r="M118" i="14" s="1"/>
  <c r="N118" i="14" s="1"/>
  <c r="O118" i="14" s="1"/>
  <c r="P118" i="14" s="1"/>
  <c r="AH12" i="4"/>
  <c r="AB12" i="4"/>
  <c r="AO68" i="21"/>
  <c r="AQ20" i="20"/>
  <c r="AS64" i="21"/>
  <c r="H110" i="14"/>
  <c r="AD62" i="2"/>
  <c r="K95" i="14"/>
  <c r="O5" i="7"/>
  <c r="S4" i="7"/>
  <c r="Y17" i="7"/>
  <c r="Y160" i="3"/>
  <c r="AE160" i="3"/>
  <c r="F5" i="117"/>
  <c r="F7" i="117" s="1"/>
  <c r="E8" i="117"/>
  <c r="E147" i="117"/>
  <c r="M205" i="117"/>
  <c r="Q63" i="117"/>
  <c r="K200" i="117"/>
  <c r="AG12" i="20"/>
  <c r="AA12" i="4"/>
  <c r="AE43" i="4"/>
  <c r="AI40" i="4"/>
  <c r="AU54" i="4"/>
  <c r="AZ54" i="4"/>
  <c r="AU79" i="4"/>
  <c r="AZ79" i="4"/>
  <c r="I5" i="8"/>
  <c r="M4" i="8"/>
  <c r="Q16" i="117"/>
  <c r="W66" i="117"/>
  <c r="T51" i="117"/>
  <c r="W75" i="117"/>
  <c r="W77" i="117" s="1"/>
  <c r="V78" i="117"/>
  <c r="M132" i="117"/>
  <c r="R191" i="117"/>
  <c r="R225" i="117"/>
  <c r="T219" i="117"/>
  <c r="Q197" i="117"/>
  <c r="K197" i="117"/>
  <c r="N196" i="117"/>
  <c r="N194" i="117"/>
  <c r="Q200" i="117"/>
  <c r="AE6" i="4"/>
  <c r="X18" i="4"/>
  <c r="AU30" i="4"/>
  <c r="AZ30" i="4"/>
  <c r="AE46" i="4"/>
  <c r="BB54" i="4"/>
  <c r="AK63" i="4"/>
  <c r="AI64" i="4"/>
  <c r="AV104" i="4"/>
  <c r="AQ104" i="4"/>
  <c r="AQ105" i="4" s="1"/>
  <c r="E72" i="15"/>
  <c r="E69" i="15"/>
  <c r="AD72" i="15"/>
  <c r="W21" i="15"/>
  <c r="J13" i="2"/>
  <c r="J10" i="2" s="1"/>
  <c r="G62" i="117"/>
  <c r="AO36" i="117"/>
  <c r="E84" i="117"/>
  <c r="L85" i="117" s="1"/>
  <c r="X12" i="20"/>
  <c r="AD12" i="20"/>
  <c r="V12" i="4"/>
  <c r="AE12" i="4"/>
  <c r="AO88" i="4"/>
  <c r="AO89" i="4" s="1"/>
  <c r="AU91" i="4"/>
  <c r="AT88" i="4"/>
  <c r="AZ91" i="4"/>
  <c r="AY104" i="4"/>
  <c r="AE111" i="4"/>
  <c r="AN113" i="4"/>
  <c r="AN114" i="4"/>
  <c r="AT116" i="4"/>
  <c r="O8" i="15"/>
  <c r="F72" i="15"/>
  <c r="F69" i="15" s="1"/>
  <c r="L72" i="15"/>
  <c r="L69" i="15"/>
  <c r="R72" i="15"/>
  <c r="R73" i="15" s="1"/>
  <c r="AK117" i="15"/>
  <c r="AK119" i="15"/>
  <c r="AK120" i="15"/>
  <c r="AN120" i="15"/>
  <c r="D72" i="17"/>
  <c r="P72" i="17"/>
  <c r="W72" i="17"/>
  <c r="W69" i="17" s="1"/>
  <c r="W70" i="17" s="1"/>
  <c r="M38" i="17"/>
  <c r="AE38" i="17"/>
  <c r="AK38" i="17"/>
  <c r="Y38" i="17"/>
  <c r="M124" i="17"/>
  <c r="S117" i="17"/>
  <c r="M119" i="17"/>
  <c r="S120" i="17" s="1"/>
  <c r="S58" i="17"/>
  <c r="V120" i="17"/>
  <c r="AB120" i="17"/>
  <c r="Y117" i="17"/>
  <c r="Y119" i="17"/>
  <c r="C13" i="16"/>
  <c r="C10" i="16"/>
  <c r="D61" i="16"/>
  <c r="X11" i="16"/>
  <c r="AB61" i="16"/>
  <c r="AB62" i="16" s="1"/>
  <c r="AB65" i="16"/>
  <c r="AK50" i="16"/>
  <c r="M113" i="16"/>
  <c r="M108" i="16"/>
  <c r="AK90" i="16"/>
  <c r="X109" i="16"/>
  <c r="AD109" i="16"/>
  <c r="U20" i="9"/>
  <c r="U13" i="9"/>
  <c r="I72" i="9"/>
  <c r="I69" i="9" s="1"/>
  <c r="W72" i="9"/>
  <c r="AA72" i="9"/>
  <c r="AA69" i="9"/>
  <c r="AE79" i="9"/>
  <c r="AB80" i="9"/>
  <c r="AJ26" i="9"/>
  <c r="AD26" i="9"/>
  <c r="AD75" i="9"/>
  <c r="Y17" i="9"/>
  <c r="Y58" i="9"/>
  <c r="AE58" i="9"/>
  <c r="AE64" i="9"/>
  <c r="AK67" i="9"/>
  <c r="AK80" i="9"/>
  <c r="V21" i="10"/>
  <c r="W80" i="10"/>
  <c r="W83" i="10"/>
  <c r="AC84" i="10" s="1"/>
  <c r="D13" i="15"/>
  <c r="D10" i="15" s="1"/>
  <c r="P72" i="15"/>
  <c r="P69" i="15"/>
  <c r="W10" i="15"/>
  <c r="AC72" i="15"/>
  <c r="C51" i="15"/>
  <c r="AB120" i="15"/>
  <c r="W21" i="17"/>
  <c r="L72" i="17"/>
  <c r="L73" i="17" s="1"/>
  <c r="AE64" i="17"/>
  <c r="L51" i="17"/>
  <c r="AE110" i="17"/>
  <c r="AK110" i="17"/>
  <c r="AH120" i="17"/>
  <c r="AK117" i="17"/>
  <c r="AK119" i="17"/>
  <c r="AK120" i="17" s="1"/>
  <c r="E13" i="16"/>
  <c r="AA13" i="16"/>
  <c r="J65" i="16"/>
  <c r="S61" i="16"/>
  <c r="O62" i="16"/>
  <c r="X14" i="16"/>
  <c r="V65" i="16"/>
  <c r="Y64" i="16"/>
  <c r="S96" i="16"/>
  <c r="Y96" i="16"/>
  <c r="AH109" i="16"/>
  <c r="AK106" i="16"/>
  <c r="AK108" i="16"/>
  <c r="AK109" i="16" s="1"/>
  <c r="M4" i="9"/>
  <c r="M5" i="9"/>
  <c r="I5" i="9"/>
  <c r="I7" i="9" s="1"/>
  <c r="D75" i="9"/>
  <c r="F75" i="9"/>
  <c r="J80" i="9"/>
  <c r="P13" i="10"/>
  <c r="C72" i="10"/>
  <c r="C69" i="10" s="1"/>
  <c r="X72" i="10"/>
  <c r="X73" i="10" s="1"/>
  <c r="W14" i="17"/>
  <c r="AK58" i="10"/>
  <c r="X83" i="10"/>
  <c r="AD84" i="10" s="1"/>
  <c r="AG84" i="10"/>
  <c r="K62" i="7"/>
  <c r="U62" i="7"/>
  <c r="Y61" i="7"/>
  <c r="AK61" i="7"/>
  <c r="M30" i="7"/>
  <c r="AM62" i="7"/>
  <c r="P62" i="8"/>
  <c r="R62" i="8"/>
  <c r="S59" i="2"/>
  <c r="AB93" i="3"/>
  <c r="AB95" i="3"/>
  <c r="AC67" i="3"/>
  <c r="AC12" i="3"/>
  <c r="AE12" i="3"/>
  <c r="AC92" i="3"/>
  <c r="G64" i="3"/>
  <c r="D67" i="3"/>
  <c r="D70" i="3"/>
  <c r="F67" i="3"/>
  <c r="F72" i="3"/>
  <c r="I65" i="3"/>
  <c r="I67" i="3"/>
  <c r="G54" i="3"/>
  <c r="I55" i="3"/>
  <c r="C70" i="3"/>
  <c r="L67" i="3"/>
  <c r="V70" i="3"/>
  <c r="X70" i="3"/>
  <c r="E71" i="3"/>
  <c r="O95" i="3"/>
  <c r="Q184" i="3"/>
  <c r="BQ43" i="9"/>
  <c r="BW43" i="9" s="1"/>
  <c r="Y110" i="17"/>
  <c r="V13" i="16"/>
  <c r="V14" i="16" s="1"/>
  <c r="V18" i="16"/>
  <c r="AK96" i="16"/>
  <c r="AG109" i="16"/>
  <c r="I13" i="10"/>
  <c r="Y58" i="10"/>
  <c r="Y67" i="10"/>
  <c r="AC80" i="10"/>
  <c r="AJ84" i="10"/>
  <c r="AE30" i="7"/>
  <c r="AE59" i="7"/>
  <c r="AK59" i="8"/>
  <c r="D46" i="3"/>
  <c r="F59" i="3"/>
  <c r="M64" i="3"/>
  <c r="K61" i="3"/>
  <c r="M61" i="3"/>
  <c r="P92" i="3"/>
  <c r="P61" i="3"/>
  <c r="R92" i="3"/>
  <c r="R61" i="3"/>
  <c r="U59" i="3"/>
  <c r="E70" i="3"/>
  <c r="J70" i="3"/>
  <c r="O70" i="3"/>
  <c r="AE64" i="3"/>
  <c r="AL64" i="3" s="1"/>
  <c r="AL65" i="3" s="1"/>
  <c r="O71" i="3"/>
  <c r="BC71" i="3"/>
  <c r="AQ70" i="3"/>
  <c r="AQ72" i="3"/>
  <c r="P184" i="3"/>
  <c r="V43" i="7"/>
  <c r="X140" i="3"/>
  <c r="AB106" i="3"/>
  <c r="BC169" i="3"/>
  <c r="AA52" i="3"/>
  <c r="Y123" i="3"/>
  <c r="J73" i="3"/>
  <c r="BF169" i="3"/>
  <c r="AY20" i="4"/>
  <c r="AY22" i="4" s="1"/>
  <c r="AW73" i="3"/>
  <c r="AE172" i="3"/>
  <c r="S184" i="3"/>
  <c r="AH93" i="3"/>
  <c r="AI92" i="3"/>
  <c r="AI95" i="3" s="1"/>
  <c r="AI10" i="3"/>
  <c r="AI11" i="3" s="1"/>
  <c r="AJ51" i="3"/>
  <c r="W184" i="3"/>
  <c r="J73" i="15"/>
  <c r="U8" i="2"/>
  <c r="O74" i="2"/>
  <c r="U75" i="2"/>
  <c r="O17" i="2"/>
  <c r="O24" i="2"/>
  <c r="U7" i="8"/>
  <c r="Y5" i="8"/>
  <c r="O45" i="15"/>
  <c r="O34" i="15"/>
  <c r="U10" i="9"/>
  <c r="O7" i="8"/>
  <c r="L14" i="15"/>
  <c r="AN176" i="3"/>
  <c r="AN160" i="3"/>
  <c r="AW14" i="4"/>
  <c r="I186" i="11"/>
  <c r="AF228" i="117"/>
  <c r="AS146" i="21"/>
  <c r="AS147" i="21" s="1"/>
  <c r="BC21" i="21"/>
  <c r="BI70" i="21"/>
  <c r="AQ73" i="3"/>
  <c r="I72" i="3"/>
  <c r="I70" i="3"/>
  <c r="I7" i="7"/>
  <c r="X27" i="16"/>
  <c r="E69" i="10"/>
  <c r="M81" i="117"/>
  <c r="S60" i="3"/>
  <c r="S58" i="3"/>
  <c r="D45" i="15"/>
  <c r="D34" i="15"/>
  <c r="AT44" i="21"/>
  <c r="AT15" i="20"/>
  <c r="AT17" i="20"/>
  <c r="AZ18" i="20" s="1"/>
  <c r="AT18" i="20"/>
  <c r="R95" i="3"/>
  <c r="P95" i="3"/>
  <c r="V93" i="3"/>
  <c r="L72" i="3"/>
  <c r="L71" i="3"/>
  <c r="G58" i="3"/>
  <c r="G60" i="3"/>
  <c r="G67" i="3"/>
  <c r="G72" i="3" s="1"/>
  <c r="AC71" i="3"/>
  <c r="AC72" i="3"/>
  <c r="AE67" i="3"/>
  <c r="F72" i="9"/>
  <c r="D72" i="9"/>
  <c r="Y15" i="16"/>
  <c r="Y65" i="16"/>
  <c r="E10" i="16"/>
  <c r="AC73" i="15"/>
  <c r="W73" i="9"/>
  <c r="P73" i="17"/>
  <c r="BE104" i="4"/>
  <c r="AT89" i="4"/>
  <c r="AU88" i="4"/>
  <c r="AU89" i="4" s="1"/>
  <c r="BA91" i="4"/>
  <c r="AU36" i="117"/>
  <c r="BB104" i="4"/>
  <c r="AK66" i="4"/>
  <c r="AK67" i="4"/>
  <c r="AK64" i="4"/>
  <c r="BA30" i="4"/>
  <c r="Q86" i="117"/>
  <c r="BA79" i="4"/>
  <c r="BA54" i="4"/>
  <c r="F145" i="117"/>
  <c r="O7" i="7"/>
  <c r="U37" i="2"/>
  <c r="U26" i="2"/>
  <c r="AM72" i="9"/>
  <c r="AM69" i="9" s="1"/>
  <c r="Y64" i="15"/>
  <c r="AE64" i="15"/>
  <c r="W37" i="2"/>
  <c r="W26" i="2"/>
  <c r="BN168" i="3"/>
  <c r="BT35" i="2"/>
  <c r="BZ35" i="2" s="1"/>
  <c r="CF35" i="2" s="1"/>
  <c r="CL35" i="2" s="1"/>
  <c r="CR35" i="2" s="1"/>
  <c r="CX35" i="2" s="1"/>
  <c r="DD35" i="2" s="1"/>
  <c r="DJ35" i="2" s="1"/>
  <c r="BS43" i="10"/>
  <c r="BY43" i="10" s="1"/>
  <c r="CE43" i="10" s="1"/>
  <c r="CK43" i="10" s="1"/>
  <c r="CQ43" i="10" s="1"/>
  <c r="CW43" i="10" s="1"/>
  <c r="DC43" i="10" s="1"/>
  <c r="DI43" i="10" s="1"/>
  <c r="AT68" i="21"/>
  <c r="AT26" i="20"/>
  <c r="AT28" i="20"/>
  <c r="AG197" i="3"/>
  <c r="AA194" i="3"/>
  <c r="AT40" i="21"/>
  <c r="AT20" i="4"/>
  <c r="AT22" i="4" s="1"/>
  <c r="U61" i="3"/>
  <c r="R71" i="3"/>
  <c r="R72" i="3"/>
  <c r="S67" i="3"/>
  <c r="S70" i="3" s="1"/>
  <c r="F71" i="3"/>
  <c r="I34" i="10"/>
  <c r="I45" i="10"/>
  <c r="V26" i="16"/>
  <c r="V37" i="16"/>
  <c r="BC73" i="3"/>
  <c r="E61" i="3"/>
  <c r="C61" i="3"/>
  <c r="AA37" i="16"/>
  <c r="AA26" i="16"/>
  <c r="L10" i="17"/>
  <c r="AB45" i="17"/>
  <c r="AB34" i="17"/>
  <c r="V73" i="15"/>
  <c r="O45" i="10"/>
  <c r="O34" i="10"/>
  <c r="O35" i="10"/>
  <c r="AC73" i="9"/>
  <c r="AB72" i="9"/>
  <c r="U45" i="9"/>
  <c r="U34" i="9"/>
  <c r="X43" i="16"/>
  <c r="X41" i="16"/>
  <c r="J62" i="16"/>
  <c r="C37" i="16"/>
  <c r="C26" i="16"/>
  <c r="AU110" i="4"/>
  <c r="AO107" i="4"/>
  <c r="BL104" i="4"/>
  <c r="BH79" i="4"/>
  <c r="AY36" i="4"/>
  <c r="AS33" i="4"/>
  <c r="AO113" i="4"/>
  <c r="AO114" i="4" s="1"/>
  <c r="AU116" i="4"/>
  <c r="AN108" i="4"/>
  <c r="AN119" i="4"/>
  <c r="AN120" i="4" s="1"/>
  <c r="AS39" i="4"/>
  <c r="AY42" i="4"/>
  <c r="AJ34" i="4"/>
  <c r="AJ45" i="4"/>
  <c r="AJ46" i="4" s="1"/>
  <c r="X81" i="117"/>
  <c r="X88" i="117" s="1"/>
  <c r="AM83" i="4"/>
  <c r="AM94" i="4"/>
  <c r="AJ83" i="4"/>
  <c r="AS63" i="4"/>
  <c r="AY66" i="4"/>
  <c r="AS57" i="4"/>
  <c r="AY60" i="4"/>
  <c r="AJ58" i="4"/>
  <c r="AJ69" i="4"/>
  <c r="AJ70" i="4" s="1"/>
  <c r="D14" i="117"/>
  <c r="J15" i="117" s="1"/>
  <c r="Q14" i="2"/>
  <c r="K77" i="2"/>
  <c r="BT43" i="10"/>
  <c r="BZ43" i="10" s="1"/>
  <c r="CF43" i="10" s="1"/>
  <c r="CL43" i="10" s="1"/>
  <c r="CR43" i="10" s="1"/>
  <c r="CX43" i="10" s="1"/>
  <c r="DD43" i="10" s="1"/>
  <c r="DJ43" i="10" s="1"/>
  <c r="M20" i="4"/>
  <c r="AW8" i="4"/>
  <c r="AQ9" i="20"/>
  <c r="AQ11" i="20"/>
  <c r="AQ12" i="20" s="1"/>
  <c r="AW8" i="20"/>
  <c r="AY21" i="4"/>
  <c r="AA183" i="3"/>
  <c r="U184" i="3"/>
  <c r="AV183" i="3"/>
  <c r="BB19" i="21"/>
  <c r="AB183" i="3"/>
  <c r="V184" i="3"/>
  <c r="I10" i="10"/>
  <c r="V10" i="16"/>
  <c r="S92" i="3"/>
  <c r="S95" i="3" s="1"/>
  <c r="X73" i="3"/>
  <c r="L70" i="3"/>
  <c r="C73" i="3"/>
  <c r="G59" i="3"/>
  <c r="M65" i="3"/>
  <c r="I71" i="3"/>
  <c r="F70" i="3"/>
  <c r="F73" i="3" s="1"/>
  <c r="D71" i="3"/>
  <c r="D72" i="3"/>
  <c r="AC93" i="3"/>
  <c r="AC95" i="3"/>
  <c r="AC96" i="3" s="1"/>
  <c r="AC70" i="3"/>
  <c r="AE92" i="3"/>
  <c r="Y10" i="7"/>
  <c r="Y13" i="7"/>
  <c r="X69" i="10"/>
  <c r="I73" i="10"/>
  <c r="P10" i="10"/>
  <c r="AA10" i="16"/>
  <c r="L69" i="17"/>
  <c r="L70" i="17" s="1"/>
  <c r="AC69" i="15"/>
  <c r="P73" i="15"/>
  <c r="AD72" i="9"/>
  <c r="AE72" i="9"/>
  <c r="W69" i="9"/>
  <c r="Y120" i="17"/>
  <c r="AE120" i="17"/>
  <c r="W73" i="17"/>
  <c r="P69" i="17"/>
  <c r="D69" i="17"/>
  <c r="R69" i="15"/>
  <c r="R70" i="15" s="1"/>
  <c r="L73" i="15"/>
  <c r="AT113" i="4"/>
  <c r="AT114" i="4" s="1"/>
  <c r="AZ116" i="4"/>
  <c r="AZ88" i="4"/>
  <c r="BF91" i="4"/>
  <c r="G202" i="117"/>
  <c r="G208" i="117" s="1"/>
  <c r="M63" i="117"/>
  <c r="AD69" i="15"/>
  <c r="BH54" i="4"/>
  <c r="AW30" i="4"/>
  <c r="AW31" i="4" s="1"/>
  <c r="BF30" i="4"/>
  <c r="N197" i="117"/>
  <c r="M133" i="117"/>
  <c r="M202" i="117"/>
  <c r="V79" i="117"/>
  <c r="V95" i="117"/>
  <c r="V88" i="117"/>
  <c r="I7" i="8"/>
  <c r="M5" i="8"/>
  <c r="BF79" i="4"/>
  <c r="AW79" i="4"/>
  <c r="BF54" i="4"/>
  <c r="AW54" i="4"/>
  <c r="AK39" i="4"/>
  <c r="E18" i="117"/>
  <c r="E25" i="117"/>
  <c r="M97" i="14"/>
  <c r="AQ23" i="20"/>
  <c r="AQ24" i="20" s="1"/>
  <c r="AQ21" i="20"/>
  <c r="H246" i="11"/>
  <c r="AQ68" i="21"/>
  <c r="G125" i="14"/>
  <c r="G126" i="14"/>
  <c r="AB4" i="7"/>
  <c r="AB6" i="7" s="1"/>
  <c r="AA7" i="7"/>
  <c r="AB80" i="3"/>
  <c r="AB83" i="3" s="1"/>
  <c r="BQ35" i="8"/>
  <c r="BW35" i="8" s="1"/>
  <c r="CC35" i="8" s="1"/>
  <c r="CI35" i="8" s="1"/>
  <c r="CO35" i="8" s="1"/>
  <c r="CU35" i="8" s="1"/>
  <c r="DA35" i="8" s="1"/>
  <c r="DG35" i="8" s="1"/>
  <c r="AU64" i="21"/>
  <c r="W13" i="2"/>
  <c r="BS35" i="16"/>
  <c r="BY35" i="16" s="1"/>
  <c r="CE35" i="16" s="1"/>
  <c r="CK35" i="16" s="1"/>
  <c r="CQ35" i="16" s="1"/>
  <c r="CW35" i="16" s="1"/>
  <c r="DC35" i="16" s="1"/>
  <c r="DI35" i="16" s="1"/>
  <c r="AH197" i="3"/>
  <c r="AN198" i="3" s="1"/>
  <c r="BC5" i="20"/>
  <c r="BC6" i="20"/>
  <c r="Y117" i="3"/>
  <c r="U118" i="3"/>
  <c r="U120" i="3"/>
  <c r="U70" i="3"/>
  <c r="U72" i="3"/>
  <c r="R70" i="3"/>
  <c r="R73" i="3"/>
  <c r="P72" i="3"/>
  <c r="P71" i="3"/>
  <c r="P70" i="3"/>
  <c r="K72" i="3"/>
  <c r="K71" i="3"/>
  <c r="F61" i="3"/>
  <c r="G71" i="3"/>
  <c r="V120" i="3"/>
  <c r="W93" i="3"/>
  <c r="Q95" i="3"/>
  <c r="Q72" i="3"/>
  <c r="Q71" i="3"/>
  <c r="U96" i="3"/>
  <c r="AA96" i="3"/>
  <c r="AA84" i="3"/>
  <c r="C45" i="10"/>
  <c r="C34" i="10"/>
  <c r="J73" i="17"/>
  <c r="V69" i="15"/>
  <c r="J69" i="15"/>
  <c r="J70" i="15" s="1"/>
  <c r="AC69" i="9"/>
  <c r="W10" i="9"/>
  <c r="AH62" i="16"/>
  <c r="S15" i="16"/>
  <c r="L10" i="15"/>
  <c r="L11" i="15" s="1"/>
  <c r="AV113" i="4"/>
  <c r="AV114" i="4"/>
  <c r="BB116" i="4"/>
  <c r="AI108" i="4"/>
  <c r="AI119" i="4"/>
  <c r="AP39" i="4"/>
  <c r="AP40" i="4"/>
  <c r="AV42" i="4"/>
  <c r="AM34" i="4"/>
  <c r="AM45" i="4"/>
  <c r="AE12" i="20"/>
  <c r="E81" i="117"/>
  <c r="D208" i="117"/>
  <c r="G72" i="15"/>
  <c r="G13" i="15" s="1"/>
  <c r="G15" i="15" s="1"/>
  <c r="I33" i="15"/>
  <c r="AI114" i="4"/>
  <c r="AK113" i="4"/>
  <c r="AZ110" i="4"/>
  <c r="AT107" i="4"/>
  <c r="BB88" i="4"/>
  <c r="BB89" i="4" s="1"/>
  <c r="BH91" i="4"/>
  <c r="AZ63" i="4"/>
  <c r="AZ64" i="4"/>
  <c r="BF66" i="4"/>
  <c r="AU63" i="4"/>
  <c r="AU64" i="4" s="1"/>
  <c r="BA66" i="4"/>
  <c r="AM40" i="4"/>
  <c r="AV36" i="4"/>
  <c r="AP33" i="4"/>
  <c r="BK30" i="4"/>
  <c r="P96" i="117"/>
  <c r="AS82" i="4"/>
  <c r="AY85" i="4"/>
  <c r="AV85" i="4"/>
  <c r="AP82" i="4"/>
  <c r="AM64" i="4"/>
  <c r="AP63" i="4"/>
  <c r="AP64" i="4"/>
  <c r="AV66" i="4"/>
  <c r="AM58" i="4"/>
  <c r="AM69" i="4"/>
  <c r="AV60" i="4"/>
  <c r="AP57" i="4"/>
  <c r="BH30" i="4"/>
  <c r="Y12" i="4"/>
  <c r="T191" i="117"/>
  <c r="T225" i="117"/>
  <c r="D26" i="117"/>
  <c r="AC16" i="3"/>
  <c r="AC104" i="3" s="1"/>
  <c r="AC106" i="3" s="1"/>
  <c r="AB17" i="3"/>
  <c r="M191" i="3"/>
  <c r="S191" i="3"/>
  <c r="M105" i="14"/>
  <c r="N105" i="14" s="1"/>
  <c r="O105" i="14" s="1"/>
  <c r="P105" i="14" s="1"/>
  <c r="Q105" i="14" s="1"/>
  <c r="R105" i="14" s="1"/>
  <c r="S105" i="14" s="1"/>
  <c r="T105" i="14" s="1"/>
  <c r="AV68" i="21"/>
  <c r="AU68" i="21"/>
  <c r="AU21" i="20"/>
  <c r="S18" i="4"/>
  <c r="AI7" i="21"/>
  <c r="AI194" i="3"/>
  <c r="J103" i="14"/>
  <c r="U10" i="2"/>
  <c r="U77" i="2"/>
  <c r="AQ8" i="4"/>
  <c r="AP40" i="21"/>
  <c r="AP9" i="4"/>
  <c r="AP20" i="4"/>
  <c r="AP21" i="4" s="1"/>
  <c r="AO44" i="21"/>
  <c r="AO15" i="20"/>
  <c r="AO17" i="20"/>
  <c r="AO18" i="20" s="1"/>
  <c r="AQ14" i="20"/>
  <c r="AO26" i="20"/>
  <c r="BS43" i="9"/>
  <c r="BY43" i="9" s="1"/>
  <c r="CE43" i="9" s="1"/>
  <c r="CK43" i="9" s="1"/>
  <c r="CQ43" i="9" s="1"/>
  <c r="CW43" i="9" s="1"/>
  <c r="DC43" i="9" s="1"/>
  <c r="DI43" i="9" s="1"/>
  <c r="BE44" i="21"/>
  <c r="AQ15" i="4"/>
  <c r="AQ17" i="4"/>
  <c r="H186" i="11"/>
  <c r="BS43" i="17"/>
  <c r="BY43" i="17" s="1"/>
  <c r="CE43" i="17" s="1"/>
  <c r="CK43" i="17" s="1"/>
  <c r="CQ43" i="17" s="1"/>
  <c r="CW43" i="17" s="1"/>
  <c r="DC43" i="17" s="1"/>
  <c r="DI43" i="17" s="1"/>
  <c r="BR35" i="7"/>
  <c r="BX35" i="7" s="1"/>
  <c r="CD35" i="7" s="1"/>
  <c r="CJ35" i="7" s="1"/>
  <c r="CP35" i="7" s="1"/>
  <c r="CV35" i="7" s="1"/>
  <c r="DB35" i="7" s="1"/>
  <c r="DH35" i="7" s="1"/>
  <c r="AP147" i="21"/>
  <c r="Y181" i="3"/>
  <c r="Y183" i="3"/>
  <c r="Y184" i="3"/>
  <c r="AS21" i="4"/>
  <c r="AV44" i="21"/>
  <c r="AV15" i="20"/>
  <c r="AV17" i="20"/>
  <c r="AV18" i="20"/>
  <c r="AV28" i="20"/>
  <c r="AB52" i="3"/>
  <c r="AA123" i="3"/>
  <c r="AA117" i="3"/>
  <c r="I73" i="3"/>
  <c r="AI93" i="3"/>
  <c r="AJ92" i="3"/>
  <c r="AJ10" i="3"/>
  <c r="AJ11" i="3"/>
  <c r="AK51" i="3"/>
  <c r="D73" i="3"/>
  <c r="N97" i="14"/>
  <c r="AN7" i="21"/>
  <c r="AN194" i="3"/>
  <c r="AN56" i="21" s="1"/>
  <c r="AD69" i="9"/>
  <c r="O24" i="8"/>
  <c r="O17" i="8"/>
  <c r="U17" i="8"/>
  <c r="U8" i="8"/>
  <c r="U24" i="8"/>
  <c r="O25" i="2"/>
  <c r="O48" i="15"/>
  <c r="M85" i="14"/>
  <c r="N85" i="14" s="1"/>
  <c r="O85" i="14" s="1"/>
  <c r="P85" i="14" s="1"/>
  <c r="Q85" i="14" s="1"/>
  <c r="R85" i="14" s="1"/>
  <c r="S85" i="14" s="1"/>
  <c r="T85" i="14" s="1"/>
  <c r="O13" i="2"/>
  <c r="O10" i="2"/>
  <c r="O77" i="2"/>
  <c r="U78" i="2" s="1"/>
  <c r="U80" i="2" s="1"/>
  <c r="AW17" i="4"/>
  <c r="AW18" i="4" s="1"/>
  <c r="AW15" i="4"/>
  <c r="BI21" i="21"/>
  <c r="AS148" i="21"/>
  <c r="AY146" i="21"/>
  <c r="AQ20" i="4"/>
  <c r="P70" i="15"/>
  <c r="D48" i="15"/>
  <c r="AZ44" i="21"/>
  <c r="AQ63" i="4"/>
  <c r="Q73" i="3"/>
  <c r="W10" i="2"/>
  <c r="W77" i="2"/>
  <c r="D11" i="117"/>
  <c r="BR8" i="20"/>
  <c r="BX8" i="20" s="1"/>
  <c r="CD8" i="20" s="1"/>
  <c r="CJ8" i="20" s="1"/>
  <c r="CP8" i="20" s="1"/>
  <c r="CV8" i="20" s="1"/>
  <c r="DB8" i="20" s="1"/>
  <c r="DH8" i="20" s="1"/>
  <c r="I17" i="7"/>
  <c r="I24" i="7"/>
  <c r="I8" i="7"/>
  <c r="AQ26" i="20"/>
  <c r="AQ30" i="20" s="1"/>
  <c r="AQ27" i="20"/>
  <c r="AO28" i="20"/>
  <c r="AQ9" i="4"/>
  <c r="AQ11" i="4"/>
  <c r="AQ12" i="4"/>
  <c r="H185" i="11"/>
  <c r="H187" i="11" s="1"/>
  <c r="H188" i="11" s="1"/>
  <c r="J110" i="14"/>
  <c r="BB60" i="4"/>
  <c r="AV57" i="4"/>
  <c r="AV63" i="4"/>
  <c r="AV64" i="4"/>
  <c r="BB66" i="4"/>
  <c r="AQ64" i="4"/>
  <c r="AQ66" i="4"/>
  <c r="AQ67" i="4"/>
  <c r="AP83" i="4"/>
  <c r="AP94" i="4"/>
  <c r="BE85" i="4"/>
  <c r="AY82" i="4"/>
  <c r="BQ30" i="4"/>
  <c r="BB36" i="4"/>
  <c r="AV33" i="4"/>
  <c r="BF110" i="4"/>
  <c r="AZ107" i="4"/>
  <c r="I45" i="15"/>
  <c r="I34" i="15"/>
  <c r="AV39" i="4"/>
  <c r="AV40" i="4"/>
  <c r="BB42" i="4"/>
  <c r="BB113" i="4"/>
  <c r="BB114" i="4"/>
  <c r="BH116" i="4"/>
  <c r="V70" i="15"/>
  <c r="U121" i="3"/>
  <c r="Y120" i="3"/>
  <c r="AZ26" i="20"/>
  <c r="AZ33" i="20" s="1"/>
  <c r="AZ68" i="21"/>
  <c r="BR43" i="17"/>
  <c r="BX43" i="17" s="1"/>
  <c r="CD43" i="17" s="1"/>
  <c r="CJ43" i="17" s="1"/>
  <c r="CP43" i="17" s="1"/>
  <c r="CV43" i="17" s="1"/>
  <c r="DB43" i="17" s="1"/>
  <c r="DH43" i="17" s="1"/>
  <c r="BR35" i="8"/>
  <c r="BX35" i="8" s="1"/>
  <c r="CD35" i="8" s="1"/>
  <c r="CJ35" i="8" s="1"/>
  <c r="CP35" i="8" s="1"/>
  <c r="CV35" i="8" s="1"/>
  <c r="DB35" i="8" s="1"/>
  <c r="DH35" i="8" s="1"/>
  <c r="BQ35" i="7"/>
  <c r="BW35" i="7" s="1"/>
  <c r="CC35" i="7" s="1"/>
  <c r="CI35" i="7" s="1"/>
  <c r="CO35" i="7" s="1"/>
  <c r="CU35" i="7" s="1"/>
  <c r="DA35" i="7" s="1"/>
  <c r="DG35" i="7" s="1"/>
  <c r="BT35" i="16"/>
  <c r="BZ35" i="16" s="1"/>
  <c r="CF35" i="16" s="1"/>
  <c r="CL35" i="16" s="1"/>
  <c r="CR35" i="16" s="1"/>
  <c r="CX35" i="16" s="1"/>
  <c r="DD35" i="16" s="1"/>
  <c r="DJ35" i="16" s="1"/>
  <c r="AA17" i="7"/>
  <c r="AA8" i="7"/>
  <c r="AA24" i="7"/>
  <c r="AC4" i="7"/>
  <c r="AC6" i="7" s="1"/>
  <c r="AB7" i="7"/>
  <c r="BQ43" i="15"/>
  <c r="BW43" i="15" s="1"/>
  <c r="CC43" i="15" s="1"/>
  <c r="CI43" i="15" s="1"/>
  <c r="CO43" i="15" s="1"/>
  <c r="CU43" i="15" s="1"/>
  <c r="DA43" i="15" s="1"/>
  <c r="DG43" i="15" s="1"/>
  <c r="E165" i="117"/>
  <c r="E26" i="117"/>
  <c r="I17" i="8"/>
  <c r="M7" i="8"/>
  <c r="O8" i="8"/>
  <c r="I8" i="8"/>
  <c r="I24" i="8"/>
  <c r="V89" i="117"/>
  <c r="M208" i="117"/>
  <c r="M156" i="117"/>
  <c r="M203" i="117"/>
  <c r="BN54" i="4"/>
  <c r="BF88" i="4"/>
  <c r="BL91" i="4"/>
  <c r="W70" i="9"/>
  <c r="AD70" i="9"/>
  <c r="AJ70" i="9"/>
  <c r="AC70" i="15"/>
  <c r="AE95" i="3"/>
  <c r="V11" i="16"/>
  <c r="BR43" i="9"/>
  <c r="BX43" i="9" s="1"/>
  <c r="CD43" i="9" s="1"/>
  <c r="CJ43" i="9" s="1"/>
  <c r="CP43" i="9" s="1"/>
  <c r="CV43" i="9" s="1"/>
  <c r="DB43" i="9" s="1"/>
  <c r="DH43" i="9" s="1"/>
  <c r="AH183" i="3"/>
  <c r="BB28" i="20"/>
  <c r="BB44" i="21"/>
  <c r="BB17" i="20"/>
  <c r="BB18" i="20"/>
  <c r="AW11" i="20"/>
  <c r="AW12" i="20" s="1"/>
  <c r="AW9" i="20"/>
  <c r="BC8" i="4"/>
  <c r="BD8" i="4" s="1"/>
  <c r="BE60" i="4"/>
  <c r="AY57" i="4"/>
  <c r="AY63" i="4"/>
  <c r="BE66" i="4"/>
  <c r="AM95" i="4"/>
  <c r="AS40" i="4"/>
  <c r="AS45" i="4"/>
  <c r="AS34" i="4"/>
  <c r="AO119" i="4"/>
  <c r="AO108" i="4"/>
  <c r="AB73" i="9"/>
  <c r="AH73" i="9"/>
  <c r="AA40" i="16"/>
  <c r="V40" i="16"/>
  <c r="I35" i="10"/>
  <c r="AA56" i="21"/>
  <c r="AA195" i="3"/>
  <c r="BA64" i="21"/>
  <c r="BC14" i="4"/>
  <c r="J186" i="11" s="1"/>
  <c r="BA20" i="4"/>
  <c r="Y15" i="7"/>
  <c r="BG30" i="4"/>
  <c r="BH104" i="4"/>
  <c r="BA88" i="4"/>
  <c r="BA89" i="4" s="1"/>
  <c r="BG91" i="4"/>
  <c r="BK104" i="4"/>
  <c r="AE72" i="3"/>
  <c r="AE71" i="3"/>
  <c r="BT43" i="17"/>
  <c r="BZ43" i="17" s="1"/>
  <c r="CF43" i="17" s="1"/>
  <c r="CL43" i="17" s="1"/>
  <c r="CR43" i="17" s="1"/>
  <c r="CX43" i="17" s="1"/>
  <c r="DD43" i="17" s="1"/>
  <c r="DJ43" i="17" s="1"/>
  <c r="AQ15" i="20"/>
  <c r="AQ17" i="20"/>
  <c r="AQ18" i="20" s="1"/>
  <c r="H245" i="11"/>
  <c r="H247" i="11" s="1"/>
  <c r="H248" i="11" s="1"/>
  <c r="AI56" i="21"/>
  <c r="AD16" i="3"/>
  <c r="AD104" i="3"/>
  <c r="AC17" i="3"/>
  <c r="D38" i="117"/>
  <c r="D27" i="117"/>
  <c r="BN30" i="4"/>
  <c r="AP69" i="4"/>
  <c r="AP70" i="4" s="1"/>
  <c r="AP58" i="4"/>
  <c r="AM70" i="4"/>
  <c r="BB85" i="4"/>
  <c r="AV82" i="4"/>
  <c r="AS83" i="4"/>
  <c r="P97" i="117"/>
  <c r="P108" i="117"/>
  <c r="BC30" i="4"/>
  <c r="BC31" i="4" s="1"/>
  <c r="AP45" i="4"/>
  <c r="AP46" i="4"/>
  <c r="AP34" i="4"/>
  <c r="BA63" i="4"/>
  <c r="BA64" i="4" s="1"/>
  <c r="BG66" i="4"/>
  <c r="BF63" i="4"/>
  <c r="BF64" i="4"/>
  <c r="BL66" i="4"/>
  <c r="BH88" i="4"/>
  <c r="BH89" i="4"/>
  <c r="BN91" i="4"/>
  <c r="AT119" i="4"/>
  <c r="AT120" i="4" s="1"/>
  <c r="AT108" i="4"/>
  <c r="AK114" i="4"/>
  <c r="AK116" i="4"/>
  <c r="AK117" i="4" s="1"/>
  <c r="AM46" i="4"/>
  <c r="AC70" i="9"/>
  <c r="C48" i="10"/>
  <c r="P73" i="3"/>
  <c r="U73" i="3"/>
  <c r="AZ40" i="21"/>
  <c r="AZ9" i="4"/>
  <c r="AZ20" i="4"/>
  <c r="AZ22" i="4" s="1"/>
  <c r="AI96" i="3"/>
  <c r="E14" i="117"/>
  <c r="L15" i="117" s="1"/>
  <c r="AK40" i="4"/>
  <c r="AK42" i="4"/>
  <c r="AK43" i="4"/>
  <c r="BL54" i="4"/>
  <c r="BL79" i="4"/>
  <c r="V96" i="117"/>
  <c r="BL30" i="4"/>
  <c r="AZ89" i="4"/>
  <c r="AZ113" i="4"/>
  <c r="AZ114" i="4" s="1"/>
  <c r="BF116" i="4"/>
  <c r="P70" i="17"/>
  <c r="AD73" i="9"/>
  <c r="AJ73" i="9"/>
  <c r="AC73" i="3"/>
  <c r="L73" i="3"/>
  <c r="BB68" i="21"/>
  <c r="BH19" i="21"/>
  <c r="BN19" i="21"/>
  <c r="BB183" i="3"/>
  <c r="I185" i="11"/>
  <c r="AW11" i="4"/>
  <c r="AW9" i="4"/>
  <c r="AG183" i="3"/>
  <c r="AA180" i="3"/>
  <c r="AU44" i="21"/>
  <c r="AU26" i="20"/>
  <c r="AU28" i="20"/>
  <c r="AU15" i="20"/>
  <c r="AU17" i="20"/>
  <c r="AU18" i="20" s="1"/>
  <c r="AW14" i="20"/>
  <c r="AV40" i="21"/>
  <c r="AV9" i="4"/>
  <c r="AV20" i="4"/>
  <c r="AV22" i="4"/>
  <c r="BA68" i="21"/>
  <c r="BA21" i="20"/>
  <c r="AS69" i="4"/>
  <c r="AS58" i="4"/>
  <c r="AW63" i="4"/>
  <c r="AS64" i="4"/>
  <c r="X89" i="117"/>
  <c r="X86" i="117"/>
  <c r="AY39" i="4"/>
  <c r="BE42" i="4"/>
  <c r="AU113" i="4"/>
  <c r="AU114" i="4"/>
  <c r="BA116" i="4"/>
  <c r="D156" i="117"/>
  <c r="BE36" i="4"/>
  <c r="AY33" i="4"/>
  <c r="BN79" i="4"/>
  <c r="BR104" i="4"/>
  <c r="BA110" i="4"/>
  <c r="AU107" i="4"/>
  <c r="C40" i="16"/>
  <c r="U48" i="9"/>
  <c r="AB69" i="9"/>
  <c r="O48" i="10"/>
  <c r="O46" i="10"/>
  <c r="AB48" i="17"/>
  <c r="J70" i="17"/>
  <c r="I46" i="10"/>
  <c r="I48" i="10"/>
  <c r="S71" i="3"/>
  <c r="S72" i="3"/>
  <c r="AG194" i="3"/>
  <c r="AM197" i="3"/>
  <c r="BT151" i="3"/>
  <c r="BT168" i="3" s="1"/>
  <c r="W40" i="2"/>
  <c r="AO146" i="21"/>
  <c r="AO158" i="21" s="1"/>
  <c r="AM73" i="9"/>
  <c r="U40" i="2"/>
  <c r="BS43" i="15"/>
  <c r="BY43" i="15" s="1"/>
  <c r="CE43" i="15" s="1"/>
  <c r="CK43" i="15" s="1"/>
  <c r="CQ43" i="15" s="1"/>
  <c r="CW43" i="15" s="1"/>
  <c r="DC43" i="15" s="1"/>
  <c r="DI43" i="15" s="1"/>
  <c r="BT35" i="7"/>
  <c r="BZ35" i="7" s="1"/>
  <c r="CF35" i="7" s="1"/>
  <c r="CL35" i="7" s="1"/>
  <c r="CR35" i="7" s="1"/>
  <c r="CX35" i="7" s="1"/>
  <c r="DD35" i="7" s="1"/>
  <c r="DJ35" i="7" s="1"/>
  <c r="O17" i="7"/>
  <c r="U8" i="7"/>
  <c r="O8" i="7"/>
  <c r="O24" i="7"/>
  <c r="BG54" i="4"/>
  <c r="BG79" i="4"/>
  <c r="Q135" i="117"/>
  <c r="Q205" i="117" s="1"/>
  <c r="BA36" i="117"/>
  <c r="D69" i="9"/>
  <c r="F69" i="9"/>
  <c r="G70" i="3"/>
  <c r="G73" i="3"/>
  <c r="G61" i="3"/>
  <c r="M67" i="3"/>
  <c r="M72" i="3" s="1"/>
  <c r="M73" i="3" s="1"/>
  <c r="AE70" i="3"/>
  <c r="AD106" i="3"/>
  <c r="AE104" i="3"/>
  <c r="AE106" i="3"/>
  <c r="AA134" i="3"/>
  <c r="AC52" i="3"/>
  <c r="AB123" i="3"/>
  <c r="AB134" i="3" s="1"/>
  <c r="AB117" i="3"/>
  <c r="AA120" i="3"/>
  <c r="AA121" i="3"/>
  <c r="AA118" i="3"/>
  <c r="BA21" i="4"/>
  <c r="BA22" i="4"/>
  <c r="AM51" i="3"/>
  <c r="AK10" i="3"/>
  <c r="AK11" i="3"/>
  <c r="AJ95" i="3"/>
  <c r="AJ96" i="3" s="1"/>
  <c r="AJ93" i="3"/>
  <c r="AK92" i="3"/>
  <c r="O97" i="14"/>
  <c r="O51" i="15"/>
  <c r="U25" i="8"/>
  <c r="O25" i="8"/>
  <c r="O37" i="2"/>
  <c r="O26" i="2"/>
  <c r="M87" i="14"/>
  <c r="N87" i="14" s="1"/>
  <c r="O87" i="14" s="1"/>
  <c r="P87" i="14" s="1"/>
  <c r="Q87" i="14" s="1"/>
  <c r="R87" i="14" s="1"/>
  <c r="S87" i="14" s="1"/>
  <c r="T87" i="14" s="1"/>
  <c r="U13" i="8"/>
  <c r="U18" i="8"/>
  <c r="O13" i="8"/>
  <c r="U14" i="8" s="1"/>
  <c r="AW12" i="4"/>
  <c r="BZ151" i="3"/>
  <c r="BZ168" i="3" s="1"/>
  <c r="S73" i="3"/>
  <c r="E11" i="117"/>
  <c r="I13" i="7"/>
  <c r="I25" i="7"/>
  <c r="BF44" i="21"/>
  <c r="BF17" i="20"/>
  <c r="D51" i="15"/>
  <c r="M70" i="3"/>
  <c r="Q136" i="117"/>
  <c r="Q132" i="117"/>
  <c r="O25" i="7"/>
  <c r="AQ146" i="21"/>
  <c r="AO148" i="21"/>
  <c r="AG56" i="21"/>
  <c r="AG195" i="3"/>
  <c r="I49" i="10"/>
  <c r="I51" i="10"/>
  <c r="O51" i="10"/>
  <c r="O52" i="10"/>
  <c r="O49" i="10"/>
  <c r="AH70" i="9"/>
  <c r="AE69" i="9"/>
  <c r="C43" i="16"/>
  <c r="AU108" i="4"/>
  <c r="AU119" i="4"/>
  <c r="BT79" i="4"/>
  <c r="BK36" i="4"/>
  <c r="BE33" i="4"/>
  <c r="BG116" i="4"/>
  <c r="BE39" i="4"/>
  <c r="BK42" i="4"/>
  <c r="AW64" i="4"/>
  <c r="AW66" i="4"/>
  <c r="AW67" i="4"/>
  <c r="AS70" i="4"/>
  <c r="AV21" i="4"/>
  <c r="AW20" i="4"/>
  <c r="AW21" i="4" s="1"/>
  <c r="AA181" i="3"/>
  <c r="AA187" i="3"/>
  <c r="BH44" i="21"/>
  <c r="BH17" i="20"/>
  <c r="BH26" i="20"/>
  <c r="BH33" i="20" s="1"/>
  <c r="BH34" i="20" s="1"/>
  <c r="BF113" i="4"/>
  <c r="BF114" i="4" s="1"/>
  <c r="BL116" i="4"/>
  <c r="V108" i="117"/>
  <c r="V97" i="117"/>
  <c r="V98" i="117"/>
  <c r="BR79" i="4"/>
  <c r="BR54" i="4"/>
  <c r="BR23" i="20"/>
  <c r="BX23" i="20" s="1"/>
  <c r="CD23" i="20" s="1"/>
  <c r="CJ23" i="20" s="1"/>
  <c r="CP23" i="20" s="1"/>
  <c r="CV23" i="20" s="1"/>
  <c r="DB23" i="20" s="1"/>
  <c r="DH23" i="20" s="1"/>
  <c r="AZ21" i="4"/>
  <c r="C51" i="10"/>
  <c r="BN88" i="4"/>
  <c r="BN89" i="4" s="1"/>
  <c r="BT91" i="4"/>
  <c r="BL63" i="4"/>
  <c r="BL64" i="4"/>
  <c r="BR66" i="4"/>
  <c r="BG63" i="4"/>
  <c r="BG64" i="4" s="1"/>
  <c r="BM66" i="4"/>
  <c r="P111" i="117"/>
  <c r="AV83" i="4"/>
  <c r="AV94" i="4"/>
  <c r="AE16" i="3"/>
  <c r="AD17" i="3"/>
  <c r="BQ104" i="4"/>
  <c r="BG88" i="4"/>
  <c r="BG89" i="4" s="1"/>
  <c r="BM91" i="4"/>
  <c r="AS46" i="4"/>
  <c r="BK66" i="4"/>
  <c r="AY58" i="4"/>
  <c r="AY69" i="4"/>
  <c r="BT11" i="4"/>
  <c r="BZ11" i="4" s="1"/>
  <c r="CF11" i="4" s="1"/>
  <c r="BS8" i="20"/>
  <c r="BQ100" i="17"/>
  <c r="BW100" i="17" s="1"/>
  <c r="CC100" i="17" s="1"/>
  <c r="CI100" i="17" s="1"/>
  <c r="CO100" i="17" s="1"/>
  <c r="CU100" i="17" s="1"/>
  <c r="DA100" i="17" s="1"/>
  <c r="DG100" i="17" s="1"/>
  <c r="AN183" i="3"/>
  <c r="AH180" i="3"/>
  <c r="M71" i="3"/>
  <c r="BF89" i="4"/>
  <c r="BT54" i="4"/>
  <c r="I25" i="8"/>
  <c r="I13" i="8"/>
  <c r="O18" i="8"/>
  <c r="E27" i="117"/>
  <c r="E38" i="117"/>
  <c r="AB17" i="7"/>
  <c r="AB8" i="7"/>
  <c r="AB24" i="7"/>
  <c r="AB25" i="7"/>
  <c r="AA25" i="7"/>
  <c r="AA18" i="7"/>
  <c r="AA13" i="7"/>
  <c r="I35" i="15"/>
  <c r="O35" i="15"/>
  <c r="BL110" i="4"/>
  <c r="BF107" i="4"/>
  <c r="BH36" i="4"/>
  <c r="BB33" i="4"/>
  <c r="BK85" i="4"/>
  <c r="BH60" i="4"/>
  <c r="BB57" i="4"/>
  <c r="M107" i="14"/>
  <c r="N107" i="14" s="1"/>
  <c r="O107" i="14" s="1"/>
  <c r="P107" i="14" s="1"/>
  <c r="Q107" i="14" s="1"/>
  <c r="R107" i="14" s="1"/>
  <c r="S107" i="14" s="1"/>
  <c r="T107" i="14" s="1"/>
  <c r="AE73" i="3"/>
  <c r="BM79" i="4"/>
  <c r="BM54" i="4"/>
  <c r="O18" i="7"/>
  <c r="O13" i="7"/>
  <c r="U18" i="7"/>
  <c r="U43" i="2"/>
  <c r="W43" i="2"/>
  <c r="AS197" i="3"/>
  <c r="AB51" i="17"/>
  <c r="U51" i="9"/>
  <c r="BG110" i="4"/>
  <c r="AY34" i="4"/>
  <c r="AY45" i="4"/>
  <c r="AY40" i="4"/>
  <c r="I245" i="11"/>
  <c r="AW17" i="20"/>
  <c r="AW18" i="20" s="1"/>
  <c r="AW15" i="20"/>
  <c r="AO90" i="21"/>
  <c r="AO95" i="15"/>
  <c r="AM183" i="3"/>
  <c r="AG180" i="3"/>
  <c r="BH68" i="21"/>
  <c r="BR30" i="4"/>
  <c r="BC9" i="4"/>
  <c r="J185" i="11"/>
  <c r="BH85" i="4"/>
  <c r="BB82" i="4"/>
  <c r="BT30" i="4"/>
  <c r="D41" i="117"/>
  <c r="BN104" i="4"/>
  <c r="BM30" i="4"/>
  <c r="BI30" i="4"/>
  <c r="BI31" i="4" s="1"/>
  <c r="BC15" i="4"/>
  <c r="BQ100" i="15"/>
  <c r="BW100" i="15" s="1"/>
  <c r="CC100" i="15" s="1"/>
  <c r="CI100" i="15" s="1"/>
  <c r="CO100" i="15" s="1"/>
  <c r="CU100" i="15" s="1"/>
  <c r="DA100" i="15" s="1"/>
  <c r="DG100" i="15" s="1"/>
  <c r="V43" i="16"/>
  <c r="AA43" i="16"/>
  <c r="AY64" i="4"/>
  <c r="BK60" i="4"/>
  <c r="BB40" i="21"/>
  <c r="BB20" i="4"/>
  <c r="BA44" i="21"/>
  <c r="BA15" i="20"/>
  <c r="BA17" i="20"/>
  <c r="BA18" i="20" s="1"/>
  <c r="BA26" i="20"/>
  <c r="BA33" i="20" s="1"/>
  <c r="BC14" i="20"/>
  <c r="BC13" i="20" s="1"/>
  <c r="AP106" i="15"/>
  <c r="BL88" i="4"/>
  <c r="BR91" i="4"/>
  <c r="BR88" i="4" s="1"/>
  <c r="BR89" i="4" s="1"/>
  <c r="M17" i="8"/>
  <c r="M10" i="8"/>
  <c r="BH113" i="4"/>
  <c r="BH114" i="4"/>
  <c r="BN116" i="4"/>
  <c r="BB39" i="4"/>
  <c r="BB40" i="4" s="1"/>
  <c r="BH42" i="4"/>
  <c r="I46" i="15"/>
  <c r="I48" i="15"/>
  <c r="O46" i="15"/>
  <c r="AZ108" i="4"/>
  <c r="AZ119" i="4"/>
  <c r="AZ120" i="4"/>
  <c r="AV34" i="4"/>
  <c r="AV45" i="4"/>
  <c r="AV46" i="4" s="1"/>
  <c r="BO30" i="4"/>
  <c r="BO31" i="4" s="1"/>
  <c r="AY83" i="4"/>
  <c r="BB63" i="4"/>
  <c r="BB64" i="4" s="1"/>
  <c r="BH66" i="4"/>
  <c r="AV58" i="4"/>
  <c r="AV69" i="4"/>
  <c r="AV70" i="4"/>
  <c r="AA140" i="3"/>
  <c r="AB120" i="3"/>
  <c r="AB121" i="3" s="1"/>
  <c r="AB118" i="3"/>
  <c r="AD52" i="3"/>
  <c r="AC123" i="3"/>
  <c r="AC134" i="3"/>
  <c r="AC117" i="3"/>
  <c r="BB21" i="4"/>
  <c r="BB22" i="4"/>
  <c r="AK93" i="3"/>
  <c r="AK95" i="3"/>
  <c r="AK96" i="3" s="1"/>
  <c r="AM10" i="3"/>
  <c r="AM11" i="3" s="1"/>
  <c r="AN51" i="3"/>
  <c r="AM92" i="3"/>
  <c r="P97" i="14"/>
  <c r="Q97" i="14" s="1"/>
  <c r="R97" i="14" s="1"/>
  <c r="S97" i="14" s="1"/>
  <c r="T97" i="14" s="1"/>
  <c r="AP107" i="15"/>
  <c r="AV106" i="15"/>
  <c r="O37" i="8"/>
  <c r="O26" i="8"/>
  <c r="U38" i="2"/>
  <c r="O40" i="2"/>
  <c r="U10" i="8"/>
  <c r="U37" i="8"/>
  <c r="U26" i="8"/>
  <c r="U27" i="8"/>
  <c r="I26" i="7"/>
  <c r="I37" i="7"/>
  <c r="I10" i="7"/>
  <c r="M13" i="8"/>
  <c r="BL89" i="4"/>
  <c r="BQ60" i="4"/>
  <c r="AG181" i="3"/>
  <c r="AG187" i="3"/>
  <c r="AO112" i="21"/>
  <c r="AY46" i="4"/>
  <c r="AC43" i="2"/>
  <c r="BT43" i="9"/>
  <c r="BZ43" i="9" s="1"/>
  <c r="CF43" i="9" s="1"/>
  <c r="CL43" i="9" s="1"/>
  <c r="CR43" i="9" s="1"/>
  <c r="CX43" i="9" s="1"/>
  <c r="DD43" i="9" s="1"/>
  <c r="DJ43" i="9" s="1"/>
  <c r="AA43" i="2"/>
  <c r="O14" i="7"/>
  <c r="O10" i="7"/>
  <c r="BN60" i="4"/>
  <c r="BH57" i="4"/>
  <c r="BQ85" i="4"/>
  <c r="BN36" i="4"/>
  <c r="BH33" i="4"/>
  <c r="BR110" i="4"/>
  <c r="BR107" i="4"/>
  <c r="BL107" i="4"/>
  <c r="O14" i="8"/>
  <c r="AH187" i="3"/>
  <c r="BQ66" i="4"/>
  <c r="AG16" i="3"/>
  <c r="AG104" i="3" s="1"/>
  <c r="AE17" i="3"/>
  <c r="P114" i="117"/>
  <c r="V109" i="117"/>
  <c r="V111" i="117"/>
  <c r="BE40" i="4"/>
  <c r="BQ36" i="4"/>
  <c r="BQ33" i="4"/>
  <c r="BK33" i="4"/>
  <c r="Q202" i="117"/>
  <c r="BB83" i="4"/>
  <c r="BB94" i="4"/>
  <c r="BH63" i="4"/>
  <c r="BH64" i="4"/>
  <c r="BN66" i="4"/>
  <c r="I49" i="15"/>
  <c r="I51" i="15"/>
  <c r="O49" i="15"/>
  <c r="BH39" i="4"/>
  <c r="BH40" i="4" s="1"/>
  <c r="BN42" i="4"/>
  <c r="BN113" i="4"/>
  <c r="BN114" i="4"/>
  <c r="BT116" i="4"/>
  <c r="AP90" i="21"/>
  <c r="AP95" i="15"/>
  <c r="BC15" i="20"/>
  <c r="BC17" i="20"/>
  <c r="BC18" i="20" s="1"/>
  <c r="J245" i="11"/>
  <c r="BC63" i="4"/>
  <c r="BS30" i="4"/>
  <c r="BT104" i="4"/>
  <c r="D44" i="117"/>
  <c r="BN85" i="4"/>
  <c r="BH82" i="4"/>
  <c r="AS183" i="3"/>
  <c r="AO134" i="21"/>
  <c r="AQ94" i="15"/>
  <c r="BM110" i="4"/>
  <c r="AY197" i="3"/>
  <c r="BS54" i="4"/>
  <c r="BS79" i="4"/>
  <c r="BB69" i="4"/>
  <c r="BB70" i="4"/>
  <c r="BB58" i="4"/>
  <c r="BB45" i="4"/>
  <c r="BB46" i="4" s="1"/>
  <c r="BB34" i="4"/>
  <c r="BF119" i="4"/>
  <c r="BF120" i="4"/>
  <c r="BF108" i="4"/>
  <c r="AA10" i="7"/>
  <c r="AA37" i="7"/>
  <c r="AA26" i="7"/>
  <c r="AB37" i="7"/>
  <c r="AB26" i="7"/>
  <c r="AB27" i="7" s="1"/>
  <c r="AB13" i="7"/>
  <c r="AB18" i="7"/>
  <c r="E41" i="117"/>
  <c r="I10" i="8"/>
  <c r="I26" i="8"/>
  <c r="I37" i="8"/>
  <c r="AT183" i="3"/>
  <c r="AN180" i="3"/>
  <c r="AY70" i="4"/>
  <c r="BM88" i="4"/>
  <c r="BM89" i="4" s="1"/>
  <c r="BS91" i="4"/>
  <c r="BM63" i="4"/>
  <c r="BM64" i="4"/>
  <c r="BS66" i="4"/>
  <c r="BS63" i="4"/>
  <c r="BS64" i="4" s="1"/>
  <c r="BR63" i="4"/>
  <c r="BR64" i="4" s="1"/>
  <c r="BT88" i="4"/>
  <c r="BT89" i="4" s="1"/>
  <c r="BC20" i="4"/>
  <c r="BC22" i="4" s="1"/>
  <c r="BL113" i="4"/>
  <c r="BL114" i="4" s="1"/>
  <c r="BR116" i="4"/>
  <c r="BR113" i="4" s="1"/>
  <c r="AA32" i="21"/>
  <c r="AA200" i="3"/>
  <c r="AA190" i="3"/>
  <c r="AA191" i="3" s="1"/>
  <c r="AA188" i="3"/>
  <c r="BK39" i="4"/>
  <c r="BQ42" i="4"/>
  <c r="BQ39" i="4"/>
  <c r="BM116" i="4"/>
  <c r="BE45" i="4"/>
  <c r="BE34" i="4"/>
  <c r="I52" i="10"/>
  <c r="H21" i="14"/>
  <c r="O37" i="7"/>
  <c r="O26" i="7"/>
  <c r="AC140" i="3"/>
  <c r="AC118" i="3"/>
  <c r="AC120" i="3"/>
  <c r="AC121" i="3"/>
  <c r="AE52" i="3"/>
  <c r="AD123" i="3"/>
  <c r="AD134" i="3" s="1"/>
  <c r="AD140" i="3" s="1"/>
  <c r="AD117" i="3"/>
  <c r="BC21" i="4"/>
  <c r="AN92" i="3"/>
  <c r="AN10" i="3"/>
  <c r="AN11" i="3"/>
  <c r="AO51" i="3"/>
  <c r="AM93" i="3"/>
  <c r="AM95" i="3"/>
  <c r="AM96" i="3"/>
  <c r="O40" i="8"/>
  <c r="U40" i="8"/>
  <c r="U38" i="8"/>
  <c r="U41" i="2"/>
  <c r="O43" i="2"/>
  <c r="AU146" i="21"/>
  <c r="AU147" i="21" s="1"/>
  <c r="BS88" i="4"/>
  <c r="BS89" i="4" s="1"/>
  <c r="I40" i="7"/>
  <c r="BS116" i="4"/>
  <c r="BQ40" i="4"/>
  <c r="AN187" i="3"/>
  <c r="AN181" i="3"/>
  <c r="O27" i="8"/>
  <c r="E44" i="117"/>
  <c r="AB38" i="7"/>
  <c r="AB40" i="7"/>
  <c r="BS110" i="4"/>
  <c r="AQ95" i="15"/>
  <c r="AY183" i="3"/>
  <c r="BT85" i="4"/>
  <c r="BT82" i="4"/>
  <c r="BN82" i="4"/>
  <c r="I52" i="15"/>
  <c r="O52" i="15"/>
  <c r="BN63" i="4"/>
  <c r="BN64" i="4" s="1"/>
  <c r="BT66" i="4"/>
  <c r="BT63" i="4"/>
  <c r="BK34" i="4"/>
  <c r="BK45" i="4"/>
  <c r="V114" i="117"/>
  <c r="V115" i="117" s="1"/>
  <c r="V112" i="117"/>
  <c r="AH16" i="3"/>
  <c r="AG17" i="3"/>
  <c r="BL108" i="4"/>
  <c r="BL119" i="4"/>
  <c r="BL120" i="4"/>
  <c r="BH34" i="4"/>
  <c r="BH45" i="4"/>
  <c r="BH46" i="4"/>
  <c r="BH58" i="4"/>
  <c r="BH69" i="4"/>
  <c r="BH70" i="4"/>
  <c r="AA40" i="2"/>
  <c r="AG43" i="2"/>
  <c r="M15" i="8"/>
  <c r="O27" i="7"/>
  <c r="O38" i="7"/>
  <c r="O40" i="7"/>
  <c r="BE46" i="4"/>
  <c r="BK40" i="4"/>
  <c r="AA201" i="3"/>
  <c r="AZ183" i="3"/>
  <c r="I40" i="8"/>
  <c r="O38" i="8"/>
  <c r="AB10" i="7"/>
  <c r="AA40" i="7"/>
  <c r="BQ197" i="3"/>
  <c r="BW197" i="3" s="1"/>
  <c r="CC197" i="3" s="1"/>
  <c r="CI197" i="3" s="1"/>
  <c r="CO197" i="3" s="1"/>
  <c r="CU197" i="3" s="1"/>
  <c r="DA197" i="3" s="1"/>
  <c r="DG197" i="3" s="1"/>
  <c r="BH83" i="4"/>
  <c r="BH94" i="4"/>
  <c r="BU30" i="4"/>
  <c r="BU31" i="4"/>
  <c r="BC64" i="4"/>
  <c r="AP134" i="21"/>
  <c r="AP112" i="21"/>
  <c r="AP109" i="15"/>
  <c r="AP110" i="15" s="1"/>
  <c r="BT113" i="4"/>
  <c r="BT114" i="4" s="1"/>
  <c r="BN39" i="4"/>
  <c r="BN40" i="4"/>
  <c r="BT42" i="4"/>
  <c r="BT39" i="4" s="1"/>
  <c r="BQ45" i="4"/>
  <c r="BQ34" i="4"/>
  <c r="AH32" i="21"/>
  <c r="AH190" i="3"/>
  <c r="BR108" i="4"/>
  <c r="BT36" i="4"/>
  <c r="BT33" i="4"/>
  <c r="BN33" i="4"/>
  <c r="BT60" i="4"/>
  <c r="BT57" i="4" s="1"/>
  <c r="BN57" i="4"/>
  <c r="O11" i="7"/>
  <c r="AC40" i="2"/>
  <c r="AC41" i="2" s="1"/>
  <c r="AI43" i="2"/>
  <c r="AQ97" i="15"/>
  <c r="AG32" i="21"/>
  <c r="AG188" i="3"/>
  <c r="AG190" i="3"/>
  <c r="AG191" i="3" s="1"/>
  <c r="AG200" i="3"/>
  <c r="AG52" i="3"/>
  <c r="AE123" i="3"/>
  <c r="AD118" i="3"/>
  <c r="AD120" i="3"/>
  <c r="AD121" i="3" s="1"/>
  <c r="AE117" i="3"/>
  <c r="AH104" i="3"/>
  <c r="AO92" i="3"/>
  <c r="AO10" i="3"/>
  <c r="AO11" i="3"/>
  <c r="AP51" i="3"/>
  <c r="AN95" i="3"/>
  <c r="AN93" i="3"/>
  <c r="O43" i="8"/>
  <c r="U44" i="2"/>
  <c r="U41" i="8"/>
  <c r="U43" i="8"/>
  <c r="I43" i="7"/>
  <c r="AG201" i="3"/>
  <c r="AO43" i="2"/>
  <c r="AI40" i="2"/>
  <c r="AI41" i="2" s="1"/>
  <c r="BN69" i="4"/>
  <c r="BN70" i="4"/>
  <c r="BN58" i="4"/>
  <c r="BT34" i="4"/>
  <c r="AA43" i="7"/>
  <c r="I43" i="8"/>
  <c r="O41" i="8"/>
  <c r="AM43" i="2"/>
  <c r="AG40" i="2"/>
  <c r="AI16" i="3"/>
  <c r="AI104" i="3" s="1"/>
  <c r="AI106" i="3" s="1"/>
  <c r="AI107" i="3" s="1"/>
  <c r="AH17" i="3"/>
  <c r="BT83" i="4"/>
  <c r="BT94" i="4"/>
  <c r="AN32" i="21"/>
  <c r="AN188" i="3"/>
  <c r="AN190" i="3"/>
  <c r="AN191" i="3" s="1"/>
  <c r="AN200" i="3"/>
  <c r="AQ112" i="21"/>
  <c r="AQ98" i="15"/>
  <c r="AQ100" i="15"/>
  <c r="AQ101" i="15"/>
  <c r="H200" i="11"/>
  <c r="BN45" i="4"/>
  <c r="BN46" i="4" s="1"/>
  <c r="BN34" i="4"/>
  <c r="BQ46" i="4"/>
  <c r="O41" i="7"/>
  <c r="O43" i="7"/>
  <c r="AA41" i="2"/>
  <c r="BK46" i="4"/>
  <c r="BT64" i="4"/>
  <c r="BN94" i="4"/>
  <c r="BN83" i="4"/>
  <c r="AB41" i="7"/>
  <c r="AB43" i="7"/>
  <c r="AB44" i="7" s="1"/>
  <c r="AS106" i="15"/>
  <c r="AY107" i="15" s="1"/>
  <c r="AO162" i="3"/>
  <c r="AO86" i="3"/>
  <c r="AO113" i="3"/>
  <c r="AE120" i="3"/>
  <c r="AE121" i="3" s="1"/>
  <c r="AE118" i="3"/>
  <c r="AG117" i="3"/>
  <c r="AH52" i="3"/>
  <c r="AG123" i="3"/>
  <c r="AH106" i="3"/>
  <c r="AH107" i="3" s="1"/>
  <c r="AN96" i="3"/>
  <c r="AP92" i="3"/>
  <c r="AQ51" i="3"/>
  <c r="AP10" i="3"/>
  <c r="AP11" i="3"/>
  <c r="AO95" i="3"/>
  <c r="AO93" i="3"/>
  <c r="AS107" i="15"/>
  <c r="U44" i="8"/>
  <c r="AO163" i="3"/>
  <c r="AO144" i="3"/>
  <c r="O44" i="7"/>
  <c r="AG41" i="2"/>
  <c r="AP162" i="3"/>
  <c r="AP113" i="3"/>
  <c r="AU43" i="2"/>
  <c r="AQ112" i="3"/>
  <c r="AS90" i="21"/>
  <c r="AS95" i="15"/>
  <c r="AJ16" i="3"/>
  <c r="AJ104" i="3" s="1"/>
  <c r="AJ106" i="3" s="1"/>
  <c r="AJ107" i="3" s="1"/>
  <c r="AI17" i="3"/>
  <c r="AS43" i="2"/>
  <c r="AY43" i="2" s="1"/>
  <c r="AY40" i="2" s="1"/>
  <c r="AM40" i="2"/>
  <c r="O44" i="8"/>
  <c r="AH123" i="3"/>
  <c r="AH117" i="3"/>
  <c r="AI52" i="3"/>
  <c r="AG118" i="3"/>
  <c r="AG120" i="3"/>
  <c r="AG121" i="3"/>
  <c r="AG134" i="3"/>
  <c r="AG140" i="3" s="1"/>
  <c r="AO96" i="3"/>
  <c r="AS51" i="3"/>
  <c r="AQ10" i="3"/>
  <c r="AQ11" i="3"/>
  <c r="AP95" i="3"/>
  <c r="AP93" i="3"/>
  <c r="AQ92" i="3"/>
  <c r="AQ93" i="3"/>
  <c r="AP163" i="3"/>
  <c r="AP86" i="3"/>
  <c r="AM41" i="2"/>
  <c r="AP166" i="3"/>
  <c r="AT90" i="21"/>
  <c r="AT95" i="15"/>
  <c r="AO75" i="17"/>
  <c r="AS134" i="21"/>
  <c r="AQ113" i="3"/>
  <c r="AO166" i="3"/>
  <c r="AK16" i="3"/>
  <c r="AJ17" i="3"/>
  <c r="AS112" i="21"/>
  <c r="AS98" i="15"/>
  <c r="AS109" i="15"/>
  <c r="BA43" i="2"/>
  <c r="AQ143" i="3"/>
  <c r="AQ144" i="3" s="1"/>
  <c r="AQ162" i="3"/>
  <c r="AH134" i="3"/>
  <c r="AI123" i="3"/>
  <c r="AJ52" i="3"/>
  <c r="AI117" i="3"/>
  <c r="AH118" i="3"/>
  <c r="AH120" i="3"/>
  <c r="AH121" i="3" s="1"/>
  <c r="AS92" i="3"/>
  <c r="AT51" i="3"/>
  <c r="AS10" i="3"/>
  <c r="AS11" i="3" s="1"/>
  <c r="AQ95" i="3"/>
  <c r="AQ96" i="3"/>
  <c r="AP96" i="3"/>
  <c r="AQ165" i="3"/>
  <c r="AQ166" i="3"/>
  <c r="AO75" i="10"/>
  <c r="AU90" i="21"/>
  <c r="AQ20" i="16"/>
  <c r="AQ163" i="3"/>
  <c r="BG43" i="2"/>
  <c r="BM43" i="2" s="1"/>
  <c r="BS43" i="2" s="1"/>
  <c r="BY43" i="2" s="1"/>
  <c r="CE43" i="2" s="1"/>
  <c r="CK43" i="2" s="1"/>
  <c r="CQ43" i="2" s="1"/>
  <c r="CW43" i="2" s="1"/>
  <c r="DC43" i="2" s="1"/>
  <c r="DI43" i="2" s="1"/>
  <c r="AS110" i="15"/>
  <c r="AO75" i="15"/>
  <c r="AM16" i="3"/>
  <c r="AK17" i="3"/>
  <c r="BE43" i="2"/>
  <c r="BK43" i="2" s="1"/>
  <c r="BQ43" i="2" s="1"/>
  <c r="BW43" i="2" s="1"/>
  <c r="CC43" i="2" s="1"/>
  <c r="CI43" i="2" s="1"/>
  <c r="CO43" i="2" s="1"/>
  <c r="CU43" i="2" s="1"/>
  <c r="DA43" i="2" s="1"/>
  <c r="DG43" i="2" s="1"/>
  <c r="AO67" i="16"/>
  <c r="AO21" i="16"/>
  <c r="AO75" i="9"/>
  <c r="AS162" i="3"/>
  <c r="AS86" i="3"/>
  <c r="AS113" i="3"/>
  <c r="AO72" i="17"/>
  <c r="AO29" i="17"/>
  <c r="AT112" i="21"/>
  <c r="AT98" i="15"/>
  <c r="AJ123" i="3"/>
  <c r="AJ134" i="3" s="1"/>
  <c r="AJ117" i="3"/>
  <c r="AK52" i="3"/>
  <c r="AM104" i="3"/>
  <c r="AH140" i="3"/>
  <c r="AI120" i="3"/>
  <c r="AI121" i="3" s="1"/>
  <c r="AI118" i="3"/>
  <c r="AI134" i="3"/>
  <c r="AS95" i="3"/>
  <c r="AS93" i="3"/>
  <c r="AT92" i="3"/>
  <c r="AT95" i="3" s="1"/>
  <c r="AT10" i="3"/>
  <c r="AT11" i="3" s="1"/>
  <c r="AU51" i="3"/>
  <c r="AQ28" i="10"/>
  <c r="AP75" i="10"/>
  <c r="AO73" i="17"/>
  <c r="AS163" i="3"/>
  <c r="AO29" i="9"/>
  <c r="AQ21" i="16"/>
  <c r="AP75" i="17"/>
  <c r="AQ25" i="17"/>
  <c r="AQ28" i="9"/>
  <c r="AP75" i="9"/>
  <c r="AO72" i="15"/>
  <c r="AO73" i="15" s="1"/>
  <c r="AP38" i="9"/>
  <c r="AO72" i="10"/>
  <c r="AQ28" i="15"/>
  <c r="AP75" i="15"/>
  <c r="AO69" i="17"/>
  <c r="AQ25" i="9"/>
  <c r="AO72" i="9"/>
  <c r="AO64" i="16"/>
  <c r="AO61" i="16"/>
  <c r="AN16" i="3"/>
  <c r="AN104" i="3" s="1"/>
  <c r="AM17" i="3"/>
  <c r="AO29" i="15"/>
  <c r="BC82" i="15"/>
  <c r="AV90" i="21"/>
  <c r="AV95" i="15"/>
  <c r="AV116" i="15"/>
  <c r="AV103" i="15"/>
  <c r="BB104" i="15" s="1"/>
  <c r="AW94" i="15"/>
  <c r="AP67" i="16"/>
  <c r="AP21" i="16"/>
  <c r="AU134" i="21"/>
  <c r="AQ25" i="10"/>
  <c r="AO29" i="10"/>
  <c r="AK117" i="3"/>
  <c r="AJ118" i="3"/>
  <c r="AJ120" i="3"/>
  <c r="AJ121" i="3"/>
  <c r="AK123" i="3"/>
  <c r="AM52" i="3"/>
  <c r="AI140" i="3"/>
  <c r="AI141" i="3" s="1"/>
  <c r="AI135" i="3"/>
  <c r="AM106" i="3"/>
  <c r="AT93" i="3"/>
  <c r="AU10" i="3"/>
  <c r="AU11" i="3"/>
  <c r="AV51" i="3"/>
  <c r="AU92" i="3"/>
  <c r="AU95" i="3"/>
  <c r="AU96" i="3"/>
  <c r="AS96" i="3"/>
  <c r="AQ29" i="10"/>
  <c r="AQ75" i="10"/>
  <c r="AP64" i="16"/>
  <c r="AP65" i="16" s="1"/>
  <c r="AV134" i="21"/>
  <c r="AV104" i="15"/>
  <c r="AZ82" i="15"/>
  <c r="AZ83" i="15" s="1"/>
  <c r="AY85" i="15"/>
  <c r="AY88" i="15" s="1"/>
  <c r="AQ29" i="15"/>
  <c r="AO86" i="21"/>
  <c r="AO41" i="15"/>
  <c r="AO62" i="16"/>
  <c r="AO70" i="17"/>
  <c r="AP72" i="15"/>
  <c r="AP72" i="9"/>
  <c r="AP73" i="9" s="1"/>
  <c r="AQ75" i="17"/>
  <c r="AP72" i="17"/>
  <c r="AQ29" i="16"/>
  <c r="AQ29" i="9"/>
  <c r="AO85" i="21"/>
  <c r="AO41" i="10"/>
  <c r="AW95" i="15"/>
  <c r="AV112" i="21"/>
  <c r="AV98" i="15"/>
  <c r="AV109" i="15"/>
  <c r="AS166" i="3"/>
  <c r="AO16" i="3"/>
  <c r="AN17" i="3"/>
  <c r="AQ67" i="16"/>
  <c r="AO65" i="16"/>
  <c r="AO69" i="9"/>
  <c r="AQ75" i="9"/>
  <c r="AQ37" i="17"/>
  <c r="AP29" i="15"/>
  <c r="AO69" i="10"/>
  <c r="AO69" i="15"/>
  <c r="AQ40" i="9"/>
  <c r="AQ41" i="9" s="1"/>
  <c r="AP29" i="17"/>
  <c r="AQ28" i="17"/>
  <c r="AO84" i="21"/>
  <c r="AO41" i="9"/>
  <c r="AQ37" i="9"/>
  <c r="AO38" i="9"/>
  <c r="AP29" i="10"/>
  <c r="AM123" i="3"/>
  <c r="AM117" i="3"/>
  <c r="AN52" i="3"/>
  <c r="AK118" i="3"/>
  <c r="AK120" i="3"/>
  <c r="AK121" i="3" s="1"/>
  <c r="AO104" i="3"/>
  <c r="BA95" i="3"/>
  <c r="BG95" i="3" s="1"/>
  <c r="BM95" i="3"/>
  <c r="BS95" i="3" s="1"/>
  <c r="BY95" i="3" s="1"/>
  <c r="CE95" i="3" s="1"/>
  <c r="CK95" i="3" s="1"/>
  <c r="CQ95" i="3" s="1"/>
  <c r="CW95" i="3" s="1"/>
  <c r="DC95" i="3" s="1"/>
  <c r="DI95" i="3" s="1"/>
  <c r="AV92" i="3"/>
  <c r="AV95" i="3" s="1"/>
  <c r="AV10" i="3"/>
  <c r="AV11" i="3" s="1"/>
  <c r="AW51" i="3"/>
  <c r="AT113" i="3"/>
  <c r="AT162" i="3"/>
  <c r="AU93" i="3"/>
  <c r="AP69" i="9"/>
  <c r="AP70" i="9"/>
  <c r="AQ38" i="9"/>
  <c r="AO106" i="21"/>
  <c r="AO66" i="9"/>
  <c r="AO79" i="9"/>
  <c r="AQ60" i="15"/>
  <c r="AP86" i="21"/>
  <c r="AP41" i="15"/>
  <c r="AO88" i="21"/>
  <c r="AO41" i="17"/>
  <c r="AQ40" i="17"/>
  <c r="AQ41" i="17"/>
  <c r="AQ38" i="17"/>
  <c r="AV110" i="15"/>
  <c r="AO107" i="21"/>
  <c r="AO55" i="10"/>
  <c r="AO57" i="10"/>
  <c r="AO58" i="10"/>
  <c r="AO66" i="10"/>
  <c r="AQ30" i="16"/>
  <c r="AP73" i="17"/>
  <c r="AQ72" i="17"/>
  <c r="AQ40" i="15"/>
  <c r="AQ41" i="15" s="1"/>
  <c r="AO130" i="21"/>
  <c r="AP85" i="21"/>
  <c r="AQ60" i="10"/>
  <c r="AP41" i="10"/>
  <c r="AO128" i="21"/>
  <c r="AQ29" i="17"/>
  <c r="AP88" i="21"/>
  <c r="AP41" i="17"/>
  <c r="AQ37" i="10"/>
  <c r="AP84" i="21"/>
  <c r="AP41" i="9"/>
  <c r="AP87" i="21"/>
  <c r="AP33" i="16"/>
  <c r="AQ64" i="16"/>
  <c r="AP16" i="3"/>
  <c r="AP104" i="3"/>
  <c r="AP106" i="3" s="1"/>
  <c r="AP107" i="3" s="1"/>
  <c r="AO17" i="3"/>
  <c r="AQ40" i="10"/>
  <c r="AQ41" i="10" s="1"/>
  <c r="AO129" i="21"/>
  <c r="AO87" i="21"/>
  <c r="AO33" i="16"/>
  <c r="AQ32" i="16"/>
  <c r="AQ33" i="16"/>
  <c r="AP69" i="17"/>
  <c r="AP69" i="15"/>
  <c r="AP38" i="15"/>
  <c r="AQ37" i="15"/>
  <c r="AQ72" i="9"/>
  <c r="AP61" i="16"/>
  <c r="AO106" i="3"/>
  <c r="AO107" i="3" s="1"/>
  <c r="AM118" i="3"/>
  <c r="AM120" i="3"/>
  <c r="AM121" i="3" s="1"/>
  <c r="AN123" i="3"/>
  <c r="AO52" i="3"/>
  <c r="AN117" i="3"/>
  <c r="AM134" i="3"/>
  <c r="AT163" i="3"/>
  <c r="AT86" i="3"/>
  <c r="AT87" i="3" s="1"/>
  <c r="AW10" i="3"/>
  <c r="AW11" i="3"/>
  <c r="AY51" i="3"/>
  <c r="AU162" i="3"/>
  <c r="AU113" i="3"/>
  <c r="AW92" i="3"/>
  <c r="AW93" i="3" s="1"/>
  <c r="AV93" i="3"/>
  <c r="AQ69" i="9"/>
  <c r="AP58" i="16"/>
  <c r="AP59" i="16" s="1"/>
  <c r="AP110" i="21"/>
  <c r="AO108" i="21"/>
  <c r="AO55" i="15"/>
  <c r="AO66" i="15"/>
  <c r="AO57" i="15"/>
  <c r="AO58" i="15" s="1"/>
  <c r="AO116" i="15"/>
  <c r="AQ38" i="15"/>
  <c r="AO109" i="21"/>
  <c r="AO47" i="16"/>
  <c r="AO49" i="16"/>
  <c r="AO50" i="16" s="1"/>
  <c r="AO58" i="16"/>
  <c r="AT75" i="10"/>
  <c r="H126" i="11"/>
  <c r="AQ129" i="21"/>
  <c r="AQ61" i="10"/>
  <c r="AQ63" i="10"/>
  <c r="AQ64" i="10"/>
  <c r="AQ16" i="3"/>
  <c r="AP17" i="3"/>
  <c r="AP128" i="21"/>
  <c r="AQ60" i="9"/>
  <c r="AP129" i="21"/>
  <c r="AY90" i="21"/>
  <c r="AY95" i="15"/>
  <c r="AY116" i="15"/>
  <c r="AQ61" i="15"/>
  <c r="AQ63" i="15"/>
  <c r="AQ64" i="15"/>
  <c r="H141" i="11"/>
  <c r="AQ130" i="21"/>
  <c r="AO67" i="10"/>
  <c r="AT75" i="9"/>
  <c r="AO132" i="21"/>
  <c r="AQ60" i="17"/>
  <c r="AO110" i="21"/>
  <c r="AO57" i="17"/>
  <c r="AO58" i="17" s="1"/>
  <c r="AO66" i="17"/>
  <c r="AO55" i="17"/>
  <c r="AQ54" i="15"/>
  <c r="AO80" i="9"/>
  <c r="AS75" i="10"/>
  <c r="AO131" i="21"/>
  <c r="AQ52" i="16"/>
  <c r="AO91" i="21"/>
  <c r="AQ83" i="16"/>
  <c r="AS67" i="16"/>
  <c r="AS21" i="16"/>
  <c r="AQ15" i="16"/>
  <c r="AP131" i="21"/>
  <c r="AV166" i="3"/>
  <c r="AV144" i="3"/>
  <c r="AQ38" i="10"/>
  <c r="AP132" i="21"/>
  <c r="AS75" i="17"/>
  <c r="AS75" i="9"/>
  <c r="AP130" i="21"/>
  <c r="AO67" i="9"/>
  <c r="AO123" i="3"/>
  <c r="AO134" i="3"/>
  <c r="AO117" i="3"/>
  <c r="AP52" i="3"/>
  <c r="AM140" i="3"/>
  <c r="AN134" i="3"/>
  <c r="AN118" i="3"/>
  <c r="AN120" i="3"/>
  <c r="AN121" i="3" s="1"/>
  <c r="AU163" i="3"/>
  <c r="AU86" i="3"/>
  <c r="AZ51" i="3"/>
  <c r="AY92" i="3"/>
  <c r="AY95" i="3" s="1"/>
  <c r="AY96" i="3" s="1"/>
  <c r="AY10" i="3"/>
  <c r="AY11" i="3"/>
  <c r="AW112" i="3"/>
  <c r="AV113" i="3"/>
  <c r="AV162" i="3"/>
  <c r="AP109" i="21"/>
  <c r="AQ54" i="17"/>
  <c r="AQ55" i="17" s="1"/>
  <c r="AP57" i="17"/>
  <c r="AP58" i="17" s="1"/>
  <c r="AP66" i="17"/>
  <c r="AP67" i="17" s="1"/>
  <c r="AP55" i="17"/>
  <c r="AP49" i="16"/>
  <c r="AP50" i="16" s="1"/>
  <c r="AQ46" i="16"/>
  <c r="AQ109" i="21"/>
  <c r="AP47" i="16"/>
  <c r="AQ55" i="15"/>
  <c r="AQ57" i="15"/>
  <c r="AQ58" i="15" s="1"/>
  <c r="H140" i="11"/>
  <c r="H142" i="11" s="1"/>
  <c r="H143" i="11" s="1"/>
  <c r="AQ108" i="21"/>
  <c r="AT75" i="17"/>
  <c r="AS72" i="9"/>
  <c r="AT67" i="16"/>
  <c r="AT21" i="16"/>
  <c r="AT75" i="15"/>
  <c r="AS29" i="17"/>
  <c r="AP106" i="21"/>
  <c r="AP55" i="9"/>
  <c r="AP79" i="9"/>
  <c r="AP57" i="9"/>
  <c r="AP58" i="9"/>
  <c r="AP66" i="9"/>
  <c r="AQ54" i="9"/>
  <c r="AT38" i="9"/>
  <c r="AO135" i="21"/>
  <c r="AO113" i="21"/>
  <c r="AO98" i="16"/>
  <c r="AS29" i="10"/>
  <c r="AO67" i="17"/>
  <c r="AT72" i="9"/>
  <c r="AT73" i="9" s="1"/>
  <c r="AY134" i="21"/>
  <c r="AY104" i="15"/>
  <c r="AT38" i="10"/>
  <c r="H111" i="11"/>
  <c r="AQ61" i="9"/>
  <c r="AQ63" i="9"/>
  <c r="AQ64" i="9" s="1"/>
  <c r="AQ128" i="21"/>
  <c r="AT72" i="10"/>
  <c r="AT73" i="10"/>
  <c r="AO105" i="16"/>
  <c r="AO117" i="15"/>
  <c r="AO119" i="15"/>
  <c r="AO120" i="15" s="1"/>
  <c r="AO124" i="15"/>
  <c r="AS72" i="17"/>
  <c r="AS64" i="16"/>
  <c r="AS61" i="16" s="1"/>
  <c r="AQ84" i="16"/>
  <c r="AQ53" i="16"/>
  <c r="AQ55" i="16"/>
  <c r="AQ56" i="16" s="1"/>
  <c r="H156" i="11"/>
  <c r="AQ131" i="21"/>
  <c r="AZ90" i="21"/>
  <c r="AZ95" i="15"/>
  <c r="AS72" i="10"/>
  <c r="AP108" i="21"/>
  <c r="AP57" i="15"/>
  <c r="AP58" i="15"/>
  <c r="AP116" i="15"/>
  <c r="AP55" i="15"/>
  <c r="AP66" i="15"/>
  <c r="AP67" i="15"/>
  <c r="AQ61" i="17"/>
  <c r="AQ63" i="17"/>
  <c r="AQ64" i="17" s="1"/>
  <c r="H171" i="11"/>
  <c r="AQ132" i="21"/>
  <c r="AT29" i="9"/>
  <c r="AP91" i="21"/>
  <c r="AP84" i="16"/>
  <c r="AQ92" i="16"/>
  <c r="AY112" i="21"/>
  <c r="AY98" i="15"/>
  <c r="AY109" i="15"/>
  <c r="AP107" i="21"/>
  <c r="AP79" i="10"/>
  <c r="AP55" i="10"/>
  <c r="AP57" i="10"/>
  <c r="AP58" i="10" s="1"/>
  <c r="AP66" i="10"/>
  <c r="AQ54" i="10"/>
  <c r="AS16" i="3"/>
  <c r="AQ17" i="3"/>
  <c r="AT29" i="10"/>
  <c r="AO59" i="16"/>
  <c r="AQ58" i="16"/>
  <c r="AQ59" i="16"/>
  <c r="AO67" i="15"/>
  <c r="AO140" i="3"/>
  <c r="AO135" i="3"/>
  <c r="AN140" i="3"/>
  <c r="AN135" i="3"/>
  <c r="AP123" i="3"/>
  <c r="AP117" i="3"/>
  <c r="AQ52" i="3"/>
  <c r="AV163" i="3"/>
  <c r="AV86" i="3"/>
  <c r="AO120" i="3"/>
  <c r="AO118" i="3"/>
  <c r="AS104" i="3"/>
  <c r="AP134" i="3"/>
  <c r="AZ10" i="3"/>
  <c r="AZ11" i="3" s="1"/>
  <c r="AZ92" i="3"/>
  <c r="BA51" i="3"/>
  <c r="AY93" i="3"/>
  <c r="AW113" i="3"/>
  <c r="AW95" i="3"/>
  <c r="AW96" i="3"/>
  <c r="AW162" i="3"/>
  <c r="AW163" i="3" s="1"/>
  <c r="AQ57" i="17"/>
  <c r="AQ58" i="17" s="1"/>
  <c r="AQ47" i="16"/>
  <c r="AQ110" i="21"/>
  <c r="H170" i="11"/>
  <c r="AQ66" i="17"/>
  <c r="AQ67" i="17"/>
  <c r="AQ49" i="16"/>
  <c r="AQ50" i="16" s="1"/>
  <c r="H155" i="11"/>
  <c r="AT69" i="10"/>
  <c r="AT69" i="9"/>
  <c r="AT70" i="9"/>
  <c r="AP67" i="10"/>
  <c r="AQ66" i="10"/>
  <c r="AQ67" i="10" s="1"/>
  <c r="AP113" i="21"/>
  <c r="AP98" i="16"/>
  <c r="AP99" i="16"/>
  <c r="AP87" i="16"/>
  <c r="AP105" i="16"/>
  <c r="AQ105" i="16"/>
  <c r="AU38" i="10"/>
  <c r="AS73" i="17"/>
  <c r="AO159" i="3"/>
  <c r="AO87" i="3"/>
  <c r="AQ135" i="21"/>
  <c r="AQ95" i="16"/>
  <c r="AQ96" i="16"/>
  <c r="AQ93" i="16"/>
  <c r="H216" i="11"/>
  <c r="AS88" i="21"/>
  <c r="AS41" i="17"/>
  <c r="AT29" i="15"/>
  <c r="AT64" i="16"/>
  <c r="AT65" i="16" s="1"/>
  <c r="AS73" i="9"/>
  <c r="AY144" i="3"/>
  <c r="AT72" i="17"/>
  <c r="AT73" i="17" s="1"/>
  <c r="AS38" i="9"/>
  <c r="AP124" i="15"/>
  <c r="AP125" i="15" s="1"/>
  <c r="AP117" i="15"/>
  <c r="AP119" i="15"/>
  <c r="AP120" i="15" s="1"/>
  <c r="AS73" i="10"/>
  <c r="AU75" i="10"/>
  <c r="AU75" i="17"/>
  <c r="AO125" i="15"/>
  <c r="AO108" i="16"/>
  <c r="AO109" i="16"/>
  <c r="AO113" i="16"/>
  <c r="AO106" i="16"/>
  <c r="AQ55" i="9"/>
  <c r="AQ57" i="9"/>
  <c r="AQ58" i="9" s="1"/>
  <c r="H110" i="11"/>
  <c r="AQ106" i="21"/>
  <c r="BB106" i="15"/>
  <c r="AQ66" i="15"/>
  <c r="AQ67" i="15"/>
  <c r="AS38" i="15"/>
  <c r="AT85" i="21"/>
  <c r="AT41" i="10"/>
  <c r="AW25" i="9"/>
  <c r="AT16" i="3"/>
  <c r="AS17" i="3"/>
  <c r="AQ55" i="10"/>
  <c r="AQ57" i="10"/>
  <c r="AQ58" i="10" s="1"/>
  <c r="H125" i="11"/>
  <c r="AQ107" i="21"/>
  <c r="AP80" i="10"/>
  <c r="AQ79" i="10"/>
  <c r="AQ80" i="10"/>
  <c r="AP135" i="21"/>
  <c r="AU67" i="16"/>
  <c r="AU21" i="16"/>
  <c r="AS69" i="10"/>
  <c r="AS65" i="16"/>
  <c r="AS69" i="17"/>
  <c r="AO92" i="21"/>
  <c r="AO95" i="17"/>
  <c r="BA90" i="21"/>
  <c r="BA95" i="15"/>
  <c r="AQ116" i="15"/>
  <c r="AU75" i="9"/>
  <c r="AO99" i="16"/>
  <c r="AQ86" i="16"/>
  <c r="AP67" i="9"/>
  <c r="AQ66" i="9"/>
  <c r="AQ67" i="9" s="1"/>
  <c r="AP80" i="9"/>
  <c r="AQ79" i="9"/>
  <c r="AQ80" i="9" s="1"/>
  <c r="AT72" i="15"/>
  <c r="AT73" i="15" s="1"/>
  <c r="AS69" i="9"/>
  <c r="AT29" i="17"/>
  <c r="BB107" i="15"/>
  <c r="AP140" i="3"/>
  <c r="AQ134" i="3"/>
  <c r="AO121" i="3"/>
  <c r="AQ123" i="3"/>
  <c r="AS52" i="3"/>
  <c r="AN141" i="3"/>
  <c r="AS106" i="3"/>
  <c r="AS107" i="3" s="1"/>
  <c r="AP120" i="3"/>
  <c r="AP118" i="3"/>
  <c r="AT104" i="3"/>
  <c r="AT106" i="3" s="1"/>
  <c r="AQ117" i="3"/>
  <c r="AZ101" i="3"/>
  <c r="BF102" i="3" s="1"/>
  <c r="AZ93" i="3"/>
  <c r="BA92" i="3"/>
  <c r="BB51" i="3"/>
  <c r="BA10" i="3"/>
  <c r="BA11" i="3" s="1"/>
  <c r="AY113" i="3"/>
  <c r="AY162" i="3"/>
  <c r="AQ94" i="17"/>
  <c r="AP106" i="17"/>
  <c r="AT41" i="9"/>
  <c r="AQ98" i="16"/>
  <c r="AQ99" i="16" s="1"/>
  <c r="AT84" i="21"/>
  <c r="AS70" i="9"/>
  <c r="AQ113" i="21"/>
  <c r="AQ87" i="16"/>
  <c r="H215" i="11"/>
  <c r="H217" i="11" s="1"/>
  <c r="H218" i="11" s="1"/>
  <c r="AQ89" i="16"/>
  <c r="AQ90" i="16"/>
  <c r="AW26" i="9"/>
  <c r="AW75" i="9"/>
  <c r="AU72" i="9"/>
  <c r="AU69" i="9"/>
  <c r="AU70" i="9" s="1"/>
  <c r="AO136" i="21"/>
  <c r="AU64" i="16"/>
  <c r="AU61" i="16" s="1"/>
  <c r="AU62" i="16" s="1"/>
  <c r="AP159" i="3"/>
  <c r="AP87" i="3"/>
  <c r="AU16" i="3"/>
  <c r="AU104" i="3"/>
  <c r="AT17" i="3"/>
  <c r="AV75" i="17"/>
  <c r="AW28" i="17"/>
  <c r="AW25" i="17"/>
  <c r="AV38" i="17"/>
  <c r="AQ108" i="16"/>
  <c r="AQ109" i="16"/>
  <c r="AQ106" i="16"/>
  <c r="AU29" i="17"/>
  <c r="AV75" i="15"/>
  <c r="AQ97" i="17"/>
  <c r="AP92" i="21"/>
  <c r="AP95" i="17"/>
  <c r="AQ103" i="17"/>
  <c r="AT87" i="21"/>
  <c r="AT33" i="16"/>
  <c r="AV67" i="16"/>
  <c r="AV21" i="16"/>
  <c r="AW20" i="16"/>
  <c r="AQ86" i="3"/>
  <c r="AT88" i="21"/>
  <c r="AT41" i="17"/>
  <c r="AT69" i="15"/>
  <c r="AT70" i="15"/>
  <c r="AS85" i="21"/>
  <c r="AS41" i="10"/>
  <c r="AU29" i="15"/>
  <c r="AU29" i="9"/>
  <c r="AQ117" i="15"/>
  <c r="AQ119" i="15"/>
  <c r="AQ120" i="15" s="1"/>
  <c r="BA134" i="21"/>
  <c r="BA104" i="15"/>
  <c r="AO114" i="21"/>
  <c r="AO98" i="17"/>
  <c r="AO109" i="17"/>
  <c r="AO116" i="17"/>
  <c r="AQ95" i="17"/>
  <c r="AS84" i="21"/>
  <c r="AS41" i="9"/>
  <c r="BC4" i="15"/>
  <c r="AV75" i="9"/>
  <c r="AV38" i="9"/>
  <c r="AT129" i="21"/>
  <c r="BB90" i="21"/>
  <c r="BB95" i="15"/>
  <c r="BC94" i="15"/>
  <c r="AO114" i="16"/>
  <c r="AU72" i="17"/>
  <c r="AU73" i="17" s="1"/>
  <c r="AU72" i="10"/>
  <c r="AU29" i="10"/>
  <c r="AT128" i="21"/>
  <c r="AT69" i="17"/>
  <c r="AT70" i="17"/>
  <c r="AY166" i="3"/>
  <c r="AT61" i="16"/>
  <c r="AT86" i="21"/>
  <c r="AT41" i="15"/>
  <c r="AS132" i="21"/>
  <c r="AO176" i="3"/>
  <c r="AO160" i="3"/>
  <c r="AS87" i="21"/>
  <c r="AS33" i="16"/>
  <c r="AP106" i="16"/>
  <c r="AP113" i="16"/>
  <c r="AP114" i="16"/>
  <c r="AP108" i="16"/>
  <c r="AP109" i="16" s="1"/>
  <c r="AZ98" i="3"/>
  <c r="AZ102" i="3"/>
  <c r="AU106" i="3"/>
  <c r="AU107" i="3"/>
  <c r="AS123" i="3"/>
  <c r="AS134" i="3" s="1"/>
  <c r="AT52" i="3"/>
  <c r="AS117" i="3"/>
  <c r="AP121" i="3"/>
  <c r="AY163" i="3"/>
  <c r="AY86" i="3"/>
  <c r="AQ118" i="3"/>
  <c r="AQ120" i="3"/>
  <c r="AQ121" i="3" s="1"/>
  <c r="BB92" i="3"/>
  <c r="BB10" i="3"/>
  <c r="BB11" i="3"/>
  <c r="BC51" i="3"/>
  <c r="BA93" i="3"/>
  <c r="AZ113" i="3"/>
  <c r="AZ162" i="3"/>
  <c r="AZ163" i="3"/>
  <c r="AP107" i="17"/>
  <c r="AV106" i="17"/>
  <c r="AT79" i="9"/>
  <c r="AU69" i="17"/>
  <c r="AU70" i="17"/>
  <c r="AT49" i="16"/>
  <c r="AT50" i="16"/>
  <c r="AS131" i="21"/>
  <c r="AO194" i="3"/>
  <c r="AO7" i="21"/>
  <c r="AO177" i="3"/>
  <c r="AO67" i="7"/>
  <c r="AO21" i="7"/>
  <c r="AU73" i="10"/>
  <c r="AS91" i="21"/>
  <c r="AS84" i="16"/>
  <c r="AQ113" i="16"/>
  <c r="BB112" i="21"/>
  <c r="BB98" i="15"/>
  <c r="BB109" i="15"/>
  <c r="BB110" i="15" s="1"/>
  <c r="AV72" i="9"/>
  <c r="AV73" i="9"/>
  <c r="AO110" i="17"/>
  <c r="AQ114" i="21"/>
  <c r="AQ98" i="17"/>
  <c r="H230" i="11"/>
  <c r="AQ100" i="17"/>
  <c r="AQ101" i="17" s="1"/>
  <c r="AU86" i="21"/>
  <c r="AU41" i="15"/>
  <c r="AS107" i="21"/>
  <c r="AS79" i="10"/>
  <c r="AS57" i="10"/>
  <c r="AS58" i="10"/>
  <c r="AS66" i="10"/>
  <c r="AS55" i="10"/>
  <c r="AT132" i="21"/>
  <c r="AW21" i="16"/>
  <c r="AV64" i="16"/>
  <c r="AV65" i="16"/>
  <c r="AS110" i="21"/>
  <c r="AS55" i="17"/>
  <c r="AS57" i="17"/>
  <c r="AS58" i="17"/>
  <c r="AS66" i="17"/>
  <c r="AP114" i="21"/>
  <c r="AP98" i="17"/>
  <c r="AP109" i="17"/>
  <c r="AP110" i="17" s="1"/>
  <c r="AP116" i="17"/>
  <c r="AQ116" i="17"/>
  <c r="AV29" i="15"/>
  <c r="AV72" i="17"/>
  <c r="AV16" i="3"/>
  <c r="AV104" i="3" s="1"/>
  <c r="AU17" i="3"/>
  <c r="AP176" i="3"/>
  <c r="AP160" i="3"/>
  <c r="AQ136" i="21"/>
  <c r="AQ106" i="17"/>
  <c r="H231" i="11"/>
  <c r="AQ104" i="17"/>
  <c r="AV38" i="10"/>
  <c r="AW37" i="10"/>
  <c r="AQ159" i="3"/>
  <c r="AT130" i="21"/>
  <c r="AT62" i="16"/>
  <c r="AU85" i="21"/>
  <c r="AU41" i="10"/>
  <c r="AU69" i="10"/>
  <c r="BB134" i="21"/>
  <c r="AV29" i="9"/>
  <c r="AY7" i="15"/>
  <c r="AY32" i="15" s="1"/>
  <c r="AZ4" i="15"/>
  <c r="AZ5" i="15" s="1"/>
  <c r="AS128" i="21"/>
  <c r="AO119" i="17"/>
  <c r="AO120" i="17" s="1"/>
  <c r="AO117" i="17"/>
  <c r="AO124" i="17"/>
  <c r="AW28" i="9"/>
  <c r="AU84" i="21"/>
  <c r="AU41" i="9"/>
  <c r="AS129" i="21"/>
  <c r="AQ87" i="3"/>
  <c r="AT131" i="21"/>
  <c r="AP136" i="21"/>
  <c r="AV72" i="15"/>
  <c r="AV73" i="15" s="1"/>
  <c r="AW37" i="9"/>
  <c r="AT95" i="16"/>
  <c r="AW29" i="17"/>
  <c r="AW75" i="17"/>
  <c r="AW26" i="17"/>
  <c r="AV29" i="17"/>
  <c r="AT107" i="21"/>
  <c r="AT79" i="10"/>
  <c r="AT80" i="10" s="1"/>
  <c r="AW67" i="16"/>
  <c r="AU65" i="16"/>
  <c r="AU87" i="21"/>
  <c r="AU33" i="16"/>
  <c r="AU73" i="9"/>
  <c r="AU52" i="3"/>
  <c r="AT117" i="3"/>
  <c r="AS120" i="3"/>
  <c r="AS118" i="3"/>
  <c r="AT96" i="16"/>
  <c r="BR95" i="16"/>
  <c r="BX95" i="16" s="1"/>
  <c r="CD95" i="16" s="1"/>
  <c r="CJ95" i="16" s="1"/>
  <c r="CP95" i="16" s="1"/>
  <c r="CV95" i="16" s="1"/>
  <c r="DB95" i="16" s="1"/>
  <c r="DH95" i="16" s="1"/>
  <c r="AT55" i="9"/>
  <c r="AT80" i="9"/>
  <c r="AT106" i="21"/>
  <c r="AT57" i="9"/>
  <c r="AT58" i="9" s="1"/>
  <c r="BC10" i="3"/>
  <c r="BC11" i="3"/>
  <c r="BE51" i="3"/>
  <c r="BE92" i="3" s="1"/>
  <c r="BB93" i="3"/>
  <c r="BC92" i="3"/>
  <c r="BC93" i="3"/>
  <c r="AT58" i="16"/>
  <c r="AT59" i="16" s="1"/>
  <c r="AT109" i="21"/>
  <c r="AV69" i="15"/>
  <c r="AV70" i="15" s="1"/>
  <c r="AW64" i="16"/>
  <c r="AV61" i="16"/>
  <c r="AQ20" i="8"/>
  <c r="AU131" i="21"/>
  <c r="AU88" i="21"/>
  <c r="AU41" i="17"/>
  <c r="AW40" i="17"/>
  <c r="AW41" i="17"/>
  <c r="AW29" i="16"/>
  <c r="AW29" i="9"/>
  <c r="AO125" i="17"/>
  <c r="AV84" i="21"/>
  <c r="AV41" i="9"/>
  <c r="AW40" i="9"/>
  <c r="AW41" i="9" s="1"/>
  <c r="AU70" i="10"/>
  <c r="AU129" i="21"/>
  <c r="AU61" i="10"/>
  <c r="AT108" i="21"/>
  <c r="AT57" i="15"/>
  <c r="AT58" i="15"/>
  <c r="AT116" i="15"/>
  <c r="AT55" i="15"/>
  <c r="AT66" i="15"/>
  <c r="AT67" i="15"/>
  <c r="AP7" i="21"/>
  <c r="AP194" i="3"/>
  <c r="AP177" i="3"/>
  <c r="AP180" i="3"/>
  <c r="AV17" i="3"/>
  <c r="AV73" i="17"/>
  <c r="AW72" i="17"/>
  <c r="AP21" i="7"/>
  <c r="AP67" i="7"/>
  <c r="AS67" i="17"/>
  <c r="AS106" i="17"/>
  <c r="AS67" i="10"/>
  <c r="AS80" i="10"/>
  <c r="AO64" i="7"/>
  <c r="AO61" i="7" s="1"/>
  <c r="AO56" i="21"/>
  <c r="AO195" i="3"/>
  <c r="AW72" i="9"/>
  <c r="AV60" i="17"/>
  <c r="BB60" i="17" s="1"/>
  <c r="AV88" i="21"/>
  <c r="AV41" i="17"/>
  <c r="AT91" i="21"/>
  <c r="AT84" i="16"/>
  <c r="AW38" i="9"/>
  <c r="AW37" i="15"/>
  <c r="AU128" i="21"/>
  <c r="AQ119" i="17"/>
  <c r="AQ120" i="17"/>
  <c r="AQ117" i="17"/>
  <c r="AQ160" i="3"/>
  <c r="AS109" i="21"/>
  <c r="AS49" i="16"/>
  <c r="AS50" i="16" s="1"/>
  <c r="AS58" i="16"/>
  <c r="AS105" i="16"/>
  <c r="AS47" i="16"/>
  <c r="AW38" i="10"/>
  <c r="AO67" i="8"/>
  <c r="AO21" i="8"/>
  <c r="AV69" i="17"/>
  <c r="AV70" i="17" s="1"/>
  <c r="AP117" i="17"/>
  <c r="AP124" i="17"/>
  <c r="AP125" i="17" s="1"/>
  <c r="AP119" i="17"/>
  <c r="AP120" i="17"/>
  <c r="AT110" i="21"/>
  <c r="AT57" i="17"/>
  <c r="AT58" i="17"/>
  <c r="AT66" i="17"/>
  <c r="AT67" i="17" s="1"/>
  <c r="AU130" i="21"/>
  <c r="AQ109" i="17"/>
  <c r="AQ110" i="17"/>
  <c r="AS106" i="21"/>
  <c r="AS55" i="9"/>
  <c r="AS57" i="9"/>
  <c r="AY58" i="9" s="1"/>
  <c r="AS58" i="9"/>
  <c r="AS66" i="9"/>
  <c r="AS67" i="9" s="1"/>
  <c r="AV69" i="9"/>
  <c r="AV70" i="9" s="1"/>
  <c r="AS135" i="21"/>
  <c r="AS113" i="21"/>
  <c r="AS98" i="16"/>
  <c r="AS87" i="16"/>
  <c r="AQ20" i="7"/>
  <c r="AT120" i="3"/>
  <c r="AT118" i="3"/>
  <c r="AS121" i="3"/>
  <c r="AU123" i="3"/>
  <c r="AV52" i="3"/>
  <c r="AU117" i="3"/>
  <c r="AU106" i="21"/>
  <c r="AU79" i="9"/>
  <c r="BA80" i="9" s="1"/>
  <c r="BE10" i="3"/>
  <c r="BE11" i="3" s="1"/>
  <c r="BF51" i="3"/>
  <c r="AS107" i="17"/>
  <c r="AY106" i="17"/>
  <c r="BE107" i="17" s="1"/>
  <c r="AU58" i="16"/>
  <c r="AU59" i="16"/>
  <c r="AU49" i="16"/>
  <c r="AU50" i="16" s="1"/>
  <c r="AW65" i="16"/>
  <c r="AU109" i="21"/>
  <c r="AW15" i="16"/>
  <c r="AU66" i="9"/>
  <c r="BA67" i="9" s="1"/>
  <c r="AU67" i="9"/>
  <c r="AU57" i="9"/>
  <c r="AU58" i="9" s="1"/>
  <c r="AU55" i="9"/>
  <c r="AV62" i="16"/>
  <c r="AW61" i="16"/>
  <c r="AQ67" i="7"/>
  <c r="AQ21" i="7"/>
  <c r="AS99" i="16"/>
  <c r="AO67" i="2"/>
  <c r="AO21" i="2"/>
  <c r="AV86" i="21"/>
  <c r="AV41" i="15"/>
  <c r="AW69" i="17"/>
  <c r="AQ67" i="8"/>
  <c r="AQ21" i="8"/>
  <c r="AS106" i="16"/>
  <c r="AS113" i="16"/>
  <c r="AS108" i="16"/>
  <c r="AS109" i="16" s="1"/>
  <c r="AU107" i="21"/>
  <c r="AU55" i="10"/>
  <c r="AU57" i="10"/>
  <c r="AU58" i="10"/>
  <c r="AY75" i="9"/>
  <c r="AW38" i="15"/>
  <c r="AT135" i="21"/>
  <c r="AT113" i="21"/>
  <c r="AT98" i="16"/>
  <c r="AT99" i="16" s="1"/>
  <c r="AT105" i="16"/>
  <c r="AV132" i="21"/>
  <c r="AV61" i="17"/>
  <c r="AQ29" i="7"/>
  <c r="AS92" i="21"/>
  <c r="AS95" i="17"/>
  <c r="AP64" i="7"/>
  <c r="AP65" i="7" s="1"/>
  <c r="AU91" i="21"/>
  <c r="AU84" i="16"/>
  <c r="AP56" i="21"/>
  <c r="AP187" i="3"/>
  <c r="AT117" i="15"/>
  <c r="AT119" i="15"/>
  <c r="AT120" i="15" s="1"/>
  <c r="AV128" i="21"/>
  <c r="AW30" i="16"/>
  <c r="AV87" i="21"/>
  <c r="AV33" i="16"/>
  <c r="AW32" i="16"/>
  <c r="AW33" i="16"/>
  <c r="AY67" i="16"/>
  <c r="AY21" i="16"/>
  <c r="AP67" i="8"/>
  <c r="AP21" i="8"/>
  <c r="AW69" i="9"/>
  <c r="AO64" i="8"/>
  <c r="AO61" i="8" s="1"/>
  <c r="AO62" i="8" s="1"/>
  <c r="AS59" i="16"/>
  <c r="AW60" i="9"/>
  <c r="AW73" i="9"/>
  <c r="AO65" i="7"/>
  <c r="AW73" i="17"/>
  <c r="AV79" i="9"/>
  <c r="AQ124" i="17"/>
  <c r="AQ125" i="17" s="1"/>
  <c r="AS159" i="3"/>
  <c r="AS176" i="3" s="1"/>
  <c r="AS87" i="3"/>
  <c r="AU132" i="21"/>
  <c r="AW60" i="17"/>
  <c r="AU118" i="3"/>
  <c r="AV123" i="3"/>
  <c r="AV134" i="3" s="1"/>
  <c r="AV117" i="3"/>
  <c r="AW117" i="3" s="1"/>
  <c r="AW118" i="3" s="1"/>
  <c r="AV118" i="3"/>
  <c r="AW52" i="3"/>
  <c r="AT121" i="3"/>
  <c r="AV80" i="9"/>
  <c r="AU80" i="9"/>
  <c r="BG51" i="3"/>
  <c r="BG92" i="3" s="1"/>
  <c r="BF92" i="3"/>
  <c r="BF98" i="3" s="1"/>
  <c r="BF99" i="3" s="1"/>
  <c r="BF10" i="3"/>
  <c r="BF11" i="3" s="1"/>
  <c r="AV108" i="21"/>
  <c r="AP61" i="7"/>
  <c r="AP62" i="7" s="1"/>
  <c r="I171" i="11"/>
  <c r="AW63" i="17"/>
  <c r="AW64" i="17" s="1"/>
  <c r="AW61" i="17"/>
  <c r="AW132" i="21"/>
  <c r="AS160" i="3"/>
  <c r="AZ75" i="17"/>
  <c r="AV91" i="21"/>
  <c r="AW92" i="16"/>
  <c r="AT95" i="17"/>
  <c r="AT92" i="21"/>
  <c r="AP64" i="8"/>
  <c r="AP65" i="8" s="1"/>
  <c r="AZ75" i="9"/>
  <c r="AV131" i="21"/>
  <c r="AW52" i="16"/>
  <c r="AY29" i="17"/>
  <c r="AU135" i="21"/>
  <c r="AU93" i="16"/>
  <c r="AP83" i="21"/>
  <c r="AP33" i="7"/>
  <c r="AS114" i="21"/>
  <c r="AS109" i="17"/>
  <c r="AS116" i="17"/>
  <c r="AS136" i="21"/>
  <c r="AO83" i="21"/>
  <c r="AQ32" i="7"/>
  <c r="AO33" i="7"/>
  <c r="AT108" i="16"/>
  <c r="AT109" i="16" s="1"/>
  <c r="AT113" i="16"/>
  <c r="AT114" i="16" s="1"/>
  <c r="AT106" i="16"/>
  <c r="AY72" i="9"/>
  <c r="AV106" i="21"/>
  <c r="AV66" i="9"/>
  <c r="AW54" i="9"/>
  <c r="AT159" i="3"/>
  <c r="I111" i="11"/>
  <c r="AW61" i="9"/>
  <c r="AW63" i="9"/>
  <c r="AW64" i="9" s="1"/>
  <c r="AW128" i="21"/>
  <c r="AO82" i="21"/>
  <c r="AO33" i="8"/>
  <c r="AO65" i="8"/>
  <c r="AW70" i="9"/>
  <c r="AW83" i="16"/>
  <c r="AY64" i="16"/>
  <c r="AY61" i="16" s="1"/>
  <c r="AP32" i="21"/>
  <c r="AP190" i="3"/>
  <c r="AP200" i="3"/>
  <c r="AU113" i="21"/>
  <c r="AU98" i="16"/>
  <c r="AU87" i="16"/>
  <c r="AU105" i="16"/>
  <c r="AU108" i="16" s="1"/>
  <c r="AU109" i="16" s="1"/>
  <c r="AP67" i="2"/>
  <c r="AP21" i="2"/>
  <c r="AP30" i="2"/>
  <c r="AQ30" i="7"/>
  <c r="AZ67" i="16"/>
  <c r="AZ21" i="16"/>
  <c r="AY29" i="9"/>
  <c r="AU67" i="10"/>
  <c r="AS114" i="16"/>
  <c r="AV130" i="21"/>
  <c r="AO64" i="2"/>
  <c r="AO65" i="2" s="1"/>
  <c r="AQ20" i="2"/>
  <c r="AQ67" i="2" s="1"/>
  <c r="AU106" i="17"/>
  <c r="AW123" i="3"/>
  <c r="AY52" i="3"/>
  <c r="AU107" i="17"/>
  <c r="BS106" i="17"/>
  <c r="BY106" i="17" s="1"/>
  <c r="CE106" i="17" s="1"/>
  <c r="CK106" i="17" s="1"/>
  <c r="CQ106" i="17" s="1"/>
  <c r="CW106" i="17" s="1"/>
  <c r="DC106" i="17" s="1"/>
  <c r="DI106" i="17" s="1"/>
  <c r="AV55" i="15"/>
  <c r="BF93" i="3"/>
  <c r="AV66" i="15"/>
  <c r="AV67" i="15" s="1"/>
  <c r="AW86" i="16"/>
  <c r="AW89" i="16" s="1"/>
  <c r="AW90" i="16" s="1"/>
  <c r="AV124" i="15"/>
  <c r="AV125" i="15"/>
  <c r="AV57" i="15"/>
  <c r="AV58" i="15" s="1"/>
  <c r="AQ64" i="8"/>
  <c r="AQ32" i="2"/>
  <c r="AP61" i="8"/>
  <c r="AP62" i="8"/>
  <c r="AU92" i="21"/>
  <c r="AU95" i="17"/>
  <c r="AZ29" i="15"/>
  <c r="AU159" i="3"/>
  <c r="AU87" i="3"/>
  <c r="AZ64" i="16"/>
  <c r="AZ65" i="16" s="1"/>
  <c r="AU106" i="16"/>
  <c r="AU113" i="16"/>
  <c r="AU99" i="16"/>
  <c r="AY65" i="16"/>
  <c r="AO126" i="21"/>
  <c r="AO104" i="21"/>
  <c r="AO49" i="8"/>
  <c r="AO50" i="8" s="1"/>
  <c r="AO58" i="8"/>
  <c r="AO47" i="8"/>
  <c r="AT160" i="3"/>
  <c r="BA67" i="16"/>
  <c r="BA21" i="16"/>
  <c r="I110" i="11"/>
  <c r="I112" i="11" s="1"/>
  <c r="I113" i="11" s="1"/>
  <c r="AW55" i="9"/>
  <c r="AW57" i="9"/>
  <c r="AW58" i="9" s="1"/>
  <c r="AW106" i="21"/>
  <c r="BA75" i="9"/>
  <c r="AS21" i="7"/>
  <c r="AS67" i="7"/>
  <c r="AW94" i="17"/>
  <c r="AY73" i="9"/>
  <c r="AO105" i="21"/>
  <c r="AO49" i="7"/>
  <c r="AO50" i="7" s="1"/>
  <c r="AO58" i="7"/>
  <c r="AO47" i="7"/>
  <c r="AP127" i="21"/>
  <c r="I216" i="11"/>
  <c r="AW135" i="21"/>
  <c r="AW93" i="16"/>
  <c r="AW95" i="16"/>
  <c r="AW96" i="16" s="1"/>
  <c r="AZ72" i="9"/>
  <c r="AZ73" i="9"/>
  <c r="AT98" i="17"/>
  <c r="AT114" i="21"/>
  <c r="AT116" i="17"/>
  <c r="AV135" i="21"/>
  <c r="AZ72" i="17"/>
  <c r="AZ73" i="17" s="1"/>
  <c r="AQ21" i="2"/>
  <c r="BA75" i="17"/>
  <c r="AO61" i="2"/>
  <c r="AY84" i="21"/>
  <c r="AY41" i="9"/>
  <c r="AY79" i="9"/>
  <c r="BE80" i="9" s="1"/>
  <c r="AP64" i="2"/>
  <c r="AW84" i="16"/>
  <c r="AY38" i="17"/>
  <c r="AV67" i="9"/>
  <c r="AW66" i="9"/>
  <c r="AW67" i="9" s="1"/>
  <c r="AO52" i="2"/>
  <c r="AO8" i="21"/>
  <c r="AO33" i="2"/>
  <c r="AO40" i="2"/>
  <c r="AQ29" i="2"/>
  <c r="AY69" i="9"/>
  <c r="AO127" i="21"/>
  <c r="AQ52" i="7"/>
  <c r="AQ53" i="7" s="1"/>
  <c r="AQ33" i="7"/>
  <c r="AS117" i="17"/>
  <c r="AS124" i="17"/>
  <c r="AS119" i="17"/>
  <c r="AS120" i="17"/>
  <c r="AS110" i="17"/>
  <c r="I156" i="11"/>
  <c r="AW131" i="21"/>
  <c r="AW53" i="16"/>
  <c r="AW55" i="16"/>
  <c r="AW56" i="16" s="1"/>
  <c r="AZ29" i="9"/>
  <c r="AP30" i="8"/>
  <c r="AQ29" i="8"/>
  <c r="BA75" i="10"/>
  <c r="AT136" i="21"/>
  <c r="AV113" i="21"/>
  <c r="AV87" i="16"/>
  <c r="AV98" i="16"/>
  <c r="AV99" i="16" s="1"/>
  <c r="AZ29" i="17"/>
  <c r="BC20" i="16"/>
  <c r="AY123" i="3"/>
  <c r="AZ52" i="3"/>
  <c r="AY117" i="3"/>
  <c r="AY120" i="3" s="1"/>
  <c r="AY121" i="3" s="1"/>
  <c r="AV119" i="15"/>
  <c r="AV120" i="15" s="1"/>
  <c r="AV117" i="15"/>
  <c r="AW113" i="21"/>
  <c r="I215" i="11"/>
  <c r="AW87" i="16"/>
  <c r="AZ69" i="17"/>
  <c r="AZ70" i="17"/>
  <c r="AP33" i="2"/>
  <c r="AP8" i="21"/>
  <c r="AP52" i="2"/>
  <c r="AQ52" i="2" s="1"/>
  <c r="BA29" i="10"/>
  <c r="AP82" i="21"/>
  <c r="AP33" i="8"/>
  <c r="AQ32" i="8"/>
  <c r="AQ55" i="7"/>
  <c r="AQ56" i="7" s="1"/>
  <c r="H96" i="11"/>
  <c r="AY70" i="9"/>
  <c r="BB75" i="17"/>
  <c r="BC28" i="17"/>
  <c r="AQ30" i="2"/>
  <c r="AO57" i="21"/>
  <c r="AO53" i="2"/>
  <c r="AP65" i="2"/>
  <c r="AY106" i="21"/>
  <c r="AY66" i="9"/>
  <c r="AY128" i="21"/>
  <c r="BA29" i="17"/>
  <c r="AT67" i="7"/>
  <c r="AT21" i="7"/>
  <c r="BA72" i="9"/>
  <c r="BA73" i="9" s="1"/>
  <c r="BC21" i="16"/>
  <c r="BA64" i="16"/>
  <c r="BA61" i="16" s="1"/>
  <c r="BA62" i="16" s="1"/>
  <c r="AW98" i="16"/>
  <c r="AW99" i="16" s="1"/>
  <c r="AW95" i="17"/>
  <c r="AZ87" i="21"/>
  <c r="AZ33" i="16"/>
  <c r="AQ64" i="2"/>
  <c r="AU136" i="21"/>
  <c r="BC28" i="9"/>
  <c r="BB67" i="16"/>
  <c r="BC67" i="16" s="1"/>
  <c r="BB21" i="16"/>
  <c r="BB75" i="15"/>
  <c r="BA72" i="10"/>
  <c r="BA73" i="10"/>
  <c r="AQ30" i="8"/>
  <c r="AS67" i="8"/>
  <c r="AS21" i="8"/>
  <c r="AZ84" i="21"/>
  <c r="AZ41" i="9"/>
  <c r="AY88" i="21"/>
  <c r="AY60" i="17"/>
  <c r="AY41" i="17"/>
  <c r="AS125" i="17"/>
  <c r="AO41" i="2"/>
  <c r="AQ33" i="2"/>
  <c r="AO13" i="21"/>
  <c r="AP61" i="2"/>
  <c r="BA72" i="17"/>
  <c r="AY87" i="21"/>
  <c r="AY33" i="16"/>
  <c r="AT117" i="17"/>
  <c r="AT119" i="17"/>
  <c r="AT120" i="17"/>
  <c r="AT124" i="17"/>
  <c r="AT125" i="17"/>
  <c r="AZ69" i="9"/>
  <c r="AZ70" i="9" s="1"/>
  <c r="AP105" i="21"/>
  <c r="AP47" i="7"/>
  <c r="AP58" i="7"/>
  <c r="AP59" i="7"/>
  <c r="AP49" i="7"/>
  <c r="AP50" i="7"/>
  <c r="AO59" i="7"/>
  <c r="AQ46" i="7"/>
  <c r="AV92" i="21"/>
  <c r="AV95" i="17"/>
  <c r="AW97" i="17"/>
  <c r="I230" i="11" s="1"/>
  <c r="AV103" i="17"/>
  <c r="BB103" i="17" s="1"/>
  <c r="AV112" i="17"/>
  <c r="AS64" i="7"/>
  <c r="BA29" i="9"/>
  <c r="AO59" i="8"/>
  <c r="AU114" i="16"/>
  <c r="AZ61" i="16"/>
  <c r="AU160" i="3"/>
  <c r="AZ86" i="21"/>
  <c r="AZ41" i="15"/>
  <c r="AU114" i="21"/>
  <c r="AU98" i="17"/>
  <c r="AU109" i="17"/>
  <c r="AZ123" i="3"/>
  <c r="AZ134" i="3" s="1"/>
  <c r="BA52" i="3"/>
  <c r="AZ117" i="3"/>
  <c r="AZ120" i="3" s="1"/>
  <c r="AZ121" i="3" s="1"/>
  <c r="AZ118" i="3"/>
  <c r="AY134" i="3"/>
  <c r="AP53" i="2"/>
  <c r="AP57" i="21"/>
  <c r="AQ61" i="2"/>
  <c r="BA69" i="10"/>
  <c r="BA70" i="10"/>
  <c r="BA69" i="9"/>
  <c r="BA70" i="9"/>
  <c r="BA38" i="17"/>
  <c r="AZ62" i="16"/>
  <c r="AT67" i="8"/>
  <c r="AT21" i="8"/>
  <c r="AT30" i="8"/>
  <c r="BC29" i="9"/>
  <c r="BA84" i="21"/>
  <c r="BA41" i="9"/>
  <c r="AS65" i="7"/>
  <c r="AV136" i="21"/>
  <c r="AV104" i="17"/>
  <c r="AQ49" i="7"/>
  <c r="AQ50" i="7" s="1"/>
  <c r="H95" i="11"/>
  <c r="AQ105" i="21"/>
  <c r="AQ47" i="7"/>
  <c r="AY131" i="21"/>
  <c r="BA73" i="17"/>
  <c r="AZ128" i="21"/>
  <c r="BB29" i="15"/>
  <c r="AS67" i="2"/>
  <c r="AS21" i="2"/>
  <c r="AW103" i="17"/>
  <c r="AO38" i="21"/>
  <c r="BC29" i="17"/>
  <c r="AQ33" i="8"/>
  <c r="AP104" i="21"/>
  <c r="AP38" i="21"/>
  <c r="AP47" i="8"/>
  <c r="AP58" i="8"/>
  <c r="AP49" i="8"/>
  <c r="AP50" i="8" s="1"/>
  <c r="AQ46" i="8"/>
  <c r="AW100" i="17"/>
  <c r="AW101" i="17" s="1"/>
  <c r="AW98" i="17"/>
  <c r="AW114" i="21"/>
  <c r="AU110" i="17"/>
  <c r="AZ130" i="21"/>
  <c r="AZ61" i="15"/>
  <c r="AO62" i="21"/>
  <c r="BC29" i="16"/>
  <c r="AS61" i="7"/>
  <c r="AV114" i="21"/>
  <c r="AV98" i="17"/>
  <c r="AV109" i="17"/>
  <c r="AV110" i="17" s="1"/>
  <c r="AQ58" i="7"/>
  <c r="AQ59" i="7"/>
  <c r="BA69" i="17"/>
  <c r="AY91" i="21"/>
  <c r="AY132" i="21"/>
  <c r="AY61" i="17"/>
  <c r="AZ79" i="9"/>
  <c r="AZ80" i="9"/>
  <c r="AS64" i="8"/>
  <c r="AS61" i="8" s="1"/>
  <c r="BB72" i="15"/>
  <c r="BB73" i="15" s="1"/>
  <c r="BB64" i="16"/>
  <c r="BB65" i="16" s="1"/>
  <c r="BB29" i="9"/>
  <c r="AZ131" i="21"/>
  <c r="BA65" i="16"/>
  <c r="AT64" i="7"/>
  <c r="AT65" i="7" s="1"/>
  <c r="AY67" i="9"/>
  <c r="AC208" i="117"/>
  <c r="BB72" i="17"/>
  <c r="BB73" i="17"/>
  <c r="AP126" i="21"/>
  <c r="AP62" i="21"/>
  <c r="AQ52" i="8"/>
  <c r="AQ198" i="21" s="1"/>
  <c r="AQ199" i="21" s="1"/>
  <c r="BA85" i="21"/>
  <c r="BA41" i="10"/>
  <c r="AU21" i="7"/>
  <c r="AU67" i="7"/>
  <c r="AY140" i="3"/>
  <c r="BA123" i="3"/>
  <c r="BA134" i="3" s="1"/>
  <c r="BB52" i="3"/>
  <c r="BA117" i="3"/>
  <c r="BA120" i="3" s="1"/>
  <c r="BC64" i="16"/>
  <c r="BC15" i="16" s="1"/>
  <c r="AT61" i="7"/>
  <c r="AT62" i="7" s="1"/>
  <c r="AQ118" i="21"/>
  <c r="AQ55" i="8"/>
  <c r="AQ56" i="8" s="1"/>
  <c r="H81" i="11"/>
  <c r="AQ53" i="8"/>
  <c r="AP13" i="21"/>
  <c r="AQ96" i="21"/>
  <c r="AC216" i="117"/>
  <c r="AC306" i="117"/>
  <c r="AT11" i="21" s="1"/>
  <c r="AC205" i="117"/>
  <c r="BB84" i="21"/>
  <c r="BB41" i="9"/>
  <c r="BC37" i="9"/>
  <c r="BB87" i="21"/>
  <c r="BB33" i="16"/>
  <c r="AZ106" i="21"/>
  <c r="AZ55" i="9"/>
  <c r="AZ57" i="9"/>
  <c r="AZ58" i="9" s="1"/>
  <c r="AZ66" i="9"/>
  <c r="AY113" i="21"/>
  <c r="AY87" i="16"/>
  <c r="AY98" i="16"/>
  <c r="AZ91" i="21"/>
  <c r="AZ105" i="16"/>
  <c r="AZ84" i="16"/>
  <c r="BC30" i="16"/>
  <c r="BA87" i="21"/>
  <c r="BA33" i="16"/>
  <c r="BC32" i="16"/>
  <c r="BC33" i="16" s="1"/>
  <c r="AQ140" i="21"/>
  <c r="AT67" i="2"/>
  <c r="AT21" i="2"/>
  <c r="BB88" i="21"/>
  <c r="BB41" i="17"/>
  <c r="BA88" i="21"/>
  <c r="BA41" i="17"/>
  <c r="AU67" i="8"/>
  <c r="AU21" i="8"/>
  <c r="AW106" i="17"/>
  <c r="AW107" i="17" s="1"/>
  <c r="AW136" i="21"/>
  <c r="I231" i="11"/>
  <c r="AW104" i="17"/>
  <c r="BB86" i="21"/>
  <c r="BB41" i="15"/>
  <c r="AS83" i="21"/>
  <c r="AS33" i="7"/>
  <c r="BA95" i="16"/>
  <c r="AT64" i="8"/>
  <c r="AT65" i="8"/>
  <c r="AU64" i="7"/>
  <c r="BA129" i="21"/>
  <c r="BA79" i="10"/>
  <c r="BA80" i="10" s="1"/>
  <c r="BB69" i="17"/>
  <c r="BB70" i="17" s="1"/>
  <c r="AB171" i="117"/>
  <c r="BB61" i="16"/>
  <c r="BB69" i="15"/>
  <c r="BB70" i="15" s="1"/>
  <c r="AS65" i="8"/>
  <c r="AY135" i="21"/>
  <c r="BA70" i="17"/>
  <c r="AS62" i="7"/>
  <c r="AW109" i="17"/>
  <c r="AW110" i="17"/>
  <c r="AQ49" i="8"/>
  <c r="AQ50" i="8"/>
  <c r="H80" i="11"/>
  <c r="AQ47" i="8"/>
  <c r="AQ104" i="21"/>
  <c r="AP59" i="8"/>
  <c r="AQ58" i="8"/>
  <c r="AQ59" i="8" s="1"/>
  <c r="AS30" i="8"/>
  <c r="AT83" i="21"/>
  <c r="AT33" i="7"/>
  <c r="AQ38" i="21"/>
  <c r="AZ109" i="21"/>
  <c r="AZ49" i="16"/>
  <c r="AZ50" i="16"/>
  <c r="AZ58" i="16"/>
  <c r="AZ59" i="16" s="1"/>
  <c r="AZ47" i="16"/>
  <c r="AV21" i="7"/>
  <c r="AV67" i="7"/>
  <c r="AW20" i="7"/>
  <c r="AV30" i="7"/>
  <c r="AS64" i="2"/>
  <c r="AS61" i="2" s="1"/>
  <c r="BC37" i="10"/>
  <c r="BC40" i="9"/>
  <c r="BC41" i="9"/>
  <c r="BA128" i="21"/>
  <c r="AZ108" i="21"/>
  <c r="AZ55" i="15"/>
  <c r="AZ66" i="15"/>
  <c r="AZ67" i="15" s="1"/>
  <c r="AZ57" i="15"/>
  <c r="AZ58" i="15" s="1"/>
  <c r="BB117" i="3"/>
  <c r="BB120" i="3" s="1"/>
  <c r="BC52" i="3"/>
  <c r="BC65" i="16"/>
  <c r="AT8" i="21"/>
  <c r="BC38" i="10"/>
  <c r="AW21" i="7"/>
  <c r="AW67" i="7"/>
  <c r="AS82" i="21"/>
  <c r="AS33" i="8"/>
  <c r="BB62" i="16"/>
  <c r="AV67" i="8"/>
  <c r="AV21" i="8"/>
  <c r="AU65" i="7"/>
  <c r="AS127" i="21"/>
  <c r="AW20" i="8"/>
  <c r="AU64" i="8"/>
  <c r="BA132" i="21"/>
  <c r="BA61" i="17"/>
  <c r="BB132" i="21"/>
  <c r="BB61" i="17"/>
  <c r="BB131" i="21"/>
  <c r="BC38" i="9"/>
  <c r="BB128" i="21"/>
  <c r="BC60" i="9"/>
  <c r="BB79" i="9"/>
  <c r="AW29" i="7"/>
  <c r="AT82" i="21"/>
  <c r="AT13" i="21"/>
  <c r="AT33" i="8"/>
  <c r="AS65" i="2"/>
  <c r="AV64" i="7"/>
  <c r="AV65" i="7" s="1"/>
  <c r="AZ106" i="16"/>
  <c r="AZ113" i="16"/>
  <c r="AZ114" i="16"/>
  <c r="AZ108" i="16"/>
  <c r="AZ109" i="16" s="1"/>
  <c r="AT127" i="21"/>
  <c r="BE75" i="9"/>
  <c r="BE67" i="16"/>
  <c r="BE21" i="16"/>
  <c r="BA107" i="21"/>
  <c r="BA55" i="10"/>
  <c r="BA57" i="10"/>
  <c r="BA58" i="10"/>
  <c r="BA66" i="10"/>
  <c r="BA67" i="10" s="1"/>
  <c r="AU67" i="2"/>
  <c r="AU21" i="2"/>
  <c r="AU30" i="2"/>
  <c r="AU61" i="7"/>
  <c r="AT61" i="8"/>
  <c r="BA106" i="21"/>
  <c r="BA57" i="9"/>
  <c r="BA58" i="9" s="1"/>
  <c r="BA55" i="9"/>
  <c r="BA91" i="21"/>
  <c r="BA84" i="16"/>
  <c r="BB130" i="21"/>
  <c r="AT64" i="2"/>
  <c r="AT61" i="2"/>
  <c r="AT62" i="2" s="1"/>
  <c r="AZ135" i="21"/>
  <c r="AZ113" i="21"/>
  <c r="AZ98" i="16"/>
  <c r="AZ99" i="16" s="1"/>
  <c r="AY99" i="16"/>
  <c r="AY103" i="17"/>
  <c r="AY112" i="17" s="1"/>
  <c r="AY92" i="21"/>
  <c r="AY95" i="17"/>
  <c r="AZ67" i="9"/>
  <c r="AC202" i="117"/>
  <c r="BC117" i="3"/>
  <c r="BC118" i="3" s="1"/>
  <c r="BB118" i="3"/>
  <c r="BE52" i="3"/>
  <c r="BE117" i="3" s="1"/>
  <c r="BE120" i="3" s="1"/>
  <c r="BE121" i="3" s="1"/>
  <c r="BB80" i="9"/>
  <c r="BC79" i="9"/>
  <c r="AV61" i="7"/>
  <c r="AV62" i="7"/>
  <c r="AT52" i="2"/>
  <c r="AT57" i="21" s="1"/>
  <c r="AT33" i="2"/>
  <c r="AU52" i="2"/>
  <c r="AT104" i="21"/>
  <c r="AW64" i="7"/>
  <c r="AY114" i="21"/>
  <c r="AY98" i="17"/>
  <c r="AY109" i="17"/>
  <c r="AY136" i="21"/>
  <c r="BB108" i="21"/>
  <c r="BB55" i="15"/>
  <c r="BB66" i="15"/>
  <c r="BB67" i="15" s="1"/>
  <c r="BB116" i="15"/>
  <c r="BB124" i="15" s="1"/>
  <c r="AS105" i="21"/>
  <c r="AS47" i="7"/>
  <c r="AS58" i="7"/>
  <c r="AS49" i="7"/>
  <c r="AS50" i="7" s="1"/>
  <c r="BA135" i="21"/>
  <c r="BE29" i="9"/>
  <c r="AV83" i="21"/>
  <c r="AV33" i="7"/>
  <c r="AW30" i="7"/>
  <c r="BC61" i="9"/>
  <c r="BC63" i="9"/>
  <c r="BC64" i="9"/>
  <c r="J111" i="11"/>
  <c r="BC128" i="21"/>
  <c r="AU65" i="8"/>
  <c r="AW21" i="8"/>
  <c r="AW67" i="8"/>
  <c r="AV64" i="8"/>
  <c r="AV65" i="8"/>
  <c r="AS126" i="21"/>
  <c r="AC222" i="117"/>
  <c r="AC309" i="117"/>
  <c r="AT36" i="21" s="1"/>
  <c r="AC199" i="117"/>
  <c r="BA109" i="21"/>
  <c r="BA47" i="16"/>
  <c r="BA49" i="16"/>
  <c r="BA50" i="16" s="1"/>
  <c r="BA105" i="16"/>
  <c r="AT65" i="2"/>
  <c r="AU82" i="21"/>
  <c r="AU33" i="8"/>
  <c r="BA113" i="21"/>
  <c r="BA87" i="16"/>
  <c r="BA98" i="16"/>
  <c r="AU64" i="2"/>
  <c r="BE64" i="16"/>
  <c r="BE61" i="16" s="1"/>
  <c r="AF170" i="117"/>
  <c r="BE72" i="9"/>
  <c r="BE69" i="9" s="1"/>
  <c r="AD208" i="117"/>
  <c r="BB91" i="21"/>
  <c r="BC92" i="16"/>
  <c r="BC83" i="16"/>
  <c r="AT126" i="21"/>
  <c r="AU83" i="21"/>
  <c r="AU33" i="7"/>
  <c r="AW32" i="7"/>
  <c r="AV67" i="2"/>
  <c r="AV21" i="2"/>
  <c r="AW20" i="2"/>
  <c r="BB106" i="21"/>
  <c r="BB66" i="9"/>
  <c r="BC54" i="9"/>
  <c r="AS52" i="2"/>
  <c r="AS8" i="21"/>
  <c r="AS33" i="2"/>
  <c r="AS40" i="2"/>
  <c r="AT53" i="2"/>
  <c r="AU61" i="8"/>
  <c r="AU62" i="8" s="1"/>
  <c r="AT105" i="21"/>
  <c r="AT58" i="7"/>
  <c r="AZ59" i="7" s="1"/>
  <c r="BF52" i="3"/>
  <c r="AW61" i="7"/>
  <c r="AT47" i="8"/>
  <c r="AT49" i="8"/>
  <c r="AT50" i="8" s="1"/>
  <c r="AW64" i="8"/>
  <c r="AW65" i="8" s="1"/>
  <c r="AV61" i="8"/>
  <c r="AV62" i="8" s="1"/>
  <c r="AU40" i="2"/>
  <c r="AU41" i="2" s="1"/>
  <c r="AU33" i="2"/>
  <c r="AU8" i="21"/>
  <c r="BB67" i="9"/>
  <c r="BC66" i="9"/>
  <c r="BC67" i="9"/>
  <c r="AV64" i="2"/>
  <c r="AV61" i="2" s="1"/>
  <c r="AV62" i="2" s="1"/>
  <c r="AW33" i="7"/>
  <c r="BC84" i="16"/>
  <c r="BB113" i="21"/>
  <c r="BB98" i="16"/>
  <c r="BB99" i="16" s="1"/>
  <c r="BB87" i="16"/>
  <c r="BC86" i="16"/>
  <c r="AD205" i="117"/>
  <c r="AU65" i="2"/>
  <c r="BA99" i="16"/>
  <c r="AU13" i="21"/>
  <c r="AU126" i="21"/>
  <c r="AC315" i="117"/>
  <c r="AC225" i="117"/>
  <c r="AY67" i="7"/>
  <c r="AY21" i="7"/>
  <c r="AT38" i="21"/>
  <c r="BE84" i="21"/>
  <c r="BE41" i="9"/>
  <c r="BC135" i="21"/>
  <c r="BC95" i="16"/>
  <c r="BC96" i="16" s="1"/>
  <c r="BC93" i="16"/>
  <c r="J216" i="11"/>
  <c r="AB208" i="117"/>
  <c r="AB162" i="117"/>
  <c r="AY110" i="17"/>
  <c r="AS104" i="21"/>
  <c r="AS47" i="8"/>
  <c r="AS49" i="8"/>
  <c r="AS50" i="8"/>
  <c r="AS58" i="8"/>
  <c r="AS41" i="2"/>
  <c r="AS57" i="21"/>
  <c r="AS53" i="2"/>
  <c r="J110" i="11"/>
  <c r="BC55" i="9"/>
  <c r="BC57" i="9"/>
  <c r="BC58" i="9" s="1"/>
  <c r="BC106" i="21"/>
  <c r="AW21" i="2"/>
  <c r="AW67" i="2"/>
  <c r="AU127" i="21"/>
  <c r="AW52" i="7"/>
  <c r="BB135" i="21"/>
  <c r="AD306" i="117"/>
  <c r="AU11" i="21" s="1"/>
  <c r="AD196" i="117"/>
  <c r="AD216" i="117"/>
  <c r="BE65" i="16"/>
  <c r="AU61" i="2"/>
  <c r="BA108" i="16"/>
  <c r="BA106" i="16"/>
  <c r="AC231" i="117"/>
  <c r="AC258" i="117"/>
  <c r="AC219" i="117"/>
  <c r="AV30" i="8"/>
  <c r="AW29" i="8"/>
  <c r="AV127" i="21"/>
  <c r="H208" i="14"/>
  <c r="H175" i="14"/>
  <c r="BA92" i="21"/>
  <c r="BA95" i="17"/>
  <c r="AU57" i="21"/>
  <c r="AU53" i="2"/>
  <c r="AS59" i="7"/>
  <c r="BB117" i="15"/>
  <c r="BC98" i="16"/>
  <c r="BC99" i="16"/>
  <c r="AD202" i="117"/>
  <c r="AW64" i="2"/>
  <c r="AW65" i="2"/>
  <c r="AW30" i="8"/>
  <c r="AI208" i="117"/>
  <c r="AI162" i="117"/>
  <c r="AU62" i="2"/>
  <c r="I96" i="11"/>
  <c r="AW53" i="7"/>
  <c r="AW127" i="21"/>
  <c r="AW55" i="7"/>
  <c r="AW56" i="7"/>
  <c r="AB174" i="117"/>
  <c r="AB217" i="117" s="1"/>
  <c r="AB216" i="117"/>
  <c r="AB196" i="117"/>
  <c r="AB197" i="117"/>
  <c r="AV105" i="21"/>
  <c r="AV49" i="7"/>
  <c r="BB50" i="7" s="1"/>
  <c r="AV50" i="7"/>
  <c r="AV47" i="7"/>
  <c r="AV58" i="7"/>
  <c r="AV59" i="7" s="1"/>
  <c r="AY64" i="7"/>
  <c r="AY61" i="7" s="1"/>
  <c r="BC113" i="21"/>
  <c r="BC87" i="16"/>
  <c r="BC89" i="16"/>
  <c r="BC90" i="16" s="1"/>
  <c r="J215" i="11"/>
  <c r="AZ21" i="7"/>
  <c r="AZ67" i="7"/>
  <c r="H82" i="14"/>
  <c r="BE87" i="21"/>
  <c r="BE33" i="16"/>
  <c r="AV82" i="21"/>
  <c r="AV33" i="8"/>
  <c r="AW32" i="8"/>
  <c r="AC264" i="117"/>
  <c r="AY67" i="8"/>
  <c r="AY21" i="8"/>
  <c r="AU104" i="21"/>
  <c r="AU47" i="8"/>
  <c r="AU58" i="8"/>
  <c r="AU59" i="8" s="1"/>
  <c r="AU49" i="8"/>
  <c r="AU50" i="8" s="1"/>
  <c r="BB92" i="21"/>
  <c r="BB95" i="17"/>
  <c r="AU105" i="21"/>
  <c r="AU58" i="7"/>
  <c r="AU49" i="7"/>
  <c r="AU50" i="7" s="1"/>
  <c r="AW46" i="7"/>
  <c r="AS59" i="8"/>
  <c r="AB205" i="117"/>
  <c r="BE128" i="21"/>
  <c r="AU62" i="21"/>
  <c r="AV65" i="2"/>
  <c r="AW29" i="2"/>
  <c r="AW30" i="2"/>
  <c r="I95" i="11"/>
  <c r="AW47" i="7"/>
  <c r="AW49" i="7"/>
  <c r="AW50" i="7" s="1"/>
  <c r="AW105" i="21"/>
  <c r="AU59" i="7"/>
  <c r="AW58" i="7"/>
  <c r="AW59" i="7" s="1"/>
  <c r="AD309" i="117"/>
  <c r="AU36" i="21" s="1"/>
  <c r="AD222" i="117"/>
  <c r="AD199" i="117"/>
  <c r="AD190" i="117"/>
  <c r="BB114" i="21"/>
  <c r="BB98" i="17"/>
  <c r="BB109" i="17"/>
  <c r="BB110" i="17"/>
  <c r="AY64" i="8"/>
  <c r="AV126" i="21"/>
  <c r="AW52" i="8"/>
  <c r="AW198" i="21" s="1"/>
  <c r="AW199" i="21" s="1"/>
  <c r="BE131" i="21"/>
  <c r="BE53" i="16"/>
  <c r="I214" i="14"/>
  <c r="AZ67" i="8"/>
  <c r="AZ21" i="8"/>
  <c r="BA67" i="7"/>
  <c r="BA21" i="7"/>
  <c r="BA30" i="7"/>
  <c r="AV52" i="2"/>
  <c r="AV8" i="21"/>
  <c r="AV33" i="2"/>
  <c r="AW32" i="2"/>
  <c r="AY67" i="2"/>
  <c r="AY21" i="2"/>
  <c r="BE106" i="21"/>
  <c r="BE55" i="9"/>
  <c r="BE57" i="9"/>
  <c r="BE58" i="9" s="1"/>
  <c r="BE66" i="9"/>
  <c r="AB202" i="117"/>
  <c r="BB136" i="21"/>
  <c r="BB104" i="17"/>
  <c r="AC272" i="117"/>
  <c r="AW33" i="8"/>
  <c r="AZ64" i="7"/>
  <c r="AZ65" i="7" s="1"/>
  <c r="AJ208" i="117"/>
  <c r="AJ162" i="117"/>
  <c r="AY65" i="7"/>
  <c r="AI205" i="117"/>
  <c r="AI206" i="117"/>
  <c r="BE113" i="21"/>
  <c r="BE91" i="21"/>
  <c r="BE84" i="16"/>
  <c r="AY30" i="7"/>
  <c r="AE208" i="117"/>
  <c r="AF161" i="117"/>
  <c r="BE135" i="21"/>
  <c r="AI306" i="117"/>
  <c r="AZ11" i="21"/>
  <c r="AI216" i="117"/>
  <c r="AI174" i="117"/>
  <c r="AI217" i="117"/>
  <c r="AJ171" i="117"/>
  <c r="AY64" i="2"/>
  <c r="AY61" i="2"/>
  <c r="AW33" i="2"/>
  <c r="AV57" i="21"/>
  <c r="AV53" i="2"/>
  <c r="AW52" i="2"/>
  <c r="AH306" i="117"/>
  <c r="AY11" i="21"/>
  <c r="AH196" i="117"/>
  <c r="AN197" i="117" s="1"/>
  <c r="AH216" i="117"/>
  <c r="AH174" i="117"/>
  <c r="AH217" i="117"/>
  <c r="BA64" i="7"/>
  <c r="BA61" i="7"/>
  <c r="BA62" i="7" s="1"/>
  <c r="AB190" i="117"/>
  <c r="AB199" i="117"/>
  <c r="AB222" i="117"/>
  <c r="AB188" i="117"/>
  <c r="AB223" i="117" s="1"/>
  <c r="I81" i="11"/>
  <c r="AW53" i="8"/>
  <c r="AW55" i="8"/>
  <c r="AW56" i="8" s="1"/>
  <c r="AW126" i="21"/>
  <c r="AY65" i="8"/>
  <c r="AD258" i="117"/>
  <c r="AD231" i="117"/>
  <c r="AD219" i="117"/>
  <c r="BA67" i="8"/>
  <c r="BA21" i="8"/>
  <c r="BA30" i="8"/>
  <c r="AY83" i="21"/>
  <c r="AY33" i="7"/>
  <c r="AY30" i="8"/>
  <c r="AI202" i="117"/>
  <c r="AI203" i="117"/>
  <c r="AZ67" i="2"/>
  <c r="AZ21" i="2"/>
  <c r="AJ205" i="117"/>
  <c r="AJ206" i="117" s="1"/>
  <c r="AZ83" i="21"/>
  <c r="AZ33" i="7"/>
  <c r="AZ61" i="7"/>
  <c r="AZ62" i="7" s="1"/>
  <c r="AV104" i="21"/>
  <c r="AV49" i="8"/>
  <c r="BB50" i="8" s="1"/>
  <c r="AV50" i="8"/>
  <c r="AV58" i="8"/>
  <c r="AV47" i="8"/>
  <c r="AW46" i="8"/>
  <c r="BE67" i="9"/>
  <c r="AZ64" i="8"/>
  <c r="AZ65" i="8"/>
  <c r="AY61" i="8"/>
  <c r="AD225" i="117"/>
  <c r="AD315" i="117"/>
  <c r="BA83" i="21"/>
  <c r="BA33" i="7"/>
  <c r="BB67" i="8"/>
  <c r="BB21" i="8"/>
  <c r="BC20" i="8"/>
  <c r="AZ64" i="2"/>
  <c r="AZ61" i="2"/>
  <c r="AZ62" i="2" s="1"/>
  <c r="AY82" i="21"/>
  <c r="AY33" i="8"/>
  <c r="BA64" i="8"/>
  <c r="BA65" i="8"/>
  <c r="AD264" i="117"/>
  <c r="AD272" i="117" s="1"/>
  <c r="BC20" i="2"/>
  <c r="AB200" i="117"/>
  <c r="AH309" i="117"/>
  <c r="AY36" i="21"/>
  <c r="AH222" i="117"/>
  <c r="AH188" i="117"/>
  <c r="AH223" i="117"/>
  <c r="AH190" i="117"/>
  <c r="AN191" i="117" s="1"/>
  <c r="AH199" i="117"/>
  <c r="I4" i="11"/>
  <c r="AW55" i="2"/>
  <c r="AZ61" i="8"/>
  <c r="AZ62" i="8" s="1"/>
  <c r="BA67" i="2"/>
  <c r="BA21" i="2"/>
  <c r="I80" i="11"/>
  <c r="AW47" i="8"/>
  <c r="AW104" i="21"/>
  <c r="AW49" i="8"/>
  <c r="AW50" i="8"/>
  <c r="AV59" i="8"/>
  <c r="AW58" i="8"/>
  <c r="AW59" i="8"/>
  <c r="AZ127" i="21"/>
  <c r="AJ202" i="117"/>
  <c r="AJ203" i="117" s="1"/>
  <c r="AY127" i="21"/>
  <c r="AZ82" i="21"/>
  <c r="AZ33" i="8"/>
  <c r="AB258" i="117"/>
  <c r="AB231" i="117"/>
  <c r="AB219" i="117"/>
  <c r="AB220" i="117"/>
  <c r="AB191" i="117"/>
  <c r="AB226" i="117" s="1"/>
  <c r="AB225" i="117"/>
  <c r="BA65" i="7"/>
  <c r="AY65" i="2"/>
  <c r="AJ306" i="117"/>
  <c r="BA11" i="21" s="1"/>
  <c r="AJ174" i="117"/>
  <c r="AJ217" i="117" s="1"/>
  <c r="AJ216" i="117"/>
  <c r="AJ196" i="117"/>
  <c r="AP197" i="117" s="1"/>
  <c r="AJ197" i="117"/>
  <c r="AE306" i="117"/>
  <c r="AV11" i="21" s="1"/>
  <c r="AE216" i="117"/>
  <c r="AF173" i="117"/>
  <c r="AE205" i="117"/>
  <c r="AF208" i="117"/>
  <c r="AZ105" i="21"/>
  <c r="BA8" i="21"/>
  <c r="AZ126" i="21"/>
  <c r="AZ52" i="2"/>
  <c r="AZ8" i="21"/>
  <c r="AZ33" i="2"/>
  <c r="BA64" i="2"/>
  <c r="BA61" i="2" s="1"/>
  <c r="AH225" i="117"/>
  <c r="AH191" i="117"/>
  <c r="AH226" i="117"/>
  <c r="AH258" i="117"/>
  <c r="AH219" i="117"/>
  <c r="AH220" i="117" s="1"/>
  <c r="AY52" i="2"/>
  <c r="AY8" i="21"/>
  <c r="AY33" i="2"/>
  <c r="AY104" i="21"/>
  <c r="AY49" i="8"/>
  <c r="AY50" i="8"/>
  <c r="AY58" i="8"/>
  <c r="AY47" i="8"/>
  <c r="AY126" i="21"/>
  <c r="BC29" i="8"/>
  <c r="BC21" i="8"/>
  <c r="BC67" i="8"/>
  <c r="BB64" i="8"/>
  <c r="BB65" i="8" s="1"/>
  <c r="BA127" i="21"/>
  <c r="BC29" i="7"/>
  <c r="AF205" i="117"/>
  <c r="AF196" i="117"/>
  <c r="AF216" i="117"/>
  <c r="AE202" i="117"/>
  <c r="AI188" i="117"/>
  <c r="AI223" i="117"/>
  <c r="AI190" i="117"/>
  <c r="AI309" i="117"/>
  <c r="AZ36" i="21" s="1"/>
  <c r="BC36" i="21" s="1"/>
  <c r="AI199" i="117"/>
  <c r="AI200" i="117" s="1"/>
  <c r="AI222" i="117"/>
  <c r="AB264" i="117"/>
  <c r="AB259" i="117"/>
  <c r="BA82" i="21"/>
  <c r="BA33" i="8"/>
  <c r="AY105" i="21"/>
  <c r="AY49" i="7"/>
  <c r="AY50" i="7" s="1"/>
  <c r="AY58" i="7"/>
  <c r="BE59" i="7" s="1"/>
  <c r="AY47" i="7"/>
  <c r="BC21" i="2"/>
  <c r="BC67" i="2"/>
  <c r="AN208" i="117"/>
  <c r="AH200" i="117"/>
  <c r="AH315" i="117"/>
  <c r="BB67" i="2"/>
  <c r="BB64" i="2" s="1"/>
  <c r="BB21" i="2"/>
  <c r="BA61" i="8"/>
  <c r="BA62" i="8"/>
  <c r="AZ65" i="2"/>
  <c r="AE309" i="117"/>
  <c r="AV36" i="21" s="1"/>
  <c r="BA52" i="2"/>
  <c r="BA57" i="21" s="1"/>
  <c r="BA40" i="2"/>
  <c r="BA41" i="2" s="1"/>
  <c r="BA33" i="2"/>
  <c r="BB82" i="21"/>
  <c r="BC52" i="8"/>
  <c r="BC198" i="21" s="1"/>
  <c r="BB33" i="8"/>
  <c r="AY59" i="7"/>
  <c r="AJ309" i="117"/>
  <c r="BA36" i="21" s="1"/>
  <c r="AJ190" i="117"/>
  <c r="AJ199" i="117"/>
  <c r="AJ200" i="117" s="1"/>
  <c r="AJ222" i="117"/>
  <c r="AJ188" i="117"/>
  <c r="AJ223" i="117" s="1"/>
  <c r="AI191" i="117"/>
  <c r="AI226" i="117"/>
  <c r="AI225" i="117"/>
  <c r="AF202" i="117"/>
  <c r="BC30" i="7"/>
  <c r="AY59" i="8"/>
  <c r="AY57" i="21"/>
  <c r="AY53" i="2"/>
  <c r="AZ57" i="21"/>
  <c r="AZ53" i="2"/>
  <c r="AZ104" i="21"/>
  <c r="AZ47" i="8"/>
  <c r="AZ58" i="8"/>
  <c r="AZ59" i="8" s="1"/>
  <c r="AZ49" i="8"/>
  <c r="AZ50" i="8"/>
  <c r="BC32" i="8"/>
  <c r="BC64" i="8"/>
  <c r="BC65" i="8" s="1"/>
  <c r="AN205" i="117"/>
  <c r="AN202" i="117" s="1"/>
  <c r="BA126" i="21"/>
  <c r="AB272" i="117"/>
  <c r="AI231" i="117"/>
  <c r="AI258" i="117"/>
  <c r="AI219" i="117"/>
  <c r="AI220" i="117"/>
  <c r="AI315" i="117"/>
  <c r="AE222" i="117"/>
  <c r="AE190" i="117"/>
  <c r="AE199" i="117"/>
  <c r="AF187" i="117"/>
  <c r="BB61" i="8"/>
  <c r="BC30" i="8"/>
  <c r="AH264" i="117"/>
  <c r="AH259" i="117"/>
  <c r="BA65" i="2"/>
  <c r="BA53" i="2"/>
  <c r="J81" i="11"/>
  <c r="BC53" i="8"/>
  <c r="BC55" i="8"/>
  <c r="BC56" i="8"/>
  <c r="BC126" i="21"/>
  <c r="AE225" i="117"/>
  <c r="AE315" i="117"/>
  <c r="AI232" i="117"/>
  <c r="BA104" i="21"/>
  <c r="BA49" i="8"/>
  <c r="BG50" i="8" s="1"/>
  <c r="BA58" i="8"/>
  <c r="BG59" i="8" s="1"/>
  <c r="BA47" i="8"/>
  <c r="BC29" i="2"/>
  <c r="BC33" i="8"/>
  <c r="AJ258" i="117"/>
  <c r="AJ231" i="117"/>
  <c r="AJ219" i="117"/>
  <c r="AJ220" i="117" s="1"/>
  <c r="AJ191" i="117"/>
  <c r="AJ226" i="117" s="1"/>
  <c r="AJ225" i="117"/>
  <c r="AK222" i="117"/>
  <c r="AK309" i="117"/>
  <c r="BB36" i="21" s="1"/>
  <c r="AK223" i="117"/>
  <c r="AK199" i="117"/>
  <c r="AH272" i="117"/>
  <c r="AH265" i="117"/>
  <c r="BB62" i="8"/>
  <c r="BC61" i="8"/>
  <c r="AF222" i="117"/>
  <c r="AF190" i="117"/>
  <c r="AF199" i="117"/>
  <c r="AE258" i="117"/>
  <c r="AE231" i="117"/>
  <c r="AE219" i="117"/>
  <c r="AI264" i="117"/>
  <c r="AI259" i="117"/>
  <c r="AJ315" i="117"/>
  <c r="BE67" i="8"/>
  <c r="BE21" i="8"/>
  <c r="BB126" i="21"/>
  <c r="AE264" i="117"/>
  <c r="AE272" i="117" s="1"/>
  <c r="AF258" i="117"/>
  <c r="AF225" i="117"/>
  <c r="AK200" i="117"/>
  <c r="AL199" i="117"/>
  <c r="AL200" i="117"/>
  <c r="AK315" i="117"/>
  <c r="AJ232" i="117"/>
  <c r="BB52" i="2"/>
  <c r="BB8" i="21"/>
  <c r="BB33" i="2"/>
  <c r="BC32" i="2"/>
  <c r="BA59" i="8"/>
  <c r="AI272" i="117"/>
  <c r="AI265" i="117"/>
  <c r="AF231" i="117"/>
  <c r="I50" i="11"/>
  <c r="I52" i="11" s="1"/>
  <c r="I53" i="11" s="1"/>
  <c r="AF219" i="117"/>
  <c r="AK258" i="117"/>
  <c r="AL258" i="117" s="1"/>
  <c r="AL259" i="117" s="1"/>
  <c r="AK231" i="117"/>
  <c r="AJ264" i="117"/>
  <c r="AJ259" i="117"/>
  <c r="BC30" i="2"/>
  <c r="J214" i="14"/>
  <c r="AJ272" i="117"/>
  <c r="AJ265" i="117"/>
  <c r="AK264" i="117"/>
  <c r="AL264" i="117"/>
  <c r="AK259" i="117"/>
  <c r="BB57" i="21"/>
  <c r="BB53" i="2"/>
  <c r="BC52" i="2"/>
  <c r="AF264" i="117"/>
  <c r="AK232" i="117"/>
  <c r="BC33" i="2"/>
  <c r="AL265" i="117"/>
  <c r="BE33" i="8"/>
  <c r="AF272" i="117"/>
  <c r="BC55" i="2"/>
  <c r="BC56" i="2" s="1"/>
  <c r="BC53" i="2"/>
  <c r="J4" i="11"/>
  <c r="AK272" i="117"/>
  <c r="AL272" i="117" s="1"/>
  <c r="AK265" i="117"/>
  <c r="BE47" i="8"/>
  <c r="BE58" i="8"/>
  <c r="BE49" i="8"/>
  <c r="BE50" i="8" s="1"/>
  <c r="BC152" i="21"/>
  <c r="J143" i="14"/>
  <c r="BE59" i="8"/>
  <c r="K143" i="14"/>
  <c r="N143" i="14"/>
  <c r="M143" i="14"/>
  <c r="O143" i="14"/>
  <c r="P143" i="14"/>
  <c r="F26" i="12"/>
  <c r="H26" i="12"/>
  <c r="G26" i="12"/>
  <c r="AP72" i="10"/>
  <c r="AP69" i="10" s="1"/>
  <c r="AQ72" i="10"/>
  <c r="AW25" i="10"/>
  <c r="AV75" i="10"/>
  <c r="AW26" i="10"/>
  <c r="AW75" i="10"/>
  <c r="BB75" i="10"/>
  <c r="AW28" i="10"/>
  <c r="AV29" i="10"/>
  <c r="AV72" i="10"/>
  <c r="AW72" i="10" s="1"/>
  <c r="AV73" i="10"/>
  <c r="BB29" i="10"/>
  <c r="AV85" i="21"/>
  <c r="AW40" i="10"/>
  <c r="AW41" i="10"/>
  <c r="AV41" i="10"/>
  <c r="BB72" i="10"/>
  <c r="BB73" i="10" s="1"/>
  <c r="AV69" i="10"/>
  <c r="AW29" i="10"/>
  <c r="BB69" i="10"/>
  <c r="BB70" i="10" s="1"/>
  <c r="AV107" i="21"/>
  <c r="AW54" i="10"/>
  <c r="AV55" i="10"/>
  <c r="AV57" i="10"/>
  <c r="BB58" i="10" s="1"/>
  <c r="AV58" i="10"/>
  <c r="AV66" i="10"/>
  <c r="AV67" i="10" s="1"/>
  <c r="AV13" i="21"/>
  <c r="BB85" i="21"/>
  <c r="BB41" i="10"/>
  <c r="AW69" i="10"/>
  <c r="AV129" i="21"/>
  <c r="AV62" i="21"/>
  <c r="AW60" i="10"/>
  <c r="AW129" i="21" s="1"/>
  <c r="AW61" i="10"/>
  <c r="AW63" i="10"/>
  <c r="AW64" i="10" s="1"/>
  <c r="AW107" i="21"/>
  <c r="AW55" i="10"/>
  <c r="AW57" i="10"/>
  <c r="AW58" i="10" s="1"/>
  <c r="I125" i="11"/>
  <c r="AW66" i="10"/>
  <c r="AW67" i="10" s="1"/>
  <c r="BB129" i="21"/>
  <c r="BB79" i="10"/>
  <c r="BB80" i="10"/>
  <c r="BB107" i="21"/>
  <c r="BB66" i="10"/>
  <c r="BB67" i="10" s="1"/>
  <c r="AY75" i="10"/>
  <c r="AY72" i="10" s="1"/>
  <c r="BE75" i="10"/>
  <c r="AY29" i="10"/>
  <c r="BE29" i="10"/>
  <c r="AY41" i="10"/>
  <c r="AY85" i="21"/>
  <c r="BE41" i="10"/>
  <c r="BE85" i="21"/>
  <c r="AY57" i="10"/>
  <c r="AY58" i="10" s="1"/>
  <c r="AY66" i="10"/>
  <c r="BE67" i="10" s="1"/>
  <c r="AY107" i="21"/>
  <c r="AY55" i="10"/>
  <c r="AY129" i="21"/>
  <c r="AY67" i="10"/>
  <c r="BE129" i="21"/>
  <c r="AW40" i="15"/>
  <c r="AW41" i="15" s="1"/>
  <c r="AS41" i="15"/>
  <c r="AW60" i="15"/>
  <c r="I141" i="11"/>
  <c r="AS86" i="21"/>
  <c r="AS130" i="21"/>
  <c r="AS62" i="21"/>
  <c r="AW63" i="15"/>
  <c r="AW64" i="15" s="1"/>
  <c r="AW61" i="15"/>
  <c r="AW130" i="21"/>
  <c r="AW96" i="21"/>
  <c r="AS13" i="21"/>
  <c r="AS55" i="15"/>
  <c r="AS57" i="15"/>
  <c r="AS58" i="15"/>
  <c r="AS66" i="15"/>
  <c r="AS116" i="15"/>
  <c r="AS124" i="15" s="1"/>
  <c r="AS108" i="21"/>
  <c r="AS117" i="15"/>
  <c r="AS119" i="15"/>
  <c r="AS120" i="15" s="1"/>
  <c r="AS67" i="15"/>
  <c r="AS38" i="21"/>
  <c r="AW28" i="15"/>
  <c r="AS29" i="15"/>
  <c r="AW29" i="15"/>
  <c r="AU109" i="15"/>
  <c r="AU110" i="15" s="1"/>
  <c r="AW97" i="15"/>
  <c r="AW112" i="21" s="1"/>
  <c r="AU112" i="21"/>
  <c r="AW98" i="15"/>
  <c r="AW100" i="15"/>
  <c r="AW101" i="15" s="1"/>
  <c r="I200" i="11"/>
  <c r="H73" i="14"/>
  <c r="H90" i="14" s="1"/>
  <c r="H129" i="14"/>
  <c r="H210" i="14"/>
  <c r="H130" i="14"/>
  <c r="H211" i="14"/>
  <c r="J77" i="12"/>
  <c r="H113" i="14"/>
  <c r="H125" i="14" s="1"/>
  <c r="H122" i="14"/>
  <c r="AT123" i="3"/>
  <c r="AT134" i="3" s="1"/>
  <c r="AT135" i="3" s="1"/>
  <c r="AW126" i="3"/>
  <c r="BA144" i="3"/>
  <c r="AT144" i="3"/>
  <c r="AW143" i="3"/>
  <c r="AU144" i="3"/>
  <c r="AW144" i="3"/>
  <c r="AT176" i="3"/>
  <c r="AT177" i="3" s="1"/>
  <c r="AT175" i="3" s="1"/>
  <c r="AT166" i="3"/>
  <c r="AZ166" i="3"/>
  <c r="AW165" i="3"/>
  <c r="AU176" i="3"/>
  <c r="AU194" i="3" s="1"/>
  <c r="AT7" i="21"/>
  <c r="AT180" i="3"/>
  <c r="AT181" i="3" s="1"/>
  <c r="AT194" i="3"/>
  <c r="AT195" i="3" s="1"/>
  <c r="AW166" i="3"/>
  <c r="AU177" i="3"/>
  <c r="AU175" i="3" s="1"/>
  <c r="AU7" i="21"/>
  <c r="AT56" i="21"/>
  <c r="AT187" i="3"/>
  <c r="AT200" i="3" s="1"/>
  <c r="AT201" i="3" s="1"/>
  <c r="AT188" i="3"/>
  <c r="AT32" i="21"/>
  <c r="AW20" i="20"/>
  <c r="AW21" i="20"/>
  <c r="AS21" i="20"/>
  <c r="AS23" i="20"/>
  <c r="AY24" i="20" s="1"/>
  <c r="AS26" i="20"/>
  <c r="AW26" i="20" s="1"/>
  <c r="AS68" i="21"/>
  <c r="AW68" i="21"/>
  <c r="AW23" i="20"/>
  <c r="AW24" i="20"/>
  <c r="I246" i="11"/>
  <c r="AS28" i="20"/>
  <c r="AY26" i="20"/>
  <c r="AY28" i="20" s="1"/>
  <c r="BC20" i="20"/>
  <c r="AY68" i="21"/>
  <c r="BE26" i="20"/>
  <c r="BE68" i="21"/>
  <c r="BC23" i="20"/>
  <c r="BC24" i="20" s="1"/>
  <c r="BC21" i="20"/>
  <c r="J246" i="11"/>
  <c r="J247" i="11" s="1"/>
  <c r="J248" i="11" s="1"/>
  <c r="BC68" i="21"/>
  <c r="H198" i="14"/>
  <c r="H212" i="14"/>
  <c r="AV146" i="21"/>
  <c r="AY148" i="21" s="1"/>
  <c r="BB146" i="21"/>
  <c r="Z234" i="117"/>
  <c r="Z274" i="117"/>
  <c r="AB236" i="117"/>
  <c r="AB278" i="117"/>
  <c r="AB243" i="117"/>
  <c r="AB248" i="117" s="1"/>
  <c r="AB282" i="117"/>
  <c r="H190" i="14"/>
  <c r="I190" i="14"/>
  <c r="BC25" i="10"/>
  <c r="BC26" i="10" s="1"/>
  <c r="AZ75" i="10"/>
  <c r="BC75" i="10"/>
  <c r="AZ72" i="10"/>
  <c r="AZ69" i="10"/>
  <c r="BC28" i="10"/>
  <c r="BC29" i="10" s="1"/>
  <c r="AZ29" i="10"/>
  <c r="AZ70" i="10"/>
  <c r="AZ85" i="21"/>
  <c r="BC40" i="10"/>
  <c r="BC41" i="10" s="1"/>
  <c r="AZ41" i="10"/>
  <c r="AZ73" i="10"/>
  <c r="AZ129" i="21"/>
  <c r="BC60" i="10"/>
  <c r="AZ79" i="10"/>
  <c r="BF80" i="10" s="1"/>
  <c r="AZ80" i="10"/>
  <c r="BC79" i="10"/>
  <c r="BC129" i="21"/>
  <c r="BC61" i="10"/>
  <c r="J126" i="11"/>
  <c r="AZ107" i="21"/>
  <c r="AZ57" i="10"/>
  <c r="AZ58" i="10" s="1"/>
  <c r="BC54" i="10"/>
  <c r="AZ55" i="10"/>
  <c r="BC66" i="10"/>
  <c r="BC67" i="10" s="1"/>
  <c r="BC107" i="21"/>
  <c r="BC55" i="10"/>
  <c r="BC57" i="10"/>
  <c r="BC58" i="10" s="1"/>
  <c r="J125" i="11"/>
  <c r="AW37" i="17"/>
  <c r="AW38" i="17" s="1"/>
  <c r="BC37" i="17"/>
  <c r="AZ38" i="17"/>
  <c r="BC40" i="17"/>
  <c r="BC41" i="17" s="1"/>
  <c r="AZ41" i="17"/>
  <c r="AZ88" i="21"/>
  <c r="BC38" i="17"/>
  <c r="BC60" i="17"/>
  <c r="AZ132" i="21"/>
  <c r="AZ57" i="17"/>
  <c r="AZ58" i="17"/>
  <c r="AZ66" i="17"/>
  <c r="AZ110" i="21"/>
  <c r="BC63" i="17"/>
  <c r="BC64" i="17"/>
  <c r="BC61" i="17"/>
  <c r="BC132" i="21"/>
  <c r="J171" i="11"/>
  <c r="AZ67" i="17"/>
  <c r="AZ92" i="21"/>
  <c r="AZ95" i="17"/>
  <c r="BC94" i="17"/>
  <c r="AZ136" i="21"/>
  <c r="AZ13" i="21"/>
  <c r="AN106" i="15"/>
  <c r="AT103" i="15"/>
  <c r="AT106" i="15" s="1"/>
  <c r="AT107" i="15" s="1"/>
  <c r="AN104" i="15"/>
  <c r="AQ103" i="15"/>
  <c r="AQ104" i="15" s="1"/>
  <c r="AN109" i="15"/>
  <c r="AN124" i="15"/>
  <c r="AN134" i="21"/>
  <c r="AQ109" i="15"/>
  <c r="AQ110" i="15" s="1"/>
  <c r="AN110" i="15"/>
  <c r="AQ106" i="15"/>
  <c r="AQ107" i="15" s="1"/>
  <c r="AQ124" i="15"/>
  <c r="AN125" i="15"/>
  <c r="AW103" i="15"/>
  <c r="AT109" i="15"/>
  <c r="AT110" i="15" s="1"/>
  <c r="AT124" i="15"/>
  <c r="AT104" i="15"/>
  <c r="AT134" i="21"/>
  <c r="AW109" i="15"/>
  <c r="AW110" i="15" s="1"/>
  <c r="AW106" i="15"/>
  <c r="AW107" i="15"/>
  <c r="AW134" i="21"/>
  <c r="I201" i="11"/>
  <c r="AT62" i="21"/>
  <c r="AW62" i="21" s="1"/>
  <c r="AW140" i="21"/>
  <c r="AT125" i="15"/>
  <c r="AZ134" i="21"/>
  <c r="AZ62" i="21"/>
  <c r="AZ104" i="15"/>
  <c r="BC103" i="15"/>
  <c r="BC104" i="15" s="1"/>
  <c r="AU276" i="117"/>
  <c r="AC236" i="117"/>
  <c r="AC243" i="117"/>
  <c r="AC278" i="117"/>
  <c r="AC282" i="117" s="1"/>
  <c r="AC248" i="117"/>
  <c r="AT146" i="21"/>
  <c r="AT147" i="21" s="1"/>
  <c r="AW161" i="21"/>
  <c r="AZ146" i="21"/>
  <c r="AZ148" i="21" s="1"/>
  <c r="BC161" i="21"/>
  <c r="BS35" i="7"/>
  <c r="BY35" i="7" s="1"/>
  <c r="CE35" i="7" s="1"/>
  <c r="CK35" i="7" s="1"/>
  <c r="CQ35" i="7" s="1"/>
  <c r="CW35" i="7" s="1"/>
  <c r="DC35" i="7" s="1"/>
  <c r="DI35" i="7" s="1"/>
  <c r="BA105" i="21"/>
  <c r="BA47" i="7"/>
  <c r="BA49" i="7"/>
  <c r="BA50" i="7" s="1"/>
  <c r="BA58" i="7"/>
  <c r="BA59" i="7"/>
  <c r="AD236" i="117"/>
  <c r="AD243" i="117" s="1"/>
  <c r="AD278" i="117"/>
  <c r="AD282" i="117"/>
  <c r="AU55" i="17"/>
  <c r="AU57" i="17"/>
  <c r="AU58" i="17"/>
  <c r="AU66" i="17"/>
  <c r="AU67" i="17" s="1"/>
  <c r="AU116" i="17"/>
  <c r="AU117" i="17"/>
  <c r="AU124" i="17"/>
  <c r="AU110" i="21"/>
  <c r="AU119" i="17"/>
  <c r="AU120" i="17"/>
  <c r="AU125" i="17"/>
  <c r="BA66" i="17"/>
  <c r="BA57" i="17"/>
  <c r="BA58" i="17"/>
  <c r="BA55" i="17"/>
  <c r="BA110" i="21"/>
  <c r="BA67" i="17"/>
  <c r="AW54" i="15"/>
  <c r="AW55" i="15"/>
  <c r="AU55" i="15"/>
  <c r="AU57" i="15"/>
  <c r="AU66" i="15"/>
  <c r="AW66" i="15"/>
  <c r="AW67" i="15" s="1"/>
  <c r="AU116" i="15"/>
  <c r="AU108" i="21"/>
  <c r="AW108" i="21"/>
  <c r="AW57" i="15"/>
  <c r="AW58" i="15" s="1"/>
  <c r="I140" i="11"/>
  <c r="AU58" i="15"/>
  <c r="AU117" i="15"/>
  <c r="AU67" i="15"/>
  <c r="AU38" i="21"/>
  <c r="AU124" i="15"/>
  <c r="AU119" i="15"/>
  <c r="AU120" i="15" s="1"/>
  <c r="AW116" i="15"/>
  <c r="AU125" i="15"/>
  <c r="AW117" i="15"/>
  <c r="AW119" i="15"/>
  <c r="AW120" i="15"/>
  <c r="AU75" i="15"/>
  <c r="AU72" i="15" s="1"/>
  <c r="BA75" i="15"/>
  <c r="BA72" i="15" s="1"/>
  <c r="BA29" i="15"/>
  <c r="BA41" i="15"/>
  <c r="BA86" i="21"/>
  <c r="BA13" i="21"/>
  <c r="BA66" i="15"/>
  <c r="BA67" i="15" s="1"/>
  <c r="BA130" i="21"/>
  <c r="BA62" i="21"/>
  <c r="BA108" i="21"/>
  <c r="BA55" i="15"/>
  <c r="BR100" i="15"/>
  <c r="BX100" i="15" s="1"/>
  <c r="CD100" i="15" s="1"/>
  <c r="CJ100" i="15" s="1"/>
  <c r="CP100" i="15" s="1"/>
  <c r="CV100" i="15" s="1"/>
  <c r="DB100" i="15" s="1"/>
  <c r="DH100" i="15" s="1"/>
  <c r="AZ98" i="15"/>
  <c r="AZ109" i="15"/>
  <c r="AZ110" i="15" s="1"/>
  <c r="AZ116" i="15"/>
  <c r="AZ117" i="15" s="1"/>
  <c r="AZ112" i="21"/>
  <c r="AZ119" i="15"/>
  <c r="AZ120" i="15" s="1"/>
  <c r="AZ124" i="15"/>
  <c r="AZ125" i="15" s="1"/>
  <c r="BS100" i="15"/>
  <c r="BY100" i="15" s="1"/>
  <c r="CE100" i="15" s="1"/>
  <c r="CK100" i="15" s="1"/>
  <c r="CQ100" i="15" s="1"/>
  <c r="CW100" i="15" s="1"/>
  <c r="DC100" i="15" s="1"/>
  <c r="DI100" i="15" s="1"/>
  <c r="BA109" i="15"/>
  <c r="BA110" i="15" s="1"/>
  <c r="BC97" i="15"/>
  <c r="BC98" i="15" s="1"/>
  <c r="BA116" i="15"/>
  <c r="BA124" i="15" s="1"/>
  <c r="BA125" i="15" s="1"/>
  <c r="BA98" i="15"/>
  <c r="BA112" i="21"/>
  <c r="BA38" i="21"/>
  <c r="BA117" i="15"/>
  <c r="BA119" i="15"/>
  <c r="BA120" i="15" s="1"/>
  <c r="H25" i="12"/>
  <c r="F25" i="12"/>
  <c r="G25" i="12"/>
  <c r="BE21" i="7"/>
  <c r="BE67" i="7"/>
  <c r="BE64" i="7" s="1"/>
  <c r="BE33" i="7"/>
  <c r="BE83" i="21"/>
  <c r="BE127" i="21"/>
  <c r="BC20" i="7"/>
  <c r="BB21" i="7"/>
  <c r="BB67" i="7"/>
  <c r="BB83" i="21"/>
  <c r="BB33" i="7"/>
  <c r="BC32" i="7"/>
  <c r="BC33" i="7" s="1"/>
  <c r="BC67" i="7"/>
  <c r="BB64" i="7"/>
  <c r="BB105" i="21"/>
  <c r="BC46" i="7"/>
  <c r="BC49" i="7" s="1"/>
  <c r="BC50" i="7" s="1"/>
  <c r="BB127" i="21"/>
  <c r="BB62" i="21"/>
  <c r="BC52" i="7"/>
  <c r="BC53" i="7" s="1"/>
  <c r="BB65" i="7"/>
  <c r="BC64" i="7"/>
  <c r="BC65" i="7"/>
  <c r="BB61" i="7"/>
  <c r="BB62" i="7" s="1"/>
  <c r="BB13" i="21"/>
  <c r="BC105" i="21"/>
  <c r="J95" i="11"/>
  <c r="BC127" i="21"/>
  <c r="J96" i="11"/>
  <c r="BC58" i="7"/>
  <c r="BC59" i="7" s="1"/>
  <c r="BE21" i="2"/>
  <c r="BE67" i="2"/>
  <c r="BE64" i="2" s="1"/>
  <c r="BE61" i="2" s="1"/>
  <c r="BE62" i="2" s="1"/>
  <c r="AW86" i="3"/>
  <c r="AW87" i="3" s="1"/>
  <c r="AV87" i="3"/>
  <c r="AV159" i="3"/>
  <c r="AV160" i="3" s="1"/>
  <c r="AV176" i="3"/>
  <c r="AV7" i="21" s="1"/>
  <c r="AV194" i="3"/>
  <c r="AV56" i="21" s="1"/>
  <c r="AV195" i="3"/>
  <c r="I175" i="14"/>
  <c r="I208" i="14"/>
  <c r="I82" i="14"/>
  <c r="I243" i="14"/>
  <c r="AY87" i="3"/>
  <c r="AY159" i="3"/>
  <c r="AY160" i="3" s="1"/>
  <c r="AF274" i="117"/>
  <c r="AE278" i="117"/>
  <c r="AF278" i="117" s="1"/>
  <c r="AH278" i="117"/>
  <c r="AH282" i="117"/>
  <c r="BG289" i="117"/>
  <c r="BH289" i="117" s="1"/>
  <c r="BI289" i="117" s="1"/>
  <c r="BL289" i="117" s="1"/>
  <c r="BM289" i="117" s="1"/>
  <c r="BN289" i="117" s="1"/>
  <c r="BO289" i="117" s="1"/>
  <c r="BR289" i="117" s="1"/>
  <c r="BS289" i="117" s="1"/>
  <c r="BT289" i="117" s="1"/>
  <c r="BU289" i="117" s="1"/>
  <c r="BX289" i="117" s="1"/>
  <c r="BY289" i="117" s="1"/>
  <c r="BZ289" i="117" s="1"/>
  <c r="CA289" i="117" s="1"/>
  <c r="CD289" i="117" s="1"/>
  <c r="CE289" i="117" s="1"/>
  <c r="CF289" i="117" s="1"/>
  <c r="CG289" i="117" s="1"/>
  <c r="CJ289" i="117" s="1"/>
  <c r="CK289" i="117" s="1"/>
  <c r="CL289" i="117" s="1"/>
  <c r="CM289" i="117" s="1"/>
  <c r="CP289" i="117" s="1"/>
  <c r="CQ289" i="117" s="1"/>
  <c r="CR289" i="117" s="1"/>
  <c r="CS289" i="117" s="1"/>
  <c r="AY109" i="21"/>
  <c r="AY47" i="16"/>
  <c r="AY49" i="16"/>
  <c r="AY50" i="16"/>
  <c r="AY58" i="16"/>
  <c r="AY59" i="16" s="1"/>
  <c r="AY105" i="16"/>
  <c r="AY113" i="16" s="1"/>
  <c r="AY114" i="16" s="1"/>
  <c r="AY108" i="16"/>
  <c r="AY109" i="16" s="1"/>
  <c r="AY106" i="16"/>
  <c r="AW54" i="17"/>
  <c r="I170" i="11" s="1"/>
  <c r="AV55" i="17"/>
  <c r="AV57" i="17"/>
  <c r="AV58" i="17" s="1"/>
  <c r="AV66" i="17"/>
  <c r="AV67" i="17" s="1"/>
  <c r="AV116" i="17"/>
  <c r="AV117" i="17" s="1"/>
  <c r="AV110" i="21"/>
  <c r="AW66" i="17"/>
  <c r="AW67" i="17" s="1"/>
  <c r="AW57" i="17"/>
  <c r="AW58" i="17" s="1"/>
  <c r="AW116" i="17"/>
  <c r="AW117" i="17" s="1"/>
  <c r="AV124" i="17"/>
  <c r="AW124" i="17" s="1"/>
  <c r="AW125" i="17" s="1"/>
  <c r="AV125" i="17"/>
  <c r="AY55" i="17"/>
  <c r="AY57" i="17"/>
  <c r="BE58" i="17" s="1"/>
  <c r="AY66" i="17"/>
  <c r="AY67" i="17"/>
  <c r="AY116" i="17"/>
  <c r="AY117" i="17" s="1"/>
  <c r="AY110" i="21"/>
  <c r="AY119" i="17"/>
  <c r="AY120" i="17" s="1"/>
  <c r="AY124" i="17"/>
  <c r="AY125" i="17" s="1"/>
  <c r="AZ114" i="21"/>
  <c r="AZ38" i="21"/>
  <c r="AZ116" i="17"/>
  <c r="AZ119" i="17"/>
  <c r="AZ120" i="17" s="1"/>
  <c r="AZ124" i="17"/>
  <c r="AZ117" i="17"/>
  <c r="AZ125" i="17"/>
  <c r="G27" i="12"/>
  <c r="H27" i="12"/>
  <c r="F27" i="12"/>
  <c r="BC28" i="15"/>
  <c r="AY29" i="15"/>
  <c r="AY41" i="15"/>
  <c r="AY86" i="21"/>
  <c r="BC40" i="15"/>
  <c r="BC41" i="15" s="1"/>
  <c r="AY61" i="15"/>
  <c r="AY112" i="15"/>
  <c r="BC60" i="15"/>
  <c r="BC63" i="15" s="1"/>
  <c r="BC64" i="15" s="1"/>
  <c r="AY130" i="21"/>
  <c r="AY55" i="15"/>
  <c r="BC54" i="15"/>
  <c r="BC108" i="21" s="1"/>
  <c r="AY108" i="21"/>
  <c r="AY57" i="15"/>
  <c r="AY58" i="15" s="1"/>
  <c r="BC96" i="21"/>
  <c r="AY13" i="21"/>
  <c r="AY38" i="21"/>
  <c r="AY62" i="21"/>
  <c r="BC140" i="21"/>
  <c r="BC61" i="15"/>
  <c r="AV38" i="21"/>
  <c r="AW118" i="21"/>
  <c r="I73" i="14"/>
  <c r="I90" i="14" s="1"/>
  <c r="I129" i="14"/>
  <c r="I261" i="14"/>
  <c r="I210" i="14"/>
  <c r="I211" i="14"/>
  <c r="K77" i="12"/>
  <c r="J190" i="14"/>
  <c r="I113" i="14"/>
  <c r="I125" i="14" s="1"/>
  <c r="I126" i="14" s="1"/>
  <c r="I122" i="14"/>
  <c r="I198" i="14"/>
  <c r="I212" i="14"/>
  <c r="I257" i="14"/>
  <c r="K184" i="14"/>
  <c r="AH162" i="117"/>
  <c r="AN162" i="117"/>
  <c r="AH208" i="117"/>
  <c r="AL170" i="117"/>
  <c r="AH205" i="117"/>
  <c r="AH206" i="117" s="1"/>
  <c r="AL171" i="117"/>
  <c r="AI236" i="117"/>
  <c r="AI243" i="117" s="1"/>
  <c r="AI278" i="117"/>
  <c r="AI282" i="117" s="1"/>
  <c r="BC109" i="3"/>
  <c r="BA162" i="3"/>
  <c r="BC162" i="3" s="1"/>
  <c r="BC163" i="3" s="1"/>
  <c r="BA113" i="3"/>
  <c r="BC110" i="3"/>
  <c r="BC101" i="3"/>
  <c r="BC98" i="3"/>
  <c r="BB102" i="3"/>
  <c r="BC112" i="3"/>
  <c r="BC95" i="3" s="1"/>
  <c r="BC96" i="3" s="1"/>
  <c r="BB113" i="3"/>
  <c r="BB162" i="3"/>
  <c r="BB86" i="3" s="1"/>
  <c r="BC113" i="3"/>
  <c r="AZ75" i="15"/>
  <c r="AZ72" i="15" s="1"/>
  <c r="AZ73" i="15" s="1"/>
  <c r="AY154" i="21"/>
  <c r="BE155" i="21" s="1"/>
  <c r="AH228" i="117"/>
  <c r="AN229" i="117" s="1"/>
  <c r="AH231" i="117"/>
  <c r="AH232" i="117" s="1"/>
  <c r="AH298" i="117"/>
  <c r="BE162" i="21"/>
  <c r="AZ228" i="117"/>
  <c r="BF228" i="117" s="1"/>
  <c r="BE146" i="21"/>
  <c r="AJ236" i="117"/>
  <c r="AJ243" i="117" s="1"/>
  <c r="AJ278" i="117"/>
  <c r="AJ282" i="117" s="1"/>
  <c r="AV276" i="117"/>
  <c r="BC143" i="3"/>
  <c r="BC120" i="3" s="1"/>
  <c r="BB144" i="3"/>
  <c r="BC165" i="3"/>
  <c r="BC166" i="3" s="1"/>
  <c r="BB166" i="3"/>
  <c r="J175" i="14"/>
  <c r="J208" i="14"/>
  <c r="J82" i="14"/>
  <c r="J243" i="14"/>
  <c r="BB104" i="21"/>
  <c r="BC46" i="8"/>
  <c r="J80" i="11" s="1"/>
  <c r="BB47" i="8"/>
  <c r="BC58" i="8"/>
  <c r="BC59" i="8" s="1"/>
  <c r="BC25" i="9"/>
  <c r="BC26" i="9" s="1"/>
  <c r="BB75" i="9"/>
  <c r="BC75" i="9"/>
  <c r="BB72" i="9"/>
  <c r="BB73" i="9" s="1"/>
  <c r="BB69" i="9"/>
  <c r="BC69" i="9" s="1"/>
  <c r="BC54" i="17"/>
  <c r="BC110" i="21" s="1"/>
  <c r="BB55" i="17"/>
  <c r="BB57" i="17"/>
  <c r="BB58" i="17"/>
  <c r="BB66" i="17"/>
  <c r="BC66" i="17"/>
  <c r="BB116" i="17"/>
  <c r="BB124" i="17"/>
  <c r="BB110" i="21"/>
  <c r="BB125" i="17"/>
  <c r="BB119" i="17"/>
  <c r="BB117" i="17"/>
  <c r="BC67" i="17"/>
  <c r="BB67" i="17"/>
  <c r="BB38" i="21"/>
  <c r="BC118" i="21"/>
  <c r="AL187" i="117"/>
  <c r="AL222" i="117" s="1"/>
  <c r="J50" i="11" s="1"/>
  <c r="AL161" i="117"/>
  <c r="AK162" i="117"/>
  <c r="AL162" i="117"/>
  <c r="AL173" i="117"/>
  <c r="AK174" i="117"/>
  <c r="AK217" i="117"/>
  <c r="AK190" i="117"/>
  <c r="AK191" i="117" s="1"/>
  <c r="AK226" i="117" s="1"/>
  <c r="AK196" i="117"/>
  <c r="AQ197" i="117" s="1"/>
  <c r="AK208" i="117"/>
  <c r="AK216" i="117"/>
  <c r="AK219" i="117" s="1"/>
  <c r="AK220" i="117" s="1"/>
  <c r="AK225" i="117"/>
  <c r="AK306" i="117"/>
  <c r="BB11" i="21" s="1"/>
  <c r="AL190" i="117"/>
  <c r="AL191" i="117" s="1"/>
  <c r="AL226" i="117" s="1"/>
  <c r="AL196" i="117"/>
  <c r="AL197" i="117" s="1"/>
  <c r="AL174" i="117"/>
  <c r="AL217" i="117"/>
  <c r="AL216" i="117"/>
  <c r="AL219" i="117" s="1"/>
  <c r="AL220" i="117" s="1"/>
  <c r="AL208" i="117"/>
  <c r="AK205" i="117"/>
  <c r="AK202" i="117" s="1"/>
  <c r="AK203" i="117" s="1"/>
  <c r="AL205" i="117"/>
  <c r="AL206" i="117" s="1"/>
  <c r="AK236" i="117"/>
  <c r="AK243" i="117" s="1"/>
  <c r="AK248" i="117" s="1"/>
  <c r="AL274" i="117"/>
  <c r="J318" i="14" s="1"/>
  <c r="J320" i="14" s="1"/>
  <c r="AK278" i="117"/>
  <c r="AL278" i="117" s="1"/>
  <c r="J211" i="14"/>
  <c r="J219" i="14"/>
  <c r="L77" i="12"/>
  <c r="J210" i="14"/>
  <c r="K190" i="14"/>
  <c r="K189" i="14" s="1"/>
  <c r="J73" i="14"/>
  <c r="J90" i="14"/>
  <c r="J129" i="14"/>
  <c r="J130" i="14" s="1"/>
  <c r="J261" i="14"/>
  <c r="J113" i="14"/>
  <c r="J125" i="14"/>
  <c r="J126" i="14" s="1"/>
  <c r="J122" i="14"/>
  <c r="M50" i="14" l="1"/>
  <c r="CL262" i="117"/>
  <c r="CD262" i="117"/>
  <c r="CK262" i="117"/>
  <c r="CY60" i="21"/>
  <c r="CP262" i="117"/>
  <c r="BN262" i="117"/>
  <c r="BH146" i="117"/>
  <c r="BJ146" i="117" s="1"/>
  <c r="CS67" i="3"/>
  <c r="CS72" i="3" s="1"/>
  <c r="CO72" i="3"/>
  <c r="CO71" i="3"/>
  <c r="CO73" i="3" s="1"/>
  <c r="BW71" i="3"/>
  <c r="BW72" i="3"/>
  <c r="CY12" i="3"/>
  <c r="CS12" i="3"/>
  <c r="CM12" i="3"/>
  <c r="CI73" i="3"/>
  <c r="CG12" i="3"/>
  <c r="BQ71" i="3"/>
  <c r="CE262" i="117"/>
  <c r="BV261" i="117"/>
  <c r="P51" i="11" s="1"/>
  <c r="CR262" i="117"/>
  <c r="BG262" i="117"/>
  <c r="BJ261" i="117"/>
  <c r="N51" i="11" s="1"/>
  <c r="BA262" i="117"/>
  <c r="BD261" i="117"/>
  <c r="M51" i="11" s="1"/>
  <c r="BU22" i="3"/>
  <c r="BN71" i="3"/>
  <c r="DH197" i="3"/>
  <c r="CR73" i="3"/>
  <c r="CS70" i="3"/>
  <c r="CU73" i="3"/>
  <c r="DA70" i="3"/>
  <c r="DA73" i="3" s="1"/>
  <c r="DE67" i="3"/>
  <c r="DC73" i="3"/>
  <c r="DH71" i="3"/>
  <c r="DH72" i="3"/>
  <c r="DK22" i="3"/>
  <c r="DG70" i="3"/>
  <c r="DG73" i="3" s="1"/>
  <c r="DK67" i="3"/>
  <c r="DI70" i="3"/>
  <c r="DH73" i="3"/>
  <c r="DI72" i="3"/>
  <c r="DJ73" i="3"/>
  <c r="DD73" i="3"/>
  <c r="DB73" i="3"/>
  <c r="CY67" i="3"/>
  <c r="CY70" i="3" s="1"/>
  <c r="CV70" i="3"/>
  <c r="CY22" i="3"/>
  <c r="CX73" i="3"/>
  <c r="CS22" i="3"/>
  <c r="CP73" i="3"/>
  <c r="CQ73" i="3"/>
  <c r="CJ70" i="3"/>
  <c r="BT72" i="3"/>
  <c r="BX171" i="3"/>
  <c r="CD171" i="3" s="1"/>
  <c r="CJ171" i="3" s="1"/>
  <c r="CP171" i="3" s="1"/>
  <c r="CV171" i="3" s="1"/>
  <c r="DB171" i="3" s="1"/>
  <c r="DH171" i="3" s="1"/>
  <c r="BT5" i="20"/>
  <c r="CA60" i="21"/>
  <c r="AJ244" i="117"/>
  <c r="AJ248" i="117"/>
  <c r="AU73" i="15"/>
  <c r="AU69" i="15"/>
  <c r="AU70" i="15" s="1"/>
  <c r="AW30" i="20"/>
  <c r="AW27" i="20"/>
  <c r="H126" i="14"/>
  <c r="AY69" i="10"/>
  <c r="BC72" i="10"/>
  <c r="AY73" i="10"/>
  <c r="AW73" i="10"/>
  <c r="BC64" i="2"/>
  <c r="BC65" i="2" s="1"/>
  <c r="BB65" i="2"/>
  <c r="BB61" i="2"/>
  <c r="BB62" i="2" s="1"/>
  <c r="BA62" i="2"/>
  <c r="BC61" i="2"/>
  <c r="BC61" i="7"/>
  <c r="AY62" i="7"/>
  <c r="BA109" i="16"/>
  <c r="AV140" i="3"/>
  <c r="AV135" i="3"/>
  <c r="BC70" i="9"/>
  <c r="AI244" i="117"/>
  <c r="AI248" i="117"/>
  <c r="AW124" i="15"/>
  <c r="AW125" i="15" s="1"/>
  <c r="AS125" i="15"/>
  <c r="AP70" i="10"/>
  <c r="AV70" i="10"/>
  <c r="BC61" i="16"/>
  <c r="AY62" i="16"/>
  <c r="AS194" i="3"/>
  <c r="AW176" i="3"/>
  <c r="AS7" i="21"/>
  <c r="AS180" i="3"/>
  <c r="AS187" i="3"/>
  <c r="AD248" i="117"/>
  <c r="AF282" i="117"/>
  <c r="AY62" i="2"/>
  <c r="AS62" i="2"/>
  <c r="AW61" i="2"/>
  <c r="AZ135" i="3"/>
  <c r="AU62" i="7"/>
  <c r="AO62" i="7"/>
  <c r="AQ61" i="7"/>
  <c r="AS135" i="3"/>
  <c r="AY135" i="3"/>
  <c r="AU56" i="21"/>
  <c r="AU195" i="3"/>
  <c r="AW62" i="7"/>
  <c r="AY62" i="8"/>
  <c r="AW61" i="8"/>
  <c r="H4" i="11"/>
  <c r="AQ53" i="2"/>
  <c r="AW53" i="2"/>
  <c r="AQ55" i="2"/>
  <c r="AQ56" i="2" s="1"/>
  <c r="AV106" i="3"/>
  <c r="AV107" i="3" s="1"/>
  <c r="AW104" i="3"/>
  <c r="AW106" i="3" s="1"/>
  <c r="AL225" i="117"/>
  <c r="AK206" i="117"/>
  <c r="AK197" i="117"/>
  <c r="BB70" i="9"/>
  <c r="BC72" i="9"/>
  <c r="BC47" i="8"/>
  <c r="AJ237" i="117"/>
  <c r="BB163" i="3"/>
  <c r="BA163" i="3"/>
  <c r="AI237" i="117"/>
  <c r="AY58" i="17"/>
  <c r="AW119" i="17"/>
  <c r="AW120" i="17" s="1"/>
  <c r="AW110" i="21"/>
  <c r="AW55" i="17"/>
  <c r="AE282" i="117"/>
  <c r="AY176" i="3"/>
  <c r="AV187" i="3"/>
  <c r="AV177" i="3"/>
  <c r="AV175" i="3" s="1"/>
  <c r="AV180" i="3"/>
  <c r="AV181" i="3" s="1"/>
  <c r="BC47" i="7"/>
  <c r="AW104" i="15"/>
  <c r="AQ134" i="21"/>
  <c r="BC95" i="17"/>
  <c r="AS24" i="20"/>
  <c r="AT190" i="3"/>
  <c r="AT191" i="3" s="1"/>
  <c r="AW120" i="3"/>
  <c r="AW121" i="3" s="1"/>
  <c r="AU134" i="3"/>
  <c r="AU140" i="3" s="1"/>
  <c r="I126" i="11"/>
  <c r="AP73" i="10"/>
  <c r="BA50" i="8"/>
  <c r="AL188" i="117"/>
  <c r="AL223" i="117" s="1"/>
  <c r="AQ126" i="21"/>
  <c r="AQ127" i="21"/>
  <c r="AQ64" i="7"/>
  <c r="AQ65" i="7" s="1"/>
  <c r="AW16" i="3"/>
  <c r="AT96" i="3"/>
  <c r="AZ95" i="3"/>
  <c r="BF95" i="3" s="1"/>
  <c r="BL95" i="3" s="1"/>
  <c r="BR95" i="3" s="1"/>
  <c r="BX95" i="3" s="1"/>
  <c r="CD95" i="3" s="1"/>
  <c r="CJ95" i="3" s="1"/>
  <c r="CP95" i="3" s="1"/>
  <c r="CV95" i="3" s="1"/>
  <c r="DB95" i="3" s="1"/>
  <c r="DH95" i="3" s="1"/>
  <c r="Q156" i="117"/>
  <c r="Q208" i="117"/>
  <c r="BC57" i="17"/>
  <c r="BC58" i="17" s="1"/>
  <c r="J170" i="11"/>
  <c r="BC55" i="17"/>
  <c r="BC49" i="8"/>
  <c r="BC50" i="8" s="1"/>
  <c r="BC104" i="21"/>
  <c r="AL231" i="117"/>
  <c r="AL232" i="117" s="1"/>
  <c r="AL228" i="117"/>
  <c r="AL229" i="117" s="1"/>
  <c r="AW159" i="3"/>
  <c r="AW160" i="3" s="1"/>
  <c r="BC55" i="7"/>
  <c r="BC56" i="7" s="1"/>
  <c r="BC21" i="7"/>
  <c r="BC63" i="10"/>
  <c r="BC64" i="10" s="1"/>
  <c r="AY104" i="17"/>
  <c r="BG93" i="3"/>
  <c r="BG98" i="3"/>
  <c r="BE95" i="3"/>
  <c r="BE96" i="3" s="1"/>
  <c r="BE98" i="3"/>
  <c r="BE93" i="3"/>
  <c r="AW79" i="10"/>
  <c r="AQ104" i="3"/>
  <c r="AQ106" i="3" s="1"/>
  <c r="AN106" i="3"/>
  <c r="AN107" i="3" s="1"/>
  <c r="BT45" i="4"/>
  <c r="BT46" i="4" s="1"/>
  <c r="BT40" i="4"/>
  <c r="BC121" i="3"/>
  <c r="BC199" i="21"/>
  <c r="BI199" i="21"/>
  <c r="AH197" i="117"/>
  <c r="AT59" i="7"/>
  <c r="BA118" i="3"/>
  <c r="BH104" i="17"/>
  <c r="BB106" i="17"/>
  <c r="BB107" i="17" s="1"/>
  <c r="AY118" i="3"/>
  <c r="BR98" i="3"/>
  <c r="BX98" i="3" s="1"/>
  <c r="CD98" i="3" s="1"/>
  <c r="CJ98" i="3" s="1"/>
  <c r="CP98" i="3" s="1"/>
  <c r="CV98" i="3" s="1"/>
  <c r="DB98" i="3" s="1"/>
  <c r="DH98" i="3" s="1"/>
  <c r="BH61" i="17"/>
  <c r="BB63" i="17"/>
  <c r="AT107" i="3"/>
  <c r="AK134" i="3"/>
  <c r="AP135" i="3"/>
  <c r="AJ140" i="3"/>
  <c r="AP141" i="3" s="1"/>
  <c r="BR114" i="4"/>
  <c r="BR119" i="4"/>
  <c r="BR120" i="4" s="1"/>
  <c r="AK104" i="3"/>
  <c r="AK106" i="3" s="1"/>
  <c r="AK107" i="3" s="1"/>
  <c r="AG106" i="3"/>
  <c r="AE134" i="3"/>
  <c r="AB140" i="3"/>
  <c r="AH135" i="3"/>
  <c r="AC7" i="7"/>
  <c r="AD4" i="7"/>
  <c r="AD6" i="7" s="1"/>
  <c r="AH229" i="117"/>
  <c r="AH202" i="117"/>
  <c r="AV119" i="17"/>
  <c r="H201" i="11"/>
  <c r="BE28" i="20"/>
  <c r="AN203" i="117"/>
  <c r="AV96" i="3"/>
  <c r="BB95" i="3"/>
  <c r="BH95" i="3" s="1"/>
  <c r="BN95" i="3" s="1"/>
  <c r="BT95" i="3" s="1"/>
  <c r="BZ95" i="3" s="1"/>
  <c r="CF95" i="3" s="1"/>
  <c r="CL95" i="3" s="1"/>
  <c r="CR95" i="3" s="1"/>
  <c r="CX95" i="3" s="1"/>
  <c r="DD95" i="3" s="1"/>
  <c r="DJ95" i="3" s="1"/>
  <c r="BT58" i="4"/>
  <c r="BT69" i="4"/>
  <c r="BT70" i="4" s="1"/>
  <c r="AV112" i="15"/>
  <c r="BA28" i="20"/>
  <c r="O10" i="8"/>
  <c r="O11" i="8" s="1"/>
  <c r="AZ28" i="20"/>
  <c r="W78" i="117"/>
  <c r="X75" i="117"/>
  <c r="X77" i="117" s="1"/>
  <c r="I8" i="3"/>
  <c r="I81" i="3" s="1"/>
  <c r="I80" i="3"/>
  <c r="M7" i="3"/>
  <c r="X7" i="2"/>
  <c r="Y6" i="2"/>
  <c r="Q26" i="2"/>
  <c r="Q37" i="2"/>
  <c r="U8" i="15"/>
  <c r="Y7" i="15"/>
  <c r="U32" i="15"/>
  <c r="U20" i="15"/>
  <c r="U21" i="15" s="1"/>
  <c r="X34" i="15"/>
  <c r="X45" i="15"/>
  <c r="M206" i="117"/>
  <c r="G156" i="117"/>
  <c r="V34" i="9"/>
  <c r="V45" i="9"/>
  <c r="L34" i="15"/>
  <c r="L45" i="15"/>
  <c r="I8" i="16"/>
  <c r="M7" i="16"/>
  <c r="I17" i="16"/>
  <c r="I24" i="16"/>
  <c r="W26" i="16"/>
  <c r="W37" i="16"/>
  <c r="V96" i="3"/>
  <c r="AB96" i="3"/>
  <c r="X84" i="3"/>
  <c r="O80" i="3"/>
  <c r="O83" i="3" s="1"/>
  <c r="U84" i="3" s="1"/>
  <c r="U8" i="3"/>
  <c r="U81" i="3" s="1"/>
  <c r="O8" i="3"/>
  <c r="O81" i="3" s="1"/>
  <c r="S7" i="3"/>
  <c r="G7" i="3"/>
  <c r="Y7" i="3"/>
  <c r="AB8" i="3"/>
  <c r="AB81" i="3" s="1"/>
  <c r="V8" i="3"/>
  <c r="V81" i="3" s="1"/>
  <c r="V80" i="3"/>
  <c r="V83" i="3" s="1"/>
  <c r="AH65" i="8"/>
  <c r="AB65" i="8"/>
  <c r="AB61" i="8"/>
  <c r="AB62" i="8" s="1"/>
  <c r="V65" i="8"/>
  <c r="V61" i="8"/>
  <c r="V62" i="8" s="1"/>
  <c r="L65" i="8"/>
  <c r="F61" i="8"/>
  <c r="L62" i="8" s="1"/>
  <c r="G64" i="8"/>
  <c r="M65" i="8" s="1"/>
  <c r="J65" i="8"/>
  <c r="D61" i="8"/>
  <c r="X65" i="7"/>
  <c r="R65" i="7"/>
  <c r="AB75" i="10"/>
  <c r="AB26" i="10"/>
  <c r="X70" i="10"/>
  <c r="S69" i="10"/>
  <c r="P70" i="10"/>
  <c r="Q73" i="10"/>
  <c r="K69" i="10"/>
  <c r="K70" i="10" s="1"/>
  <c r="K73" i="10"/>
  <c r="M72" i="10"/>
  <c r="C13" i="10"/>
  <c r="C10" i="10" s="1"/>
  <c r="I11" i="10" s="1"/>
  <c r="I18" i="10"/>
  <c r="Y38" i="9"/>
  <c r="X80" i="9"/>
  <c r="R80" i="9"/>
  <c r="O80" i="9"/>
  <c r="S79" i="9"/>
  <c r="S80" i="9" s="1"/>
  <c r="X10" i="9"/>
  <c r="S72" i="9"/>
  <c r="O73" i="9"/>
  <c r="K75" i="9"/>
  <c r="K26" i="9"/>
  <c r="Q26" i="9"/>
  <c r="K17" i="9"/>
  <c r="R8" i="9"/>
  <c r="X8" i="9"/>
  <c r="R32" i="9"/>
  <c r="R33" i="9" s="1"/>
  <c r="R17" i="9"/>
  <c r="L20" i="9"/>
  <c r="L32" i="9"/>
  <c r="L33" i="9" s="1"/>
  <c r="L17" i="9"/>
  <c r="L8" i="9"/>
  <c r="D20" i="9"/>
  <c r="D17" i="9"/>
  <c r="D32" i="9"/>
  <c r="D33" i="9" s="1"/>
  <c r="AE113" i="16"/>
  <c r="AE114" i="16" s="1"/>
  <c r="AC114" i="16"/>
  <c r="Y113" i="16"/>
  <c r="Y114" i="16" s="1"/>
  <c r="W114" i="16"/>
  <c r="Y75" i="16"/>
  <c r="V77" i="16"/>
  <c r="M50" i="16"/>
  <c r="S50" i="16"/>
  <c r="AG62" i="16"/>
  <c r="AA62" i="16"/>
  <c r="U62" i="16"/>
  <c r="Y61" i="16"/>
  <c r="G64" i="16"/>
  <c r="F61" i="16"/>
  <c r="G61" i="16" s="1"/>
  <c r="O17" i="16"/>
  <c r="O24" i="16"/>
  <c r="O8" i="16"/>
  <c r="S7" i="16"/>
  <c r="J8" i="16"/>
  <c r="P8" i="16"/>
  <c r="J17" i="16"/>
  <c r="J24" i="16"/>
  <c r="J25" i="16" s="1"/>
  <c r="F17" i="16"/>
  <c r="F24" i="16"/>
  <c r="F25" i="16" s="1"/>
  <c r="V88" i="17"/>
  <c r="V86" i="17"/>
  <c r="AG73" i="17"/>
  <c r="AA69" i="17"/>
  <c r="AE25" i="17"/>
  <c r="AB17" i="17"/>
  <c r="AB75" i="17"/>
  <c r="AB26" i="17"/>
  <c r="C75" i="17"/>
  <c r="C17" i="17"/>
  <c r="G25" i="17"/>
  <c r="R21" i="17"/>
  <c r="D32" i="17"/>
  <c r="D20" i="17"/>
  <c r="G7" i="17"/>
  <c r="G20" i="17" s="1"/>
  <c r="D17" i="17"/>
  <c r="AJ125" i="15"/>
  <c r="W91" i="15"/>
  <c r="W92" i="15" s="1"/>
  <c r="W89" i="15"/>
  <c r="W86" i="15"/>
  <c r="Q88" i="15"/>
  <c r="Q91" i="15" s="1"/>
  <c r="S38" i="15"/>
  <c r="M38" i="15"/>
  <c r="AI69" i="15"/>
  <c r="AI73" i="15"/>
  <c r="AA75" i="15"/>
  <c r="AE25" i="15"/>
  <c r="AA26" i="15"/>
  <c r="AG26" i="15"/>
  <c r="K26" i="15"/>
  <c r="K75" i="15"/>
  <c r="K17" i="15"/>
  <c r="V8" i="15"/>
  <c r="V17" i="15"/>
  <c r="V32" i="15"/>
  <c r="V33" i="15" s="1"/>
  <c r="V20" i="15"/>
  <c r="AP110" i="4"/>
  <c r="AJ107" i="4"/>
  <c r="BA104" i="4"/>
  <c r="AW104" i="4"/>
  <c r="AW105" i="4" s="1"/>
  <c r="AK88" i="4"/>
  <c r="AJ89" i="4"/>
  <c r="AJ94" i="4"/>
  <c r="AO60" i="4"/>
  <c r="AI57" i="4"/>
  <c r="AT36" i="4"/>
  <c r="AN33" i="4"/>
  <c r="AK21" i="4"/>
  <c r="AQ21" i="4"/>
  <c r="AQ18" i="4"/>
  <c r="AK18" i="4"/>
  <c r="AB262" i="117"/>
  <c r="Z261" i="117"/>
  <c r="V264" i="117"/>
  <c r="V262" i="117"/>
  <c r="V197" i="117"/>
  <c r="P197" i="117"/>
  <c r="V259" i="117"/>
  <c r="T258" i="117"/>
  <c r="P264" i="117"/>
  <c r="H170" i="117"/>
  <c r="M171" i="117"/>
  <c r="K136" i="117"/>
  <c r="K132" i="117"/>
  <c r="K205" i="117"/>
  <c r="Q206" i="117" s="1"/>
  <c r="J76" i="117"/>
  <c r="N75" i="117"/>
  <c r="E145" i="117"/>
  <c r="E146" i="117" s="1"/>
  <c r="D146" i="117"/>
  <c r="D148" i="117"/>
  <c r="AC25" i="3"/>
  <c r="AB26" i="3"/>
  <c r="R17" i="8"/>
  <c r="R8" i="8"/>
  <c r="R24" i="8"/>
  <c r="F13" i="8"/>
  <c r="F10" i="8" s="1"/>
  <c r="D17" i="8"/>
  <c r="D24" i="8"/>
  <c r="D25" i="8" s="1"/>
  <c r="P13" i="7"/>
  <c r="P10" i="7" s="1"/>
  <c r="L8" i="7"/>
  <c r="L24" i="7"/>
  <c r="L25" i="7" s="1"/>
  <c r="L17" i="7"/>
  <c r="F24" i="7"/>
  <c r="F25" i="7" s="1"/>
  <c r="F37" i="7" s="1"/>
  <c r="F40" i="7" s="1"/>
  <c r="F43" i="7" s="1"/>
  <c r="F17" i="7"/>
  <c r="D17" i="7"/>
  <c r="D24" i="7"/>
  <c r="D25" i="7" s="1"/>
  <c r="AI65" i="2"/>
  <c r="AI61" i="2"/>
  <c r="AE64" i="2"/>
  <c r="AE65" i="2" s="1"/>
  <c r="AA65" i="2"/>
  <c r="AA61" i="2"/>
  <c r="Q62" i="2"/>
  <c r="O61" i="2"/>
  <c r="O65" i="2"/>
  <c r="S64" i="2"/>
  <c r="I17" i="2"/>
  <c r="I8" i="2"/>
  <c r="M7" i="2"/>
  <c r="I24" i="2"/>
  <c r="O8" i="2"/>
  <c r="Y11" i="3"/>
  <c r="AE11" i="3"/>
  <c r="AJ7" i="21"/>
  <c r="AJ180" i="3"/>
  <c r="AJ194" i="3"/>
  <c r="AK25" i="17"/>
  <c r="AN26" i="17"/>
  <c r="AH75" i="17"/>
  <c r="AH26" i="17"/>
  <c r="AN82" i="15"/>
  <c r="AN84" i="15" s="1"/>
  <c r="AM85" i="15"/>
  <c r="AA84" i="15"/>
  <c r="AE82" i="15"/>
  <c r="AC4" i="16"/>
  <c r="AC6" i="16" s="1"/>
  <c r="AB7" i="16"/>
  <c r="AA4" i="9"/>
  <c r="Y5" i="9"/>
  <c r="AY41" i="2"/>
  <c r="L70" i="15"/>
  <c r="G69" i="15"/>
  <c r="G10" i="15" s="1"/>
  <c r="X108" i="21"/>
  <c r="X66" i="15"/>
  <c r="Y54" i="15"/>
  <c r="X55" i="15"/>
  <c r="AD55" i="15"/>
  <c r="X116" i="15"/>
  <c r="X57" i="15"/>
  <c r="J26" i="2"/>
  <c r="J37" i="2"/>
  <c r="W46" i="17"/>
  <c r="W48" i="17"/>
  <c r="AE26" i="9"/>
  <c r="AE75" i="9"/>
  <c r="X34" i="9"/>
  <c r="X45" i="9"/>
  <c r="Q70" i="10"/>
  <c r="P45" i="10"/>
  <c r="P34" i="10"/>
  <c r="AB84" i="10"/>
  <c r="AH84" i="10"/>
  <c r="AH62" i="8"/>
  <c r="E34" i="17"/>
  <c r="E45" i="17"/>
  <c r="E48" i="17" s="1"/>
  <c r="E51" i="17" s="1"/>
  <c r="Q34" i="17"/>
  <c r="Q45" i="17"/>
  <c r="W72" i="3"/>
  <c r="W70" i="3"/>
  <c r="W71" i="3"/>
  <c r="Y67" i="3"/>
  <c r="L60" i="3"/>
  <c r="L55" i="3"/>
  <c r="L59" i="3"/>
  <c r="R55" i="3"/>
  <c r="L58" i="3"/>
  <c r="J8" i="3"/>
  <c r="J81" i="3" s="1"/>
  <c r="J80" i="3"/>
  <c r="W8" i="3"/>
  <c r="W81" i="3" s="1"/>
  <c r="Q8" i="3"/>
  <c r="Q81" i="3" s="1"/>
  <c r="Q80" i="3"/>
  <c r="Q83" i="3" s="1"/>
  <c r="L80" i="3"/>
  <c r="R8" i="3"/>
  <c r="R81" i="3" s="1"/>
  <c r="L8" i="3"/>
  <c r="L81" i="3" s="1"/>
  <c r="D61" i="2"/>
  <c r="G64" i="2"/>
  <c r="J65" i="2"/>
  <c r="AN65" i="8"/>
  <c r="AN61" i="8"/>
  <c r="AG61" i="8"/>
  <c r="AG65" i="8"/>
  <c r="AK64" i="8"/>
  <c r="AK65" i="8" s="1"/>
  <c r="AA65" i="8"/>
  <c r="AA61" i="8"/>
  <c r="AE64" i="8"/>
  <c r="Y64" i="8"/>
  <c r="U61" i="8"/>
  <c r="U65" i="8"/>
  <c r="Y25" i="7"/>
  <c r="Y26" i="7" s="1"/>
  <c r="U37" i="7"/>
  <c r="U26" i="7"/>
  <c r="AB65" i="7"/>
  <c r="AE64" i="7"/>
  <c r="AH65" i="7"/>
  <c r="W65" i="7"/>
  <c r="Q61" i="7"/>
  <c r="Q62" i="7" s="1"/>
  <c r="S64" i="7"/>
  <c r="Q65" i="7"/>
  <c r="V35" i="10"/>
  <c r="AG69" i="10"/>
  <c r="AA75" i="10"/>
  <c r="AG26" i="10"/>
  <c r="AA26" i="10"/>
  <c r="AE25" i="10"/>
  <c r="W26" i="10"/>
  <c r="W17" i="10"/>
  <c r="W75" i="10"/>
  <c r="J70" i="10"/>
  <c r="F72" i="10"/>
  <c r="G72" i="10" s="1"/>
  <c r="E45" i="10"/>
  <c r="E48" i="10" s="1"/>
  <c r="E51" i="10" s="1"/>
  <c r="E34" i="10"/>
  <c r="R20" i="10"/>
  <c r="R8" i="10"/>
  <c r="R32" i="10"/>
  <c r="R33" i="10" s="1"/>
  <c r="R17" i="10"/>
  <c r="O13" i="10"/>
  <c r="O14" i="10" s="1"/>
  <c r="O18" i="10"/>
  <c r="K8" i="10"/>
  <c r="K20" i="10"/>
  <c r="K21" i="10" s="1"/>
  <c r="K17" i="10"/>
  <c r="K32" i="10"/>
  <c r="K33" i="10" s="1"/>
  <c r="L69" i="9"/>
  <c r="L70" i="9" s="1"/>
  <c r="L73" i="9"/>
  <c r="J75" i="9"/>
  <c r="P26" i="9"/>
  <c r="M25" i="9"/>
  <c r="J17" i="9"/>
  <c r="J26" i="9"/>
  <c r="E75" i="9"/>
  <c r="E17" i="9"/>
  <c r="Y32" i="9"/>
  <c r="Y31" i="9" s="1"/>
  <c r="W33" i="9"/>
  <c r="W45" i="9" s="1"/>
  <c r="C20" i="9"/>
  <c r="C32" i="9"/>
  <c r="G7" i="9"/>
  <c r="G20" i="9" s="1"/>
  <c r="Q17" i="9"/>
  <c r="Q32" i="9"/>
  <c r="Q33" i="9" s="1"/>
  <c r="Q8" i="9"/>
  <c r="W8" i="9"/>
  <c r="Q17" i="16"/>
  <c r="Q24" i="16"/>
  <c r="Q25" i="16" s="1"/>
  <c r="Q8" i="16"/>
  <c r="W8" i="16"/>
  <c r="W120" i="17"/>
  <c r="AC120" i="17"/>
  <c r="U88" i="17"/>
  <c r="U86" i="17"/>
  <c r="O88" i="17"/>
  <c r="O91" i="17" s="1"/>
  <c r="S85" i="17"/>
  <c r="S88" i="17" s="1"/>
  <c r="AA13" i="17"/>
  <c r="AA10" i="17"/>
  <c r="E17" i="17"/>
  <c r="E75" i="17"/>
  <c r="O17" i="17"/>
  <c r="O20" i="17"/>
  <c r="S7" i="17"/>
  <c r="O32" i="17"/>
  <c r="P32" i="17"/>
  <c r="P33" i="17" s="1"/>
  <c r="P20" i="17"/>
  <c r="P17" i="17"/>
  <c r="P8" i="17"/>
  <c r="J17" i="17"/>
  <c r="J20" i="17"/>
  <c r="J21" i="17" s="1"/>
  <c r="J32" i="17"/>
  <c r="J33" i="17" s="1"/>
  <c r="J8" i="17"/>
  <c r="Y85" i="15"/>
  <c r="U86" i="15"/>
  <c r="U88" i="15"/>
  <c r="X72" i="15"/>
  <c r="X69" i="15" s="1"/>
  <c r="S25" i="15"/>
  <c r="O75" i="15"/>
  <c r="O26" i="15"/>
  <c r="O17" i="15"/>
  <c r="M7" i="15"/>
  <c r="J17" i="15"/>
  <c r="J8" i="15"/>
  <c r="J32" i="15"/>
  <c r="J20" i="15"/>
  <c r="J21" i="15" s="1"/>
  <c r="AS116" i="4"/>
  <c r="AM113" i="4"/>
  <c r="AI82" i="4"/>
  <c r="AO85" i="4"/>
  <c r="AT60" i="4"/>
  <c r="AN57" i="4"/>
  <c r="AA12" i="20"/>
  <c r="U12" i="20"/>
  <c r="N101" i="117"/>
  <c r="Q95" i="117"/>
  <c r="Q88" i="117"/>
  <c r="T78" i="117"/>
  <c r="Q79" i="117"/>
  <c r="AE21" i="8"/>
  <c r="AE67" i="8"/>
  <c r="AK21" i="8"/>
  <c r="L24" i="8"/>
  <c r="L25" i="8" s="1"/>
  <c r="L8" i="8"/>
  <c r="L17" i="8"/>
  <c r="J8" i="8"/>
  <c r="J24" i="8"/>
  <c r="J17" i="8"/>
  <c r="F24" i="2"/>
  <c r="F25" i="2" s="1"/>
  <c r="F17" i="2"/>
  <c r="D24" i="2"/>
  <c r="D25" i="2" s="1"/>
  <c r="J8" i="2"/>
  <c r="D17" i="2"/>
  <c r="X10" i="7"/>
  <c r="X18" i="7"/>
  <c r="X13" i="7"/>
  <c r="R17" i="7"/>
  <c r="R8" i="7"/>
  <c r="R24" i="7"/>
  <c r="R25" i="7" s="1"/>
  <c r="X8" i="7"/>
  <c r="K8" i="7"/>
  <c r="K24" i="7"/>
  <c r="K25" i="7" s="1"/>
  <c r="K17" i="7"/>
  <c r="AH65" i="2"/>
  <c r="AN65" i="2"/>
  <c r="AH61" i="2"/>
  <c r="L61" i="2"/>
  <c r="L62" i="2" s="1"/>
  <c r="L65" i="2"/>
  <c r="M64" i="2"/>
  <c r="M65" i="2" s="1"/>
  <c r="L8" i="2"/>
  <c r="L74" i="2"/>
  <c r="L17" i="2"/>
  <c r="L24" i="2"/>
  <c r="L25" i="2" s="1"/>
  <c r="AN177" i="3"/>
  <c r="AH194" i="3"/>
  <c r="AK176" i="3"/>
  <c r="AH7" i="21"/>
  <c r="AO26" i="9"/>
  <c r="AI26" i="9"/>
  <c r="AI75" i="9"/>
  <c r="AK25" i="9"/>
  <c r="AH26" i="10"/>
  <c r="AN26" i="10"/>
  <c r="AH75" i="10"/>
  <c r="AK25" i="10"/>
  <c r="AD4" i="17"/>
  <c r="AD6" i="17" s="1"/>
  <c r="AC7" i="17"/>
  <c r="AY117" i="15"/>
  <c r="I70" i="10"/>
  <c r="AI180" i="3"/>
  <c r="AO183" i="3"/>
  <c r="K26" i="2"/>
  <c r="K37" i="2"/>
  <c r="AQ80" i="4"/>
  <c r="AW80" i="4"/>
  <c r="M108" i="117"/>
  <c r="M97" i="117"/>
  <c r="E37" i="16"/>
  <c r="E40" i="16" s="1"/>
  <c r="E43" i="16" s="1"/>
  <c r="E26" i="16"/>
  <c r="R34" i="17"/>
  <c r="R45" i="17"/>
  <c r="W62" i="7"/>
  <c r="M65" i="7"/>
  <c r="F45" i="15"/>
  <c r="F48" i="15" s="1"/>
  <c r="F51" i="15" s="1"/>
  <c r="F34" i="15"/>
  <c r="Y92" i="3"/>
  <c r="AD93" i="3"/>
  <c r="X95" i="3"/>
  <c r="X93" i="3"/>
  <c r="W118" i="3"/>
  <c r="Q120" i="3"/>
  <c r="W121" i="3" s="1"/>
  <c r="AM176" i="3"/>
  <c r="AM160" i="3"/>
  <c r="K8" i="3"/>
  <c r="K81" i="3" s="1"/>
  <c r="K80" i="3"/>
  <c r="Y30" i="8"/>
  <c r="S30" i="8"/>
  <c r="V26" i="8"/>
  <c r="V37" i="8"/>
  <c r="AM61" i="8"/>
  <c r="AM65" i="8"/>
  <c r="AD61" i="8"/>
  <c r="AD65" i="8"/>
  <c r="X61" i="8"/>
  <c r="X62" i="8" s="1"/>
  <c r="X65" i="8"/>
  <c r="Y30" i="7"/>
  <c r="S30" i="7"/>
  <c r="P37" i="7"/>
  <c r="P26" i="7"/>
  <c r="V27" i="7" s="1"/>
  <c r="AD61" i="7"/>
  <c r="AD62" i="7" s="1"/>
  <c r="AJ65" i="7"/>
  <c r="AD65" i="7"/>
  <c r="P62" i="7"/>
  <c r="D61" i="7"/>
  <c r="G61" i="7" s="1"/>
  <c r="J65" i="7"/>
  <c r="G64" i="7"/>
  <c r="V46" i="10"/>
  <c r="V48" i="10"/>
  <c r="K83" i="10"/>
  <c r="I83" i="10"/>
  <c r="J83" i="10"/>
  <c r="O80" i="10"/>
  <c r="L83" i="10"/>
  <c r="M79" i="10"/>
  <c r="I80" i="10"/>
  <c r="AM73" i="10"/>
  <c r="AM69" i="10"/>
  <c r="AD75" i="10"/>
  <c r="AD26" i="10"/>
  <c r="AJ26" i="10"/>
  <c r="U73" i="10"/>
  <c r="U69" i="10"/>
  <c r="Y25" i="10"/>
  <c r="V26" i="10"/>
  <c r="V17" i="10"/>
  <c r="V75" i="10"/>
  <c r="Q20" i="10"/>
  <c r="Q17" i="10"/>
  <c r="W8" i="10"/>
  <c r="Q32" i="10"/>
  <c r="S7" i="10"/>
  <c r="Q8" i="10"/>
  <c r="J8" i="10"/>
  <c r="J32" i="10"/>
  <c r="J17" i="10"/>
  <c r="P8" i="10"/>
  <c r="J20" i="10"/>
  <c r="M7" i="10"/>
  <c r="D32" i="10"/>
  <c r="G7" i="10"/>
  <c r="D20" i="10"/>
  <c r="D17" i="10" s="1"/>
  <c r="W34" i="9"/>
  <c r="AA80" i="9"/>
  <c r="Y79" i="9"/>
  <c r="Y80" i="9" s="1"/>
  <c r="U80" i="9"/>
  <c r="AG69" i="9"/>
  <c r="AG73" i="9"/>
  <c r="V73" i="9"/>
  <c r="V69" i="9"/>
  <c r="P32" i="9"/>
  <c r="P33" i="9" s="1"/>
  <c r="P45" i="9" s="1"/>
  <c r="P8" i="9"/>
  <c r="P17" i="9"/>
  <c r="V8" i="9"/>
  <c r="J32" i="9"/>
  <c r="J33" i="9" s="1"/>
  <c r="J8" i="9"/>
  <c r="J20" i="9"/>
  <c r="J21" i="9" s="1"/>
  <c r="F20" i="9"/>
  <c r="F17" i="9"/>
  <c r="F32" i="9"/>
  <c r="F33" i="9" s="1"/>
  <c r="Y50" i="16"/>
  <c r="AE50" i="16"/>
  <c r="AM65" i="16"/>
  <c r="AM61" i="16"/>
  <c r="AC65" i="16"/>
  <c r="AE64" i="16"/>
  <c r="AI65" i="16"/>
  <c r="AC61" i="16"/>
  <c r="AI62" i="16" s="1"/>
  <c r="R65" i="16"/>
  <c r="M64" i="16"/>
  <c r="L65" i="16"/>
  <c r="L61" i="16"/>
  <c r="K8" i="16"/>
  <c r="K24" i="16"/>
  <c r="K25" i="16" s="1"/>
  <c r="K17" i="16"/>
  <c r="R8" i="16"/>
  <c r="L8" i="16"/>
  <c r="L24" i="16"/>
  <c r="L25" i="16" s="1"/>
  <c r="L17" i="16"/>
  <c r="V75" i="17"/>
  <c r="V26" i="17"/>
  <c r="V17" i="17"/>
  <c r="S25" i="17"/>
  <c r="R75" i="17"/>
  <c r="R26" i="17"/>
  <c r="R17" i="17"/>
  <c r="I75" i="17"/>
  <c r="M25" i="17"/>
  <c r="O26" i="17"/>
  <c r="I26" i="17"/>
  <c r="F17" i="17"/>
  <c r="L8" i="17"/>
  <c r="F32" i="17"/>
  <c r="F33" i="17" s="1"/>
  <c r="F20" i="17"/>
  <c r="L21" i="17" s="1"/>
  <c r="V20" i="17"/>
  <c r="V21" i="17" s="1"/>
  <c r="V8" i="17"/>
  <c r="AB8" i="17"/>
  <c r="V32" i="17"/>
  <c r="V33" i="17" s="1"/>
  <c r="I5" i="17"/>
  <c r="I7" i="17" s="1"/>
  <c r="O8" i="17" s="1"/>
  <c r="M4" i="17"/>
  <c r="M5" i="17" s="1"/>
  <c r="AH125" i="15"/>
  <c r="AK124" i="15"/>
  <c r="AQ125" i="15" s="1"/>
  <c r="S85" i="15"/>
  <c r="S88" i="15" s="1"/>
  <c r="P88" i="15"/>
  <c r="P91" i="15" s="1"/>
  <c r="G34" i="15"/>
  <c r="E45" i="15"/>
  <c r="E34" i="15"/>
  <c r="G33" i="15"/>
  <c r="Q26" i="15"/>
  <c r="Q75" i="15"/>
  <c r="Q17" i="15"/>
  <c r="W26" i="15"/>
  <c r="E13" i="15"/>
  <c r="E10" i="15"/>
  <c r="W34" i="15"/>
  <c r="W45" i="15"/>
  <c r="AS88" i="4"/>
  <c r="AY91" i="4"/>
  <c r="AN82" i="4"/>
  <c r="AT85" i="4"/>
  <c r="BE54" i="4"/>
  <c r="BC54" i="4"/>
  <c r="AO39" i="4"/>
  <c r="AO40" i="4" s="1"/>
  <c r="AU42" i="4"/>
  <c r="Y9" i="20"/>
  <c r="S11" i="20"/>
  <c r="Y12" i="20" s="1"/>
  <c r="N199" i="117"/>
  <c r="J200" i="117"/>
  <c r="P200" i="117"/>
  <c r="D88" i="117"/>
  <c r="D95" i="117"/>
  <c r="R79" i="117"/>
  <c r="L88" i="117"/>
  <c r="L95" i="117"/>
  <c r="L96" i="117" s="1"/>
  <c r="L79" i="117"/>
  <c r="H76" i="117"/>
  <c r="G78" i="117"/>
  <c r="H78" i="117" s="1"/>
  <c r="H88" i="117" s="1"/>
  <c r="Y21" i="3"/>
  <c r="AA20" i="3"/>
  <c r="X54" i="3"/>
  <c r="X60" i="3"/>
  <c r="Y53" i="3"/>
  <c r="V13" i="8"/>
  <c r="V10" i="8"/>
  <c r="Q17" i="8"/>
  <c r="Q8" i="8"/>
  <c r="Q24" i="8"/>
  <c r="Q25" i="8" s="1"/>
  <c r="C24" i="8"/>
  <c r="C17" i="8"/>
  <c r="W13" i="7"/>
  <c r="M5" i="7"/>
  <c r="J7" i="7"/>
  <c r="E17" i="7"/>
  <c r="E24" i="7"/>
  <c r="E25" i="7" s="1"/>
  <c r="C24" i="7"/>
  <c r="C17" i="7"/>
  <c r="G7" i="7"/>
  <c r="G17" i="7" s="1"/>
  <c r="AK64" i="2"/>
  <c r="AG65" i="2"/>
  <c r="AM65" i="2"/>
  <c r="AG61" i="2"/>
  <c r="AC65" i="2"/>
  <c r="AC61" i="2"/>
  <c r="AC62" i="2" s="1"/>
  <c r="R74" i="2"/>
  <c r="R75" i="2" s="1"/>
  <c r="R24" i="2"/>
  <c r="R25" i="2" s="1"/>
  <c r="R8" i="2"/>
  <c r="R17" i="2"/>
  <c r="P8" i="2"/>
  <c r="S7" i="2"/>
  <c r="P74" i="2"/>
  <c r="P17" i="2"/>
  <c r="P24" i="2"/>
  <c r="M61" i="2"/>
  <c r="K62" i="2"/>
  <c r="AJ88" i="15"/>
  <c r="AH91" i="15"/>
  <c r="I14" i="10"/>
  <c r="I8" i="9"/>
  <c r="I17" i="9"/>
  <c r="I20" i="9"/>
  <c r="I21" i="9" s="1"/>
  <c r="M7" i="9"/>
  <c r="I32" i="9"/>
  <c r="F8" i="117"/>
  <c r="F147" i="117"/>
  <c r="G5" i="117"/>
  <c r="G7" i="117" s="1"/>
  <c r="AD4" i="3"/>
  <c r="AD6" i="3" s="1"/>
  <c r="AC7" i="3"/>
  <c r="Q77" i="2"/>
  <c r="Q11" i="2"/>
  <c r="X70" i="9"/>
  <c r="AQ55" i="4"/>
  <c r="AW55" i="4"/>
  <c r="R108" i="117"/>
  <c r="R97" i="117"/>
  <c r="E97" i="117"/>
  <c r="E108" i="117"/>
  <c r="U17" i="10"/>
  <c r="U8" i="10"/>
  <c r="U20" i="10"/>
  <c r="U21" i="10" s="1"/>
  <c r="U32" i="10"/>
  <c r="W45" i="10"/>
  <c r="W34" i="10"/>
  <c r="P26" i="16"/>
  <c r="P37" i="16"/>
  <c r="C34" i="17"/>
  <c r="C45" i="17"/>
  <c r="Q45" i="15"/>
  <c r="Q34" i="15"/>
  <c r="P120" i="3"/>
  <c r="V121" i="3" s="1"/>
  <c r="V118" i="3"/>
  <c r="S117" i="3"/>
  <c r="AA45" i="17"/>
  <c r="AA34" i="17"/>
  <c r="AJ69" i="17"/>
  <c r="AJ73" i="17"/>
  <c r="U134" i="3"/>
  <c r="V134" i="3"/>
  <c r="V140" i="3" s="1"/>
  <c r="W84" i="3"/>
  <c r="P80" i="3"/>
  <c r="P83" i="3" s="1"/>
  <c r="P8" i="3"/>
  <c r="P81" i="3" s="1"/>
  <c r="AJ65" i="8"/>
  <c r="AC61" i="8"/>
  <c r="AC65" i="8"/>
  <c r="AI65" i="8"/>
  <c r="W61" i="8"/>
  <c r="O65" i="8"/>
  <c r="O61" i="8"/>
  <c r="S59" i="7"/>
  <c r="Y59" i="7"/>
  <c r="W37" i="7"/>
  <c r="W26" i="7"/>
  <c r="AI62" i="7"/>
  <c r="AC62" i="7"/>
  <c r="AA62" i="7"/>
  <c r="AG62" i="7"/>
  <c r="AE64" i="10"/>
  <c r="AK64" i="10"/>
  <c r="AC75" i="10"/>
  <c r="AC26" i="10"/>
  <c r="L69" i="10"/>
  <c r="M69" i="10" s="1"/>
  <c r="R73" i="10"/>
  <c r="L73" i="10"/>
  <c r="L8" i="10"/>
  <c r="L20" i="10"/>
  <c r="L21" i="10" s="1"/>
  <c r="L17" i="10"/>
  <c r="L32" i="10"/>
  <c r="L33" i="10" s="1"/>
  <c r="F20" i="10"/>
  <c r="F17" i="10" s="1"/>
  <c r="F32" i="10"/>
  <c r="F33" i="10" s="1"/>
  <c r="P34" i="9"/>
  <c r="M38" i="9"/>
  <c r="U69" i="9"/>
  <c r="U73" i="9"/>
  <c r="AA73" i="9"/>
  <c r="Y72" i="9"/>
  <c r="R73" i="9"/>
  <c r="R69" i="9"/>
  <c r="R70" i="9" s="1"/>
  <c r="C17" i="9"/>
  <c r="C75" i="9"/>
  <c r="G25" i="9"/>
  <c r="I26" i="9"/>
  <c r="K45" i="9"/>
  <c r="K34" i="9"/>
  <c r="S7" i="9"/>
  <c r="U8" i="9"/>
  <c r="O17" i="9"/>
  <c r="O32" i="9"/>
  <c r="O8" i="9"/>
  <c r="K8" i="9"/>
  <c r="E20" i="9"/>
  <c r="K21" i="9" s="1"/>
  <c r="E32" i="9"/>
  <c r="E33" i="9" s="1"/>
  <c r="E45" i="9" s="1"/>
  <c r="E48" i="9" s="1"/>
  <c r="E51" i="9" s="1"/>
  <c r="AI114" i="16"/>
  <c r="AK113" i="16"/>
  <c r="AK114" i="16" s="1"/>
  <c r="Y106" i="16"/>
  <c r="S106" i="16"/>
  <c r="S108" i="16"/>
  <c r="U78" i="16"/>
  <c r="S77" i="16"/>
  <c r="S80" i="16" s="1"/>
  <c r="O80" i="16"/>
  <c r="U81" i="16" s="1"/>
  <c r="AJ65" i="16"/>
  <c r="AJ61" i="16"/>
  <c r="AK61" i="16" s="1"/>
  <c r="AK64" i="16"/>
  <c r="U17" i="16"/>
  <c r="Y7" i="16"/>
  <c r="U24" i="16"/>
  <c r="AA8" i="16"/>
  <c r="U8" i="16"/>
  <c r="G7" i="16"/>
  <c r="G17" i="16" s="1"/>
  <c r="D24" i="16"/>
  <c r="D17" i="16"/>
  <c r="Q88" i="17"/>
  <c r="W86" i="17"/>
  <c r="X48" i="17"/>
  <c r="X46" i="17"/>
  <c r="AM73" i="17"/>
  <c r="AM69" i="17"/>
  <c r="AC26" i="17"/>
  <c r="AI26" i="17"/>
  <c r="AC17" i="17"/>
  <c r="AC75" i="17"/>
  <c r="X17" i="17"/>
  <c r="X75" i="17"/>
  <c r="AD26" i="17"/>
  <c r="X26" i="17"/>
  <c r="AA26" i="17"/>
  <c r="Y25" i="17"/>
  <c r="U26" i="17"/>
  <c r="U75" i="17"/>
  <c r="K26" i="17"/>
  <c r="K17" i="17"/>
  <c r="Q26" i="17"/>
  <c r="K75" i="17"/>
  <c r="K20" i="17"/>
  <c r="Q8" i="17"/>
  <c r="K32" i="17"/>
  <c r="K33" i="17" s="1"/>
  <c r="K8" i="17"/>
  <c r="AE124" i="15"/>
  <c r="AA125" i="15"/>
  <c r="V86" i="15"/>
  <c r="V88" i="15"/>
  <c r="R88" i="15"/>
  <c r="X86" i="15"/>
  <c r="AB26" i="15"/>
  <c r="AB75" i="15"/>
  <c r="U75" i="15"/>
  <c r="Y25" i="15"/>
  <c r="U26" i="15"/>
  <c r="U17" i="15"/>
  <c r="M25" i="15"/>
  <c r="I17" i="15"/>
  <c r="I26" i="15"/>
  <c r="I75" i="15"/>
  <c r="S7" i="15"/>
  <c r="P20" i="15"/>
  <c r="P21" i="15" s="1"/>
  <c r="P17" i="15"/>
  <c r="P8" i="15"/>
  <c r="P32" i="15"/>
  <c r="R8" i="15"/>
  <c r="R32" i="15"/>
  <c r="R33" i="15" s="1"/>
  <c r="R20" i="15"/>
  <c r="R17" i="15"/>
  <c r="X8" i="15"/>
  <c r="K32" i="15"/>
  <c r="K33" i="15" s="1"/>
  <c r="Q8" i="15"/>
  <c r="K8" i="15"/>
  <c r="K20" i="15"/>
  <c r="AS110" i="4"/>
  <c r="AM107" i="4"/>
  <c r="BC79" i="4"/>
  <c r="BC80" i="4" s="1"/>
  <c r="BE79" i="4"/>
  <c r="AT42" i="4"/>
  <c r="AN39" i="4"/>
  <c r="AO36" i="4"/>
  <c r="AI33" i="4"/>
  <c r="S79" i="117"/>
  <c r="S88" i="117"/>
  <c r="S95" i="117"/>
  <c r="S96" i="117" s="1"/>
  <c r="K95" i="117"/>
  <c r="K96" i="117" s="1"/>
  <c r="K88" i="117"/>
  <c r="K79" i="117"/>
  <c r="F95" i="117"/>
  <c r="F96" i="117" s="1"/>
  <c r="F88" i="117"/>
  <c r="F81" i="117" s="1"/>
  <c r="M82" i="117" s="1"/>
  <c r="S171" i="3"/>
  <c r="Y172" i="3" s="1"/>
  <c r="W172" i="3"/>
  <c r="AB30" i="3"/>
  <c r="AA31" i="3"/>
  <c r="S5" i="8"/>
  <c r="P7" i="8"/>
  <c r="K8" i="8"/>
  <c r="K17" i="8"/>
  <c r="K24" i="8"/>
  <c r="K25" i="8" s="1"/>
  <c r="E7" i="8"/>
  <c r="G7" i="8" s="1"/>
  <c r="G5" i="8"/>
  <c r="E24" i="2"/>
  <c r="E25" i="2" s="1"/>
  <c r="E37" i="2" s="1"/>
  <c r="E40" i="2" s="1"/>
  <c r="E43" i="2" s="1"/>
  <c r="E17" i="2"/>
  <c r="K8" i="2"/>
  <c r="G7" i="2"/>
  <c r="G17" i="2" s="1"/>
  <c r="C24" i="2"/>
  <c r="C17" i="2"/>
  <c r="V13" i="7"/>
  <c r="V14" i="7" s="1"/>
  <c r="V10" i="7"/>
  <c r="V18" i="7"/>
  <c r="S5" i="7"/>
  <c r="Q7" i="7"/>
  <c r="Y4" i="17"/>
  <c r="Y5" i="17" s="1"/>
  <c r="U5" i="17"/>
  <c r="U7" i="17" s="1"/>
  <c r="U13" i="7"/>
  <c r="U10" i="7" s="1"/>
  <c r="AJ61" i="2"/>
  <c r="AJ62" i="2" s="1"/>
  <c r="AJ65" i="2"/>
  <c r="AB65" i="2"/>
  <c r="AB61" i="2"/>
  <c r="AB62" i="2" s="1"/>
  <c r="R65" i="2"/>
  <c r="R61" i="2"/>
  <c r="R62" i="2" s="1"/>
  <c r="F44" i="3"/>
  <c r="E45" i="3"/>
  <c r="E46" i="3" s="1"/>
  <c r="X112" i="21"/>
  <c r="X98" i="15"/>
  <c r="X100" i="15"/>
  <c r="X109" i="15"/>
  <c r="Y97" i="15"/>
  <c r="AD98" i="15"/>
  <c r="AJ75" i="15"/>
  <c r="AJ26" i="15"/>
  <c r="AI91" i="15"/>
  <c r="AO26" i="10"/>
  <c r="AI75" i="10"/>
  <c r="AI26" i="10"/>
  <c r="AH75" i="15"/>
  <c r="AH26" i="15"/>
  <c r="AN26" i="15"/>
  <c r="AK25" i="15"/>
  <c r="V17" i="2"/>
  <c r="V8" i="2"/>
  <c r="V24" i="2"/>
  <c r="V74" i="2"/>
  <c r="V75" i="2" s="1"/>
  <c r="Y7" i="2"/>
  <c r="Y84" i="17"/>
  <c r="X85" i="17"/>
  <c r="Y85" i="17" s="1"/>
  <c r="X74" i="16"/>
  <c r="X76" i="16" s="1"/>
  <c r="W77" i="16"/>
  <c r="AA4" i="15"/>
  <c r="Y5" i="15"/>
  <c r="Y6" i="10"/>
  <c r="X7" i="10"/>
  <c r="X4" i="8"/>
  <c r="X6" i="8" s="1"/>
  <c r="W7" i="8"/>
  <c r="Q64" i="8"/>
  <c r="Q65" i="8" s="1"/>
  <c r="AO80" i="10"/>
  <c r="AN69" i="10"/>
  <c r="AT70" i="10" s="1"/>
  <c r="E34" i="9"/>
  <c r="V17" i="9"/>
  <c r="M29" i="16"/>
  <c r="S30" i="16" s="1"/>
  <c r="Y119" i="4"/>
  <c r="Y120" i="4" s="1"/>
  <c r="AH86" i="4"/>
  <c r="AE69" i="4"/>
  <c r="AE70" i="4" s="1"/>
  <c r="N30" i="117"/>
  <c r="T31" i="117" s="1"/>
  <c r="AD82" i="21"/>
  <c r="E129" i="14"/>
  <c r="E130" i="14" s="1"/>
  <c r="AD98" i="3"/>
  <c r="AC98" i="3"/>
  <c r="AB162" i="3"/>
  <c r="AJ102" i="3"/>
  <c r="AJ98" i="3"/>
  <c r="AJ99" i="3" s="1"/>
  <c r="AP26" i="10"/>
  <c r="AP38" i="10"/>
  <c r="AP30" i="7"/>
  <c r="AP64" i="10"/>
  <c r="AP18" i="4"/>
  <c r="AS12" i="20"/>
  <c r="AT21" i="4"/>
  <c r="AQ88" i="4"/>
  <c r="AU21" i="4"/>
  <c r="G180" i="3"/>
  <c r="AE29" i="8"/>
  <c r="AB61" i="7"/>
  <c r="AB62" i="7" s="1"/>
  <c r="R61" i="7"/>
  <c r="Q83" i="10"/>
  <c r="I67" i="9"/>
  <c r="AJ64" i="9"/>
  <c r="AD38" i="9"/>
  <c r="AE58" i="16"/>
  <c r="AE59" i="16" s="1"/>
  <c r="Y47" i="16"/>
  <c r="P231" i="117"/>
  <c r="P236" i="117" s="1"/>
  <c r="P243" i="117" s="1"/>
  <c r="T193" i="117"/>
  <c r="AE172" i="21"/>
  <c r="AD173" i="21"/>
  <c r="AJ173" i="21"/>
  <c r="AB98" i="3"/>
  <c r="AI102" i="3"/>
  <c r="AI98" i="3"/>
  <c r="AP26" i="9"/>
  <c r="BB125" i="3"/>
  <c r="BB137" i="3" s="1"/>
  <c r="BB138" i="3" s="1"/>
  <c r="AT67" i="9"/>
  <c r="BB169" i="3"/>
  <c r="BO12" i="3"/>
  <c r="P69" i="9"/>
  <c r="O69" i="9"/>
  <c r="Z193" i="117"/>
  <c r="AD186" i="21"/>
  <c r="AJ186" i="21"/>
  <c r="AE185" i="21"/>
  <c r="AE96" i="21"/>
  <c r="L95" i="14"/>
  <c r="AA98" i="3"/>
  <c r="AE101" i="3"/>
  <c r="AE98" i="3" s="1"/>
  <c r="E206" i="14"/>
  <c r="AS26" i="10"/>
  <c r="AS26" i="9"/>
  <c r="AP96" i="16"/>
  <c r="AS26" i="17"/>
  <c r="AP26" i="15"/>
  <c r="AO101" i="15"/>
  <c r="AW137" i="3"/>
  <c r="AW138" i="3" s="1"/>
  <c r="AS138" i="3"/>
  <c r="AY138" i="3"/>
  <c r="AJ56" i="7"/>
  <c r="AD162" i="3"/>
  <c r="AC162" i="3"/>
  <c r="X31" i="21"/>
  <c r="AG98" i="3"/>
  <c r="AK101" i="3"/>
  <c r="AG102" i="3"/>
  <c r="AH102" i="3"/>
  <c r="AH98" i="3"/>
  <c r="AP12" i="20"/>
  <c r="AT26" i="15"/>
  <c r="AN11" i="20"/>
  <c r="AN26" i="9"/>
  <c r="CY72" i="3"/>
  <c r="CY71" i="3"/>
  <c r="CM67" i="3"/>
  <c r="CM72" i="3" s="1"/>
  <c r="CG67" i="3"/>
  <c r="CG70" i="3" s="1"/>
  <c r="BY71" i="3"/>
  <c r="BY72" i="3"/>
  <c r="CG60" i="21"/>
  <c r="AS38" i="10"/>
  <c r="AS30" i="7"/>
  <c r="AS64" i="9"/>
  <c r="AS90" i="16"/>
  <c r="AZ137" i="3"/>
  <c r="AZ140" i="3" s="1"/>
  <c r="AP64" i="15"/>
  <c r="AP12" i="4"/>
  <c r="H63" i="14"/>
  <c r="I181" i="14" s="1"/>
  <c r="I184" i="14" s="1"/>
  <c r="AT50" i="7"/>
  <c r="AZ109" i="17"/>
  <c r="AT56" i="16"/>
  <c r="AT90" i="16"/>
  <c r="AT101" i="15"/>
  <c r="BW73" i="3"/>
  <c r="AB309" i="117"/>
  <c r="AB306" i="117"/>
  <c r="AS11" i="21" s="1"/>
  <c r="BF101" i="17"/>
  <c r="CE71" i="3"/>
  <c r="CJ72" i="3"/>
  <c r="CJ73" i="3" s="1"/>
  <c r="CV71" i="3"/>
  <c r="CV73" i="3" s="1"/>
  <c r="BY262" i="117"/>
  <c r="CS60" i="21"/>
  <c r="CG262" i="117"/>
  <c r="AT64" i="10"/>
  <c r="AS79" i="9"/>
  <c r="AZ98" i="17"/>
  <c r="CE70" i="3"/>
  <c r="BL262" i="117"/>
  <c r="BX73" i="3"/>
  <c r="CM60" i="21"/>
  <c r="BA137" i="3"/>
  <c r="BA138" i="3" s="1"/>
  <c r="AP30" i="16"/>
  <c r="AT53" i="16"/>
  <c r="AT93" i="16"/>
  <c r="AT87" i="16"/>
  <c r="AC229" i="117"/>
  <c r="AS156" i="21"/>
  <c r="BA26" i="9"/>
  <c r="AU26" i="9"/>
  <c r="AU26" i="10"/>
  <c r="BA9" i="20"/>
  <c r="AU9" i="20"/>
  <c r="AU11" i="20"/>
  <c r="AU12" i="20" s="1"/>
  <c r="AU101" i="15"/>
  <c r="AY26" i="9"/>
  <c r="AU30" i="8"/>
  <c r="AU38" i="15"/>
  <c r="BE26" i="10"/>
  <c r="AY26" i="10"/>
  <c r="AV64" i="10"/>
  <c r="BB26" i="9"/>
  <c r="AV26" i="9"/>
  <c r="BB9" i="20"/>
  <c r="AV11" i="20"/>
  <c r="AV12" i="20" s="1"/>
  <c r="AV9" i="20"/>
  <c r="BA97" i="17"/>
  <c r="AU100" i="17"/>
  <c r="AU101" i="17" s="1"/>
  <c r="AV80" i="10"/>
  <c r="BE56" i="7"/>
  <c r="AY56" i="7"/>
  <c r="BE26" i="9"/>
  <c r="BB18" i="4"/>
  <c r="AV18" i="4"/>
  <c r="AU80" i="10"/>
  <c r="AU56" i="7"/>
  <c r="BA38" i="9"/>
  <c r="AU38" i="9"/>
  <c r="AU12" i="4"/>
  <c r="AU30" i="16"/>
  <c r="AU90" i="16"/>
  <c r="AY80" i="10"/>
  <c r="AV58" i="9"/>
  <c r="AV64" i="9"/>
  <c r="BB30" i="2"/>
  <c r="AV30" i="2"/>
  <c r="BA52" i="16"/>
  <c r="AU53" i="16"/>
  <c r="AU55" i="16"/>
  <c r="AU56" i="16" s="1"/>
  <c r="BA103" i="17"/>
  <c r="AU104" i="17"/>
  <c r="AU64" i="15"/>
  <c r="AU26" i="15"/>
  <c r="AV26" i="10"/>
  <c r="AV56" i="7"/>
  <c r="AV102" i="3"/>
  <c r="AP98" i="3"/>
  <c r="AP99" i="3" s="1"/>
  <c r="AP102" i="3"/>
  <c r="AU98" i="3"/>
  <c r="AU102" i="3"/>
  <c r="AU120" i="3"/>
  <c r="AU121" i="3" s="1"/>
  <c r="AU156" i="21"/>
  <c r="AX164" i="117"/>
  <c r="AO102" i="3"/>
  <c r="AO98" i="3"/>
  <c r="AO99" i="3" s="1"/>
  <c r="AT102" i="3"/>
  <c r="AT98" i="3"/>
  <c r="BA12" i="20"/>
  <c r="BB59" i="8"/>
  <c r="J189" i="14"/>
  <c r="AV98" i="3"/>
  <c r="AV99" i="3" s="1"/>
  <c r="BE102" i="3"/>
  <c r="AY98" i="3"/>
  <c r="AY102" i="3"/>
  <c r="BA98" i="3"/>
  <c r="BA99" i="3" s="1"/>
  <c r="BB59" i="7"/>
  <c r="BB58" i="9"/>
  <c r="BB24" i="20"/>
  <c r="AU56" i="8"/>
  <c r="AE229" i="117"/>
  <c r="BG92" i="16"/>
  <c r="BA93" i="16"/>
  <c r="AU63" i="17"/>
  <c r="AU64" i="17" s="1"/>
  <c r="AY56" i="8"/>
  <c r="AY38" i="10"/>
  <c r="AM98" i="3"/>
  <c r="AM99" i="3" s="1"/>
  <c r="AQ101" i="3"/>
  <c r="AM102" i="3"/>
  <c r="AV120" i="3"/>
  <c r="AV121" i="3" s="1"/>
  <c r="AV101" i="15"/>
  <c r="AZ12" i="4"/>
  <c r="AZ86" i="3"/>
  <c r="BA30" i="16"/>
  <c r="BH56" i="16"/>
  <c r="BB56" i="16"/>
  <c r="BG86" i="16"/>
  <c r="BA89" i="16"/>
  <c r="BA90" i="16" s="1"/>
  <c r="AU95" i="16"/>
  <c r="BG61" i="17"/>
  <c r="BA63" i="17"/>
  <c r="AY64" i="10"/>
  <c r="AY38" i="9"/>
  <c r="AY30" i="2"/>
  <c r="AN102" i="3"/>
  <c r="AN98" i="3"/>
  <c r="AN99" i="3" s="1"/>
  <c r="AS102" i="3"/>
  <c r="AW101" i="3"/>
  <c r="AS98" i="3"/>
  <c r="AV56" i="16"/>
  <c r="I189" i="14"/>
  <c r="AZ24" i="20"/>
  <c r="BA86" i="3"/>
  <c r="BB12" i="20"/>
  <c r="AY56" i="16"/>
  <c r="AY75" i="17"/>
  <c r="BE26" i="17"/>
  <c r="AY101" i="17"/>
  <c r="AV26" i="15"/>
  <c r="AY101" i="15"/>
  <c r="BE101" i="15"/>
  <c r="BF30" i="2"/>
  <c r="AZ30" i="8"/>
  <c r="DE70" i="3"/>
  <c r="BA30" i="2"/>
  <c r="AZ101" i="15"/>
  <c r="BF101" i="15"/>
  <c r="CQ262" i="117"/>
  <c r="DK60" i="21"/>
  <c r="BB56" i="8"/>
  <c r="BB26" i="10"/>
  <c r="BB38" i="10"/>
  <c r="BB56" i="7"/>
  <c r="BB12" i="4"/>
  <c r="BB30" i="16"/>
  <c r="BH90" i="16"/>
  <c r="BB38" i="17"/>
  <c r="BB26" i="17"/>
  <c r="AV156" i="21"/>
  <c r="J305" i="14"/>
  <c r="AZ56" i="8"/>
  <c r="AZ38" i="10"/>
  <c r="BA12" i="4"/>
  <c r="AZ64" i="15"/>
  <c r="BF64" i="15"/>
  <c r="BA101" i="15"/>
  <c r="BG101" i="15"/>
  <c r="BB98" i="3"/>
  <c r="BH102" i="3"/>
  <c r="BB101" i="15"/>
  <c r="AV38" i="15"/>
  <c r="AZ64" i="9"/>
  <c r="AZ96" i="16"/>
  <c r="AZ107" i="15"/>
  <c r="BF107" i="15"/>
  <c r="BA102" i="3"/>
  <c r="BA56" i="7"/>
  <c r="BA64" i="15"/>
  <c r="BA107" i="15"/>
  <c r="BG107" i="15"/>
  <c r="DE60" i="21"/>
  <c r="BB64" i="10"/>
  <c r="BB53" i="16"/>
  <c r="BH101" i="17"/>
  <c r="BB26" i="15"/>
  <c r="BB58" i="15"/>
  <c r="BH58" i="15"/>
  <c r="AZ30" i="2"/>
  <c r="AZ56" i="7"/>
  <c r="AZ38" i="9"/>
  <c r="AZ30" i="16"/>
  <c r="AZ26" i="15"/>
  <c r="BA26" i="10"/>
  <c r="BA58" i="15"/>
  <c r="BG58" i="15"/>
  <c r="BB26" i="7"/>
  <c r="BB64" i="9"/>
  <c r="BB64" i="15"/>
  <c r="BH64" i="15"/>
  <c r="BR70" i="3"/>
  <c r="CA12" i="3"/>
  <c r="BU12" i="3"/>
  <c r="BS72" i="3"/>
  <c r="G157" i="11"/>
  <c r="G158" i="11" s="1"/>
  <c r="G217" i="11"/>
  <c r="G218" i="11" s="1"/>
  <c r="G247" i="11"/>
  <c r="G248" i="11" s="1"/>
  <c r="E232" i="11"/>
  <c r="E233" i="11" s="1"/>
  <c r="E217" i="11"/>
  <c r="E218" i="11" s="1"/>
  <c r="E187" i="11"/>
  <c r="E188" i="11" s="1"/>
  <c r="E157" i="11"/>
  <c r="E158" i="11" s="1"/>
  <c r="E97" i="11"/>
  <c r="E98" i="11" s="1"/>
  <c r="I172" i="11"/>
  <c r="I173" i="11" s="1"/>
  <c r="G172" i="11"/>
  <c r="G173" i="11" s="1"/>
  <c r="F127" i="11"/>
  <c r="F128" i="11" s="1"/>
  <c r="G127" i="11"/>
  <c r="G128" i="11" s="1"/>
  <c r="E52" i="11"/>
  <c r="E53" i="11" s="1"/>
  <c r="F247" i="11"/>
  <c r="F248" i="11" s="1"/>
  <c r="F202" i="11"/>
  <c r="F203" i="11" s="1"/>
  <c r="G142" i="11"/>
  <c r="G143" i="11" s="1"/>
  <c r="E112" i="11"/>
  <c r="E113" i="11" s="1"/>
  <c r="G82" i="11"/>
  <c r="G83" i="11" s="1"/>
  <c r="I232" i="11"/>
  <c r="I233" i="11" s="1"/>
  <c r="F112" i="11"/>
  <c r="F113" i="11" s="1"/>
  <c r="J52" i="11"/>
  <c r="J53" i="11" s="1"/>
  <c r="I187" i="11"/>
  <c r="I188" i="11" s="1"/>
  <c r="H232" i="11"/>
  <c r="H233" i="11" s="1"/>
  <c r="J127" i="11"/>
  <c r="J128" i="11" s="1"/>
  <c r="J172" i="11"/>
  <c r="J173" i="11" s="1"/>
  <c r="H82" i="11"/>
  <c r="H83" i="11" s="1"/>
  <c r="I67" i="11"/>
  <c r="I68" i="11" s="1"/>
  <c r="F52" i="11"/>
  <c r="F53" i="11" s="1"/>
  <c r="H202" i="11"/>
  <c r="H203" i="11" s="1"/>
  <c r="J112" i="11"/>
  <c r="J113" i="11" s="1"/>
  <c r="H127" i="11"/>
  <c r="H128" i="11" s="1"/>
  <c r="H97" i="11"/>
  <c r="H98" i="11" s="1"/>
  <c r="J97" i="11"/>
  <c r="J98" i="11" s="1"/>
  <c r="I127" i="11"/>
  <c r="I128" i="11" s="1"/>
  <c r="J217" i="11"/>
  <c r="J218" i="11" s="1"/>
  <c r="F82" i="11"/>
  <c r="F83" i="11" s="1"/>
  <c r="J82" i="11"/>
  <c r="J83" i="11" s="1"/>
  <c r="F232" i="11"/>
  <c r="F233" i="11" s="1"/>
  <c r="I247" i="11"/>
  <c r="I248" i="11" s="1"/>
  <c r="I97" i="11"/>
  <c r="I98" i="11" s="1"/>
  <c r="H157" i="11"/>
  <c r="H158" i="11" s="1"/>
  <c r="I142" i="11"/>
  <c r="I143" i="11" s="1"/>
  <c r="I202" i="11"/>
  <c r="I203" i="11" s="1"/>
  <c r="I217" i="11"/>
  <c r="I218" i="11" s="1"/>
  <c r="H112" i="11"/>
  <c r="H113" i="11" s="1"/>
  <c r="H172" i="11"/>
  <c r="H173" i="11" s="1"/>
  <c r="I82" i="11"/>
  <c r="I83" i="11" s="1"/>
  <c r="E20" i="11"/>
  <c r="E21" i="11" s="1"/>
  <c r="J187" i="11"/>
  <c r="J188" i="11" s="1"/>
  <c r="AI6" i="21"/>
  <c r="AI23" i="21" s="1"/>
  <c r="J150" i="21"/>
  <c r="AA148" i="21"/>
  <c r="AE140" i="21"/>
  <c r="Y140" i="21"/>
  <c r="M46" i="21"/>
  <c r="AE91" i="21"/>
  <c r="AF91" i="21" s="1"/>
  <c r="M21" i="21"/>
  <c r="AQ13" i="21"/>
  <c r="AK13" i="21"/>
  <c r="AM159" i="21"/>
  <c r="M15" i="21"/>
  <c r="J13" i="21"/>
  <c r="J96" i="21" s="1"/>
  <c r="AJ159" i="21"/>
  <c r="Y96" i="21"/>
  <c r="S88" i="21"/>
  <c r="AK62" i="21"/>
  <c r="BC62" i="21"/>
  <c r="BC146" i="21"/>
  <c r="J21" i="14" s="1"/>
  <c r="J139" i="14" s="1"/>
  <c r="AW38" i="21"/>
  <c r="AW13" i="21"/>
  <c r="S64" i="21"/>
  <c r="AJ148" i="21"/>
  <c r="AE85" i="21"/>
  <c r="BC38" i="21"/>
  <c r="AO147" i="21"/>
  <c r="AK146" i="21"/>
  <c r="G21" i="14" s="1"/>
  <c r="S62" i="21"/>
  <c r="AW146" i="21"/>
  <c r="AW147" i="21" s="1"/>
  <c r="BB148" i="21"/>
  <c r="AI158" i="21"/>
  <c r="AO159" i="21" s="1"/>
  <c r="O96" i="21"/>
  <c r="K6" i="21"/>
  <c r="K13" i="21" s="1"/>
  <c r="K96" i="21" s="1"/>
  <c r="AQ62" i="21"/>
  <c r="AP148" i="21"/>
  <c r="AQ161" i="21"/>
  <c r="AI55" i="21"/>
  <c r="AI72" i="21" s="1"/>
  <c r="AY147" i="21"/>
  <c r="AQ44" i="21"/>
  <c r="AQ40" i="21"/>
  <c r="BC19" i="21"/>
  <c r="AN158" i="21"/>
  <c r="AN159" i="21" s="1"/>
  <c r="AN148" i="21"/>
  <c r="AE9" i="21"/>
  <c r="I21" i="14"/>
  <c r="AU148" i="21"/>
  <c r="AT148" i="21"/>
  <c r="AZ147" i="21"/>
  <c r="I55" i="21"/>
  <c r="I62" i="21" s="1"/>
  <c r="I140" i="21" s="1"/>
  <c r="I138" i="21" s="1"/>
  <c r="AK85" i="21"/>
  <c r="AQ19" i="21"/>
  <c r="Y86" i="21"/>
  <c r="Z86" i="21" s="1"/>
  <c r="AT55" i="21"/>
  <c r="AT72" i="21" s="1"/>
  <c r="BC44" i="21"/>
  <c r="S15" i="21"/>
  <c r="AO6" i="21"/>
  <c r="X6" i="21"/>
  <c r="X23" i="21" s="1"/>
  <c r="W31" i="21"/>
  <c r="AE60" i="21"/>
  <c r="R138" i="21"/>
  <c r="AK88" i="21"/>
  <c r="W48" i="21"/>
  <c r="W49" i="21" s="1"/>
  <c r="AK8" i="21"/>
  <c r="BC8" i="21"/>
  <c r="Y82" i="21"/>
  <c r="L6" i="21"/>
  <c r="L13" i="21" s="1"/>
  <c r="L96" i="21" s="1"/>
  <c r="L94" i="21" s="1"/>
  <c r="S91" i="21"/>
  <c r="AW82" i="21"/>
  <c r="Y36" i="21"/>
  <c r="AI116" i="21"/>
  <c r="AQ60" i="21"/>
  <c r="U6" i="21"/>
  <c r="U23" i="21" s="1"/>
  <c r="W55" i="21"/>
  <c r="AQ82" i="21"/>
  <c r="J94" i="21"/>
  <c r="Q138" i="21"/>
  <c r="AP116" i="21"/>
  <c r="AQ84" i="21"/>
  <c r="AW90" i="21"/>
  <c r="AW40" i="21"/>
  <c r="Y44" i="21"/>
  <c r="Y88" i="21"/>
  <c r="Z88" i="21" s="1"/>
  <c r="Q55" i="21"/>
  <c r="Q72" i="21" s="1"/>
  <c r="P55" i="21"/>
  <c r="P72" i="21" s="1"/>
  <c r="Q6" i="21"/>
  <c r="AW57" i="21"/>
  <c r="AU55" i="21"/>
  <c r="AU72" i="21" s="1"/>
  <c r="S33" i="21"/>
  <c r="AW8" i="21"/>
  <c r="AO116" i="21"/>
  <c r="AE15" i="21"/>
  <c r="AW15" i="21"/>
  <c r="AE44" i="21"/>
  <c r="AQ88" i="21"/>
  <c r="AH138" i="21"/>
  <c r="AW7" i="21"/>
  <c r="AQ90" i="21"/>
  <c r="AP55" i="21"/>
  <c r="AP72" i="21" s="1"/>
  <c r="AW87" i="21"/>
  <c r="AN55" i="21"/>
  <c r="AN72" i="21" s="1"/>
  <c r="AD94" i="21"/>
  <c r="V94" i="21"/>
  <c r="Y83" i="21"/>
  <c r="R94" i="21"/>
  <c r="S86" i="21"/>
  <c r="BC86" i="21"/>
  <c r="AW85" i="21"/>
  <c r="AQ85" i="21"/>
  <c r="O94" i="21"/>
  <c r="M8" i="21"/>
  <c r="S36" i="21"/>
  <c r="AK15" i="21"/>
  <c r="AW86" i="21"/>
  <c r="BC83" i="21"/>
  <c r="AQ8" i="21"/>
  <c r="AO138" i="21"/>
  <c r="BC90" i="21"/>
  <c r="T295" i="117"/>
  <c r="U55" i="21"/>
  <c r="U72" i="21" s="1"/>
  <c r="R6" i="21"/>
  <c r="R23" i="21" s="1"/>
  <c r="R31" i="21"/>
  <c r="X30" i="21" s="1"/>
  <c r="O31" i="21"/>
  <c r="O48" i="21" s="1"/>
  <c r="O144" i="21" s="1"/>
  <c r="O150" i="21" s="1"/>
  <c r="S19" i="21"/>
  <c r="AA116" i="21"/>
  <c r="BC88" i="21"/>
  <c r="J55" i="21"/>
  <c r="J62" i="21" s="1"/>
  <c r="J140" i="21" s="1"/>
  <c r="J138" i="21" s="1"/>
  <c r="AW60" i="21"/>
  <c r="BC85" i="21"/>
  <c r="BC11" i="21"/>
  <c r="AW83" i="21"/>
  <c r="BC87" i="21"/>
  <c r="AQ57" i="21"/>
  <c r="AW84" i="21"/>
  <c r="L31" i="21"/>
  <c r="L38" i="21" s="1"/>
  <c r="L118" i="21" s="1"/>
  <c r="L116" i="21" s="1"/>
  <c r="M88" i="21"/>
  <c r="AA55" i="21"/>
  <c r="AA72" i="21" s="1"/>
  <c r="AQ87" i="21"/>
  <c r="AQ83" i="21"/>
  <c r="AE8" i="21"/>
  <c r="AM94" i="21"/>
  <c r="BC57" i="21"/>
  <c r="AW88" i="21"/>
  <c r="AK7" i="21"/>
  <c r="K31" i="21"/>
  <c r="K38" i="21" s="1"/>
  <c r="K118" i="21" s="1"/>
  <c r="K116" i="21" s="1"/>
  <c r="S87" i="21"/>
  <c r="AK60" i="21"/>
  <c r="AG55" i="21"/>
  <c r="AG72" i="21" s="1"/>
  <c r="AJ6" i="21"/>
  <c r="AK40" i="21"/>
  <c r="AK64" i="21"/>
  <c r="U138" i="21"/>
  <c r="M40" i="21"/>
  <c r="W138" i="21"/>
  <c r="V138" i="21"/>
  <c r="BC92" i="21"/>
  <c r="BC82" i="21"/>
  <c r="AE87" i="21"/>
  <c r="AF87" i="21" s="1"/>
  <c r="AE83" i="21"/>
  <c r="Y85" i="21"/>
  <c r="S84" i="21"/>
  <c r="V55" i="21"/>
  <c r="Y57" i="21"/>
  <c r="C18" i="14"/>
  <c r="C205" i="14"/>
  <c r="C217" i="14" s="1"/>
  <c r="C221" i="14" s="1"/>
  <c r="AC138" i="21"/>
  <c r="AK44" i="21"/>
  <c r="AW11" i="21"/>
  <c r="AW92" i="21"/>
  <c r="AO55" i="21"/>
  <c r="M33" i="21"/>
  <c r="AE82" i="21"/>
  <c r="M82" i="21"/>
  <c r="AN138" i="21"/>
  <c r="AQ64" i="21"/>
  <c r="AH94" i="21"/>
  <c r="AK11" i="21"/>
  <c r="P6" i="21"/>
  <c r="P5" i="21" s="1"/>
  <c r="C9" i="14"/>
  <c r="C12" i="14" s="1"/>
  <c r="Y33" i="21"/>
  <c r="AY138" i="21"/>
  <c r="AO94" i="21"/>
  <c r="AQ91" i="21"/>
  <c r="AQ86" i="21"/>
  <c r="BC40" i="21"/>
  <c r="AW19" i="21"/>
  <c r="Y64" i="21"/>
  <c r="AE90" i="21"/>
  <c r="AF90" i="21" s="1"/>
  <c r="M7" i="21"/>
  <c r="W6" i="21"/>
  <c r="W23" i="21" s="1"/>
  <c r="W24" i="21" s="1"/>
  <c r="V31" i="21"/>
  <c r="V30" i="21" s="1"/>
  <c r="AY94" i="21"/>
  <c r="AV158" i="21"/>
  <c r="AV159" i="21" s="1"/>
  <c r="BC91" i="21"/>
  <c r="BC84" i="21"/>
  <c r="AW44" i="21"/>
  <c r="AW64" i="21"/>
  <c r="S44" i="21"/>
  <c r="AQ15" i="21"/>
  <c r="AE86" i="21"/>
  <c r="AF86" i="21" s="1"/>
  <c r="AE92" i="21"/>
  <c r="AF92" i="21" s="1"/>
  <c r="Y87" i="21"/>
  <c r="Z87" i="21" s="1"/>
  <c r="Y92" i="21"/>
  <c r="Z92" i="21" s="1"/>
  <c r="Y91" i="21"/>
  <c r="Z91" i="21" s="1"/>
  <c r="P94" i="21"/>
  <c r="M87" i="21"/>
  <c r="M83" i="21"/>
  <c r="M86" i="21"/>
  <c r="M85" i="21"/>
  <c r="AK90" i="21"/>
  <c r="Q31" i="21"/>
  <c r="Q48" i="21" s="1"/>
  <c r="AM9" i="21"/>
  <c r="AS9" i="21" s="1"/>
  <c r="AK9" i="21"/>
  <c r="AG6" i="21"/>
  <c r="AG5" i="21" s="1"/>
  <c r="AN9" i="21"/>
  <c r="AH6" i="21"/>
  <c r="S118" i="21"/>
  <c r="O116" i="21"/>
  <c r="BC147" i="21"/>
  <c r="S298" i="117"/>
  <c r="M84" i="21"/>
  <c r="BB155" i="21"/>
  <c r="AU116" i="21"/>
  <c r="AQ92" i="21"/>
  <c r="M150" i="21"/>
  <c r="Y8" i="21"/>
  <c r="AY116" i="21"/>
  <c r="AU6" i="21"/>
  <c r="AU23" i="21" s="1"/>
  <c r="AW91" i="21"/>
  <c r="AV9" i="21"/>
  <c r="BB9" i="21" s="1"/>
  <c r="BH9" i="21" s="1"/>
  <c r="BN9" i="21" s="1"/>
  <c r="BT9" i="21" s="1"/>
  <c r="BZ9" i="21" s="1"/>
  <c r="CF9" i="21" s="1"/>
  <c r="CL9" i="21" s="1"/>
  <c r="CR9" i="21" s="1"/>
  <c r="CX9" i="21" s="1"/>
  <c r="DD9" i="21" s="1"/>
  <c r="DJ9" i="21" s="1"/>
  <c r="AP6" i="21"/>
  <c r="I6" i="21"/>
  <c r="M6" i="21" s="1"/>
  <c r="AK92" i="21"/>
  <c r="AK87" i="21"/>
  <c r="AK83" i="21"/>
  <c r="S8" i="21"/>
  <c r="AK57" i="21"/>
  <c r="AE40" i="21"/>
  <c r="Y40" i="21"/>
  <c r="AS158" i="21"/>
  <c r="AS159" i="21" s="1"/>
  <c r="AT158" i="21"/>
  <c r="AV147" i="21"/>
  <c r="BA148" i="21"/>
  <c r="AT94" i="21"/>
  <c r="BE148" i="21"/>
  <c r="BE147" i="21"/>
  <c r="BE158" i="21"/>
  <c r="BK159" i="21" s="1"/>
  <c r="P138" i="21"/>
  <c r="M56" i="21"/>
  <c r="AV148" i="21"/>
  <c r="S32" i="21"/>
  <c r="AK19" i="21"/>
  <c r="BC60" i="21"/>
  <c r="J254" i="14" s="1"/>
  <c r="J256" i="14" s="1"/>
  <c r="BC15" i="21"/>
  <c r="BA147" i="21"/>
  <c r="AV55" i="21"/>
  <c r="AA6" i="21"/>
  <c r="J297" i="117"/>
  <c r="N297" i="117" s="1"/>
  <c r="N295" i="117"/>
  <c r="K90" i="21"/>
  <c r="S90" i="21"/>
  <c r="AG138" i="21"/>
  <c r="AM138" i="21"/>
  <c r="AE64" i="21"/>
  <c r="AE57" i="21"/>
  <c r="X55" i="21"/>
  <c r="X51" i="21" s="1"/>
  <c r="Y56" i="21"/>
  <c r="Y60" i="21"/>
  <c r="S56" i="21"/>
  <c r="R55" i="21"/>
  <c r="S57" i="21"/>
  <c r="O55" i="21"/>
  <c r="AJ94" i="21"/>
  <c r="AK91" i="21"/>
  <c r="AK86" i="21"/>
  <c r="AI94" i="21"/>
  <c r="AO95" i="21" s="1"/>
  <c r="AK82" i="21"/>
  <c r="AN94" i="21"/>
  <c r="O6" i="21"/>
  <c r="O23" i="21" s="1"/>
  <c r="S7" i="21"/>
  <c r="AE36" i="21"/>
  <c r="X118" i="21"/>
  <c r="Y32" i="21"/>
  <c r="U31" i="21"/>
  <c r="M44" i="21"/>
  <c r="P48" i="21"/>
  <c r="P144" i="21" s="1"/>
  <c r="P150" i="21" s="1"/>
  <c r="AD116" i="21"/>
  <c r="AD117" i="21" s="1"/>
  <c r="AC116" i="21"/>
  <c r="AB116" i="21"/>
  <c r="W116" i="21"/>
  <c r="V116" i="21"/>
  <c r="U116" i="21"/>
  <c r="R116" i="21"/>
  <c r="Q116" i="21"/>
  <c r="P116" i="21"/>
  <c r="I92" i="21"/>
  <c r="M92" i="21" s="1"/>
  <c r="S92" i="21"/>
  <c r="C6" i="21"/>
  <c r="G6" i="21" s="1"/>
  <c r="G8" i="21"/>
  <c r="AA138" i="21"/>
  <c r="X138" i="21"/>
  <c r="O138" i="21"/>
  <c r="K55" i="21"/>
  <c r="K62" i="21" s="1"/>
  <c r="M57" i="21"/>
  <c r="M64" i="21"/>
  <c r="M36" i="21"/>
  <c r="I31" i="21"/>
  <c r="I38" i="21" s="1"/>
  <c r="I118" i="21" s="1"/>
  <c r="I116" i="21" s="1"/>
  <c r="M32" i="21"/>
  <c r="AC94" i="21"/>
  <c r="AE88" i="21"/>
  <c r="AF88" i="21" s="1"/>
  <c r="AE84" i="21"/>
  <c r="AA94" i="21"/>
  <c r="X94" i="21"/>
  <c r="W94" i="21"/>
  <c r="U94" i="21"/>
  <c r="Q94" i="21"/>
  <c r="S85" i="21"/>
  <c r="AK36" i="21"/>
  <c r="AN116" i="21"/>
  <c r="AG116" i="21"/>
  <c r="AK84" i="21"/>
  <c r="AG94" i="21"/>
  <c r="AB138" i="21"/>
  <c r="AD138" i="21"/>
  <c r="AJ138" i="21"/>
  <c r="AM116" i="21"/>
  <c r="AH116" i="21"/>
  <c r="V6" i="21"/>
  <c r="V23" i="21" s="1"/>
  <c r="Y7" i="21"/>
  <c r="S228" i="117"/>
  <c r="Y298" i="117"/>
  <c r="AJ116" i="21"/>
  <c r="M114" i="21"/>
  <c r="M112" i="21"/>
  <c r="M91" i="21"/>
  <c r="Y15" i="21"/>
  <c r="AI138" i="21"/>
  <c r="M113" i="21"/>
  <c r="AB94" i="21"/>
  <c r="M68" i="21"/>
  <c r="AT155" i="21"/>
  <c r="L62" i="21"/>
  <c r="L140" i="21" s="1"/>
  <c r="L138" i="21" s="1"/>
  <c r="M134" i="21"/>
  <c r="Y90" i="21"/>
  <c r="Z90" i="21" s="1"/>
  <c r="Y19" i="21"/>
  <c r="AY155" i="21"/>
  <c r="J38" i="21"/>
  <c r="DC152" i="21"/>
  <c r="DD152" i="21" s="1"/>
  <c r="AZ116" i="21"/>
  <c r="BB94" i="21"/>
  <c r="AZ94" i="21"/>
  <c r="AV94" i="21"/>
  <c r="AS116" i="21"/>
  <c r="AD148" i="21"/>
  <c r="AI147" i="21"/>
  <c r="AC147" i="21"/>
  <c r="DI152" i="21"/>
  <c r="DJ152" i="21" s="1"/>
  <c r="DK152" i="21" s="1"/>
  <c r="AY158" i="21"/>
  <c r="BB138" i="21"/>
  <c r="BA94" i="21"/>
  <c r="AV138" i="21"/>
  <c r="AT116" i="21"/>
  <c r="Q228" i="117"/>
  <c r="Q298" i="117"/>
  <c r="T297" i="117"/>
  <c r="W298" i="117"/>
  <c r="AY156" i="21"/>
  <c r="AZ138" i="21"/>
  <c r="AU138" i="21"/>
  <c r="AT138" i="21"/>
  <c r="AU94" i="21"/>
  <c r="AS94" i="21"/>
  <c r="M136" i="21"/>
  <c r="M135" i="21"/>
  <c r="V298" i="117"/>
  <c r="AB298" i="117"/>
  <c r="Z297" i="117"/>
  <c r="V228" i="117"/>
  <c r="X229" i="117"/>
  <c r="R231" i="117"/>
  <c r="C24" i="14"/>
  <c r="C30" i="14" s="1"/>
  <c r="AT156" i="21"/>
  <c r="AU158" i="21"/>
  <c r="AU159" i="21" s="1"/>
  <c r="AZ155" i="21"/>
  <c r="BA156" i="21"/>
  <c r="BA158" i="21"/>
  <c r="BB156" i="21"/>
  <c r="AU155" i="21"/>
  <c r="AZ156" i="21"/>
  <c r="BB158" i="21"/>
  <c r="AZ158" i="21"/>
  <c r="BA155" i="21"/>
  <c r="N214" i="14"/>
  <c r="P214" i="14"/>
  <c r="BB262" i="117"/>
  <c r="AZ164" i="117"/>
  <c r="AG62" i="12"/>
  <c r="AG63" i="12" s="1"/>
  <c r="AG67" i="12" s="1"/>
  <c r="AG68" i="12" s="1"/>
  <c r="AG69" i="12" s="1"/>
  <c r="AN16" i="12" s="1"/>
  <c r="M99" i="14"/>
  <c r="N99" i="14" s="1"/>
  <c r="O99" i="14" s="1"/>
  <c r="P99" i="14" s="1"/>
  <c r="Q99" i="14" s="1"/>
  <c r="R99" i="14" s="1"/>
  <c r="S99" i="14" s="1"/>
  <c r="T99" i="14" s="1"/>
  <c r="O96" i="14"/>
  <c r="BD194" i="117"/>
  <c r="BR19" i="21"/>
  <c r="BL19" i="21"/>
  <c r="BR20" i="20"/>
  <c r="BR68" i="21" s="1"/>
  <c r="BW5" i="20"/>
  <c r="CC5" i="20" s="1"/>
  <c r="BQ19" i="21"/>
  <c r="BK21" i="20"/>
  <c r="BK19" i="21"/>
  <c r="CL73" i="3"/>
  <c r="BR71" i="3"/>
  <c r="BR73" i="3" s="1"/>
  <c r="BK168" i="3"/>
  <c r="BQ5" i="4"/>
  <c r="BW5" i="4" s="1"/>
  <c r="BN15" i="21"/>
  <c r="BT5" i="4"/>
  <c r="BZ5" i="4" s="1"/>
  <c r="CF5" i="4" s="1"/>
  <c r="CF8" i="4" s="1"/>
  <c r="CF40" i="21" s="1"/>
  <c r="BH15" i="21"/>
  <c r="CF262" i="117"/>
  <c r="CT261" i="117"/>
  <c r="CJ262" i="117"/>
  <c r="CB261" i="117"/>
  <c r="Q51" i="11" s="1"/>
  <c r="BP261" i="117"/>
  <c r="BP262" i="117" s="1"/>
  <c r="BF262" i="117"/>
  <c r="CA22" i="3"/>
  <c r="BO22" i="3"/>
  <c r="CG22" i="3"/>
  <c r="CM71" i="3"/>
  <c r="CC73" i="3"/>
  <c r="CD73" i="3"/>
  <c r="CE73" i="3"/>
  <c r="BS71" i="3"/>
  <c r="BU67" i="3"/>
  <c r="BT71" i="3"/>
  <c r="BQ73" i="3"/>
  <c r="M104" i="14"/>
  <c r="M103" i="14" s="1"/>
  <c r="L103" i="14"/>
  <c r="K103" i="14"/>
  <c r="K110" i="14" s="1"/>
  <c r="V274" i="11"/>
  <c r="V276" i="11" s="1"/>
  <c r="V278" i="11" s="1"/>
  <c r="AF67" i="12"/>
  <c r="AF68" i="12" s="1"/>
  <c r="AF69" i="12" s="1"/>
  <c r="AL16" i="12" s="1"/>
  <c r="O262" i="11"/>
  <c r="N263" i="11"/>
  <c r="O70" i="11"/>
  <c r="CH261" i="117"/>
  <c r="R51" i="11" s="1"/>
  <c r="BS262" i="117"/>
  <c r="BO262" i="117"/>
  <c r="BU262" i="117"/>
  <c r="BP194" i="117"/>
  <c r="BJ194" i="117"/>
  <c r="BC26" i="20"/>
  <c r="AY18" i="20"/>
  <c r="BS5" i="20"/>
  <c r="BS11" i="20" s="1"/>
  <c r="BM19" i="21"/>
  <c r="BO5" i="20"/>
  <c r="BG19" i="21"/>
  <c r="BI19" i="21" s="1"/>
  <c r="BI5" i="20"/>
  <c r="CF151" i="3"/>
  <c r="CF168" i="3" s="1"/>
  <c r="CF169" i="3" s="1"/>
  <c r="BM72" i="3"/>
  <c r="BM70" i="3"/>
  <c r="BL70" i="3"/>
  <c r="BL72" i="3"/>
  <c r="CF70" i="3"/>
  <c r="CF71" i="3"/>
  <c r="BG10" i="3"/>
  <c r="BG11" i="3" s="1"/>
  <c r="BI12" i="3"/>
  <c r="L214" i="14"/>
  <c r="O214" i="14"/>
  <c r="K214" i="14"/>
  <c r="M214" i="14"/>
  <c r="AK282" i="117"/>
  <c r="BA228" i="117"/>
  <c r="BG228" i="117" s="1"/>
  <c r="BM228" i="117" s="1"/>
  <c r="BS228" i="117" s="1"/>
  <c r="BY228" i="117" s="1"/>
  <c r="CE228" i="117" s="1"/>
  <c r="CK228" i="117" s="1"/>
  <c r="CQ228" i="117" s="1"/>
  <c r="BK162" i="21"/>
  <c r="BC228" i="117"/>
  <c r="BI228" i="117" s="1"/>
  <c r="BO228" i="117" s="1"/>
  <c r="BU228" i="117" s="1"/>
  <c r="CA228" i="117" s="1"/>
  <c r="CG228" i="117" s="1"/>
  <c r="CM228" i="117" s="1"/>
  <c r="CS228" i="117" s="1"/>
  <c r="BB228" i="117"/>
  <c r="BH228" i="117" s="1"/>
  <c r="BN228" i="117" s="1"/>
  <c r="BT228" i="117" s="1"/>
  <c r="BZ228" i="117" s="1"/>
  <c r="CF228" i="117" s="1"/>
  <c r="CL228" i="117" s="1"/>
  <c r="CR228" i="117" s="1"/>
  <c r="AR228" i="117"/>
  <c r="AR229" i="117" s="1"/>
  <c r="BL228" i="117"/>
  <c r="CT194" i="117"/>
  <c r="CS262" i="117"/>
  <c r="CN194" i="117"/>
  <c r="CN261" i="117"/>
  <c r="CM262" i="117"/>
  <c r="CA262" i="117"/>
  <c r="BU60" i="21"/>
  <c r="AX261" i="117"/>
  <c r="AX262" i="117" s="1"/>
  <c r="BQ158" i="21"/>
  <c r="BO60" i="21"/>
  <c r="BH146" i="21"/>
  <c r="BH147" i="21" s="1"/>
  <c r="BI60" i="21"/>
  <c r="CL70" i="21"/>
  <c r="CR70" i="21" s="1"/>
  <c r="CX70" i="21" s="1"/>
  <c r="DD70" i="21" s="1"/>
  <c r="DJ70" i="21" s="1"/>
  <c r="BO70" i="21"/>
  <c r="BO21" i="21"/>
  <c r="BC13" i="21"/>
  <c r="BC64" i="21"/>
  <c r="BC17" i="4"/>
  <c r="BC18" i="4" s="1"/>
  <c r="AY18" i="4"/>
  <c r="CL11" i="4"/>
  <c r="CR11" i="4" s="1"/>
  <c r="CX11" i="4" s="1"/>
  <c r="DD11" i="4" s="1"/>
  <c r="DJ11" i="4" s="1"/>
  <c r="BC11" i="4"/>
  <c r="BC12" i="4" s="1"/>
  <c r="BC6" i="4"/>
  <c r="BS17" i="4"/>
  <c r="BY17" i="4" s="1"/>
  <c r="CE17" i="4" s="1"/>
  <c r="CK17" i="4" s="1"/>
  <c r="CQ17" i="4" s="1"/>
  <c r="CW17" i="4" s="1"/>
  <c r="DC17" i="4" s="1"/>
  <c r="DI17" i="4" s="1"/>
  <c r="BS11" i="4"/>
  <c r="BY11" i="4" s="1"/>
  <c r="CE11" i="4" s="1"/>
  <c r="CK11" i="4" s="1"/>
  <c r="CQ11" i="4" s="1"/>
  <c r="CW11" i="4" s="1"/>
  <c r="DC11" i="4" s="1"/>
  <c r="DI11" i="4" s="1"/>
  <c r="BA18" i="4"/>
  <c r="AZ18" i="4"/>
  <c r="AY12" i="4"/>
  <c r="J141" i="11"/>
  <c r="BC130" i="21"/>
  <c r="BC109" i="15"/>
  <c r="BC110" i="15" s="1"/>
  <c r="BC134" i="21"/>
  <c r="BC106" i="15"/>
  <c r="BC107" i="15" s="1"/>
  <c r="BC112" i="21"/>
  <c r="J200" i="11"/>
  <c r="BC100" i="15"/>
  <c r="BC101" i="15" s="1"/>
  <c r="BC95" i="15"/>
  <c r="J201" i="11"/>
  <c r="AY91" i="15"/>
  <c r="BA82" i="15"/>
  <c r="BA83" i="15" s="1"/>
  <c r="AZ85" i="15"/>
  <c r="AY124" i="15"/>
  <c r="AY125" i="15" s="1"/>
  <c r="AY119" i="15"/>
  <c r="AY120" i="15" s="1"/>
  <c r="BB125" i="15"/>
  <c r="BB119" i="15"/>
  <c r="BB120" i="15" s="1"/>
  <c r="BC116" i="15"/>
  <c r="BC117" i="15" s="1"/>
  <c r="BC55" i="15"/>
  <c r="J140" i="11"/>
  <c r="J142" i="11" s="1"/>
  <c r="J143" i="11" s="1"/>
  <c r="BA4" i="15"/>
  <c r="BA5" i="15" s="1"/>
  <c r="AZ7" i="15"/>
  <c r="AY33" i="15"/>
  <c r="AY34" i="15" s="1"/>
  <c r="AY20" i="15"/>
  <c r="BA73" i="15"/>
  <c r="BA69" i="15"/>
  <c r="BA70" i="15" s="1"/>
  <c r="BA26" i="15"/>
  <c r="AZ69" i="15"/>
  <c r="AZ70" i="15" s="1"/>
  <c r="BC29" i="15"/>
  <c r="BC37" i="15"/>
  <c r="AY38" i="15"/>
  <c r="BB38" i="15"/>
  <c r="BC57" i="15"/>
  <c r="BC58" i="15" s="1"/>
  <c r="BA38" i="15"/>
  <c r="AZ38" i="15"/>
  <c r="AY66" i="15"/>
  <c r="BT100" i="17"/>
  <c r="BZ100" i="17" s="1"/>
  <c r="CF100" i="17" s="1"/>
  <c r="CL100" i="17" s="1"/>
  <c r="CR100" i="17" s="1"/>
  <c r="CX100" i="17" s="1"/>
  <c r="DD100" i="17" s="1"/>
  <c r="DJ100" i="17" s="1"/>
  <c r="BR100" i="17"/>
  <c r="BX100" i="17" s="1"/>
  <c r="CD100" i="17" s="1"/>
  <c r="CJ100" i="17" s="1"/>
  <c r="CP100" i="17" s="1"/>
  <c r="CV100" i="17" s="1"/>
  <c r="DB100" i="17" s="1"/>
  <c r="DH100" i="17" s="1"/>
  <c r="AY72" i="17"/>
  <c r="AY69" i="17" s="1"/>
  <c r="BC25" i="17"/>
  <c r="AY26" i="17"/>
  <c r="BO75" i="16"/>
  <c r="BI75" i="16"/>
  <c r="BE47" i="16"/>
  <c r="BE105" i="16"/>
  <c r="BE113" i="16" s="1"/>
  <c r="BE49" i="16"/>
  <c r="BE50" i="16" s="1"/>
  <c r="BE62" i="16"/>
  <c r="BE87" i="16"/>
  <c r="BE98" i="16"/>
  <c r="BD164" i="117"/>
  <c r="BF164" i="117"/>
  <c r="AN206" i="117"/>
  <c r="AO162" i="117"/>
  <c r="AO208" i="117"/>
  <c r="BT8" i="20"/>
  <c r="BT11" i="20" s="1"/>
  <c r="BN13" i="20"/>
  <c r="BR14" i="20"/>
  <c r="BR13" i="20" s="1"/>
  <c r="BR11" i="20"/>
  <c r="BY8" i="20"/>
  <c r="BM13" i="20"/>
  <c r="AY12" i="20"/>
  <c r="BT23" i="20"/>
  <c r="BG68" i="21"/>
  <c r="BH28" i="20"/>
  <c r="BF68" i="21"/>
  <c r="BS23" i="20"/>
  <c r="BL68" i="21"/>
  <c r="BF26" i="20"/>
  <c r="BI20" i="20"/>
  <c r="BI28" i="20" s="1"/>
  <c r="BX20" i="20"/>
  <c r="CD5" i="20"/>
  <c r="BX14" i="20"/>
  <c r="BX19" i="21"/>
  <c r="BX11" i="20"/>
  <c r="BQ23" i="20"/>
  <c r="BR5" i="4"/>
  <c r="BX5" i="4" s="1"/>
  <c r="BL15" i="21"/>
  <c r="BF15" i="21"/>
  <c r="BI5" i="4"/>
  <c r="BL40" i="21"/>
  <c r="BR11" i="4"/>
  <c r="BX11" i="4" s="1"/>
  <c r="CD11" i="4" s="1"/>
  <c r="CJ11" i="4" s="1"/>
  <c r="CP11" i="4" s="1"/>
  <c r="CV11" i="4" s="1"/>
  <c r="DB11" i="4" s="1"/>
  <c r="DH11" i="4" s="1"/>
  <c r="BK40" i="21"/>
  <c r="BK64" i="21"/>
  <c r="BX17" i="4"/>
  <c r="BQ14" i="4"/>
  <c r="BQ64" i="21" s="1"/>
  <c r="BW17" i="4"/>
  <c r="CC17" i="4" s="1"/>
  <c r="CI17" i="4" s="1"/>
  <c r="CO17" i="4" s="1"/>
  <c r="CU17" i="4" s="1"/>
  <c r="DA17" i="4" s="1"/>
  <c r="DG17" i="4" s="1"/>
  <c r="BF29" i="9"/>
  <c r="BF75" i="9"/>
  <c r="CC43" i="9"/>
  <c r="BE73" i="9"/>
  <c r="BE70" i="9"/>
  <c r="BE65" i="7"/>
  <c r="BE61" i="7"/>
  <c r="BE62" i="7" s="1"/>
  <c r="BE72" i="10"/>
  <c r="BE73" i="10" s="1"/>
  <c r="BE64" i="8"/>
  <c r="BT197" i="3"/>
  <c r="BZ197" i="3" s="1"/>
  <c r="CF197" i="3" s="1"/>
  <c r="CL197" i="3" s="1"/>
  <c r="CR197" i="3" s="1"/>
  <c r="CX197" i="3" s="1"/>
  <c r="DD197" i="3" s="1"/>
  <c r="DJ197" i="3" s="1"/>
  <c r="BS197" i="3"/>
  <c r="BY197" i="3" s="1"/>
  <c r="CE197" i="3" s="1"/>
  <c r="CK197" i="3" s="1"/>
  <c r="CQ197" i="3" s="1"/>
  <c r="CW197" i="3" s="1"/>
  <c r="DC197" i="3" s="1"/>
  <c r="DI197" i="3" s="1"/>
  <c r="BH110" i="3"/>
  <c r="BB99" i="3"/>
  <c r="BC86" i="3"/>
  <c r="BS151" i="3"/>
  <c r="BU151" i="3" s="1"/>
  <c r="BI151" i="3"/>
  <c r="BI152" i="3" s="1"/>
  <c r="BB87" i="3"/>
  <c r="BB159" i="3"/>
  <c r="BA87" i="3"/>
  <c r="AY7" i="21"/>
  <c r="AY177" i="3"/>
  <c r="AY175" i="3" s="1"/>
  <c r="BN73" i="3"/>
  <c r="CA67" i="3"/>
  <c r="BZ70" i="3"/>
  <c r="BZ73" i="3" s="1"/>
  <c r="BG72" i="3"/>
  <c r="BG70" i="3"/>
  <c r="BH51" i="3"/>
  <c r="BF70" i="3"/>
  <c r="BF71" i="3"/>
  <c r="BF73" i="3" s="1"/>
  <c r="BE71" i="3"/>
  <c r="BE73" i="3" s="1"/>
  <c r="BI67" i="3"/>
  <c r="BI70" i="3" s="1"/>
  <c r="BO67" i="3"/>
  <c r="BK71" i="3"/>
  <c r="BK72" i="3"/>
  <c r="BH73" i="3"/>
  <c r="BF117" i="3"/>
  <c r="BI22" i="3"/>
  <c r="BG52" i="3"/>
  <c r="BE118" i="3"/>
  <c r="BC144" i="3"/>
  <c r="AV141" i="3"/>
  <c r="AU141" i="3"/>
  <c r="BA135" i="3"/>
  <c r="AU135" i="3"/>
  <c r="AT140" i="3"/>
  <c r="AW134" i="3"/>
  <c r="AS140" i="3"/>
  <c r="AQ135" i="3"/>
  <c r="AQ140" i="3"/>
  <c r="AO141" i="3"/>
  <c r="AM141" i="3"/>
  <c r="AK140" i="3"/>
  <c r="AG141" i="3"/>
  <c r="AM135" i="3"/>
  <c r="AG135" i="3"/>
  <c r="AK135" i="3"/>
  <c r="AE140" i="3"/>
  <c r="AJ141" i="3"/>
  <c r="AD141" i="3"/>
  <c r="AJ135" i="3"/>
  <c r="AH141" i="3"/>
  <c r="AC141" i="3"/>
  <c r="BT169" i="3"/>
  <c r="BX151" i="3"/>
  <c r="BR168" i="3"/>
  <c r="BO151" i="3"/>
  <c r="BO152" i="3" s="1"/>
  <c r="BL168" i="3"/>
  <c r="BZ169" i="3"/>
  <c r="BW151" i="3"/>
  <c r="BQ168" i="3"/>
  <c r="BE65" i="2"/>
  <c r="AY9" i="20"/>
  <c r="BC8" i="20"/>
  <c r="BW14" i="4"/>
  <c r="CC5" i="4"/>
  <c r="BW8" i="4"/>
  <c r="BW15" i="21"/>
  <c r="BE22" i="4"/>
  <c r="BQ15" i="21"/>
  <c r="BE40" i="21"/>
  <c r="BQ8" i="4"/>
  <c r="L110" i="14" l="1"/>
  <c r="BW19" i="21"/>
  <c r="BV262" i="117"/>
  <c r="CS71" i="3"/>
  <c r="CS73" i="3" s="1"/>
  <c r="CG71" i="3"/>
  <c r="CG72" i="3"/>
  <c r="BJ262" i="117"/>
  <c r="BT73" i="3"/>
  <c r="BS73" i="3"/>
  <c r="DE71" i="3"/>
  <c r="DE72" i="3"/>
  <c r="DE73" i="3"/>
  <c r="DI73" i="3"/>
  <c r="DK72" i="3"/>
  <c r="DK70" i="3"/>
  <c r="DK71" i="3"/>
  <c r="CY73" i="3"/>
  <c r="CM70" i="3"/>
  <c r="CM73" i="3" s="1"/>
  <c r="BY73" i="3"/>
  <c r="BZ5" i="20"/>
  <c r="BT19" i="21"/>
  <c r="Y86" i="17"/>
  <c r="Y88" i="17"/>
  <c r="Y89" i="17" s="1"/>
  <c r="AD70" i="15"/>
  <c r="X70" i="15"/>
  <c r="M10" i="10"/>
  <c r="G17" i="8"/>
  <c r="M8" i="8"/>
  <c r="U11" i="7"/>
  <c r="AA11" i="7"/>
  <c r="BF118" i="3"/>
  <c r="BF120" i="3"/>
  <c r="BF121" i="3" s="1"/>
  <c r="K94" i="21"/>
  <c r="BE69" i="10"/>
  <c r="CB262" i="117"/>
  <c r="BC27" i="20"/>
  <c r="BC30" i="20"/>
  <c r="AT159" i="21"/>
  <c r="Q5" i="21"/>
  <c r="E67" i="11"/>
  <c r="E68" i="11" s="1"/>
  <c r="AS99" i="3"/>
  <c r="BG64" i="17"/>
  <c r="BA64" i="17"/>
  <c r="BG89" i="16"/>
  <c r="BG87" i="16"/>
  <c r="AY99" i="3"/>
  <c r="AU99" i="3"/>
  <c r="BG97" i="17"/>
  <c r="BG100" i="17" s="1"/>
  <c r="BA100" i="17"/>
  <c r="BA101" i="17" s="1"/>
  <c r="BA98" i="17"/>
  <c r="BC97" i="17"/>
  <c r="BA109" i="17"/>
  <c r="BA110" i="17" s="1"/>
  <c r="BA114" i="21"/>
  <c r="BA116" i="21" s="1"/>
  <c r="BA116" i="17"/>
  <c r="AT12" i="20"/>
  <c r="AN12" i="20"/>
  <c r="AK186" i="21"/>
  <c r="AE186" i="21"/>
  <c r="O70" i="9"/>
  <c r="S69" i="9"/>
  <c r="AI99" i="3"/>
  <c r="AE30" i="8"/>
  <c r="V13" i="9"/>
  <c r="V10" i="9" s="1"/>
  <c r="V18" i="9"/>
  <c r="V20" i="9"/>
  <c r="X20" i="10"/>
  <c r="X21" i="10" s="1"/>
  <c r="X17" i="10"/>
  <c r="X32" i="10"/>
  <c r="X33" i="10" s="1"/>
  <c r="X8" i="10"/>
  <c r="W78" i="16"/>
  <c r="W80" i="16"/>
  <c r="W81" i="16" s="1"/>
  <c r="Y17" i="2"/>
  <c r="Y10" i="2"/>
  <c r="Y8" i="2"/>
  <c r="V10" i="2"/>
  <c r="V77" i="2" s="1"/>
  <c r="V13" i="2"/>
  <c r="AJ72" i="15"/>
  <c r="AJ69" i="15"/>
  <c r="X101" i="15"/>
  <c r="AD101" i="15"/>
  <c r="G44" i="3"/>
  <c r="F45" i="3"/>
  <c r="F46" i="3" s="1"/>
  <c r="C13" i="2"/>
  <c r="C10" i="2" s="1"/>
  <c r="K18" i="2"/>
  <c r="E13" i="2"/>
  <c r="K14" i="2" s="1"/>
  <c r="K37" i="8"/>
  <c r="K26" i="8"/>
  <c r="K89" i="117"/>
  <c r="K81" i="117"/>
  <c r="K84" i="117"/>
  <c r="AN40" i="4"/>
  <c r="AQ39" i="4"/>
  <c r="AM108" i="4"/>
  <c r="AM119" i="4"/>
  <c r="R21" i="15"/>
  <c r="X21" i="15"/>
  <c r="I72" i="15"/>
  <c r="I69" i="15" s="1"/>
  <c r="U13" i="15"/>
  <c r="U10" i="15" s="1"/>
  <c r="U18" i="15"/>
  <c r="AB72" i="15"/>
  <c r="AB73" i="15" s="1"/>
  <c r="R91" i="15"/>
  <c r="X89" i="15"/>
  <c r="Q21" i="17"/>
  <c r="K21" i="17"/>
  <c r="Y26" i="17"/>
  <c r="Y75" i="17"/>
  <c r="X72" i="17"/>
  <c r="X69" i="17" s="1"/>
  <c r="D13" i="16"/>
  <c r="D10" i="16"/>
  <c r="AK65" i="16"/>
  <c r="AK15" i="16"/>
  <c r="AQ65" i="16"/>
  <c r="O20" i="9"/>
  <c r="U18" i="9"/>
  <c r="O13" i="9"/>
  <c r="O10" i="9"/>
  <c r="O18" i="9"/>
  <c r="K48" i="9"/>
  <c r="K46" i="9"/>
  <c r="C13" i="9"/>
  <c r="C10" i="9" s="1"/>
  <c r="L45" i="10"/>
  <c r="L34" i="10"/>
  <c r="AC72" i="10"/>
  <c r="AC69" i="10" s="1"/>
  <c r="AC70" i="10" s="1"/>
  <c r="AE61" i="7"/>
  <c r="AC62" i="8"/>
  <c r="AA48" i="17"/>
  <c r="AH62" i="7"/>
  <c r="E111" i="117"/>
  <c r="E178" i="117"/>
  <c r="W78" i="2"/>
  <c r="W80" i="2" s="1"/>
  <c r="Q78" i="2"/>
  <c r="Q80" i="2" s="1"/>
  <c r="J5" i="117"/>
  <c r="G8" i="117"/>
  <c r="H7" i="117"/>
  <c r="G147" i="117"/>
  <c r="I18" i="9"/>
  <c r="I13" i="9"/>
  <c r="I14" i="9" s="1"/>
  <c r="P13" i="2"/>
  <c r="P14" i="2" s="1"/>
  <c r="P10" i="2"/>
  <c r="P18" i="2"/>
  <c r="R18" i="2"/>
  <c r="R13" i="2"/>
  <c r="R14" i="2" s="1"/>
  <c r="C25" i="7"/>
  <c r="G24" i="7"/>
  <c r="G23" i="7" s="1"/>
  <c r="AB20" i="3"/>
  <c r="AA21" i="3"/>
  <c r="AU39" i="4"/>
  <c r="AU40" i="4" s="1"/>
  <c r="BA42" i="4"/>
  <c r="AT82" i="4"/>
  <c r="AZ85" i="4"/>
  <c r="W46" i="15"/>
  <c r="W48" i="15"/>
  <c r="F45" i="17"/>
  <c r="F34" i="17"/>
  <c r="L35" i="17" s="1"/>
  <c r="I17" i="17"/>
  <c r="R13" i="17"/>
  <c r="R14" i="17" s="1"/>
  <c r="R18" i="17"/>
  <c r="R10" i="17"/>
  <c r="R11" i="17" s="1"/>
  <c r="V18" i="17"/>
  <c r="V13" i="17"/>
  <c r="V10" i="17" s="1"/>
  <c r="V11" i="17" s="1"/>
  <c r="L37" i="16"/>
  <c r="L26" i="16"/>
  <c r="K37" i="16"/>
  <c r="K26" i="16"/>
  <c r="K27" i="16" s="1"/>
  <c r="M13" i="16"/>
  <c r="M15" i="16"/>
  <c r="M65" i="16"/>
  <c r="S65" i="16"/>
  <c r="AE65" i="16"/>
  <c r="AE15" i="16"/>
  <c r="AG70" i="9"/>
  <c r="AM70" i="9"/>
  <c r="D33" i="10"/>
  <c r="G32" i="10"/>
  <c r="G31" i="10" s="1"/>
  <c r="P18" i="10"/>
  <c r="J13" i="10"/>
  <c r="J10" i="10" s="1"/>
  <c r="J18" i="10"/>
  <c r="S20" i="10"/>
  <c r="S13" i="10"/>
  <c r="S17" i="10"/>
  <c r="S8" i="10"/>
  <c r="Q21" i="10"/>
  <c r="W21" i="10"/>
  <c r="Y75" i="10"/>
  <c r="Y26" i="10"/>
  <c r="AM70" i="10"/>
  <c r="AS70" i="10"/>
  <c r="AQ69" i="10"/>
  <c r="P40" i="7"/>
  <c r="V38" i="7"/>
  <c r="AM62" i="8"/>
  <c r="AQ61" i="8"/>
  <c r="Y95" i="3"/>
  <c r="Y93" i="3"/>
  <c r="AE93" i="3"/>
  <c r="K38" i="2"/>
  <c r="K40" i="2"/>
  <c r="AD7" i="17"/>
  <c r="AE6" i="17"/>
  <c r="AK194" i="3"/>
  <c r="AH200" i="3"/>
  <c r="AN195" i="3"/>
  <c r="AH56" i="21"/>
  <c r="L13" i="2"/>
  <c r="L10" i="2"/>
  <c r="L18" i="2"/>
  <c r="J13" i="8"/>
  <c r="J10" i="8"/>
  <c r="J18" i="8"/>
  <c r="T95" i="117"/>
  <c r="Q96" i="117"/>
  <c r="AI83" i="4"/>
  <c r="AI94" i="4"/>
  <c r="AK94" i="4" s="1"/>
  <c r="AK95" i="4" s="1"/>
  <c r="AK82" i="4"/>
  <c r="J33" i="15"/>
  <c r="M32" i="15"/>
  <c r="M31" i="15" s="1"/>
  <c r="O13" i="15"/>
  <c r="O10" i="15" s="1"/>
  <c r="O18" i="15"/>
  <c r="Y86" i="15"/>
  <c r="Y88" i="15"/>
  <c r="Y89" i="15" s="1"/>
  <c r="P21" i="17"/>
  <c r="E72" i="17"/>
  <c r="E69" i="17" s="1"/>
  <c r="Q20" i="9"/>
  <c r="Q18" i="9"/>
  <c r="W18" i="9"/>
  <c r="Q10" i="9"/>
  <c r="Q13" i="9"/>
  <c r="W48" i="9"/>
  <c r="J72" i="9"/>
  <c r="J69" i="9" s="1"/>
  <c r="K45" i="10"/>
  <c r="K34" i="10"/>
  <c r="K35" i="10" s="1"/>
  <c r="R45" i="10"/>
  <c r="R34" i="10"/>
  <c r="R35" i="10" s="1"/>
  <c r="AE75" i="10"/>
  <c r="AE26" i="10"/>
  <c r="AA72" i="10"/>
  <c r="AA69" i="10" s="1"/>
  <c r="F26" i="7"/>
  <c r="AE65" i="8"/>
  <c r="J62" i="2"/>
  <c r="G61" i="2"/>
  <c r="G10" i="2" s="1"/>
  <c r="W35" i="17"/>
  <c r="AK59" i="16"/>
  <c r="P48" i="10"/>
  <c r="W51" i="17"/>
  <c r="AD58" i="15"/>
  <c r="X58" i="15"/>
  <c r="E140" i="11"/>
  <c r="E142" i="11" s="1"/>
  <c r="E143" i="11" s="1"/>
  <c r="Y55" i="15"/>
  <c r="Y108" i="21"/>
  <c r="Z108" i="21" s="1"/>
  <c r="AE55" i="15"/>
  <c r="Y57" i="15"/>
  <c r="AB17" i="16"/>
  <c r="AB8" i="16"/>
  <c r="AB24" i="16"/>
  <c r="AM88" i="15"/>
  <c r="AJ56" i="21"/>
  <c r="AJ55" i="21" s="1"/>
  <c r="AJ72" i="21" s="1"/>
  <c r="AP195" i="3"/>
  <c r="O62" i="2"/>
  <c r="S61" i="2"/>
  <c r="D13" i="7"/>
  <c r="D10" i="7" s="1"/>
  <c r="L26" i="7"/>
  <c r="L37" i="7"/>
  <c r="E166" i="117"/>
  <c r="E167" i="117" s="1"/>
  <c r="E148" i="117"/>
  <c r="K202" i="117"/>
  <c r="K133" i="117"/>
  <c r="Q133" i="117"/>
  <c r="T264" i="117"/>
  <c r="P272" i="117"/>
  <c r="AO57" i="4"/>
  <c r="AU60" i="4"/>
  <c r="V21" i="15"/>
  <c r="K18" i="15"/>
  <c r="K13" i="15"/>
  <c r="K14" i="15" s="1"/>
  <c r="G75" i="17"/>
  <c r="G17" i="17"/>
  <c r="AB72" i="17"/>
  <c r="AB69" i="17"/>
  <c r="V89" i="17"/>
  <c r="V91" i="17"/>
  <c r="V92" i="17" s="1"/>
  <c r="P18" i="16"/>
  <c r="J10" i="16"/>
  <c r="J13" i="16"/>
  <c r="J18" i="16"/>
  <c r="G13" i="16"/>
  <c r="G15" i="16"/>
  <c r="D13" i="9"/>
  <c r="D10" i="9" s="1"/>
  <c r="L34" i="9"/>
  <c r="L45" i="9"/>
  <c r="S73" i="10"/>
  <c r="M13" i="10"/>
  <c r="M73" i="10"/>
  <c r="AK30" i="8"/>
  <c r="I25" i="16"/>
  <c r="M24" i="16"/>
  <c r="M23" i="16" s="1"/>
  <c r="Y33" i="9"/>
  <c r="Y34" i="9" s="1"/>
  <c r="X48" i="15"/>
  <c r="U33" i="15"/>
  <c r="Y32" i="15"/>
  <c r="Y31" i="15" s="1"/>
  <c r="Q27" i="2"/>
  <c r="X78" i="117"/>
  <c r="Y75" i="117"/>
  <c r="Y77" i="117" s="1"/>
  <c r="AE80" i="9"/>
  <c r="BA121" i="3"/>
  <c r="AV120" i="17"/>
  <c r="BB120" i="17"/>
  <c r="AE6" i="7"/>
  <c r="AG4" i="7" s="1"/>
  <c r="AD7" i="7"/>
  <c r="AS62" i="8"/>
  <c r="AQ62" i="7"/>
  <c r="BC62" i="16"/>
  <c r="BC62" i="7"/>
  <c r="AY70" i="10"/>
  <c r="BC69" i="10"/>
  <c r="AW102" i="3"/>
  <c r="AW98" i="3"/>
  <c r="AQ98" i="3"/>
  <c r="AQ102" i="3"/>
  <c r="BG95" i="16"/>
  <c r="BG93" i="16"/>
  <c r="BG52" i="16"/>
  <c r="BA55" i="16"/>
  <c r="BA56" i="16" s="1"/>
  <c r="BA131" i="21"/>
  <c r="BA53" i="16"/>
  <c r="BC52" i="16"/>
  <c r="BA58" i="16"/>
  <c r="BA59" i="16" s="1"/>
  <c r="BA113" i="16"/>
  <c r="BA114" i="16" s="1"/>
  <c r="AS36" i="21"/>
  <c r="AW36" i="21" s="1"/>
  <c r="AB315" i="117"/>
  <c r="AC163" i="3"/>
  <c r="AI163" i="3"/>
  <c r="AC176" i="3"/>
  <c r="AK173" i="21"/>
  <c r="AE173" i="21"/>
  <c r="M181" i="3"/>
  <c r="G183" i="3"/>
  <c r="M184" i="3" s="1"/>
  <c r="AA4" i="10"/>
  <c r="Y5" i="10"/>
  <c r="Y76" i="16"/>
  <c r="AA74" i="16" s="1"/>
  <c r="X77" i="16"/>
  <c r="AH72" i="15"/>
  <c r="AH69" i="15"/>
  <c r="U32" i="17"/>
  <c r="Y7" i="17"/>
  <c r="U8" i="17"/>
  <c r="AA8" i="17"/>
  <c r="U20" i="17"/>
  <c r="C25" i="2"/>
  <c r="G24" i="2"/>
  <c r="G23" i="2" s="1"/>
  <c r="K10" i="8"/>
  <c r="K13" i="8"/>
  <c r="K108" i="117"/>
  <c r="K97" i="117"/>
  <c r="AZ42" i="4"/>
  <c r="AT39" i="4"/>
  <c r="AY110" i="4"/>
  <c r="AS107" i="4"/>
  <c r="K45" i="15"/>
  <c r="K34" i="15"/>
  <c r="K35" i="15" s="1"/>
  <c r="R34" i="15"/>
  <c r="R35" i="15" s="1"/>
  <c r="R45" i="15"/>
  <c r="P18" i="15"/>
  <c r="P13" i="15"/>
  <c r="P10" i="15"/>
  <c r="P11" i="15" s="1"/>
  <c r="V91" i="15"/>
  <c r="V92" i="15" s="1"/>
  <c r="V89" i="15"/>
  <c r="K72" i="17"/>
  <c r="K69" i="17"/>
  <c r="U17" i="17"/>
  <c r="X18" i="17"/>
  <c r="X13" i="17"/>
  <c r="X10" i="17"/>
  <c r="X11" i="17" s="1"/>
  <c r="X51" i="17"/>
  <c r="G24" i="16"/>
  <c r="G23" i="16" s="1"/>
  <c r="D25" i="16"/>
  <c r="U25" i="16"/>
  <c r="Y24" i="16"/>
  <c r="Y23" i="16" s="1"/>
  <c r="AJ62" i="16"/>
  <c r="AP62" i="16"/>
  <c r="L13" i="10"/>
  <c r="L10" i="10" s="1"/>
  <c r="L18" i="10"/>
  <c r="S64" i="8"/>
  <c r="S65" i="8" s="1"/>
  <c r="W65" i="8"/>
  <c r="AJ70" i="17"/>
  <c r="AP70" i="17"/>
  <c r="S120" i="3"/>
  <c r="Y121" i="3" s="1"/>
  <c r="Y118" i="3"/>
  <c r="Q46" i="15"/>
  <c r="Q48" i="15"/>
  <c r="Y7" i="10"/>
  <c r="F148" i="117"/>
  <c r="F158" i="117" s="1"/>
  <c r="G145" i="117"/>
  <c r="F146" i="117"/>
  <c r="M32" i="9"/>
  <c r="M31" i="9" s="1"/>
  <c r="I33" i="9"/>
  <c r="AK65" i="2"/>
  <c r="AQ65" i="2"/>
  <c r="E37" i="7"/>
  <c r="E40" i="7" s="1"/>
  <c r="E43" i="7" s="1"/>
  <c r="E26" i="7"/>
  <c r="C13" i="8"/>
  <c r="I14" i="8" s="1"/>
  <c r="I18" i="8"/>
  <c r="Q13" i="8"/>
  <c r="Q14" i="8" s="1"/>
  <c r="Q18" i="8"/>
  <c r="AA53" i="3"/>
  <c r="L97" i="117"/>
  <c r="L98" i="117" s="1"/>
  <c r="L108" i="117"/>
  <c r="H95" i="117"/>
  <c r="D96" i="117"/>
  <c r="D165" i="117"/>
  <c r="T200" i="117"/>
  <c r="N200" i="117"/>
  <c r="AN83" i="4"/>
  <c r="AN94" i="4"/>
  <c r="W35" i="15"/>
  <c r="W18" i="15"/>
  <c r="Q18" i="15"/>
  <c r="Q13" i="15"/>
  <c r="Q10" i="15"/>
  <c r="P18" i="9"/>
  <c r="P20" i="9"/>
  <c r="P21" i="9" s="1"/>
  <c r="P13" i="9"/>
  <c r="P14" i="9" s="1"/>
  <c r="V70" i="9"/>
  <c r="AB70" i="9"/>
  <c r="M8" i="10"/>
  <c r="M17" i="10"/>
  <c r="M20" i="10"/>
  <c r="M32" i="10"/>
  <c r="M31" i="10" s="1"/>
  <c r="J33" i="10"/>
  <c r="S32" i="10"/>
  <c r="S31" i="10" s="1"/>
  <c r="Q33" i="10"/>
  <c r="V72" i="10"/>
  <c r="V69" i="10"/>
  <c r="V70" i="10" s="1"/>
  <c r="V51" i="10"/>
  <c r="V49" i="10"/>
  <c r="G10" i="7"/>
  <c r="M62" i="7"/>
  <c r="V40" i="8"/>
  <c r="J62" i="7"/>
  <c r="M111" i="117"/>
  <c r="AK75" i="10"/>
  <c r="AK26" i="10"/>
  <c r="AQ26" i="10"/>
  <c r="K18" i="7"/>
  <c r="K13" i="7"/>
  <c r="K14" i="7" s="1"/>
  <c r="R37" i="7"/>
  <c r="R26" i="7"/>
  <c r="D26" i="2"/>
  <c r="D37" i="2"/>
  <c r="D40" i="2" s="1"/>
  <c r="D43" i="2" s="1"/>
  <c r="J25" i="8"/>
  <c r="M24" i="8"/>
  <c r="M23" i="8" s="1"/>
  <c r="L26" i="8"/>
  <c r="L27" i="8" s="1"/>
  <c r="L37" i="8"/>
  <c r="AN69" i="4"/>
  <c r="AQ57" i="4"/>
  <c r="AN58" i="4"/>
  <c r="AM114" i="4"/>
  <c r="AQ113" i="4"/>
  <c r="X73" i="15"/>
  <c r="AD73" i="15"/>
  <c r="J18" i="17"/>
  <c r="J13" i="17"/>
  <c r="J10" i="17" s="1"/>
  <c r="P45" i="17"/>
  <c r="P34" i="17"/>
  <c r="E13" i="17"/>
  <c r="E10" i="17" s="1"/>
  <c r="U89" i="17"/>
  <c r="U91" i="17"/>
  <c r="J13" i="9"/>
  <c r="J14" i="9" s="1"/>
  <c r="J18" i="9"/>
  <c r="K10" i="10"/>
  <c r="K11" i="10" s="1"/>
  <c r="K18" i="10"/>
  <c r="K13" i="10"/>
  <c r="K14" i="10" s="1"/>
  <c r="O10" i="10"/>
  <c r="O11" i="10" s="1"/>
  <c r="F69" i="10"/>
  <c r="G69" i="10" s="1"/>
  <c r="G10" i="10" s="1"/>
  <c r="W69" i="10"/>
  <c r="W70" i="10" s="1"/>
  <c r="W72" i="10"/>
  <c r="W73" i="10" s="1"/>
  <c r="AA27" i="7"/>
  <c r="U27" i="7"/>
  <c r="AE61" i="8"/>
  <c r="AA62" i="8"/>
  <c r="AK61" i="8"/>
  <c r="AG62" i="8"/>
  <c r="L61" i="3"/>
  <c r="W73" i="3"/>
  <c r="X117" i="15"/>
  <c r="Y116" i="15"/>
  <c r="X119" i="15"/>
  <c r="AD117" i="15"/>
  <c r="X124" i="15"/>
  <c r="Y66" i="15"/>
  <c r="X67" i="15"/>
  <c r="AD67" i="15"/>
  <c r="AD4" i="16"/>
  <c r="AD6" i="16" s="1"/>
  <c r="AC7" i="16"/>
  <c r="AO82" i="15"/>
  <c r="AO84" i="15" s="1"/>
  <c r="AN85" i="15"/>
  <c r="AK75" i="17"/>
  <c r="AK26" i="17"/>
  <c r="AQ26" i="17"/>
  <c r="I18" i="2"/>
  <c r="O18" i="2"/>
  <c r="I13" i="2"/>
  <c r="I10" i="2" s="1"/>
  <c r="AI62" i="2"/>
  <c r="AO62" i="2"/>
  <c r="F13" i="7"/>
  <c r="F10" i="7" s="1"/>
  <c r="D37" i="8"/>
  <c r="D40" i="8" s="1"/>
  <c r="D43" i="8" s="1"/>
  <c r="D26" i="8"/>
  <c r="AD25" i="3"/>
  <c r="AC26" i="3"/>
  <c r="AN45" i="4"/>
  <c r="AN34" i="4"/>
  <c r="BG104" i="4"/>
  <c r="BC104" i="4"/>
  <c r="BC105" i="4" s="1"/>
  <c r="BA107" i="4"/>
  <c r="BA113" i="4"/>
  <c r="BA114" i="4" s="1"/>
  <c r="V45" i="15"/>
  <c r="V34" i="15"/>
  <c r="K72" i="15"/>
  <c r="K73" i="15" s="1"/>
  <c r="AE26" i="15"/>
  <c r="AE75" i="15"/>
  <c r="AO70" i="15"/>
  <c r="AI70" i="15"/>
  <c r="D33" i="17"/>
  <c r="G32" i="17"/>
  <c r="G31" i="17" s="1"/>
  <c r="C10" i="17"/>
  <c r="C13" i="17"/>
  <c r="AB18" i="17"/>
  <c r="AB13" i="17"/>
  <c r="AB14" i="17" s="1"/>
  <c r="F37" i="16"/>
  <c r="F40" i="16" s="1"/>
  <c r="F43" i="16" s="1"/>
  <c r="F26" i="16"/>
  <c r="O25" i="16"/>
  <c r="S24" i="16"/>
  <c r="S23" i="16" s="1"/>
  <c r="Y62" i="16"/>
  <c r="Y10" i="16"/>
  <c r="V80" i="16"/>
  <c r="V81" i="16" s="1"/>
  <c r="Y77" i="16"/>
  <c r="V78" i="16"/>
  <c r="L21" i="9"/>
  <c r="K72" i="9"/>
  <c r="K69" i="9" s="1"/>
  <c r="S10" i="10"/>
  <c r="S11" i="10" s="1"/>
  <c r="S70" i="10"/>
  <c r="G61" i="8"/>
  <c r="J62" i="8"/>
  <c r="E26" i="2"/>
  <c r="K27" i="2" s="1"/>
  <c r="Y8" i="3"/>
  <c r="Y81" i="3" s="1"/>
  <c r="Y80" i="3"/>
  <c r="Y83" i="3" s="1"/>
  <c r="I18" i="16"/>
  <c r="I13" i="16"/>
  <c r="I14" i="16" s="1"/>
  <c r="L46" i="15"/>
  <c r="L48" i="15"/>
  <c r="V35" i="9"/>
  <c r="Y8" i="15"/>
  <c r="Y20" i="15"/>
  <c r="AA4" i="2"/>
  <c r="Y5" i="2"/>
  <c r="W79" i="117"/>
  <c r="W95" i="117"/>
  <c r="AH203" i="117"/>
  <c r="AL202" i="117"/>
  <c r="AC8" i="7"/>
  <c r="AE7" i="7"/>
  <c r="AC17" i="7"/>
  <c r="AC24" i="7"/>
  <c r="AG107" i="3"/>
  <c r="AM107" i="3"/>
  <c r="AQ107" i="3"/>
  <c r="BE99" i="3"/>
  <c r="AY16" i="3"/>
  <c r="AY104" i="3" s="1"/>
  <c r="AW17" i="3"/>
  <c r="AV190" i="3"/>
  <c r="AV191" i="3" s="1"/>
  <c r="AV188" i="3"/>
  <c r="AV32" i="21"/>
  <c r="AV200" i="3"/>
  <c r="AV201" i="3" s="1"/>
  <c r="BC73" i="9"/>
  <c r="AS32" i="21"/>
  <c r="AS190" i="3"/>
  <c r="AS200" i="3"/>
  <c r="AQ65" i="8"/>
  <c r="AW65" i="7"/>
  <c r="BC62" i="2"/>
  <c r="AW135" i="3"/>
  <c r="BK73" i="3"/>
  <c r="BL73" i="3"/>
  <c r="BA159" i="3"/>
  <c r="AU96" i="16"/>
  <c r="BA96" i="16"/>
  <c r="AZ159" i="3"/>
  <c r="AZ87" i="3"/>
  <c r="BG104" i="17"/>
  <c r="BA104" i="17"/>
  <c r="BA106" i="17"/>
  <c r="BA136" i="21"/>
  <c r="BC103" i="17"/>
  <c r="AZ110" i="17"/>
  <c r="BC109" i="17"/>
  <c r="BC110" i="17" s="1"/>
  <c r="AK98" i="3"/>
  <c r="AK99" i="3" s="1"/>
  <c r="AK102" i="3"/>
  <c r="AD163" i="3"/>
  <c r="AD176" i="3"/>
  <c r="AJ163" i="3"/>
  <c r="BC125" i="3"/>
  <c r="BB123" i="3"/>
  <c r="BB134" i="3" s="1"/>
  <c r="T196" i="117"/>
  <c r="T197" i="117" s="1"/>
  <c r="T194" i="117"/>
  <c r="X62" i="7"/>
  <c r="R62" i="7"/>
  <c r="AE162" i="3"/>
  <c r="AH163" i="3"/>
  <c r="AB163" i="3"/>
  <c r="AB176" i="3"/>
  <c r="W17" i="8"/>
  <c r="W24" i="8"/>
  <c r="W8" i="8"/>
  <c r="X88" i="17"/>
  <c r="X86" i="17"/>
  <c r="V25" i="2"/>
  <c r="AK26" i="15"/>
  <c r="AK75" i="15"/>
  <c r="Y98" i="15"/>
  <c r="Y100" i="15"/>
  <c r="E200" i="11"/>
  <c r="E202" i="11" s="1"/>
  <c r="E203" i="11" s="1"/>
  <c r="Y112" i="21"/>
  <c r="Z112" i="21" s="1"/>
  <c r="AE98" i="15"/>
  <c r="V11" i="7"/>
  <c r="G13" i="2"/>
  <c r="G15" i="2" s="1"/>
  <c r="AC30" i="3"/>
  <c r="AB31" i="3"/>
  <c r="F97" i="117"/>
  <c r="M98" i="117" s="1"/>
  <c r="F108" i="117"/>
  <c r="F111" i="117" s="1"/>
  <c r="F114" i="117" s="1"/>
  <c r="S108" i="117"/>
  <c r="S97" i="117"/>
  <c r="AI34" i="4"/>
  <c r="AK33" i="4"/>
  <c r="AI45" i="4"/>
  <c r="BK79" i="4"/>
  <c r="BI79" i="4"/>
  <c r="BI80" i="4" s="1"/>
  <c r="BE82" i="4"/>
  <c r="Q21" i="15"/>
  <c r="K21" i="15"/>
  <c r="I18" i="15"/>
  <c r="I13" i="15"/>
  <c r="I14" i="15" s="1"/>
  <c r="Y17" i="15"/>
  <c r="Y26" i="15"/>
  <c r="Y75" i="15"/>
  <c r="K45" i="17"/>
  <c r="K34" i="17"/>
  <c r="K35" i="17" s="1"/>
  <c r="U72" i="17"/>
  <c r="AC72" i="17"/>
  <c r="AC69" i="17" s="1"/>
  <c r="AM70" i="17"/>
  <c r="AS70" i="17"/>
  <c r="AQ69" i="17"/>
  <c r="Y8" i="16"/>
  <c r="Y17" i="16"/>
  <c r="Y18" i="16" s="1"/>
  <c r="Y13" i="16"/>
  <c r="S109" i="16"/>
  <c r="Y109" i="16"/>
  <c r="S20" i="9"/>
  <c r="Y8" i="9"/>
  <c r="S17" i="9"/>
  <c r="S8" i="9"/>
  <c r="G17" i="9"/>
  <c r="G75" i="9"/>
  <c r="AA70" i="9"/>
  <c r="U70" i="9"/>
  <c r="Y69" i="9"/>
  <c r="F45" i="10"/>
  <c r="F48" i="10" s="1"/>
  <c r="F51" i="10" s="1"/>
  <c r="F34" i="10"/>
  <c r="W40" i="7"/>
  <c r="O62" i="8"/>
  <c r="P40" i="16"/>
  <c r="V38" i="16"/>
  <c r="W48" i="10"/>
  <c r="R98" i="117"/>
  <c r="X97" i="117"/>
  <c r="AC80" i="3"/>
  <c r="AC83" i="3" s="1"/>
  <c r="AC84" i="3" s="1"/>
  <c r="AC8" i="3"/>
  <c r="AC81" i="3" s="1"/>
  <c r="F18" i="117"/>
  <c r="F25" i="117"/>
  <c r="H8" i="117"/>
  <c r="H18" i="117" s="1"/>
  <c r="M20" i="9"/>
  <c r="M21" i="9" s="1"/>
  <c r="M8" i="9"/>
  <c r="M10" i="2"/>
  <c r="M11" i="2" s="1"/>
  <c r="M62" i="2"/>
  <c r="S17" i="2"/>
  <c r="S8" i="2"/>
  <c r="R26" i="2"/>
  <c r="R37" i="2"/>
  <c r="AG62" i="2"/>
  <c r="AM62" i="2"/>
  <c r="AK61" i="2"/>
  <c r="G13" i="7"/>
  <c r="G15" i="7" s="1"/>
  <c r="E13" i="7"/>
  <c r="E10" i="7"/>
  <c r="C25" i="8"/>
  <c r="G88" i="117"/>
  <c r="G95" i="117"/>
  <c r="G96" i="117" s="1"/>
  <c r="M79" i="117"/>
  <c r="L89" i="117"/>
  <c r="L81" i="117"/>
  <c r="L82" i="117" s="1"/>
  <c r="R89" i="117"/>
  <c r="D84" i="117"/>
  <c r="D81" i="117" s="1"/>
  <c r="BC66" i="4"/>
  <c r="BC67" i="4" s="1"/>
  <c r="BC55" i="4"/>
  <c r="AY88" i="4"/>
  <c r="BE91" i="4"/>
  <c r="Q69" i="15"/>
  <c r="Q72" i="15"/>
  <c r="G45" i="15"/>
  <c r="G43" i="15" s="1"/>
  <c r="E48" i="15"/>
  <c r="I32" i="17"/>
  <c r="I8" i="17"/>
  <c r="I20" i="17"/>
  <c r="I21" i="17" s="1"/>
  <c r="M7" i="17"/>
  <c r="S8" i="17" s="1"/>
  <c r="F13" i="17"/>
  <c r="L14" i="17" s="1"/>
  <c r="L18" i="17"/>
  <c r="M75" i="17"/>
  <c r="M26" i="17"/>
  <c r="R72" i="17"/>
  <c r="R69" i="17"/>
  <c r="V69" i="17"/>
  <c r="V70" i="17" s="1"/>
  <c r="V72" i="17"/>
  <c r="V73" i="17" s="1"/>
  <c r="R62" i="16"/>
  <c r="M61" i="16"/>
  <c r="L62" i="16"/>
  <c r="AC62" i="16"/>
  <c r="AE61" i="16"/>
  <c r="AM62" i="16"/>
  <c r="AQ61" i="16"/>
  <c r="F45" i="9"/>
  <c r="F48" i="9" s="1"/>
  <c r="F51" i="9" s="1"/>
  <c r="F34" i="9"/>
  <c r="D10" i="10"/>
  <c r="D13" i="10"/>
  <c r="J21" i="10"/>
  <c r="P21" i="10"/>
  <c r="V13" i="10"/>
  <c r="V14" i="10" s="1"/>
  <c r="V18" i="10"/>
  <c r="U70" i="10"/>
  <c r="Y69" i="10"/>
  <c r="AD62" i="8"/>
  <c r="AJ62" i="8"/>
  <c r="AM7" i="21"/>
  <c r="AM177" i="3"/>
  <c r="AM194" i="3"/>
  <c r="AM180" i="3"/>
  <c r="AM187" i="3"/>
  <c r="AS188" i="3" s="1"/>
  <c r="AQ176" i="3"/>
  <c r="AQ177" i="3" s="1"/>
  <c r="AD96" i="3"/>
  <c r="X96" i="3"/>
  <c r="R46" i="17"/>
  <c r="R48" i="17"/>
  <c r="AU183" i="3"/>
  <c r="AO180" i="3"/>
  <c r="AH72" i="10"/>
  <c r="AH69" i="10" s="1"/>
  <c r="AK26" i="9"/>
  <c r="AK75" i="9"/>
  <c r="AQ26" i="9"/>
  <c r="AN62" i="2"/>
  <c r="AH62" i="2"/>
  <c r="K37" i="7"/>
  <c r="K26" i="7"/>
  <c r="K27" i="7" s="1"/>
  <c r="F13" i="2"/>
  <c r="F10" i="2"/>
  <c r="T88" i="117"/>
  <c r="AZ60" i="4"/>
  <c r="AT57" i="4"/>
  <c r="AY116" i="4"/>
  <c r="AS113" i="4"/>
  <c r="J13" i="15"/>
  <c r="J14" i="15" s="1"/>
  <c r="J18" i="15"/>
  <c r="J10" i="15"/>
  <c r="J11" i="15" s="1"/>
  <c r="O72" i="15"/>
  <c r="O69" i="15" s="1"/>
  <c r="U89" i="15"/>
  <c r="U91" i="15"/>
  <c r="O33" i="17"/>
  <c r="S32" i="17"/>
  <c r="S31" i="17" s="1"/>
  <c r="O10" i="17"/>
  <c r="O13" i="17"/>
  <c r="O18" i="17"/>
  <c r="S91" i="17"/>
  <c r="Q37" i="16"/>
  <c r="Q26" i="16"/>
  <c r="Q27" i="16" s="1"/>
  <c r="C33" i="9"/>
  <c r="G32" i="9"/>
  <c r="G31" i="9" s="1"/>
  <c r="E13" i="9"/>
  <c r="E10" i="9" s="1"/>
  <c r="S26" i="9"/>
  <c r="M26" i="9"/>
  <c r="M75" i="9"/>
  <c r="M17" i="9"/>
  <c r="R21" i="10"/>
  <c r="G13" i="10"/>
  <c r="W10" i="10"/>
  <c r="W18" i="10"/>
  <c r="W13" i="10"/>
  <c r="Y37" i="7"/>
  <c r="U40" i="7"/>
  <c r="AA38" i="7"/>
  <c r="U38" i="7"/>
  <c r="U62" i="8"/>
  <c r="Y61" i="8"/>
  <c r="AN62" i="8"/>
  <c r="AT62" i="8"/>
  <c r="J38" i="2"/>
  <c r="J40" i="2"/>
  <c r="AH72" i="17"/>
  <c r="AH69" i="17" s="1"/>
  <c r="M24" i="2"/>
  <c r="M23" i="2" s="1"/>
  <c r="I25" i="2"/>
  <c r="S65" i="2"/>
  <c r="AE61" i="2"/>
  <c r="AA62" i="2"/>
  <c r="D13" i="8"/>
  <c r="D10" i="8" s="1"/>
  <c r="D158" i="117"/>
  <c r="J78" i="117"/>
  <c r="N76" i="117"/>
  <c r="V265" i="117"/>
  <c r="V272" i="117"/>
  <c r="AB265" i="117"/>
  <c r="AZ36" i="4"/>
  <c r="AT33" i="4"/>
  <c r="AK107" i="4"/>
  <c r="AJ119" i="4"/>
  <c r="AK119" i="4" s="1"/>
  <c r="AK120" i="4" s="1"/>
  <c r="AJ108" i="4"/>
  <c r="V13" i="15"/>
  <c r="V14" i="15" s="1"/>
  <c r="V18" i="15"/>
  <c r="AA72" i="15"/>
  <c r="D13" i="17"/>
  <c r="D10" i="17" s="1"/>
  <c r="C72" i="17"/>
  <c r="G72" i="17" s="1"/>
  <c r="G13" i="17" s="1"/>
  <c r="G15" i="17" s="1"/>
  <c r="C69" i="17"/>
  <c r="AE26" i="17"/>
  <c r="AE75" i="17"/>
  <c r="F13" i="16"/>
  <c r="F10" i="16" s="1"/>
  <c r="O10" i="16"/>
  <c r="O13" i="16"/>
  <c r="O14" i="16" s="1"/>
  <c r="O18" i="16"/>
  <c r="R13" i="9"/>
  <c r="R10" i="9" s="1"/>
  <c r="R20" i="9"/>
  <c r="X18" i="9"/>
  <c r="R18" i="9"/>
  <c r="K18" i="9"/>
  <c r="K13" i="9"/>
  <c r="K14" i="9" s="1"/>
  <c r="AB69" i="10"/>
  <c r="AB72" i="10"/>
  <c r="AB73" i="10" s="1"/>
  <c r="Q61" i="8"/>
  <c r="Q62" i="8" s="1"/>
  <c r="V84" i="3"/>
  <c r="W40" i="16"/>
  <c r="W38" i="16"/>
  <c r="M17" i="16"/>
  <c r="M18" i="16" s="1"/>
  <c r="M8" i="16"/>
  <c r="L35" i="15"/>
  <c r="AE120" i="4"/>
  <c r="X24" i="2"/>
  <c r="X25" i="2" s="1"/>
  <c r="X17" i="2"/>
  <c r="X8" i="2"/>
  <c r="X74" i="2"/>
  <c r="X75" i="2" s="1"/>
  <c r="AB84" i="3"/>
  <c r="BC102" i="3"/>
  <c r="BB121" i="3"/>
  <c r="AS62" i="16"/>
  <c r="AY194" i="3"/>
  <c r="AY180" i="3"/>
  <c r="AY181" i="3" s="1"/>
  <c r="AW62" i="2"/>
  <c r="AS177" i="3"/>
  <c r="AS175" i="3" s="1"/>
  <c r="AS195" i="3"/>
  <c r="AW194" i="3"/>
  <c r="AS56" i="21"/>
  <c r="AP181" i="3"/>
  <c r="AP62" i="2"/>
  <c r="G67" i="11"/>
  <c r="G68" i="11" s="1"/>
  <c r="AT99" i="3"/>
  <c r="AZ99" i="3"/>
  <c r="AS80" i="9"/>
  <c r="AW79" i="9"/>
  <c r="AZ138" i="3"/>
  <c r="BC137" i="3"/>
  <c r="BC138" i="3" s="1"/>
  <c r="AH99" i="3"/>
  <c r="AG99" i="3"/>
  <c r="H64" i="14"/>
  <c r="H65" i="14" s="1"/>
  <c r="I55" i="14" s="1"/>
  <c r="Z194" i="117"/>
  <c r="AF194" i="117"/>
  <c r="AQ91" i="4"/>
  <c r="AQ89" i="4"/>
  <c r="N31" i="117"/>
  <c r="M30" i="16"/>
  <c r="X7" i="8"/>
  <c r="Y6" i="8"/>
  <c r="AA4" i="8" s="1"/>
  <c r="AA6" i="15"/>
  <c r="AE4" i="15"/>
  <c r="AA82" i="17"/>
  <c r="Y83" i="17"/>
  <c r="AI69" i="10"/>
  <c r="AI72" i="10"/>
  <c r="X110" i="15"/>
  <c r="Y109" i="15"/>
  <c r="AD110" i="15"/>
  <c r="AA14" i="7"/>
  <c r="U14" i="7"/>
  <c r="Q17" i="7"/>
  <c r="Q24" i="7"/>
  <c r="W8" i="7"/>
  <c r="Q8" i="7"/>
  <c r="S7" i="7"/>
  <c r="E24" i="8"/>
  <c r="E25" i="8" s="1"/>
  <c r="E17" i="8"/>
  <c r="P17" i="8"/>
  <c r="P24" i="8"/>
  <c r="V8" i="8"/>
  <c r="S7" i="8"/>
  <c r="P8" i="8"/>
  <c r="S89" i="117"/>
  <c r="AO33" i="4"/>
  <c r="AU36" i="4"/>
  <c r="R13" i="15"/>
  <c r="R14" i="15" s="1"/>
  <c r="R10" i="15"/>
  <c r="R11" i="15" s="1"/>
  <c r="R18" i="15"/>
  <c r="P33" i="15"/>
  <c r="S32" i="15"/>
  <c r="S31" i="15" s="1"/>
  <c r="S20" i="15"/>
  <c r="S8" i="15"/>
  <c r="M17" i="15"/>
  <c r="M18" i="15" s="1"/>
  <c r="M26" i="15"/>
  <c r="M75" i="15"/>
  <c r="U72" i="15"/>
  <c r="U69" i="15"/>
  <c r="Q18" i="17"/>
  <c r="K13" i="17"/>
  <c r="K18" i="17"/>
  <c r="K10" i="17"/>
  <c r="AC13" i="17"/>
  <c r="AC14" i="17" s="1"/>
  <c r="AC10" i="17"/>
  <c r="AC11" i="17" s="1"/>
  <c r="AC18" i="17"/>
  <c r="W89" i="17"/>
  <c r="Q91" i="17"/>
  <c r="W92" i="17" s="1"/>
  <c r="AA18" i="16"/>
  <c r="U13" i="16"/>
  <c r="U18" i="16"/>
  <c r="U10" i="16"/>
  <c r="S32" i="9"/>
  <c r="S31" i="9" s="1"/>
  <c r="O33" i="9"/>
  <c r="K35" i="9"/>
  <c r="C72" i="9"/>
  <c r="C69" i="9"/>
  <c r="Y13" i="9"/>
  <c r="Y73" i="9"/>
  <c r="AE73" i="9"/>
  <c r="F13" i="10"/>
  <c r="F10" i="10" s="1"/>
  <c r="U140" i="3"/>
  <c r="Y134" i="3"/>
  <c r="C48" i="17"/>
  <c r="V27" i="16"/>
  <c r="Y32" i="10"/>
  <c r="Y31" i="10" s="1"/>
  <c r="U33" i="10"/>
  <c r="U18" i="10"/>
  <c r="U13" i="10"/>
  <c r="U14" i="10" s="1"/>
  <c r="R109" i="117"/>
  <c r="R111" i="117"/>
  <c r="AD7" i="3"/>
  <c r="AE7" i="3" s="1"/>
  <c r="AE6" i="3"/>
  <c r="AJ91" i="15"/>
  <c r="P25" i="2"/>
  <c r="S24" i="2"/>
  <c r="S23" i="2" s="1"/>
  <c r="C13" i="7"/>
  <c r="I14" i="7" s="1"/>
  <c r="C10" i="7"/>
  <c r="I11" i="7" s="1"/>
  <c r="I18" i="7"/>
  <c r="P8" i="7"/>
  <c r="J24" i="7"/>
  <c r="J17" i="7"/>
  <c r="J8" i="7"/>
  <c r="M7" i="7"/>
  <c r="W10" i="7"/>
  <c r="Q26" i="8"/>
  <c r="Q27" i="8" s="1"/>
  <c r="R25" i="8"/>
  <c r="Q37" i="8"/>
  <c r="Y54" i="3"/>
  <c r="X59" i="3"/>
  <c r="X55" i="3"/>
  <c r="X58" i="3"/>
  <c r="BK54" i="4"/>
  <c r="BI54" i="4"/>
  <c r="BI55" i="4" s="1"/>
  <c r="BE57" i="4"/>
  <c r="BE63" i="4"/>
  <c r="AS89" i="4"/>
  <c r="AW88" i="4"/>
  <c r="AS94" i="4"/>
  <c r="AK125" i="15"/>
  <c r="V45" i="17"/>
  <c r="V34" i="17"/>
  <c r="I72" i="17"/>
  <c r="I69" i="17" s="1"/>
  <c r="S17" i="17"/>
  <c r="S75" i="17"/>
  <c r="S26" i="17"/>
  <c r="R18" i="16"/>
  <c r="L13" i="16"/>
  <c r="L10" i="16" s="1"/>
  <c r="L18" i="16"/>
  <c r="K13" i="16"/>
  <c r="K14" i="16" s="1"/>
  <c r="K10" i="16"/>
  <c r="K11" i="16" s="1"/>
  <c r="K18" i="16"/>
  <c r="F13" i="9"/>
  <c r="F10" i="9" s="1"/>
  <c r="J34" i="9"/>
  <c r="J35" i="9" s="1"/>
  <c r="J45" i="9"/>
  <c r="P46" i="9" s="1"/>
  <c r="P48" i="9"/>
  <c r="G17" i="10"/>
  <c r="G20" i="10"/>
  <c r="Q18" i="10"/>
  <c r="Q13" i="10"/>
  <c r="Q14" i="10" s="1"/>
  <c r="AD72" i="10"/>
  <c r="AD69" i="10"/>
  <c r="M80" i="10"/>
  <c r="S80" i="10"/>
  <c r="S61" i="7"/>
  <c r="AI62" i="8"/>
  <c r="X35" i="17"/>
  <c r="R35" i="17"/>
  <c r="AI187" i="3"/>
  <c r="AK180" i="3"/>
  <c r="AE7" i="17"/>
  <c r="AC20" i="17"/>
  <c r="AC21" i="17" s="1"/>
  <c r="AC8" i="17"/>
  <c r="AC32" i="17"/>
  <c r="AI69" i="9"/>
  <c r="AI72" i="9"/>
  <c r="L26" i="2"/>
  <c r="L37" i="2"/>
  <c r="R13" i="7"/>
  <c r="R18" i="7"/>
  <c r="R10" i="7"/>
  <c r="X11" i="7" s="1"/>
  <c r="J18" i="2"/>
  <c r="D13" i="2"/>
  <c r="J14" i="2" s="1"/>
  <c r="D10" i="2"/>
  <c r="J11" i="2" s="1"/>
  <c r="F26" i="2"/>
  <c r="F37" i="2"/>
  <c r="F40" i="2" s="1"/>
  <c r="F43" i="2" s="1"/>
  <c r="L13" i="8"/>
  <c r="L14" i="8" s="1"/>
  <c r="L18" i="8"/>
  <c r="L10" i="8"/>
  <c r="L11" i="8" s="1"/>
  <c r="Q89" i="117"/>
  <c r="Q84" i="117"/>
  <c r="Q81" i="117"/>
  <c r="AO82" i="4"/>
  <c r="AQ82" i="4" s="1"/>
  <c r="AU85" i="4"/>
  <c r="M8" i="15"/>
  <c r="M20" i="15"/>
  <c r="M21" i="15" s="1"/>
  <c r="S17" i="15"/>
  <c r="S26" i="15"/>
  <c r="S75" i="15"/>
  <c r="J45" i="17"/>
  <c r="J34" i="17"/>
  <c r="P13" i="17"/>
  <c r="P14" i="17" s="1"/>
  <c r="P18" i="17"/>
  <c r="P10" i="17"/>
  <c r="S20" i="17"/>
  <c r="AB21" i="17"/>
  <c r="W18" i="16"/>
  <c r="Q18" i="16"/>
  <c r="Q13" i="16"/>
  <c r="Q10" i="16"/>
  <c r="Q45" i="9"/>
  <c r="Q34" i="9"/>
  <c r="Q35" i="9" s="1"/>
  <c r="E72" i="9"/>
  <c r="E69" i="9" s="1"/>
  <c r="R13" i="10"/>
  <c r="R14" i="10" s="1"/>
  <c r="R10" i="10"/>
  <c r="R18" i="10"/>
  <c r="Y65" i="7"/>
  <c r="S65" i="7"/>
  <c r="AE65" i="7"/>
  <c r="AK65" i="7"/>
  <c r="Y65" i="8"/>
  <c r="Y71" i="3"/>
  <c r="Y72" i="3"/>
  <c r="Y70" i="3"/>
  <c r="Q48" i="17"/>
  <c r="W49" i="17" s="1"/>
  <c r="Q46" i="17"/>
  <c r="AJ62" i="7"/>
  <c r="X46" i="9"/>
  <c r="X48" i="9"/>
  <c r="J27" i="2"/>
  <c r="AA6" i="9"/>
  <c r="AE4" i="9"/>
  <c r="AB82" i="15"/>
  <c r="AB84" i="15" s="1"/>
  <c r="AA85" i="15"/>
  <c r="AJ187" i="3"/>
  <c r="M17" i="2"/>
  <c r="M8" i="2"/>
  <c r="D37" i="7"/>
  <c r="D40" i="7" s="1"/>
  <c r="D43" i="7" s="1"/>
  <c r="D26" i="7"/>
  <c r="L10" i="7"/>
  <c r="L18" i="7"/>
  <c r="L13" i="7"/>
  <c r="L14" i="7" s="1"/>
  <c r="R13" i="8"/>
  <c r="R14" i="8" s="1"/>
  <c r="R18" i="8"/>
  <c r="K206" i="117"/>
  <c r="N171" i="117"/>
  <c r="Z262" i="117"/>
  <c r="AF262" i="117"/>
  <c r="H51" i="11"/>
  <c r="AI69" i="4"/>
  <c r="AK57" i="4"/>
  <c r="AI58" i="4"/>
  <c r="AK91" i="4"/>
  <c r="AK92" i="4" s="1"/>
  <c r="AK89" i="4"/>
  <c r="AP107" i="4"/>
  <c r="AV110" i="4"/>
  <c r="AG70" i="17"/>
  <c r="J37" i="16"/>
  <c r="P38" i="16" s="1"/>
  <c r="J26" i="16"/>
  <c r="P27" i="16" s="1"/>
  <c r="S17" i="16"/>
  <c r="S13" i="16"/>
  <c r="S14" i="16" s="1"/>
  <c r="S10" i="16"/>
  <c r="S8" i="16"/>
  <c r="G10" i="16"/>
  <c r="D45" i="9"/>
  <c r="D48" i="9" s="1"/>
  <c r="D51" i="9" s="1"/>
  <c r="D34" i="9"/>
  <c r="L10" i="9"/>
  <c r="L13" i="9"/>
  <c r="L18" i="9"/>
  <c r="R45" i="9"/>
  <c r="R34" i="9"/>
  <c r="R35" i="9" s="1"/>
  <c r="S13" i="9"/>
  <c r="R70" i="10"/>
  <c r="S80" i="3"/>
  <c r="S83" i="3" s="1"/>
  <c r="S8" i="3"/>
  <c r="S81" i="3" s="1"/>
  <c r="W27" i="16"/>
  <c r="V48" i="9"/>
  <c r="V46" i="9"/>
  <c r="Y45" i="9"/>
  <c r="Q38" i="2"/>
  <c r="Q40" i="2"/>
  <c r="W38" i="2"/>
  <c r="M80" i="3"/>
  <c r="M8" i="3"/>
  <c r="M81" i="3" s="1"/>
  <c r="AB11" i="7"/>
  <c r="AB141" i="3"/>
  <c r="AB14" i="7"/>
  <c r="BB64" i="17"/>
  <c r="BH64" i="17"/>
  <c r="AW80" i="10"/>
  <c r="BC80" i="10"/>
  <c r="BG99" i="3"/>
  <c r="BS98" i="3"/>
  <c r="BY98" i="3" s="1"/>
  <c r="CE98" i="3" s="1"/>
  <c r="CK98" i="3" s="1"/>
  <c r="CQ98" i="3" s="1"/>
  <c r="CW98" i="3" s="1"/>
  <c r="DC98" i="3" s="1"/>
  <c r="DI98" i="3" s="1"/>
  <c r="U11" i="8"/>
  <c r="AY80" i="9"/>
  <c r="AW107" i="3"/>
  <c r="BC62" i="8"/>
  <c r="AW62" i="8"/>
  <c r="AQ114" i="16"/>
  <c r="AS181" i="3"/>
  <c r="AW56" i="2"/>
  <c r="BA140" i="3"/>
  <c r="BA141" i="3" s="1"/>
  <c r="BC73" i="10"/>
  <c r="CL151" i="3"/>
  <c r="J202" i="11"/>
  <c r="J203" i="11" s="1"/>
  <c r="AQ9" i="21"/>
  <c r="AO117" i="21"/>
  <c r="W30" i="21"/>
  <c r="F254" i="14"/>
  <c r="F256" i="14" s="1"/>
  <c r="AV6" i="21"/>
  <c r="AV5" i="21" s="1"/>
  <c r="AO5" i="21"/>
  <c r="AI161" i="21"/>
  <c r="AK161" i="21" s="1"/>
  <c r="AI159" i="21"/>
  <c r="AQ147" i="21"/>
  <c r="W144" i="21"/>
  <c r="W150" i="21" s="1"/>
  <c r="W51" i="21"/>
  <c r="P51" i="21"/>
  <c r="BL13" i="20"/>
  <c r="AP117" i="21"/>
  <c r="AG117" i="21"/>
  <c r="AU95" i="21"/>
  <c r="S138" i="21"/>
  <c r="Q23" i="21"/>
  <c r="BI15" i="21"/>
  <c r="R5" i="21"/>
  <c r="E254" i="14"/>
  <c r="E256" i="14" s="1"/>
  <c r="Q51" i="21"/>
  <c r="AM95" i="21"/>
  <c r="AP54" i="21"/>
  <c r="AT139" i="21"/>
  <c r="AN95" i="21"/>
  <c r="AZ159" i="21"/>
  <c r="AU5" i="21"/>
  <c r="W72" i="21"/>
  <c r="AD95" i="21"/>
  <c r="O51" i="21"/>
  <c r="AG23" i="21"/>
  <c r="AH95" i="21"/>
  <c r="P23" i="21"/>
  <c r="AN139" i="21"/>
  <c r="S6" i="21"/>
  <c r="S5" i="21" s="1"/>
  <c r="Y23" i="21"/>
  <c r="E6" i="14" s="1"/>
  <c r="AD139" i="21"/>
  <c r="Z298" i="117"/>
  <c r="AU139" i="21"/>
  <c r="C23" i="21"/>
  <c r="G23" i="21" s="1"/>
  <c r="AT54" i="21"/>
  <c r="AU117" i="21"/>
  <c r="AO139" i="21"/>
  <c r="AQ116" i="21"/>
  <c r="O5" i="21"/>
  <c r="Y31" i="21"/>
  <c r="R48" i="21"/>
  <c r="R144" i="21" s="1"/>
  <c r="R150" i="21" s="1"/>
  <c r="V48" i="21"/>
  <c r="V144" i="21" s="1"/>
  <c r="AK138" i="21"/>
  <c r="AL138" i="21" s="1"/>
  <c r="S31" i="21"/>
  <c r="S94" i="21"/>
  <c r="I13" i="21"/>
  <c r="I96" i="21" s="1"/>
  <c r="M96" i="21" s="1"/>
  <c r="AE94" i="21"/>
  <c r="AB95" i="21"/>
  <c r="AU54" i="21"/>
  <c r="M55" i="21"/>
  <c r="N55" i="21" s="1"/>
  <c r="M90" i="21"/>
  <c r="AA54" i="21"/>
  <c r="G254" i="14"/>
  <c r="G256" i="14" s="1"/>
  <c r="P298" i="117"/>
  <c r="S116" i="21"/>
  <c r="V72" i="21"/>
  <c r="I254" i="14"/>
  <c r="I256" i="14" s="1"/>
  <c r="V51" i="21"/>
  <c r="AJ117" i="21"/>
  <c r="Y55" i="21"/>
  <c r="AG54" i="21"/>
  <c r="AK116" i="21"/>
  <c r="AL116" i="21" s="1"/>
  <c r="AB139" i="21"/>
  <c r="Y138" i="21"/>
  <c r="Z138" i="21" s="1"/>
  <c r="AJ23" i="21"/>
  <c r="AC139" i="21"/>
  <c r="AO72" i="21"/>
  <c r="AO54" i="21"/>
  <c r="AS117" i="21"/>
  <c r="AT9" i="21"/>
  <c r="AW9" i="21" s="1"/>
  <c r="AN6" i="21"/>
  <c r="AH117" i="21"/>
  <c r="AK6" i="21"/>
  <c r="BC94" i="21"/>
  <c r="Y116" i="21"/>
  <c r="Z116" i="21" s="1"/>
  <c r="AC117" i="21"/>
  <c r="AH23" i="21"/>
  <c r="AT117" i="21"/>
  <c r="M31" i="21"/>
  <c r="AY9" i="21"/>
  <c r="AY6" i="21" s="1"/>
  <c r="AY23" i="21" s="1"/>
  <c r="AS6" i="21"/>
  <c r="AP5" i="21"/>
  <c r="C246" i="14"/>
  <c r="T298" i="117"/>
  <c r="AI139" i="21"/>
  <c r="AM117" i="21"/>
  <c r="AI117" i="21"/>
  <c r="AA95" i="21"/>
  <c r="AI95" i="21"/>
  <c r="O72" i="21"/>
  <c r="S55" i="21"/>
  <c r="AS139" i="21"/>
  <c r="AM139" i="21"/>
  <c r="AA117" i="21"/>
  <c r="AW94" i="21"/>
  <c r="AN117" i="21"/>
  <c r="Y94" i="21"/>
  <c r="AH139" i="21"/>
  <c r="AE138" i="21"/>
  <c r="AF138" i="21" s="1"/>
  <c r="AA139" i="21"/>
  <c r="Y6" i="21"/>
  <c r="AB117" i="21"/>
  <c r="AE116" i="21"/>
  <c r="AF116" i="21" s="1"/>
  <c r="U48" i="21"/>
  <c r="U144" i="21" s="1"/>
  <c r="U150" i="21" s="1"/>
  <c r="U30" i="21"/>
  <c r="U51" i="21"/>
  <c r="Y118" i="21"/>
  <c r="X38" i="21"/>
  <c r="X72" i="21"/>
  <c r="AG139" i="21"/>
  <c r="AA5" i="21"/>
  <c r="AA23" i="21"/>
  <c r="AV54" i="21"/>
  <c r="AV72" i="21"/>
  <c r="Y229" i="117"/>
  <c r="S231" i="117"/>
  <c r="AK94" i="21"/>
  <c r="AG95" i="21"/>
  <c r="AP138" i="21"/>
  <c r="AJ139" i="21"/>
  <c r="AC95" i="21"/>
  <c r="AT95" i="21"/>
  <c r="AP94" i="21"/>
  <c r="AV95" i="21" s="1"/>
  <c r="AJ95" i="21"/>
  <c r="R72" i="21"/>
  <c r="R51" i="21"/>
  <c r="X54" i="21" s="1"/>
  <c r="AW138" i="21"/>
  <c r="AS95" i="21"/>
  <c r="BB159" i="21"/>
  <c r="BH158" i="21"/>
  <c r="R236" i="117"/>
  <c r="BG159" i="21"/>
  <c r="BA159" i="21"/>
  <c r="AB229" i="117"/>
  <c r="V229" i="117"/>
  <c r="Z228" i="117"/>
  <c r="V231" i="117"/>
  <c r="Q144" i="21"/>
  <c r="W229" i="117"/>
  <c r="Q231" i="117"/>
  <c r="T228" i="117"/>
  <c r="BE159" i="21"/>
  <c r="AY159" i="21"/>
  <c r="K140" i="21"/>
  <c r="K138" i="21" s="1"/>
  <c r="M138" i="21" s="1"/>
  <c r="M62" i="21"/>
  <c r="M38" i="21"/>
  <c r="J118" i="21"/>
  <c r="DE152" i="21"/>
  <c r="BM68" i="21"/>
  <c r="BN68" i="21"/>
  <c r="BO19" i="21"/>
  <c r="BI23" i="20"/>
  <c r="BZ15" i="21"/>
  <c r="BQ15" i="4"/>
  <c r="C37" i="14"/>
  <c r="C35" i="14"/>
  <c r="M95" i="14"/>
  <c r="M110" i="14" s="1"/>
  <c r="N95" i="14"/>
  <c r="P96" i="14"/>
  <c r="O95" i="14"/>
  <c r="BH162" i="21"/>
  <c r="BR12" i="20"/>
  <c r="BX12" i="20"/>
  <c r="BR26" i="20"/>
  <c r="BR21" i="20"/>
  <c r="BS14" i="20"/>
  <c r="BO20" i="20"/>
  <c r="BO68" i="21" s="1"/>
  <c r="BK68" i="21"/>
  <c r="BT8" i="4"/>
  <c r="BT40" i="21" s="1"/>
  <c r="CF73" i="3"/>
  <c r="BM73" i="3"/>
  <c r="BU70" i="21"/>
  <c r="C35" i="12" s="1"/>
  <c r="BT12" i="20"/>
  <c r="BN26" i="20"/>
  <c r="BN28" i="20" s="1"/>
  <c r="BO6" i="20"/>
  <c r="BT15" i="21"/>
  <c r="BZ8" i="4"/>
  <c r="BZ40" i="21" s="1"/>
  <c r="BK20" i="4"/>
  <c r="BH40" i="21"/>
  <c r="BN40" i="21"/>
  <c r="CL5" i="4"/>
  <c r="CL8" i="4" s="1"/>
  <c r="CF15" i="21"/>
  <c r="BO8" i="4"/>
  <c r="CH262" i="117"/>
  <c r="CT262" i="117"/>
  <c r="O51" i="11"/>
  <c r="BG169" i="3"/>
  <c r="BU71" i="3"/>
  <c r="BU70" i="3"/>
  <c r="BU72" i="3"/>
  <c r="N104" i="14"/>
  <c r="N103" i="14" s="1"/>
  <c r="P262" i="11"/>
  <c r="O263" i="11"/>
  <c r="P70" i="11"/>
  <c r="AP208" i="117"/>
  <c r="AP205" i="117" s="1"/>
  <c r="AP206" i="117" s="1"/>
  <c r="BG64" i="21"/>
  <c r="BU5" i="20"/>
  <c r="BU6" i="20" s="1"/>
  <c r="BY5" i="20"/>
  <c r="BY14" i="20" s="1"/>
  <c r="BS19" i="21"/>
  <c r="BR15" i="21"/>
  <c r="BR14" i="4"/>
  <c r="BR64" i="21" s="1"/>
  <c r="BF72" i="9"/>
  <c r="BF69" i="9" s="1"/>
  <c r="CG73" i="3"/>
  <c r="BF110" i="3"/>
  <c r="BG73" i="3"/>
  <c r="AL282" i="117"/>
  <c r="BJ228" i="117"/>
  <c r="BD228" i="117"/>
  <c r="AX228" i="117"/>
  <c r="BG162" i="21"/>
  <c r="BH148" i="21"/>
  <c r="BP228" i="117"/>
  <c r="BR228" i="117"/>
  <c r="CN262" i="117"/>
  <c r="BD262" i="117"/>
  <c r="L51" i="11"/>
  <c r="BF146" i="21"/>
  <c r="BI161" i="21"/>
  <c r="BF162" i="21"/>
  <c r="BW158" i="21"/>
  <c r="BQ161" i="21"/>
  <c r="CA70" i="21"/>
  <c r="BU21" i="21"/>
  <c r="BI14" i="4"/>
  <c r="BI17" i="4" s="1"/>
  <c r="BT17" i="4"/>
  <c r="BH20" i="4"/>
  <c r="BH64" i="21"/>
  <c r="BC119" i="15"/>
  <c r="BC120" i="15" s="1"/>
  <c r="BC124" i="15"/>
  <c r="BC125" i="15" s="1"/>
  <c r="AZ88" i="15"/>
  <c r="BB82" i="15"/>
  <c r="BB83" i="15" s="1"/>
  <c r="BA85" i="15"/>
  <c r="AY45" i="15"/>
  <c r="AZ32" i="15"/>
  <c r="AZ20" i="15"/>
  <c r="AZ17" i="15"/>
  <c r="BA7" i="15"/>
  <c r="BB4" i="15"/>
  <c r="BB5" i="15" s="1"/>
  <c r="BC38" i="15"/>
  <c r="AY67" i="15"/>
  <c r="BC66" i="15"/>
  <c r="BC67" i="15" s="1"/>
  <c r="BF114" i="21"/>
  <c r="BF92" i="21"/>
  <c r="BF109" i="17"/>
  <c r="BF95" i="17"/>
  <c r="BC69" i="17"/>
  <c r="AY70" i="17"/>
  <c r="AY73" i="17"/>
  <c r="BC72" i="17"/>
  <c r="BC26" i="17"/>
  <c r="BC75" i="17"/>
  <c r="BF136" i="21"/>
  <c r="BE109" i="21"/>
  <c r="BE58" i="16"/>
  <c r="BE59" i="16" s="1"/>
  <c r="BE106" i="16"/>
  <c r="BE108" i="16"/>
  <c r="BE109" i="16" s="1"/>
  <c r="BE114" i="16"/>
  <c r="BE99" i="16"/>
  <c r="BJ164" i="117"/>
  <c r="BL164" i="117"/>
  <c r="AO205" i="117"/>
  <c r="AO202" i="117" s="1"/>
  <c r="BN44" i="21"/>
  <c r="BZ8" i="20"/>
  <c r="BT14" i="20"/>
  <c r="BT13" i="20" s="1"/>
  <c r="BL44" i="21"/>
  <c r="BS12" i="20"/>
  <c r="BR44" i="21"/>
  <c r="BR17" i="20"/>
  <c r="BR15" i="20"/>
  <c r="BM44" i="21"/>
  <c r="BM15" i="20"/>
  <c r="BM17" i="20"/>
  <c r="BG44" i="21"/>
  <c r="BI44" i="21" s="1"/>
  <c r="BG26" i="20"/>
  <c r="BI14" i="20"/>
  <c r="BG17" i="20"/>
  <c r="CE8" i="20"/>
  <c r="BZ23" i="20"/>
  <c r="BT20" i="20"/>
  <c r="BS20" i="20"/>
  <c r="BY23" i="20"/>
  <c r="BF28" i="20"/>
  <c r="BF33" i="20"/>
  <c r="BF34" i="20" s="1"/>
  <c r="K246" i="11"/>
  <c r="BI68" i="21"/>
  <c r="BX15" i="20"/>
  <c r="BX17" i="20"/>
  <c r="BX44" i="21"/>
  <c r="BX26" i="20"/>
  <c r="CJ5" i="20"/>
  <c r="CD19" i="21"/>
  <c r="CD11" i="20"/>
  <c r="CD12" i="20" s="1"/>
  <c r="CD20" i="20"/>
  <c r="CD14" i="20"/>
  <c r="BX68" i="21"/>
  <c r="BX21" i="20"/>
  <c r="BW23" i="20"/>
  <c r="BQ20" i="20"/>
  <c r="CC19" i="21"/>
  <c r="CI5" i="20"/>
  <c r="BR8" i="4"/>
  <c r="BR9" i="4" s="1"/>
  <c r="BS5" i="4"/>
  <c r="BS8" i="4" s="1"/>
  <c r="BM15" i="21"/>
  <c r="BO15" i="21" s="1"/>
  <c r="BO5" i="4"/>
  <c r="BO6" i="4" s="1"/>
  <c r="BF64" i="21"/>
  <c r="BF40" i="21"/>
  <c r="BF20" i="4"/>
  <c r="BL9" i="4"/>
  <c r="CD5" i="4"/>
  <c r="BX15" i="21"/>
  <c r="BX8" i="4"/>
  <c r="BL64" i="21"/>
  <c r="BX14" i="4"/>
  <c r="CD17" i="4"/>
  <c r="BF84" i="21"/>
  <c r="BF41" i="9"/>
  <c r="CI43" i="9"/>
  <c r="BE79" i="10"/>
  <c r="BE57" i="10"/>
  <c r="BE58" i="10" s="1"/>
  <c r="BE107" i="21"/>
  <c r="BE55" i="10"/>
  <c r="BE70" i="10"/>
  <c r="BE61" i="8"/>
  <c r="BE62" i="8" s="1"/>
  <c r="BE65" i="8"/>
  <c r="BG102" i="3"/>
  <c r="BC87" i="3"/>
  <c r="BY151" i="3"/>
  <c r="CA151" i="3" s="1"/>
  <c r="CA152" i="3" s="1"/>
  <c r="BS168" i="3"/>
  <c r="BS169" i="3" s="1"/>
  <c r="BC159" i="3"/>
  <c r="BC160" i="3" s="1"/>
  <c r="BB160" i="3"/>
  <c r="BB176" i="3"/>
  <c r="CA70" i="3"/>
  <c r="CA72" i="3"/>
  <c r="CA71" i="3"/>
  <c r="BG113" i="3"/>
  <c r="BG162" i="3"/>
  <c r="BG163" i="3" s="1"/>
  <c r="BI51" i="3"/>
  <c r="BH10" i="3"/>
  <c r="BH11" i="3" s="1"/>
  <c r="BH92" i="3"/>
  <c r="BH98" i="3" s="1"/>
  <c r="BI72" i="3"/>
  <c r="BI71" i="3"/>
  <c r="BO70" i="3"/>
  <c r="BO71" i="3"/>
  <c r="BO72" i="3"/>
  <c r="BH52" i="3"/>
  <c r="BG117" i="3"/>
  <c r="BE144" i="3"/>
  <c r="BE165" i="3"/>
  <c r="AZ141" i="3"/>
  <c r="AT141" i="3"/>
  <c r="AW140" i="3"/>
  <c r="AY141" i="3"/>
  <c r="AS141" i="3"/>
  <c r="AQ141" i="3"/>
  <c r="AK141" i="3"/>
  <c r="BU152" i="3"/>
  <c r="BR169" i="3"/>
  <c r="BO168" i="3"/>
  <c r="CD151" i="3"/>
  <c r="BX168" i="3"/>
  <c r="BX169" i="3" s="1"/>
  <c r="BN169" i="3"/>
  <c r="BI168" i="3"/>
  <c r="BI169" i="3" s="1"/>
  <c r="CR151" i="3"/>
  <c r="CL168" i="3"/>
  <c r="CL169" i="3" s="1"/>
  <c r="BQ169" i="3"/>
  <c r="CC151" i="3"/>
  <c r="BW168" i="3"/>
  <c r="BI109" i="3"/>
  <c r="BE110" i="3"/>
  <c r="BF162" i="3"/>
  <c r="BF113" i="3"/>
  <c r="BI8" i="20"/>
  <c r="BC11" i="20"/>
  <c r="BC12" i="20" s="1"/>
  <c r="BC9" i="20"/>
  <c r="CC14" i="4"/>
  <c r="CI5" i="4"/>
  <c r="CC15" i="21"/>
  <c r="CC8" i="4"/>
  <c r="BQ20" i="4"/>
  <c r="BQ9" i="4"/>
  <c r="BQ40" i="21"/>
  <c r="BW15" i="4"/>
  <c r="BW64" i="21"/>
  <c r="BW40" i="21"/>
  <c r="BW9" i="4"/>
  <c r="BW20" i="4"/>
  <c r="K186" i="11"/>
  <c r="N110" i="14" l="1"/>
  <c r="P95" i="14"/>
  <c r="Q96" i="14"/>
  <c r="BU19" i="21"/>
  <c r="BR15" i="4"/>
  <c r="BS17" i="20"/>
  <c r="BS13" i="20"/>
  <c r="DK73" i="3"/>
  <c r="CF5" i="20"/>
  <c r="BZ19" i="21"/>
  <c r="BM40" i="21"/>
  <c r="BS9" i="4"/>
  <c r="L11" i="16"/>
  <c r="R11" i="16"/>
  <c r="AE80" i="3"/>
  <c r="AE83" i="3" s="1"/>
  <c r="AE84" i="3" s="1"/>
  <c r="AE8" i="3"/>
  <c r="AE81" i="3" s="1"/>
  <c r="O70" i="17"/>
  <c r="I70" i="17"/>
  <c r="M69" i="17"/>
  <c r="L11" i="10"/>
  <c r="AA70" i="10"/>
  <c r="AE69" i="10"/>
  <c r="AG70" i="10"/>
  <c r="J11" i="10"/>
  <c r="P11" i="10"/>
  <c r="I70" i="15"/>
  <c r="R11" i="9"/>
  <c r="X11" i="9"/>
  <c r="O70" i="15"/>
  <c r="S69" i="15"/>
  <c r="AY106" i="3"/>
  <c r="AY107" i="3" s="1"/>
  <c r="K70" i="9"/>
  <c r="Q70" i="9"/>
  <c r="J11" i="17"/>
  <c r="X70" i="17"/>
  <c r="AD70" i="17"/>
  <c r="AQ83" i="4"/>
  <c r="AQ85" i="4"/>
  <c r="AN70" i="17"/>
  <c r="AH70" i="17"/>
  <c r="AK69" i="17"/>
  <c r="AH70" i="10"/>
  <c r="AK69" i="10"/>
  <c r="AN70" i="10"/>
  <c r="AI70" i="17"/>
  <c r="AC70" i="17"/>
  <c r="AE69" i="17"/>
  <c r="I11" i="2"/>
  <c r="O11" i="2"/>
  <c r="J70" i="9"/>
  <c r="M69" i="9"/>
  <c r="P70" i="9"/>
  <c r="U11" i="15"/>
  <c r="AP108" i="4"/>
  <c r="AP119" i="4"/>
  <c r="P11" i="17"/>
  <c r="J13" i="7"/>
  <c r="J18" i="7"/>
  <c r="J10" i="7"/>
  <c r="P18" i="7"/>
  <c r="X17" i="8"/>
  <c r="X8" i="8"/>
  <c r="X24" i="8"/>
  <c r="X25" i="8" s="1"/>
  <c r="X26" i="2"/>
  <c r="X37" i="2"/>
  <c r="G69" i="17"/>
  <c r="G10" i="17" s="1"/>
  <c r="AE72" i="15"/>
  <c r="AA73" i="15"/>
  <c r="AG73" i="15"/>
  <c r="AT45" i="4"/>
  <c r="AT34" i="4"/>
  <c r="G15" i="10"/>
  <c r="AT58" i="4"/>
  <c r="AT69" i="4"/>
  <c r="AM6" i="21"/>
  <c r="AQ7" i="21"/>
  <c r="Y70" i="10"/>
  <c r="Y10" i="10"/>
  <c r="Y11" i="10" s="1"/>
  <c r="R70" i="17"/>
  <c r="S69" i="17"/>
  <c r="M17" i="17"/>
  <c r="M18" i="17" s="1"/>
  <c r="E51" i="15"/>
  <c r="G48" i="15"/>
  <c r="G51" i="15" s="1"/>
  <c r="BE88" i="4"/>
  <c r="BK91" i="4"/>
  <c r="Y21" i="9"/>
  <c r="S21" i="9"/>
  <c r="Y72" i="17"/>
  <c r="U73" i="17"/>
  <c r="AA73" i="17"/>
  <c r="Y101" i="15"/>
  <c r="AE101" i="15"/>
  <c r="X91" i="17"/>
  <c r="X92" i="17" s="1"/>
  <c r="X89" i="17"/>
  <c r="BF73" i="9"/>
  <c r="Y43" i="9"/>
  <c r="S15" i="9"/>
  <c r="L14" i="9"/>
  <c r="S18" i="16"/>
  <c r="AI70" i="4"/>
  <c r="AK69" i="4"/>
  <c r="AK70" i="4" s="1"/>
  <c r="AJ200" i="3"/>
  <c r="AJ32" i="21"/>
  <c r="AJ190" i="3"/>
  <c r="AP188" i="3"/>
  <c r="AB4" i="9"/>
  <c r="AB6" i="9" s="1"/>
  <c r="AA7" i="9"/>
  <c r="Y73" i="3"/>
  <c r="W14" i="16"/>
  <c r="Q14" i="16"/>
  <c r="W84" i="117"/>
  <c r="R14" i="7"/>
  <c r="AI73" i="9"/>
  <c r="AO73" i="9"/>
  <c r="AK72" i="9"/>
  <c r="Q10" i="10"/>
  <c r="Q11" i="10" s="1"/>
  <c r="BI63" i="4"/>
  <c r="BE64" i="4"/>
  <c r="Y58" i="3"/>
  <c r="Y59" i="3"/>
  <c r="J25" i="7"/>
  <c r="M24" i="7"/>
  <c r="M23" i="7" s="1"/>
  <c r="R114" i="117"/>
  <c r="U10" i="10"/>
  <c r="U11" i="10" s="1"/>
  <c r="AA141" i="3"/>
  <c r="Y140" i="3"/>
  <c r="AE141" i="3" s="1"/>
  <c r="Y14" i="9"/>
  <c r="Y15" i="9"/>
  <c r="O45" i="9"/>
  <c r="S33" i="9"/>
  <c r="S34" i="9" s="1"/>
  <c r="O34" i="9"/>
  <c r="U14" i="16"/>
  <c r="AA14" i="16"/>
  <c r="U73" i="15"/>
  <c r="Y72" i="15"/>
  <c r="AO45" i="4"/>
  <c r="AO46" i="4" s="1"/>
  <c r="AO34" i="4"/>
  <c r="S8" i="8"/>
  <c r="S17" i="8"/>
  <c r="E13" i="8"/>
  <c r="E10" i="8"/>
  <c r="AI73" i="10"/>
  <c r="AO73" i="10"/>
  <c r="AS55" i="21"/>
  <c r="AW56" i="21"/>
  <c r="AY195" i="3"/>
  <c r="AY56" i="21"/>
  <c r="AY55" i="21" s="1"/>
  <c r="AA69" i="15"/>
  <c r="BF36" i="4"/>
  <c r="AZ33" i="4"/>
  <c r="D154" i="117"/>
  <c r="D151" i="117" s="1"/>
  <c r="AE62" i="2"/>
  <c r="U43" i="7"/>
  <c r="Y40" i="7"/>
  <c r="U41" i="7"/>
  <c r="AA41" i="7"/>
  <c r="W14" i="10"/>
  <c r="C34" i="9"/>
  <c r="C45" i="9"/>
  <c r="G33" i="9"/>
  <c r="G34" i="9" s="1"/>
  <c r="BF60" i="4"/>
  <c r="AZ57" i="4"/>
  <c r="AO181" i="3"/>
  <c r="AO187" i="3"/>
  <c r="AM181" i="3"/>
  <c r="AQ180" i="3"/>
  <c r="AE62" i="16"/>
  <c r="S72" i="17"/>
  <c r="R73" i="17"/>
  <c r="F10" i="17"/>
  <c r="L11" i="17" s="1"/>
  <c r="AY89" i="4"/>
  <c r="AY94" i="4"/>
  <c r="BC88" i="4"/>
  <c r="G24" i="8"/>
  <c r="G23" i="8" s="1"/>
  <c r="S18" i="2"/>
  <c r="P43" i="16"/>
  <c r="V41" i="16"/>
  <c r="L70" i="10"/>
  <c r="Y18" i="15"/>
  <c r="BQ79" i="4"/>
  <c r="BK82" i="4"/>
  <c r="BO79" i="4"/>
  <c r="BO80" i="4" s="1"/>
  <c r="Y97" i="117"/>
  <c r="S98" i="117"/>
  <c r="Y24" i="2"/>
  <c r="Y23" i="2" s="1"/>
  <c r="AK163" i="3"/>
  <c r="AE163" i="3"/>
  <c r="AD187" i="3"/>
  <c r="AJ188" i="3" s="1"/>
  <c r="AD7" i="21"/>
  <c r="AD177" i="3"/>
  <c r="AD180" i="3"/>
  <c r="AD194" i="3"/>
  <c r="AJ177" i="3"/>
  <c r="BG107" i="17"/>
  <c r="BA107" i="17"/>
  <c r="BA160" i="3"/>
  <c r="BA176" i="3"/>
  <c r="AW177" i="3"/>
  <c r="AW175" i="3" s="1"/>
  <c r="AC18" i="7"/>
  <c r="AC13" i="7"/>
  <c r="AC14" i="7" s="1"/>
  <c r="X35" i="15"/>
  <c r="I10" i="16"/>
  <c r="I11" i="16" s="1"/>
  <c r="Y11" i="16"/>
  <c r="AB10" i="17"/>
  <c r="AB11" i="17" s="1"/>
  <c r="D45" i="17"/>
  <c r="D34" i="17"/>
  <c r="G33" i="17"/>
  <c r="G34" i="17" s="1"/>
  <c r="AN46" i="4"/>
  <c r="AQ45" i="4"/>
  <c r="AC24" i="16"/>
  <c r="AC25" i="16" s="1"/>
  <c r="AC8" i="16"/>
  <c r="AC17" i="16"/>
  <c r="AE67" i="15"/>
  <c r="Y67" i="15"/>
  <c r="Y117" i="15"/>
  <c r="Y119" i="15"/>
  <c r="AE117" i="15"/>
  <c r="AK62" i="8"/>
  <c r="P48" i="17"/>
  <c r="P46" i="17"/>
  <c r="K10" i="7"/>
  <c r="K11" i="7" s="1"/>
  <c r="V73" i="10"/>
  <c r="Y72" i="10"/>
  <c r="W35" i="9"/>
  <c r="Q14" i="15"/>
  <c r="W14" i="15"/>
  <c r="L111" i="117"/>
  <c r="L109" i="117"/>
  <c r="Q10" i="8"/>
  <c r="Q11" i="8" s="1"/>
  <c r="C10" i="8"/>
  <c r="I11" i="8" s="1"/>
  <c r="Y8" i="10"/>
  <c r="Y20" i="10"/>
  <c r="Y21" i="10" s="1"/>
  <c r="K73" i="17"/>
  <c r="Q73" i="17"/>
  <c r="P14" i="15"/>
  <c r="AT40" i="4"/>
  <c r="AW39" i="4"/>
  <c r="K14" i="8"/>
  <c r="C37" i="2"/>
  <c r="C26" i="2"/>
  <c r="G25" i="2"/>
  <c r="G26" i="2" s="1"/>
  <c r="Y8" i="17"/>
  <c r="Y20" i="17"/>
  <c r="Y21" i="17" s="1"/>
  <c r="AN73" i="15"/>
  <c r="AH73" i="15"/>
  <c r="AK72" i="15"/>
  <c r="AC194" i="3"/>
  <c r="AC177" i="3"/>
  <c r="AI177" i="3"/>
  <c r="AC187" i="3"/>
  <c r="AC7" i="21"/>
  <c r="AC180" i="3"/>
  <c r="BC53" i="16"/>
  <c r="BC131" i="21"/>
  <c r="BC55" i="16"/>
  <c r="BC56" i="16" s="1"/>
  <c r="J156" i="11"/>
  <c r="BG55" i="16"/>
  <c r="BG53" i="16"/>
  <c r="Z77" i="117"/>
  <c r="Y78" i="117"/>
  <c r="Y33" i="15"/>
  <c r="Y34" i="15" s="1"/>
  <c r="U45" i="15"/>
  <c r="U34" i="15"/>
  <c r="U35" i="15" s="1"/>
  <c r="M15" i="10"/>
  <c r="M14" i="10"/>
  <c r="P278" i="117"/>
  <c r="T272" i="117"/>
  <c r="K203" i="117"/>
  <c r="K208" i="117"/>
  <c r="K156" i="117" s="1"/>
  <c r="Q203" i="117"/>
  <c r="L27" i="7"/>
  <c r="AB13" i="16"/>
  <c r="AB14" i="16" s="1"/>
  <c r="AB10" i="16"/>
  <c r="AB11" i="16" s="1"/>
  <c r="AB18" i="16"/>
  <c r="K46" i="10"/>
  <c r="K48" i="10"/>
  <c r="W51" i="9"/>
  <c r="O21" i="17"/>
  <c r="J34" i="15"/>
  <c r="J35" i="15" s="1"/>
  <c r="J45" i="15"/>
  <c r="M33" i="15"/>
  <c r="M34" i="15" s="1"/>
  <c r="M35" i="15" s="1"/>
  <c r="Q108" i="117"/>
  <c r="Q97" i="117"/>
  <c r="T96" i="117"/>
  <c r="T97" i="117" s="1"/>
  <c r="J14" i="8"/>
  <c r="L14" i="2"/>
  <c r="AN201" i="3"/>
  <c r="K43" i="2"/>
  <c r="K44" i="2" s="1"/>
  <c r="K41" i="2"/>
  <c r="AQ62" i="8"/>
  <c r="S14" i="10"/>
  <c r="S15" i="10"/>
  <c r="L27" i="16"/>
  <c r="R27" i="16"/>
  <c r="I18" i="17"/>
  <c r="I13" i="17"/>
  <c r="I14" i="17" s="1"/>
  <c r="R10" i="2"/>
  <c r="I10" i="9"/>
  <c r="I11" i="9" s="1"/>
  <c r="Q35" i="15"/>
  <c r="AK62" i="7"/>
  <c r="AE62" i="7"/>
  <c r="AE10" i="7"/>
  <c r="AE11" i="7" s="1"/>
  <c r="L48" i="10"/>
  <c r="L46" i="10"/>
  <c r="K51" i="9"/>
  <c r="K52" i="9" s="1"/>
  <c r="K49" i="9"/>
  <c r="Y17" i="17"/>
  <c r="Y18" i="17" s="1"/>
  <c r="AQ107" i="4"/>
  <c r="R85" i="117"/>
  <c r="K85" i="117"/>
  <c r="K40" i="8"/>
  <c r="Y13" i="2"/>
  <c r="Y15" i="2" s="1"/>
  <c r="X34" i="10"/>
  <c r="X45" i="10"/>
  <c r="BA124" i="17"/>
  <c r="BA117" i="17"/>
  <c r="BC116" i="17"/>
  <c r="BA119" i="17"/>
  <c r="BA120" i="17" s="1"/>
  <c r="M70" i="10"/>
  <c r="Q51" i="17"/>
  <c r="W81" i="117"/>
  <c r="W88" i="117" s="1"/>
  <c r="BQ54" i="4"/>
  <c r="BK63" i="4"/>
  <c r="BK57" i="4"/>
  <c r="BO54" i="4"/>
  <c r="BO55" i="4" s="1"/>
  <c r="P26" i="2"/>
  <c r="P27" i="2" s="1"/>
  <c r="P37" i="2"/>
  <c r="S25" i="2"/>
  <c r="S26" i="2" s="1"/>
  <c r="BA36" i="4"/>
  <c r="AU33" i="4"/>
  <c r="BR28" i="20"/>
  <c r="AV23" i="21"/>
  <c r="L11" i="9"/>
  <c r="AA86" i="15"/>
  <c r="AA88" i="15"/>
  <c r="R11" i="10"/>
  <c r="BA85" i="4"/>
  <c r="AU82" i="4"/>
  <c r="L38" i="2"/>
  <c r="L40" i="2"/>
  <c r="AO70" i="9"/>
  <c r="AI70" i="9"/>
  <c r="AE8" i="17"/>
  <c r="AE20" i="17"/>
  <c r="AE21" i="17" s="1"/>
  <c r="AJ70" i="10"/>
  <c r="AD70" i="10"/>
  <c r="P51" i="9"/>
  <c r="I73" i="17"/>
  <c r="M72" i="17"/>
  <c r="O73" i="17"/>
  <c r="AS95" i="4"/>
  <c r="BE69" i="4"/>
  <c r="BE58" i="4"/>
  <c r="X61" i="3"/>
  <c r="Q40" i="8"/>
  <c r="Q38" i="8"/>
  <c r="M10" i="7"/>
  <c r="M11" i="7" s="1"/>
  <c r="M8" i="7"/>
  <c r="M17" i="7"/>
  <c r="U45" i="10"/>
  <c r="Y33" i="10"/>
  <c r="Y34" i="10" s="1"/>
  <c r="U34" i="10"/>
  <c r="U35" i="10" s="1"/>
  <c r="G69" i="9"/>
  <c r="G10" i="9" s="1"/>
  <c r="I70" i="9"/>
  <c r="K14" i="17"/>
  <c r="Q14" i="17"/>
  <c r="S21" i="15"/>
  <c r="E37" i="8"/>
  <c r="E40" i="8" s="1"/>
  <c r="E43" i="8" s="1"/>
  <c r="E26" i="8"/>
  <c r="Q25" i="7"/>
  <c r="S24" i="7"/>
  <c r="S23" i="7" s="1"/>
  <c r="AI70" i="10"/>
  <c r="AO70" i="10"/>
  <c r="AB4" i="15"/>
  <c r="AB6" i="15" s="1"/>
  <c r="AA7" i="15"/>
  <c r="AQ92" i="4"/>
  <c r="I62" i="14"/>
  <c r="I58" i="14"/>
  <c r="I56" i="14"/>
  <c r="AW197" i="3"/>
  <c r="AW206" i="3"/>
  <c r="AW207" i="3" s="1"/>
  <c r="I19" i="11"/>
  <c r="AB70" i="10"/>
  <c r="K10" i="9"/>
  <c r="K11" i="9" s="1"/>
  <c r="X21" i="9"/>
  <c r="R21" i="9"/>
  <c r="O11" i="16"/>
  <c r="AE17" i="17"/>
  <c r="AE18" i="17" s="1"/>
  <c r="V10" i="15"/>
  <c r="V11" i="15" s="1"/>
  <c r="AN73" i="17"/>
  <c r="AH73" i="17"/>
  <c r="AK72" i="17"/>
  <c r="Y35" i="7"/>
  <c r="M18" i="9"/>
  <c r="O45" i="17"/>
  <c r="S33" i="17"/>
  <c r="S34" i="17" s="1"/>
  <c r="O34" i="17"/>
  <c r="O73" i="15"/>
  <c r="S72" i="15"/>
  <c r="AS114" i="4"/>
  <c r="AW113" i="4"/>
  <c r="BA183" i="3"/>
  <c r="BA180" i="3" s="1"/>
  <c r="AU180" i="3"/>
  <c r="AM56" i="21"/>
  <c r="AM195" i="3"/>
  <c r="AQ194" i="3"/>
  <c r="V10" i="10"/>
  <c r="V11" i="10" s="1"/>
  <c r="Q73" i="15"/>
  <c r="W73" i="15"/>
  <c r="G97" i="117"/>
  <c r="G108" i="117"/>
  <c r="C26" i="8"/>
  <c r="I27" i="8" s="1"/>
  <c r="C37" i="8"/>
  <c r="G25" i="8"/>
  <c r="G26" i="8" s="1"/>
  <c r="R38" i="2"/>
  <c r="R40" i="2"/>
  <c r="W51" i="10"/>
  <c r="S61" i="8"/>
  <c r="S18" i="9"/>
  <c r="Y18" i="9"/>
  <c r="AQ70" i="17"/>
  <c r="AW70" i="17"/>
  <c r="AI73" i="17"/>
  <c r="AC73" i="17"/>
  <c r="K48" i="17"/>
  <c r="Q49" i="17" s="1"/>
  <c r="K46" i="17"/>
  <c r="I10" i="15"/>
  <c r="I11" i="15" s="1"/>
  <c r="AI46" i="4"/>
  <c r="AK45" i="4"/>
  <c r="AK46" i="4" s="1"/>
  <c r="S109" i="117"/>
  <c r="S111" i="117"/>
  <c r="AD30" i="3"/>
  <c r="AC31" i="3"/>
  <c r="V37" i="2"/>
  <c r="V26" i="2"/>
  <c r="Y25" i="2"/>
  <c r="Y26" i="2" s="1"/>
  <c r="W25" i="8"/>
  <c r="Y24" i="8"/>
  <c r="AE176" i="3"/>
  <c r="AB177" i="3"/>
  <c r="AB194" i="3"/>
  <c r="AB7" i="21"/>
  <c r="AB180" i="3"/>
  <c r="AB187" i="3" s="1"/>
  <c r="AH177" i="3"/>
  <c r="BB140" i="3"/>
  <c r="BB141" i="3" s="1"/>
  <c r="BB135" i="3"/>
  <c r="BC134" i="3"/>
  <c r="BC135" i="3" s="1"/>
  <c r="AE17" i="7"/>
  <c r="AE8" i="7"/>
  <c r="AA6" i="2"/>
  <c r="AE4" i="2"/>
  <c r="Y84" i="3"/>
  <c r="V48" i="15"/>
  <c r="BM104" i="4"/>
  <c r="BG107" i="4"/>
  <c r="BG113" i="4"/>
  <c r="BG114" i="4" s="1"/>
  <c r="BI104" i="4"/>
  <c r="BI105" i="4" s="1"/>
  <c r="AE6" i="16"/>
  <c r="AD7" i="16"/>
  <c r="X125" i="15"/>
  <c r="Y124" i="15"/>
  <c r="AD125" i="15"/>
  <c r="J10" i="9"/>
  <c r="J11" i="9" s="1"/>
  <c r="AQ58" i="4"/>
  <c r="AQ60" i="4"/>
  <c r="X27" i="7"/>
  <c r="R27" i="7"/>
  <c r="Q34" i="10"/>
  <c r="Q45" i="10"/>
  <c r="S33" i="10"/>
  <c r="S34" i="10" s="1"/>
  <c r="M21" i="10"/>
  <c r="AN95" i="4"/>
  <c r="D164" i="117"/>
  <c r="D166" i="117"/>
  <c r="L14" i="10"/>
  <c r="K46" i="15"/>
  <c r="K48" i="15"/>
  <c r="AZ39" i="4"/>
  <c r="BF42" i="4"/>
  <c r="K18" i="8"/>
  <c r="U21" i="17"/>
  <c r="AA21" i="17"/>
  <c r="U33" i="17"/>
  <c r="Y32" i="17"/>
  <c r="Y31" i="17" s="1"/>
  <c r="AA6" i="10"/>
  <c r="AE4" i="10"/>
  <c r="BG96" i="16"/>
  <c r="BS95" i="16"/>
  <c r="BY95" i="16" s="1"/>
  <c r="CE95" i="16" s="1"/>
  <c r="CK95" i="16" s="1"/>
  <c r="CQ95" i="16" s="1"/>
  <c r="CW95" i="16" s="1"/>
  <c r="DC95" i="16" s="1"/>
  <c r="DI95" i="16" s="1"/>
  <c r="AW99" i="3"/>
  <c r="BC99" i="3"/>
  <c r="BC70" i="10"/>
  <c r="X95" i="117"/>
  <c r="X96" i="117" s="1"/>
  <c r="X108" i="117" s="1"/>
  <c r="X109" i="117" s="1"/>
  <c r="X91" i="117"/>
  <c r="X79" i="117"/>
  <c r="X51" i="15"/>
  <c r="M25" i="16"/>
  <c r="M26" i="16" s="1"/>
  <c r="I37" i="16"/>
  <c r="I26" i="16"/>
  <c r="I27" i="16" s="1"/>
  <c r="J14" i="16"/>
  <c r="P14" i="16"/>
  <c r="E158" i="117"/>
  <c r="E164" i="117"/>
  <c r="AB25" i="16"/>
  <c r="Y58" i="15"/>
  <c r="AE58" i="15"/>
  <c r="W52" i="17"/>
  <c r="P51" i="10"/>
  <c r="AE72" i="10"/>
  <c r="AA73" i="10"/>
  <c r="AG73" i="10"/>
  <c r="W14" i="9"/>
  <c r="Q14" i="9"/>
  <c r="Q21" i="9"/>
  <c r="W21" i="9"/>
  <c r="AK85" i="4"/>
  <c r="AK86" i="4" s="1"/>
  <c r="AK83" i="4"/>
  <c r="X14" i="7"/>
  <c r="AK56" i="21"/>
  <c r="AH55" i="21"/>
  <c r="AK197" i="3"/>
  <c r="G19" i="11"/>
  <c r="AK206" i="3"/>
  <c r="AK207" i="3" s="1"/>
  <c r="P43" i="7"/>
  <c r="V41" i="7"/>
  <c r="S21" i="10"/>
  <c r="M14" i="16"/>
  <c r="L38" i="16"/>
  <c r="L40" i="16"/>
  <c r="R38" i="16"/>
  <c r="AZ82" i="4"/>
  <c r="BF85" i="4"/>
  <c r="G25" i="7"/>
  <c r="G26" i="7" s="1"/>
  <c r="C26" i="7"/>
  <c r="I27" i="7" s="1"/>
  <c r="C37" i="7"/>
  <c r="G18" i="117"/>
  <c r="G25" i="117"/>
  <c r="E176" i="117"/>
  <c r="O21" i="9"/>
  <c r="U21" i="9"/>
  <c r="X73" i="17"/>
  <c r="AD73" i="17"/>
  <c r="X92" i="15"/>
  <c r="S91" i="15"/>
  <c r="K82" i="117"/>
  <c r="R82" i="117"/>
  <c r="X18" i="10"/>
  <c r="X13" i="10"/>
  <c r="X14" i="10" s="1"/>
  <c r="BC140" i="3"/>
  <c r="BC141" i="3" s="1"/>
  <c r="M11" i="10"/>
  <c r="BE80" i="10"/>
  <c r="BK80" i="10"/>
  <c r="L11" i="7"/>
  <c r="W11" i="16"/>
  <c r="Q11" i="16"/>
  <c r="J48" i="17"/>
  <c r="J46" i="17"/>
  <c r="AI190" i="3"/>
  <c r="AI200" i="3"/>
  <c r="AI32" i="21"/>
  <c r="AK187" i="3"/>
  <c r="AI188" i="3"/>
  <c r="L14" i="16"/>
  <c r="R14" i="16"/>
  <c r="AD8" i="3"/>
  <c r="AD81" i="3" s="1"/>
  <c r="AD80" i="3"/>
  <c r="AD83" i="3" s="1"/>
  <c r="AD84" i="3" s="1"/>
  <c r="K11" i="17"/>
  <c r="Q11" i="17"/>
  <c r="P45" i="15"/>
  <c r="P34" i="15"/>
  <c r="P35" i="15" s="1"/>
  <c r="S33" i="15"/>
  <c r="S34" i="15" s="1"/>
  <c r="S35" i="15" s="1"/>
  <c r="P18" i="8"/>
  <c r="P13" i="8"/>
  <c r="P10" i="8" s="1"/>
  <c r="V18" i="8"/>
  <c r="AQ6" i="21"/>
  <c r="Q41" i="2"/>
  <c r="W41" i="2"/>
  <c r="Q43" i="2"/>
  <c r="V49" i="9"/>
  <c r="V51" i="9"/>
  <c r="V52" i="9" s="1"/>
  <c r="Y48" i="9"/>
  <c r="R48" i="9"/>
  <c r="R46" i="9"/>
  <c r="J40" i="16"/>
  <c r="P41" i="16" s="1"/>
  <c r="BB110" i="4"/>
  <c r="AV107" i="4"/>
  <c r="R10" i="8"/>
  <c r="R11" i="8" s="1"/>
  <c r="AC82" i="15"/>
  <c r="AC84" i="15" s="1"/>
  <c r="AB85" i="15"/>
  <c r="X49" i="9"/>
  <c r="X51" i="9"/>
  <c r="Q46" i="9"/>
  <c r="Q48" i="9"/>
  <c r="J35" i="17"/>
  <c r="S18" i="15"/>
  <c r="AO83" i="4"/>
  <c r="AO94" i="4"/>
  <c r="AQ94" i="4" s="1"/>
  <c r="AQ95" i="4" s="1"/>
  <c r="R11" i="7"/>
  <c r="L27" i="2"/>
  <c r="AC33" i="17"/>
  <c r="AK183" i="3"/>
  <c r="Y62" i="7"/>
  <c r="S62" i="7"/>
  <c r="S10" i="7"/>
  <c r="AJ73" i="10"/>
  <c r="AD73" i="10"/>
  <c r="J48" i="9"/>
  <c r="P49" i="9" s="1"/>
  <c r="J46" i="9"/>
  <c r="V35" i="17"/>
  <c r="AB35" i="17"/>
  <c r="AW89" i="4"/>
  <c r="AW91" i="4"/>
  <c r="AW92" i="4" s="1"/>
  <c r="R37" i="8"/>
  <c r="R26" i="8"/>
  <c r="R27" i="8" s="1"/>
  <c r="AG4" i="3"/>
  <c r="AE5" i="3"/>
  <c r="C51" i="17"/>
  <c r="I73" i="9"/>
  <c r="G72" i="9"/>
  <c r="G13" i="9" s="1"/>
  <c r="G15" i="9" s="1"/>
  <c r="U11" i="16"/>
  <c r="AA11" i="16"/>
  <c r="P25" i="8"/>
  <c r="S24" i="8"/>
  <c r="S23" i="8" s="1"/>
  <c r="S17" i="7"/>
  <c r="Y8" i="7"/>
  <c r="S8" i="7"/>
  <c r="Q18" i="7"/>
  <c r="Q13" i="7"/>
  <c r="Q10" i="7" s="1"/>
  <c r="W18" i="7"/>
  <c r="Y110" i="15"/>
  <c r="AE110" i="15"/>
  <c r="AA6" i="8"/>
  <c r="AE4" i="8"/>
  <c r="BC80" i="9"/>
  <c r="AW80" i="9"/>
  <c r="AY187" i="3"/>
  <c r="X13" i="2"/>
  <c r="X10" i="2" s="1"/>
  <c r="X77" i="2" s="1"/>
  <c r="W43" i="16"/>
  <c r="W41" i="16"/>
  <c r="R14" i="9"/>
  <c r="X14" i="9"/>
  <c r="AK108" i="4"/>
  <c r="AK110" i="4"/>
  <c r="AK111" i="4" s="1"/>
  <c r="N78" i="117"/>
  <c r="J88" i="117"/>
  <c r="J79" i="117"/>
  <c r="J95" i="117"/>
  <c r="P79" i="117"/>
  <c r="M25" i="2"/>
  <c r="M26" i="2" s="1"/>
  <c r="M27" i="2" s="1"/>
  <c r="I37" i="2"/>
  <c r="I26" i="2"/>
  <c r="J41" i="2"/>
  <c r="J43" i="2"/>
  <c r="J44" i="2" s="1"/>
  <c r="W11" i="10"/>
  <c r="Q38" i="16"/>
  <c r="Q40" i="16"/>
  <c r="O14" i="17"/>
  <c r="U92" i="15"/>
  <c r="Y91" i="15"/>
  <c r="Y92" i="15" s="1"/>
  <c r="BE116" i="4"/>
  <c r="AY113" i="4"/>
  <c r="R49" i="17"/>
  <c r="R51" i="17"/>
  <c r="R52" i="17" s="1"/>
  <c r="AQ62" i="16"/>
  <c r="AW62" i="16"/>
  <c r="I33" i="17"/>
  <c r="M32" i="17"/>
  <c r="M31" i="17" s="1"/>
  <c r="W70" i="15"/>
  <c r="G84" i="117"/>
  <c r="G81" i="117" s="1"/>
  <c r="M89" i="117"/>
  <c r="AK62" i="2"/>
  <c r="AQ62" i="2"/>
  <c r="R27" i="2"/>
  <c r="F26" i="117"/>
  <c r="F165" i="117"/>
  <c r="H25" i="117"/>
  <c r="W43" i="7"/>
  <c r="Y14" i="16"/>
  <c r="U69" i="17"/>
  <c r="BE94" i="4"/>
  <c r="BE83" i="4"/>
  <c r="AK34" i="4"/>
  <c r="AK36" i="4"/>
  <c r="AK37" i="4" s="1"/>
  <c r="W18" i="8"/>
  <c r="W13" i="8"/>
  <c r="W14" i="8" s="1"/>
  <c r="BE125" i="3"/>
  <c r="BE137" i="3" s="1"/>
  <c r="BC123" i="3"/>
  <c r="BC104" i="17"/>
  <c r="J231" i="11"/>
  <c r="BC106" i="17"/>
  <c r="BC107" i="17" s="1"/>
  <c r="BC136" i="21"/>
  <c r="AZ176" i="3"/>
  <c r="AZ160" i="3"/>
  <c r="AZ16" i="3"/>
  <c r="AY17" i="3"/>
  <c r="AZ104" i="3"/>
  <c r="AZ106" i="3" s="1"/>
  <c r="AZ107" i="3" s="1"/>
  <c r="W96" i="117"/>
  <c r="Y21" i="15"/>
  <c r="L49" i="15"/>
  <c r="L51" i="15"/>
  <c r="L52" i="15" s="1"/>
  <c r="Y78" i="16"/>
  <c r="Y80" i="16"/>
  <c r="Y81" i="16" s="1"/>
  <c r="K69" i="15"/>
  <c r="K70" i="15" s="1"/>
  <c r="AQ33" i="4"/>
  <c r="AD26" i="3"/>
  <c r="AE25" i="3"/>
  <c r="I14" i="2"/>
  <c r="O14" i="2"/>
  <c r="AN88" i="15"/>
  <c r="AN86" i="15"/>
  <c r="AE62" i="8"/>
  <c r="J14" i="17"/>
  <c r="AQ114" i="4"/>
  <c r="AQ116" i="4"/>
  <c r="AQ117" i="4" s="1"/>
  <c r="AN70" i="4"/>
  <c r="J37" i="8"/>
  <c r="M25" i="8"/>
  <c r="M26" i="8" s="1"/>
  <c r="M27" i="8" s="1"/>
  <c r="J26" i="8"/>
  <c r="J27" i="8" s="1"/>
  <c r="X38" i="7"/>
  <c r="R38" i="7"/>
  <c r="R40" i="7"/>
  <c r="V43" i="8"/>
  <c r="V52" i="10"/>
  <c r="M18" i="10"/>
  <c r="P10" i="9"/>
  <c r="P11" i="9" s="1"/>
  <c r="H96" i="117"/>
  <c r="H97" i="117" s="1"/>
  <c r="D108" i="117"/>
  <c r="D97" i="117"/>
  <c r="AB53" i="3"/>
  <c r="AA54" i="3"/>
  <c r="AA60" i="3" s="1"/>
  <c r="Q49" i="15"/>
  <c r="Q51" i="15"/>
  <c r="P35" i="9"/>
  <c r="U37" i="16"/>
  <c r="Y25" i="16"/>
  <c r="Y26" i="16" s="1"/>
  <c r="U26" i="16"/>
  <c r="X49" i="17"/>
  <c r="U18" i="17"/>
  <c r="U13" i="17"/>
  <c r="U10" i="17" s="1"/>
  <c r="AA18" i="17"/>
  <c r="R48" i="15"/>
  <c r="R46" i="15"/>
  <c r="AS108" i="4"/>
  <c r="AS119" i="4"/>
  <c r="AW107" i="4"/>
  <c r="K98" i="117"/>
  <c r="K11" i="8"/>
  <c r="X80" i="16"/>
  <c r="X81" i="16" s="1"/>
  <c r="X78" i="16"/>
  <c r="BA138" i="21"/>
  <c r="BC138" i="21" s="1"/>
  <c r="AD17" i="7"/>
  <c r="AD8" i="7"/>
  <c r="AD24" i="7"/>
  <c r="AD25" i="7" s="1"/>
  <c r="X46" i="15"/>
  <c r="L48" i="9"/>
  <c r="L46" i="9"/>
  <c r="J11" i="16"/>
  <c r="P11" i="16"/>
  <c r="AB70" i="17"/>
  <c r="AU57" i="4"/>
  <c r="AW57" i="4" s="1"/>
  <c r="BA60" i="4"/>
  <c r="AE7" i="16"/>
  <c r="X35" i="9"/>
  <c r="Q35" i="17"/>
  <c r="R48" i="10"/>
  <c r="R46" i="10"/>
  <c r="J73" i="9"/>
  <c r="M72" i="9"/>
  <c r="P73" i="9"/>
  <c r="Q11" i="9"/>
  <c r="W11" i="9"/>
  <c r="O14" i="15"/>
  <c r="AG4" i="17"/>
  <c r="AE5" i="17"/>
  <c r="AQ70" i="10"/>
  <c r="AW70" i="10"/>
  <c r="Y17" i="10"/>
  <c r="Y18" i="10" s="1"/>
  <c r="AK69" i="9"/>
  <c r="V14" i="17"/>
  <c r="L46" i="17"/>
  <c r="F48" i="17"/>
  <c r="AT83" i="4"/>
  <c r="AT94" i="4"/>
  <c r="AT95" i="4" s="1"/>
  <c r="AW82" i="4"/>
  <c r="AC20" i="3"/>
  <c r="AB21" i="3"/>
  <c r="P77" i="2"/>
  <c r="V78" i="2" s="1"/>
  <c r="V80" i="2" s="1"/>
  <c r="P11" i="2"/>
  <c r="J7" i="117"/>
  <c r="N5" i="117"/>
  <c r="E114" i="117"/>
  <c r="E181" i="117"/>
  <c r="E184" i="117" s="1"/>
  <c r="AC73" i="10"/>
  <c r="U11" i="9"/>
  <c r="O11" i="9"/>
  <c r="U14" i="15"/>
  <c r="AQ42" i="4"/>
  <c r="AQ43" i="4" s="1"/>
  <c r="AQ40" i="4"/>
  <c r="AJ70" i="15"/>
  <c r="AP70" i="15"/>
  <c r="V14" i="9"/>
  <c r="S10" i="9"/>
  <c r="S70" i="9"/>
  <c r="BG101" i="17"/>
  <c r="BS100" i="17"/>
  <c r="BY100" i="17" s="1"/>
  <c r="CE100" i="17" s="1"/>
  <c r="CK100" i="17" s="1"/>
  <c r="CQ100" i="17" s="1"/>
  <c r="CW100" i="17" s="1"/>
  <c r="DC100" i="17" s="1"/>
  <c r="DI100" i="17" s="1"/>
  <c r="BG90" i="16"/>
  <c r="BS89" i="16"/>
  <c r="BY89" i="16" s="1"/>
  <c r="CE89" i="16" s="1"/>
  <c r="CK89" i="16" s="1"/>
  <c r="CQ89" i="16" s="1"/>
  <c r="CW89" i="16" s="1"/>
  <c r="DC89" i="16" s="1"/>
  <c r="DI89" i="16" s="1"/>
  <c r="BG118" i="3"/>
  <c r="BG120" i="3"/>
  <c r="BG121" i="3" s="1"/>
  <c r="AK58" i="4"/>
  <c r="AK60" i="4"/>
  <c r="AK61" i="4" s="1"/>
  <c r="M13" i="2"/>
  <c r="M18" i="2"/>
  <c r="V48" i="17"/>
  <c r="AB46" i="17"/>
  <c r="V46" i="17"/>
  <c r="U70" i="15"/>
  <c r="Y69" i="15"/>
  <c r="AA84" i="17"/>
  <c r="AE82" i="17"/>
  <c r="V278" i="117"/>
  <c r="K38" i="7"/>
  <c r="K40" i="7"/>
  <c r="AH73" i="10"/>
  <c r="AK72" i="10"/>
  <c r="AN73" i="10"/>
  <c r="AM200" i="3"/>
  <c r="AS201" i="3" s="1"/>
  <c r="AM188" i="3"/>
  <c r="AM190" i="3"/>
  <c r="AM191" i="3" s="1"/>
  <c r="AM32" i="21"/>
  <c r="AQ187" i="3"/>
  <c r="M10" i="16"/>
  <c r="M11" i="16" s="1"/>
  <c r="S62" i="16"/>
  <c r="M62" i="16"/>
  <c r="M8" i="17"/>
  <c r="M20" i="17"/>
  <c r="M21" i="17" s="1"/>
  <c r="F16" i="117"/>
  <c r="F11" i="117"/>
  <c r="Y10" i="9"/>
  <c r="Y11" i="9" s="1"/>
  <c r="Y70" i="9"/>
  <c r="AE70" i="9"/>
  <c r="Y7" i="8"/>
  <c r="H67" i="11"/>
  <c r="H68" i="11" s="1"/>
  <c r="AE24" i="7"/>
  <c r="AE23" i="7" s="1"/>
  <c r="AC25" i="7"/>
  <c r="AL203" i="117"/>
  <c r="G10" i="8"/>
  <c r="M11" i="8" s="1"/>
  <c r="M62" i="8"/>
  <c r="Q73" i="9"/>
  <c r="K73" i="9"/>
  <c r="S25" i="16"/>
  <c r="S26" i="16" s="1"/>
  <c r="S27" i="16" s="1"/>
  <c r="O37" i="16"/>
  <c r="O26" i="16"/>
  <c r="O27" i="16" s="1"/>
  <c r="BA108" i="4"/>
  <c r="BA119" i="4"/>
  <c r="AP82" i="15"/>
  <c r="AP84" i="15" s="1"/>
  <c r="AO85" i="15"/>
  <c r="AD120" i="15"/>
  <c r="X120" i="15"/>
  <c r="Y91" i="17"/>
  <c r="Y92" i="17" s="1"/>
  <c r="U92" i="17"/>
  <c r="P35" i="17"/>
  <c r="L40" i="8"/>
  <c r="L38" i="8"/>
  <c r="M114" i="117"/>
  <c r="J45" i="10"/>
  <c r="J34" i="10"/>
  <c r="M33" i="10"/>
  <c r="M34" i="10" s="1"/>
  <c r="W11" i="15"/>
  <c r="Y60" i="3"/>
  <c r="I45" i="9"/>
  <c r="I34" i="9"/>
  <c r="I35" i="9" s="1"/>
  <c r="M33" i="9"/>
  <c r="M34" i="9" s="1"/>
  <c r="M35" i="9" s="1"/>
  <c r="D26" i="16"/>
  <c r="J27" i="16" s="1"/>
  <c r="D37" i="16"/>
  <c r="G25" i="16"/>
  <c r="G26" i="16" s="1"/>
  <c r="K70" i="17"/>
  <c r="Q70" i="17"/>
  <c r="AY107" i="4"/>
  <c r="BE110" i="4"/>
  <c r="K111" i="117"/>
  <c r="K109" i="117"/>
  <c r="AN70" i="15"/>
  <c r="AK69" i="15"/>
  <c r="AE74" i="16"/>
  <c r="AA76" i="16"/>
  <c r="AQ99" i="3"/>
  <c r="AK4" i="7"/>
  <c r="AG6" i="7"/>
  <c r="Y35" i="9"/>
  <c r="L35" i="9"/>
  <c r="AB73" i="17"/>
  <c r="AE72" i="17"/>
  <c r="K10" i="15"/>
  <c r="K11" i="15" s="1"/>
  <c r="AO69" i="4"/>
  <c r="AO70" i="4" s="1"/>
  <c r="AO58" i="4"/>
  <c r="L40" i="7"/>
  <c r="L38" i="7"/>
  <c r="S10" i="2"/>
  <c r="S11" i="2" s="1"/>
  <c r="S62" i="2"/>
  <c r="AM91" i="15"/>
  <c r="W46" i="9"/>
  <c r="J11" i="8"/>
  <c r="L77" i="2"/>
  <c r="L11" i="2"/>
  <c r="AD8" i="17"/>
  <c r="AD17" i="17"/>
  <c r="AD32" i="17"/>
  <c r="AD33" i="17" s="1"/>
  <c r="AD20" i="17"/>
  <c r="AD21" i="17" s="1"/>
  <c r="Y96" i="3"/>
  <c r="AE96" i="3"/>
  <c r="S18" i="10"/>
  <c r="J14" i="10"/>
  <c r="P14" i="10"/>
  <c r="D45" i="10"/>
  <c r="D34" i="10"/>
  <c r="G33" i="10"/>
  <c r="G34" i="10" s="1"/>
  <c r="K38" i="16"/>
  <c r="K40" i="16"/>
  <c r="W49" i="15"/>
  <c r="W51" i="15"/>
  <c r="W52" i="15" s="1"/>
  <c r="BG42" i="4"/>
  <c r="BA39" i="4"/>
  <c r="BA40" i="4" s="1"/>
  <c r="G146" i="117"/>
  <c r="H146" i="117" s="1"/>
  <c r="G148" i="117"/>
  <c r="H147" i="117"/>
  <c r="J145" i="117" s="1"/>
  <c r="N145" i="117" s="1"/>
  <c r="AA51" i="17"/>
  <c r="W62" i="8"/>
  <c r="L35" i="10"/>
  <c r="O14" i="9"/>
  <c r="U14" i="9"/>
  <c r="AB69" i="15"/>
  <c r="AB70" i="15" s="1"/>
  <c r="I73" i="15"/>
  <c r="M72" i="15"/>
  <c r="AM120" i="4"/>
  <c r="AQ119" i="4"/>
  <c r="AQ120" i="4" s="1"/>
  <c r="K27" i="8"/>
  <c r="E10" i="2"/>
  <c r="K11" i="2" s="1"/>
  <c r="G45" i="3"/>
  <c r="I44" i="3"/>
  <c r="AJ73" i="15"/>
  <c r="AP73" i="15"/>
  <c r="V21" i="9"/>
  <c r="BC100" i="17"/>
  <c r="BC101" i="17" s="1"/>
  <c r="BC114" i="21"/>
  <c r="BC98" i="17"/>
  <c r="J230" i="11"/>
  <c r="J232" i="11" s="1"/>
  <c r="J233" i="11" s="1"/>
  <c r="F67" i="11"/>
  <c r="F68" i="11" s="1"/>
  <c r="G13" i="8"/>
  <c r="M18" i="8"/>
  <c r="AK62" i="16"/>
  <c r="W54" i="21"/>
  <c r="V54" i="21"/>
  <c r="Y30" i="21"/>
  <c r="S23" i="21"/>
  <c r="D6" i="14" s="1"/>
  <c r="D7" i="14" s="1"/>
  <c r="S27" i="21"/>
  <c r="U54" i="21"/>
  <c r="Z55" i="21"/>
  <c r="Y72" i="21"/>
  <c r="E252" i="14" s="1"/>
  <c r="S48" i="21"/>
  <c r="D15" i="14" s="1"/>
  <c r="S24" i="21"/>
  <c r="S51" i="21"/>
  <c r="Y27" i="21"/>
  <c r="Y51" i="21"/>
  <c r="M13" i="21"/>
  <c r="I94" i="21"/>
  <c r="M94" i="21" s="1"/>
  <c r="T55" i="21"/>
  <c r="Y24" i="21"/>
  <c r="AT6" i="21"/>
  <c r="AW6" i="21" s="1"/>
  <c r="AZ9" i="21"/>
  <c r="AN5" i="21"/>
  <c r="AK23" i="21"/>
  <c r="G6" i="14" s="1"/>
  <c r="BE9" i="21"/>
  <c r="BC9" i="21"/>
  <c r="M24" i="21"/>
  <c r="M27" i="21"/>
  <c r="AQ5" i="21"/>
  <c r="BF158" i="21"/>
  <c r="BF159" i="21" s="1"/>
  <c r="BF147" i="21"/>
  <c r="BG148" i="21"/>
  <c r="E35" i="12"/>
  <c r="AS23" i="21"/>
  <c r="AS5" i="21"/>
  <c r="AP139" i="21"/>
  <c r="AQ138" i="21"/>
  <c r="S236" i="117"/>
  <c r="AV139" i="21"/>
  <c r="S72" i="21"/>
  <c r="S140" i="21" s="1"/>
  <c r="X48" i="21"/>
  <c r="X144" i="21" s="1"/>
  <c r="X150" i="21" s="1"/>
  <c r="Y38" i="21"/>
  <c r="AP95" i="21"/>
  <c r="AQ94" i="21"/>
  <c r="V150" i="21"/>
  <c r="T231" i="117"/>
  <c r="Q236" i="117"/>
  <c r="S144" i="21"/>
  <c r="Q150" i="21"/>
  <c r="S150" i="21" s="1"/>
  <c r="V236" i="117"/>
  <c r="V232" i="117"/>
  <c r="AB232" i="117"/>
  <c r="J116" i="21"/>
  <c r="M116" i="21" s="1"/>
  <c r="M118" i="21"/>
  <c r="AF229" i="117"/>
  <c r="Z229" i="117"/>
  <c r="R243" i="117"/>
  <c r="BM28" i="20"/>
  <c r="BS44" i="21"/>
  <c r="BS15" i="20"/>
  <c r="BK75" i="9"/>
  <c r="BK72" i="9" s="1"/>
  <c r="BK69" i="9" s="1"/>
  <c r="C39" i="14"/>
  <c r="C48" i="14" s="1"/>
  <c r="C137" i="14"/>
  <c r="C154" i="14" s="1"/>
  <c r="C158" i="14" s="1"/>
  <c r="BK148" i="21"/>
  <c r="BK147" i="21"/>
  <c r="BX18" i="20"/>
  <c r="BO23" i="20"/>
  <c r="BO24" i="20" s="1"/>
  <c r="L246" i="11"/>
  <c r="BO21" i="20"/>
  <c r="BK29" i="9"/>
  <c r="BT9" i="4"/>
  <c r="BZ9" i="4"/>
  <c r="BI64" i="21"/>
  <c r="BH117" i="3"/>
  <c r="BH118" i="3" s="1"/>
  <c r="BH99" i="3"/>
  <c r="BO40" i="21"/>
  <c r="CL40" i="21"/>
  <c r="CL9" i="4"/>
  <c r="CF9" i="4"/>
  <c r="BK22" i="4"/>
  <c r="BK21" i="4"/>
  <c r="CR5" i="4"/>
  <c r="CL15" i="21"/>
  <c r="BU168" i="3"/>
  <c r="BU169" i="3" s="1"/>
  <c r="CA73" i="3"/>
  <c r="BU73" i="3"/>
  <c r="O104" i="14"/>
  <c r="O103" i="14" s="1"/>
  <c r="O110" i="14" s="1"/>
  <c r="P263" i="11"/>
  <c r="Q262" i="11"/>
  <c r="Q70" i="11"/>
  <c r="BF98" i="17"/>
  <c r="BY19" i="21"/>
  <c r="CA19" i="21" s="1"/>
  <c r="CE5" i="20"/>
  <c r="CE11" i="20" s="1"/>
  <c r="CA5" i="20"/>
  <c r="CA6" i="20" s="1"/>
  <c r="BY11" i="20"/>
  <c r="BY12" i="20" s="1"/>
  <c r="BH75" i="9"/>
  <c r="BH72" i="9" s="1"/>
  <c r="BG29" i="9"/>
  <c r="BG75" i="9"/>
  <c r="BG72" i="9" s="1"/>
  <c r="BI25" i="9"/>
  <c r="BG165" i="3"/>
  <c r="BF163" i="3"/>
  <c r="BD229" i="117"/>
  <c r="BJ229" i="117"/>
  <c r="BP229" i="117"/>
  <c r="AX229" i="117"/>
  <c r="BX228" i="117"/>
  <c r="BV228" i="117"/>
  <c r="BV229" i="117" s="1"/>
  <c r="BI146" i="21"/>
  <c r="BF148" i="21"/>
  <c r="BQ146" i="21"/>
  <c r="BQ147" i="21" s="1"/>
  <c r="BQ162" i="21"/>
  <c r="CC158" i="21"/>
  <c r="BW161" i="21"/>
  <c r="BW162" i="21" s="1"/>
  <c r="CG70" i="21"/>
  <c r="CK70" i="21"/>
  <c r="CA21" i="21"/>
  <c r="BR40" i="21"/>
  <c r="BU8" i="4"/>
  <c r="M185" i="11" s="1"/>
  <c r="BS40" i="21"/>
  <c r="BG20" i="4"/>
  <c r="BG40" i="21"/>
  <c r="BI40" i="21" s="1"/>
  <c r="BI8" i="4"/>
  <c r="BR20" i="4"/>
  <c r="BR21" i="4" s="1"/>
  <c r="BN20" i="4"/>
  <c r="BN64" i="21"/>
  <c r="BO14" i="4"/>
  <c r="BO15" i="4" s="1"/>
  <c r="BH22" i="4"/>
  <c r="BZ17" i="4"/>
  <c r="BT14" i="4"/>
  <c r="BO11" i="4"/>
  <c r="BC84" i="15"/>
  <c r="BB85" i="15"/>
  <c r="AZ91" i="15"/>
  <c r="BA88" i="15"/>
  <c r="AZ13" i="15"/>
  <c r="AZ10" i="15" s="1"/>
  <c r="AZ33" i="15"/>
  <c r="BC6" i="15"/>
  <c r="BB7" i="15"/>
  <c r="AY48" i="15"/>
  <c r="BA32" i="15"/>
  <c r="BA33" i="15" s="1"/>
  <c r="BA20" i="15"/>
  <c r="BA17" i="15"/>
  <c r="BF104" i="17"/>
  <c r="BF75" i="17"/>
  <c r="BC73" i="17"/>
  <c r="BC70" i="17"/>
  <c r="BF110" i="17"/>
  <c r="BF91" i="21"/>
  <c r="BF84" i="16"/>
  <c r="BF67" i="16"/>
  <c r="BF21" i="16"/>
  <c r="BR164" i="117"/>
  <c r="BP164" i="117"/>
  <c r="AO203" i="117"/>
  <c r="AR170" i="117"/>
  <c r="AP202" i="117"/>
  <c r="AP203" i="117" s="1"/>
  <c r="AQ162" i="117"/>
  <c r="AR161" i="117"/>
  <c r="AQ208" i="117"/>
  <c r="AO206" i="117"/>
  <c r="BZ11" i="20"/>
  <c r="BZ12" i="20" s="1"/>
  <c r="CF8" i="20"/>
  <c r="BZ14" i="20"/>
  <c r="BT15" i="20"/>
  <c r="BT44" i="21"/>
  <c r="BT17" i="20"/>
  <c r="BT18" i="20" s="1"/>
  <c r="BR18" i="20"/>
  <c r="BS18" i="20"/>
  <c r="BY15" i="20"/>
  <c r="BY17" i="20"/>
  <c r="BY18" i="20" s="1"/>
  <c r="BY44" i="21"/>
  <c r="K245" i="11"/>
  <c r="K247" i="11" s="1"/>
  <c r="K248" i="11" s="1"/>
  <c r="BI17" i="20"/>
  <c r="BM18" i="20"/>
  <c r="CK8" i="20"/>
  <c r="BG33" i="20"/>
  <c r="BG34" i="20" s="1"/>
  <c r="BI26" i="20"/>
  <c r="BI30" i="20" s="1"/>
  <c r="BG28" i="20"/>
  <c r="BT21" i="20"/>
  <c r="BT26" i="20"/>
  <c r="BT28" i="20" s="1"/>
  <c r="BT68" i="21"/>
  <c r="BZ20" i="20"/>
  <c r="CF23" i="20"/>
  <c r="BY20" i="20"/>
  <c r="CE23" i="20"/>
  <c r="BS21" i="20"/>
  <c r="BS68" i="21"/>
  <c r="BS26" i="20"/>
  <c r="BS28" i="20" s="1"/>
  <c r="CD21" i="20"/>
  <c r="CD68" i="21"/>
  <c r="CD17" i="20"/>
  <c r="CD18" i="20" s="1"/>
  <c r="CD26" i="20"/>
  <c r="CD44" i="21"/>
  <c r="CD15" i="20"/>
  <c r="CJ19" i="21"/>
  <c r="CJ14" i="20"/>
  <c r="CJ11" i="20"/>
  <c r="CJ12" i="20" s="1"/>
  <c r="CJ20" i="20"/>
  <c r="CP5" i="20"/>
  <c r="BQ21" i="20"/>
  <c r="BU20" i="20"/>
  <c r="BQ68" i="21"/>
  <c r="CC23" i="20"/>
  <c r="BW20" i="20"/>
  <c r="CO5" i="20"/>
  <c r="CI19" i="21"/>
  <c r="BY5" i="4"/>
  <c r="BS15" i="21"/>
  <c r="BU15" i="21" s="1"/>
  <c r="BU5" i="4"/>
  <c r="BU6" i="4" s="1"/>
  <c r="BS14" i="4"/>
  <c r="BM64" i="21"/>
  <c r="L185" i="11"/>
  <c r="BF22" i="4"/>
  <c r="BX40" i="21"/>
  <c r="BX9" i="4"/>
  <c r="CJ5" i="4"/>
  <c r="CD15" i="21"/>
  <c r="CD8" i="4"/>
  <c r="CD14" i="4"/>
  <c r="CJ17" i="4"/>
  <c r="BX20" i="4"/>
  <c r="BX15" i="4"/>
  <c r="BX64" i="21"/>
  <c r="BH29" i="9"/>
  <c r="BF128" i="21"/>
  <c r="BF70" i="9"/>
  <c r="CO43" i="9"/>
  <c r="BK70" i="9"/>
  <c r="BK73" i="9"/>
  <c r="BF67" i="7"/>
  <c r="BF21" i="7"/>
  <c r="BF75" i="10"/>
  <c r="BF67" i="8"/>
  <c r="BF21" i="8"/>
  <c r="BY168" i="3"/>
  <c r="BY169" i="3" s="1"/>
  <c r="CE151" i="3"/>
  <c r="CG151" i="3" s="1"/>
  <c r="CG152" i="3" s="1"/>
  <c r="BB177" i="3"/>
  <c r="BB175" i="3" s="1"/>
  <c r="BB180" i="3"/>
  <c r="BB187" i="3"/>
  <c r="BB7" i="21"/>
  <c r="BB194" i="3"/>
  <c r="BC176" i="3"/>
  <c r="BC177" i="3" s="1"/>
  <c r="BC175" i="3" s="1"/>
  <c r="AY72" i="21"/>
  <c r="AY54" i="21"/>
  <c r="AY5" i="21"/>
  <c r="BI52" i="3"/>
  <c r="BK52" i="3" s="1"/>
  <c r="BI73" i="3"/>
  <c r="BH93" i="3"/>
  <c r="BI92" i="3"/>
  <c r="BI93" i="3" s="1"/>
  <c r="BK51" i="3"/>
  <c r="BK92" i="3" s="1"/>
  <c r="BI10" i="3"/>
  <c r="BI11" i="3" s="1"/>
  <c r="BO73" i="3"/>
  <c r="BG144" i="3"/>
  <c r="BF165" i="3"/>
  <c r="BF166" i="3" s="1"/>
  <c r="BE166" i="3"/>
  <c r="AW141" i="3"/>
  <c r="BO169" i="3"/>
  <c r="CD168" i="3"/>
  <c r="CD169" i="3" s="1"/>
  <c r="CJ151" i="3"/>
  <c r="CX151" i="3"/>
  <c r="CR168" i="3"/>
  <c r="CR169" i="3" s="1"/>
  <c r="BW169" i="3"/>
  <c r="CC168" i="3"/>
  <c r="CI151" i="3"/>
  <c r="BE162" i="3"/>
  <c r="BE86" i="3" s="1"/>
  <c r="BE113" i="3"/>
  <c r="BI110" i="3"/>
  <c r="BF21" i="2"/>
  <c r="BF67" i="2"/>
  <c r="BO8" i="20"/>
  <c r="BQ8" i="20"/>
  <c r="BI11" i="20"/>
  <c r="BW21" i="4"/>
  <c r="BQ21" i="4"/>
  <c r="BQ22" i="4"/>
  <c r="CI8" i="4"/>
  <c r="CI15" i="21"/>
  <c r="CI14" i="4"/>
  <c r="CO5" i="4"/>
  <c r="BI18" i="4"/>
  <c r="CC9" i="4"/>
  <c r="CC20" i="4"/>
  <c r="CC40" i="21"/>
  <c r="CC15" i="4"/>
  <c r="CC64" i="21"/>
  <c r="D205" i="14" l="1"/>
  <c r="D217" i="14" s="1"/>
  <c r="D221" i="14" s="1"/>
  <c r="D131" i="14"/>
  <c r="Q95" i="14"/>
  <c r="R96" i="14"/>
  <c r="CL5" i="20"/>
  <c r="CF19" i="21"/>
  <c r="BO20" i="4"/>
  <c r="AW60" i="4"/>
  <c r="AW61" i="4" s="1"/>
  <c r="AW58" i="4"/>
  <c r="P11" i="8"/>
  <c r="V11" i="8"/>
  <c r="BE138" i="3"/>
  <c r="Q11" i="7"/>
  <c r="W11" i="7"/>
  <c r="AB188" i="3"/>
  <c r="AB190" i="3"/>
  <c r="AE187" i="3"/>
  <c r="AH188" i="3"/>
  <c r="AB32" i="21"/>
  <c r="AB200" i="3"/>
  <c r="U11" i="17"/>
  <c r="AA11" i="17"/>
  <c r="BI117" i="3"/>
  <c r="BI118" i="3" s="1"/>
  <c r="BK93" i="3"/>
  <c r="BK95" i="3"/>
  <c r="BK98" i="3"/>
  <c r="K43" i="16"/>
  <c r="K44" i="16" s="1"/>
  <c r="K41" i="16"/>
  <c r="D48" i="10"/>
  <c r="G45" i="10"/>
  <c r="G43" i="10" s="1"/>
  <c r="AH70" i="15"/>
  <c r="BK110" i="4"/>
  <c r="BE107" i="4"/>
  <c r="J35" i="10"/>
  <c r="P35" i="10"/>
  <c r="AQ84" i="15"/>
  <c r="AP85" i="15"/>
  <c r="S37" i="16"/>
  <c r="O40" i="16"/>
  <c r="O38" i="16"/>
  <c r="AE25" i="7"/>
  <c r="AE26" i="7" s="1"/>
  <c r="AE27" i="7" s="1"/>
  <c r="AC37" i="7"/>
  <c r="AC26" i="7"/>
  <c r="AC27" i="7" s="1"/>
  <c r="Y17" i="8"/>
  <c r="Y8" i="8"/>
  <c r="AB82" i="17"/>
  <c r="AB84" i="17" s="1"/>
  <c r="AA85" i="17"/>
  <c r="AK70" i="9"/>
  <c r="AQ70" i="9"/>
  <c r="AE17" i="16"/>
  <c r="AE18" i="16" s="1"/>
  <c r="AE8" i="16"/>
  <c r="AE13" i="16"/>
  <c r="AE14" i="16" s="1"/>
  <c r="L51" i="9"/>
  <c r="L52" i="9" s="1"/>
  <c r="L49" i="9"/>
  <c r="AD18" i="7"/>
  <c r="AD13" i="7"/>
  <c r="AD14" i="7" s="1"/>
  <c r="AD10" i="7"/>
  <c r="AD11" i="7" s="1"/>
  <c r="AW108" i="4"/>
  <c r="AW110" i="4"/>
  <c r="R51" i="15"/>
  <c r="R52" i="15" s="1"/>
  <c r="R49" i="15"/>
  <c r="U40" i="16"/>
  <c r="AA38" i="16"/>
  <c r="U38" i="16"/>
  <c r="Y37" i="16"/>
  <c r="D111" i="117"/>
  <c r="D178" i="117"/>
  <c r="H108" i="117"/>
  <c r="H106" i="117" s="1"/>
  <c r="R43" i="7"/>
  <c r="X41" i="7"/>
  <c r="R41" i="7"/>
  <c r="AN89" i="15"/>
  <c r="AN91" i="15"/>
  <c r="AN92" i="15" s="1"/>
  <c r="W108" i="117"/>
  <c r="BA16" i="3"/>
  <c r="AZ17" i="3"/>
  <c r="BA104" i="3"/>
  <c r="BA106" i="3" s="1"/>
  <c r="BA107" i="3" s="1"/>
  <c r="BE95" i="4"/>
  <c r="Q70" i="15"/>
  <c r="AY114" i="4"/>
  <c r="BC113" i="4"/>
  <c r="N79" i="117"/>
  <c r="N88" i="117"/>
  <c r="T79" i="117"/>
  <c r="AA7" i="8"/>
  <c r="AB4" i="8"/>
  <c r="AB6" i="8" s="1"/>
  <c r="AE32" i="17"/>
  <c r="AE31" i="17" s="1"/>
  <c r="Q49" i="9"/>
  <c r="Q51" i="9"/>
  <c r="Q52" i="9" s="1"/>
  <c r="AH86" i="15"/>
  <c r="AB86" i="15"/>
  <c r="AB88" i="15"/>
  <c r="BH110" i="4"/>
  <c r="BB107" i="4"/>
  <c r="S45" i="15"/>
  <c r="P48" i="15"/>
  <c r="P46" i="15"/>
  <c r="AK188" i="3"/>
  <c r="AK190" i="3"/>
  <c r="G18" i="11"/>
  <c r="G20" i="11" s="1"/>
  <c r="G21" i="11" s="1"/>
  <c r="G37" i="7"/>
  <c r="G35" i="7" s="1"/>
  <c r="C40" i="7"/>
  <c r="I38" i="7"/>
  <c r="AZ83" i="4"/>
  <c r="AZ94" i="4"/>
  <c r="AZ95" i="4" s="1"/>
  <c r="AH72" i="21"/>
  <c r="AK72" i="21" s="1"/>
  <c r="AK55" i="21"/>
  <c r="AN54" i="21"/>
  <c r="X49" i="15"/>
  <c r="AA7" i="10"/>
  <c r="AB4" i="10"/>
  <c r="AB6" i="10" s="1"/>
  <c r="K49" i="15"/>
  <c r="K51" i="15"/>
  <c r="K52" i="15" s="1"/>
  <c r="Q35" i="10"/>
  <c r="W35" i="10"/>
  <c r="AG4" i="16"/>
  <c r="AE5" i="16"/>
  <c r="BO104" i="4"/>
  <c r="BO105" i="4" s="1"/>
  <c r="BS104" i="4"/>
  <c r="BM107" i="4"/>
  <c r="BM113" i="4"/>
  <c r="BM114" i="4" s="1"/>
  <c r="AE177" i="3"/>
  <c r="AK177" i="3"/>
  <c r="S114" i="117"/>
  <c r="S112" i="117"/>
  <c r="H19" i="11"/>
  <c r="AQ195" i="3"/>
  <c r="AQ197" i="3"/>
  <c r="AQ198" i="3" s="1"/>
  <c r="AQ206" i="3"/>
  <c r="AQ207" i="3" s="1"/>
  <c r="BA181" i="3"/>
  <c r="S13" i="15"/>
  <c r="S73" i="15"/>
  <c r="O48" i="17"/>
  <c r="S45" i="17"/>
  <c r="AW195" i="3"/>
  <c r="AA32" i="15"/>
  <c r="AA20" i="15"/>
  <c r="AA21" i="15" s="1"/>
  <c r="AA8" i="15"/>
  <c r="AA17" i="15"/>
  <c r="BE70" i="4"/>
  <c r="P38" i="2"/>
  <c r="P40" i="2"/>
  <c r="S37" i="2"/>
  <c r="BK64" i="4"/>
  <c r="BO63" i="4"/>
  <c r="BC117" i="17"/>
  <c r="BC119" i="17"/>
  <c r="BC120" i="17" s="1"/>
  <c r="K38" i="8"/>
  <c r="AQ110" i="4"/>
  <c r="AQ111" i="4" s="1"/>
  <c r="AQ108" i="4"/>
  <c r="I10" i="17"/>
  <c r="J48" i="15"/>
  <c r="J46" i="15"/>
  <c r="M45" i="15"/>
  <c r="W52" i="9"/>
  <c r="Y35" i="15"/>
  <c r="AC181" i="3"/>
  <c r="AI181" i="3"/>
  <c r="AQ46" i="4"/>
  <c r="AC10" i="7"/>
  <c r="AC11" i="7" s="1"/>
  <c r="BA194" i="3"/>
  <c r="BA7" i="21"/>
  <c r="BA6" i="21" s="1"/>
  <c r="BA177" i="3"/>
  <c r="BA175" i="3" s="1"/>
  <c r="BA187" i="3"/>
  <c r="AD181" i="3"/>
  <c r="AJ181" i="3"/>
  <c r="BC91" i="4"/>
  <c r="BC92" i="4" s="1"/>
  <c r="BC89" i="4"/>
  <c r="AQ183" i="3"/>
  <c r="AQ184" i="3" s="1"/>
  <c r="AR180" i="3"/>
  <c r="AQ181" i="3"/>
  <c r="AZ58" i="4"/>
  <c r="AZ69" i="4"/>
  <c r="Y43" i="7"/>
  <c r="AZ34" i="4"/>
  <c r="AZ45" i="4"/>
  <c r="J37" i="7"/>
  <c r="J26" i="7"/>
  <c r="M25" i="7"/>
  <c r="M26" i="7" s="1"/>
  <c r="M27" i="7" s="1"/>
  <c r="Y61" i="3"/>
  <c r="AK73" i="9"/>
  <c r="AQ73" i="9"/>
  <c r="W86" i="117"/>
  <c r="AC4" i="9"/>
  <c r="AC6" i="9" s="1"/>
  <c r="AB7" i="9"/>
  <c r="AM5" i="21"/>
  <c r="AM23" i="21"/>
  <c r="AE73" i="15"/>
  <c r="X18" i="8"/>
  <c r="X13" i="8"/>
  <c r="X14" i="8" s="1"/>
  <c r="X10" i="8"/>
  <c r="X11" i="8" s="1"/>
  <c r="J14" i="7"/>
  <c r="P14" i="7"/>
  <c r="V11" i="9"/>
  <c r="S10" i="15"/>
  <c r="S70" i="15"/>
  <c r="M69" i="15"/>
  <c r="M70" i="17"/>
  <c r="M10" i="17"/>
  <c r="M11" i="17" s="1"/>
  <c r="G15" i="8"/>
  <c r="M14" i="8"/>
  <c r="J44" i="3"/>
  <c r="I45" i="3"/>
  <c r="I46" i="3" s="1"/>
  <c r="BG39" i="4"/>
  <c r="BG40" i="4" s="1"/>
  <c r="BM42" i="4"/>
  <c r="AD34" i="17"/>
  <c r="AD35" i="17" s="1"/>
  <c r="AD45" i="17"/>
  <c r="AA77" i="16"/>
  <c r="AB74" i="16"/>
  <c r="AB76" i="16" s="1"/>
  <c r="AY119" i="4"/>
  <c r="AY108" i="4"/>
  <c r="BC107" i="4"/>
  <c r="D40" i="16"/>
  <c r="G37" i="16"/>
  <c r="G35" i="16" s="1"/>
  <c r="J46" i="10"/>
  <c r="J48" i="10"/>
  <c r="M45" i="10"/>
  <c r="P46" i="10"/>
  <c r="L41" i="8"/>
  <c r="L43" i="8"/>
  <c r="L44" i="8" s="1"/>
  <c r="F65" i="117"/>
  <c r="F86" i="117"/>
  <c r="F135" i="117" s="1"/>
  <c r="AK73" i="10"/>
  <c r="AQ73" i="10"/>
  <c r="Y10" i="15"/>
  <c r="Y11" i="15" s="1"/>
  <c r="Y70" i="15"/>
  <c r="V51" i="17"/>
  <c r="V49" i="17"/>
  <c r="AB49" i="17"/>
  <c r="J8" i="117"/>
  <c r="J147" i="117"/>
  <c r="K5" i="117"/>
  <c r="K7" i="117" s="1"/>
  <c r="AD20" i="3"/>
  <c r="AC21" i="3"/>
  <c r="L49" i="17"/>
  <c r="F51" i="17"/>
  <c r="L52" i="17" s="1"/>
  <c r="AG6" i="17"/>
  <c r="AK4" i="17"/>
  <c r="R49" i="10"/>
  <c r="R51" i="10"/>
  <c r="AS120" i="4"/>
  <c r="AA58" i="3"/>
  <c r="AA59" i="3"/>
  <c r="AA55" i="3"/>
  <c r="J40" i="8"/>
  <c r="J38" i="8"/>
  <c r="M37" i="8"/>
  <c r="AQ34" i="4"/>
  <c r="AQ36" i="4"/>
  <c r="AQ37" i="4" s="1"/>
  <c r="W10" i="8"/>
  <c r="W11" i="8" s="1"/>
  <c r="U70" i="17"/>
  <c r="Y69" i="17"/>
  <c r="AA70" i="17"/>
  <c r="BK116" i="4"/>
  <c r="BE113" i="4"/>
  <c r="Q41" i="16"/>
  <c r="Q43" i="16"/>
  <c r="Q44" i="16" s="1"/>
  <c r="I27" i="2"/>
  <c r="O27" i="2"/>
  <c r="N95" i="117"/>
  <c r="J96" i="117"/>
  <c r="Q14" i="7"/>
  <c r="W14" i="7"/>
  <c r="S18" i="7"/>
  <c r="Y18" i="7"/>
  <c r="S13" i="7"/>
  <c r="R40" i="8"/>
  <c r="R38" i="8"/>
  <c r="AC34" i="17"/>
  <c r="AC35" i="17" s="1"/>
  <c r="AC45" i="17"/>
  <c r="AE33" i="17"/>
  <c r="AE34" i="17" s="1"/>
  <c r="AD82" i="15"/>
  <c r="AD84" i="15" s="1"/>
  <c r="AC85" i="15"/>
  <c r="J38" i="16"/>
  <c r="R51" i="9"/>
  <c r="R52" i="9" s="1"/>
  <c r="R49" i="9"/>
  <c r="Q44" i="2"/>
  <c r="W44" i="2"/>
  <c r="AK32" i="21"/>
  <c r="J51" i="17"/>
  <c r="J49" i="17"/>
  <c r="X10" i="10"/>
  <c r="X11" i="10" s="1"/>
  <c r="V44" i="7"/>
  <c r="E154" i="117"/>
  <c r="E151" i="117" s="1"/>
  <c r="M37" i="16"/>
  <c r="I38" i="16"/>
  <c r="I40" i="16"/>
  <c r="D167" i="117"/>
  <c r="Y125" i="15"/>
  <c r="AE125" i="15"/>
  <c r="V51" i="15"/>
  <c r="V49" i="15"/>
  <c r="AB4" i="2"/>
  <c r="AB6" i="2" s="1"/>
  <c r="AA7" i="2"/>
  <c r="AB6" i="21"/>
  <c r="AE7" i="21"/>
  <c r="AB5" i="21"/>
  <c r="Y23" i="8"/>
  <c r="V40" i="2"/>
  <c r="V38" i="2"/>
  <c r="Y37" i="2"/>
  <c r="C40" i="8"/>
  <c r="G37" i="8"/>
  <c r="G35" i="8" s="1"/>
  <c r="I38" i="8"/>
  <c r="I63" i="14"/>
  <c r="J181" i="14" s="1"/>
  <c r="J184" i="14" s="1"/>
  <c r="I64" i="14"/>
  <c r="I65" i="14" s="1"/>
  <c r="J55" i="14" s="1"/>
  <c r="AC4" i="15"/>
  <c r="AC6" i="15" s="1"/>
  <c r="AB7" i="15"/>
  <c r="Q26" i="7"/>
  <c r="Q37" i="7"/>
  <c r="S25" i="7"/>
  <c r="S26" i="7" s="1"/>
  <c r="M18" i="7"/>
  <c r="M13" i="7"/>
  <c r="Q41" i="8"/>
  <c r="Q43" i="8"/>
  <c r="M13" i="17"/>
  <c r="M14" i="17" s="1"/>
  <c r="M73" i="17"/>
  <c r="AU83" i="4"/>
  <c r="AU94" i="4"/>
  <c r="BQ57" i="4"/>
  <c r="BU54" i="4"/>
  <c r="BU55" i="4" s="1"/>
  <c r="BQ63" i="4"/>
  <c r="X48" i="10"/>
  <c r="X46" i="10"/>
  <c r="K41" i="8"/>
  <c r="K43" i="8"/>
  <c r="K44" i="8" s="1"/>
  <c r="L51" i="10"/>
  <c r="L52" i="10" s="1"/>
  <c r="L49" i="10"/>
  <c r="W97" i="117"/>
  <c r="W100" i="117" s="1"/>
  <c r="K49" i="10"/>
  <c r="K51" i="10"/>
  <c r="K52" i="10" s="1"/>
  <c r="Y95" i="117"/>
  <c r="Y79" i="117"/>
  <c r="Z78" i="117"/>
  <c r="Z79" i="117" s="1"/>
  <c r="BG56" i="16"/>
  <c r="AC6" i="21"/>
  <c r="AC5" i="21" s="1"/>
  <c r="AC56" i="21"/>
  <c r="AC55" i="21" s="1"/>
  <c r="AC195" i="3"/>
  <c r="AI195" i="3"/>
  <c r="G37" i="2"/>
  <c r="G35" i="2" s="1"/>
  <c r="C40" i="2"/>
  <c r="L112" i="117"/>
  <c r="L114" i="117"/>
  <c r="L115" i="117" s="1"/>
  <c r="Y13" i="10"/>
  <c r="Y73" i="10"/>
  <c r="P51" i="17"/>
  <c r="P52" i="17" s="1"/>
  <c r="P49" i="17"/>
  <c r="Y120" i="15"/>
  <c r="AE120" i="15"/>
  <c r="AC18" i="16"/>
  <c r="AC10" i="16"/>
  <c r="AC11" i="16" s="1"/>
  <c r="AC13" i="16"/>
  <c r="AC14" i="16" s="1"/>
  <c r="D48" i="17"/>
  <c r="G45" i="17"/>
  <c r="G43" i="17" s="1"/>
  <c r="AS191" i="3"/>
  <c r="S13" i="2"/>
  <c r="AY95" i="4"/>
  <c r="S73" i="17"/>
  <c r="S13" i="17"/>
  <c r="S14" i="17" s="1"/>
  <c r="BL60" i="4"/>
  <c r="BF57" i="4"/>
  <c r="U44" i="7"/>
  <c r="AA44" i="7"/>
  <c r="BL36" i="4"/>
  <c r="BF33" i="4"/>
  <c r="S18" i="8"/>
  <c r="S13" i="8"/>
  <c r="Y13" i="15"/>
  <c r="Y73" i="15"/>
  <c r="O35" i="9"/>
  <c r="U35" i="9"/>
  <c r="R112" i="117"/>
  <c r="AP201" i="3"/>
  <c r="X100" i="117"/>
  <c r="X101" i="117" s="1"/>
  <c r="AT46" i="4"/>
  <c r="AW45" i="4"/>
  <c r="AW46" i="4" s="1"/>
  <c r="S18" i="17"/>
  <c r="M10" i="9"/>
  <c r="M11" i="9" s="1"/>
  <c r="M70" i="9"/>
  <c r="AE10" i="17"/>
  <c r="AE70" i="17"/>
  <c r="AK70" i="10"/>
  <c r="AE70" i="10"/>
  <c r="G158" i="117"/>
  <c r="H148" i="117"/>
  <c r="H158" i="117" s="1"/>
  <c r="AD18" i="17"/>
  <c r="AD13" i="17"/>
  <c r="AD14" i="17" s="1"/>
  <c r="L41" i="7"/>
  <c r="L43" i="7"/>
  <c r="L44" i="7" s="1"/>
  <c r="AE73" i="17"/>
  <c r="AE13" i="17"/>
  <c r="AH4" i="7"/>
  <c r="AH6" i="7" s="1"/>
  <c r="AG7" i="7"/>
  <c r="Q11" i="15"/>
  <c r="AW85" i="4"/>
  <c r="AW86" i="4" s="1"/>
  <c r="AW83" i="4"/>
  <c r="M13" i="9"/>
  <c r="M73" i="9"/>
  <c r="S73" i="9"/>
  <c r="BG60" i="4"/>
  <c r="BA57" i="4"/>
  <c r="BC57" i="4" s="1"/>
  <c r="AD37" i="7"/>
  <c r="AD26" i="7"/>
  <c r="AD27" i="7" s="1"/>
  <c r="U14" i="17"/>
  <c r="AA14" i="17"/>
  <c r="AA27" i="16"/>
  <c r="U27" i="16"/>
  <c r="Q52" i="15"/>
  <c r="AC53" i="3"/>
  <c r="AB54" i="3"/>
  <c r="AB60" i="3" s="1"/>
  <c r="AQ69" i="4"/>
  <c r="AQ70" i="4" s="1"/>
  <c r="F164" i="117"/>
  <c r="F166" i="117"/>
  <c r="F167" i="117" s="1"/>
  <c r="I34" i="17"/>
  <c r="I35" i="17" s="1"/>
  <c r="M33" i="17"/>
  <c r="M34" i="17" s="1"/>
  <c r="M35" i="17" s="1"/>
  <c r="I45" i="17"/>
  <c r="M37" i="2"/>
  <c r="I38" i="2"/>
  <c r="I40" i="2"/>
  <c r="O38" i="2"/>
  <c r="S11" i="7"/>
  <c r="Y11" i="7"/>
  <c r="X52" i="9"/>
  <c r="J43" i="16"/>
  <c r="J41" i="16"/>
  <c r="Y51" i="9"/>
  <c r="AI201" i="3"/>
  <c r="G165" i="117"/>
  <c r="G26" i="117"/>
  <c r="R41" i="16"/>
  <c r="L41" i="16"/>
  <c r="L43" i="16"/>
  <c r="M27" i="16"/>
  <c r="X92" i="117"/>
  <c r="X103" i="117"/>
  <c r="X138" i="117"/>
  <c r="Y33" i="17"/>
  <c r="Y34" i="17" s="1"/>
  <c r="Y35" i="17" s="1"/>
  <c r="U45" i="17"/>
  <c r="U34" i="17"/>
  <c r="BF39" i="4"/>
  <c r="BL42" i="4"/>
  <c r="X52" i="17"/>
  <c r="S35" i="10"/>
  <c r="V46" i="15"/>
  <c r="AB56" i="21"/>
  <c r="AE194" i="3"/>
  <c r="AB195" i="3"/>
  <c r="AH195" i="3"/>
  <c r="W26" i="8"/>
  <c r="W27" i="8" s="1"/>
  <c r="W37" i="8"/>
  <c r="Y25" i="8"/>
  <c r="Y26" i="8" s="1"/>
  <c r="K49" i="17"/>
  <c r="K51" i="17"/>
  <c r="K52" i="17" s="1"/>
  <c r="S62" i="8"/>
  <c r="S10" i="8"/>
  <c r="S11" i="8" s="1"/>
  <c r="R43" i="2"/>
  <c r="R41" i="2"/>
  <c r="AQ56" i="21"/>
  <c r="AM55" i="21"/>
  <c r="AW114" i="4"/>
  <c r="AW116" i="4"/>
  <c r="AW117" i="4" s="1"/>
  <c r="O35" i="17"/>
  <c r="Y35" i="10"/>
  <c r="AW94" i="4"/>
  <c r="AW95" i="4" s="1"/>
  <c r="BG85" i="4"/>
  <c r="BA82" i="4"/>
  <c r="BC82" i="4" s="1"/>
  <c r="AU45" i="4"/>
  <c r="AU46" i="4" s="1"/>
  <c r="AU34" i="4"/>
  <c r="W91" i="117"/>
  <c r="W89" i="117"/>
  <c r="BA125" i="17"/>
  <c r="BC124" i="17"/>
  <c r="BC125" i="17" s="1"/>
  <c r="AD34" i="10"/>
  <c r="X35" i="10"/>
  <c r="Q111" i="117"/>
  <c r="Q109" i="117"/>
  <c r="T108" i="117"/>
  <c r="AC200" i="3"/>
  <c r="AC201" i="3" s="1"/>
  <c r="AC32" i="21"/>
  <c r="AC188" i="3"/>
  <c r="AC190" i="3"/>
  <c r="AC191" i="3" s="1"/>
  <c r="AK73" i="15"/>
  <c r="V35" i="15"/>
  <c r="AD6" i="21"/>
  <c r="AD5" i="21" s="1"/>
  <c r="BK83" i="4"/>
  <c r="AO32" i="21"/>
  <c r="AO188" i="3"/>
  <c r="AO200" i="3"/>
  <c r="AO201" i="3" s="1"/>
  <c r="AO190" i="3"/>
  <c r="AO191" i="3" s="1"/>
  <c r="Y10" i="8"/>
  <c r="Y11" i="8" s="1"/>
  <c r="AE69" i="15"/>
  <c r="AG70" i="15"/>
  <c r="AA70" i="15"/>
  <c r="S35" i="9"/>
  <c r="X114" i="117"/>
  <c r="X111" i="117" s="1"/>
  <c r="X112" i="117" s="1"/>
  <c r="R115" i="117"/>
  <c r="BI66" i="4"/>
  <c r="BI67" i="4" s="1"/>
  <c r="BI64" i="4"/>
  <c r="AJ191" i="3"/>
  <c r="AP191" i="3"/>
  <c r="Y73" i="17"/>
  <c r="Y13" i="17"/>
  <c r="BK88" i="4"/>
  <c r="BQ91" i="4"/>
  <c r="BQ88" i="4" s="1"/>
  <c r="AT70" i="4"/>
  <c r="X40" i="2"/>
  <c r="X38" i="2"/>
  <c r="X37" i="8"/>
  <c r="X26" i="8"/>
  <c r="X27" i="8" s="1"/>
  <c r="J11" i="7"/>
  <c r="P11" i="7"/>
  <c r="AQ86" i="4"/>
  <c r="BE87" i="3"/>
  <c r="BE159" i="3"/>
  <c r="BE160" i="3" s="1"/>
  <c r="M13" i="15"/>
  <c r="M73" i="15"/>
  <c r="AK70" i="15"/>
  <c r="K112" i="117"/>
  <c r="K114" i="117"/>
  <c r="K115" i="117" s="1"/>
  <c r="I48" i="9"/>
  <c r="M45" i="9"/>
  <c r="I46" i="9"/>
  <c r="M35" i="10"/>
  <c r="AO88" i="15"/>
  <c r="AO86" i="15"/>
  <c r="AQ188" i="3"/>
  <c r="AQ190" i="3"/>
  <c r="AQ191" i="3" s="1"/>
  <c r="H18" i="11"/>
  <c r="H20" i="11" s="1"/>
  <c r="H21" i="11" s="1"/>
  <c r="AM201" i="3"/>
  <c r="AQ200" i="3"/>
  <c r="AQ201" i="3" s="1"/>
  <c r="K41" i="7"/>
  <c r="K43" i="7"/>
  <c r="K44" i="7" s="1"/>
  <c r="V282" i="117"/>
  <c r="M15" i="2"/>
  <c r="M14" i="2"/>
  <c r="AU69" i="4"/>
  <c r="AU70" i="4" s="1"/>
  <c r="AU58" i="4"/>
  <c r="Y27" i="16"/>
  <c r="AE26" i="3"/>
  <c r="AG25" i="3"/>
  <c r="AZ180" i="3"/>
  <c r="AZ194" i="3"/>
  <c r="AZ7" i="21"/>
  <c r="AZ177" i="3"/>
  <c r="AZ175" i="3" s="1"/>
  <c r="BF125" i="3"/>
  <c r="BE123" i="3"/>
  <c r="F38" i="117"/>
  <c r="F27" i="117"/>
  <c r="H26" i="117"/>
  <c r="H27" i="117" s="1"/>
  <c r="P89" i="117"/>
  <c r="J89" i="117"/>
  <c r="AY188" i="3"/>
  <c r="AY32" i="21"/>
  <c r="AY200" i="3"/>
  <c r="AY201" i="3" s="1"/>
  <c r="AY190" i="3"/>
  <c r="AY191" i="3" s="1"/>
  <c r="P37" i="8"/>
  <c r="S25" i="8"/>
  <c r="S26" i="8" s="1"/>
  <c r="S27" i="8" s="1"/>
  <c r="P26" i="8"/>
  <c r="AG6" i="3"/>
  <c r="AK4" i="3"/>
  <c r="J51" i="9"/>
  <c r="J52" i="9" s="1"/>
  <c r="J49" i="9"/>
  <c r="AV119" i="4"/>
  <c r="AW119" i="4" s="1"/>
  <c r="AW120" i="4" s="1"/>
  <c r="AV108" i="4"/>
  <c r="S11" i="16"/>
  <c r="P14" i="8"/>
  <c r="V14" i="8"/>
  <c r="AI191" i="3"/>
  <c r="G14" i="117"/>
  <c r="G11" i="117"/>
  <c r="BL85" i="4"/>
  <c r="BF82" i="4"/>
  <c r="AE73" i="10"/>
  <c r="AB37" i="16"/>
  <c r="AB26" i="16"/>
  <c r="AB27" i="16" s="1"/>
  <c r="X52" i="15"/>
  <c r="AZ40" i="4"/>
  <c r="BC39" i="4"/>
  <c r="Q48" i="10"/>
  <c r="Q46" i="10"/>
  <c r="S45" i="10"/>
  <c r="W46" i="10"/>
  <c r="AQ61" i="4"/>
  <c r="AD8" i="16"/>
  <c r="AD24" i="16"/>
  <c r="AD17" i="16"/>
  <c r="BG119" i="4"/>
  <c r="BG108" i="4"/>
  <c r="AE18" i="7"/>
  <c r="AE13" i="7"/>
  <c r="AE180" i="3"/>
  <c r="AH181" i="3"/>
  <c r="AB181" i="3"/>
  <c r="AE30" i="3"/>
  <c r="AD31" i="3"/>
  <c r="G111" i="117"/>
  <c r="M109" i="117"/>
  <c r="AU181" i="3"/>
  <c r="AU187" i="3"/>
  <c r="AW180" i="3"/>
  <c r="S35" i="17"/>
  <c r="AK73" i="17"/>
  <c r="AQ73" i="17"/>
  <c r="AW198" i="3"/>
  <c r="I241" i="14"/>
  <c r="I59" i="14"/>
  <c r="Y45" i="10"/>
  <c r="U48" i="10"/>
  <c r="U46" i="10"/>
  <c r="P52" i="9"/>
  <c r="L41" i="2"/>
  <c r="L43" i="2"/>
  <c r="L44" i="2" s="1"/>
  <c r="S21" i="17"/>
  <c r="AA89" i="15"/>
  <c r="AA91" i="15"/>
  <c r="BG36" i="4"/>
  <c r="BA33" i="4"/>
  <c r="S27" i="2"/>
  <c r="BK58" i="4"/>
  <c r="BK69" i="4"/>
  <c r="R11" i="2"/>
  <c r="R77" i="2"/>
  <c r="R78" i="2" s="1"/>
  <c r="R80" i="2" s="1"/>
  <c r="AK200" i="3"/>
  <c r="W49" i="9"/>
  <c r="T278" i="117"/>
  <c r="P282" i="117"/>
  <c r="T282" i="117" s="1"/>
  <c r="Y45" i="15"/>
  <c r="U46" i="15"/>
  <c r="U48" i="15"/>
  <c r="AW42" i="4"/>
  <c r="AW43" i="4" s="1"/>
  <c r="AW40" i="4"/>
  <c r="AC37" i="16"/>
  <c r="AC26" i="16"/>
  <c r="AC27" i="16" s="1"/>
  <c r="AD56" i="21"/>
  <c r="AD55" i="21" s="1"/>
  <c r="AD195" i="3"/>
  <c r="AJ195" i="3"/>
  <c r="AD32" i="21"/>
  <c r="AD200" i="3"/>
  <c r="AD201" i="3" s="1"/>
  <c r="AD188" i="3"/>
  <c r="AD190" i="3"/>
  <c r="AD191" i="3" s="1"/>
  <c r="BU79" i="4"/>
  <c r="BU80" i="4" s="1"/>
  <c r="BQ82" i="4"/>
  <c r="P44" i="16"/>
  <c r="V44" i="16"/>
  <c r="AE10" i="16"/>
  <c r="AE11" i="16" s="1"/>
  <c r="C48" i="9"/>
  <c r="G45" i="9"/>
  <c r="G43" i="9" s="1"/>
  <c r="Y62" i="8"/>
  <c r="AS72" i="21"/>
  <c r="AW72" i="21" s="1"/>
  <c r="I252" i="14" s="1"/>
  <c r="AS54" i="21"/>
  <c r="AW55" i="21"/>
  <c r="O48" i="9"/>
  <c r="U46" i="9"/>
  <c r="O46" i="9"/>
  <c r="S45" i="9"/>
  <c r="AA32" i="9"/>
  <c r="AA17" i="9"/>
  <c r="AA8" i="9"/>
  <c r="BE89" i="4"/>
  <c r="BI88" i="4"/>
  <c r="S10" i="17"/>
  <c r="S11" i="17" s="1"/>
  <c r="S70" i="17"/>
  <c r="AW33" i="4"/>
  <c r="O11" i="15"/>
  <c r="AK70" i="17"/>
  <c r="BK117" i="3"/>
  <c r="E7" i="14"/>
  <c r="D24" i="14"/>
  <c r="D25" i="14" s="1"/>
  <c r="D16" i="14"/>
  <c r="D18" i="14"/>
  <c r="D19" i="14" s="1"/>
  <c r="D9" i="14"/>
  <c r="D10" i="14" s="1"/>
  <c r="Y54" i="21"/>
  <c r="Y144" i="21"/>
  <c r="BR158" i="21"/>
  <c r="BF9" i="21"/>
  <c r="BL9" i="21" s="1"/>
  <c r="BR9" i="21" s="1"/>
  <c r="BX9" i="21" s="1"/>
  <c r="CD9" i="21" s="1"/>
  <c r="CJ9" i="21" s="1"/>
  <c r="CP9" i="21" s="1"/>
  <c r="CV9" i="21" s="1"/>
  <c r="DB9" i="21" s="1"/>
  <c r="DH9" i="21" s="1"/>
  <c r="AZ6" i="21"/>
  <c r="AT23" i="21"/>
  <c r="AT5" i="21"/>
  <c r="Y150" i="21"/>
  <c r="AW5" i="21"/>
  <c r="BK9" i="21"/>
  <c r="S243" i="117"/>
  <c r="Y48" i="21"/>
  <c r="V243" i="117"/>
  <c r="V237" i="117"/>
  <c r="AB237" i="117"/>
  <c r="T236" i="117"/>
  <c r="Q243" i="117"/>
  <c r="C193" i="14"/>
  <c r="C189" i="14"/>
  <c r="C191" i="14" s="1"/>
  <c r="CE12" i="20"/>
  <c r="CE14" i="20"/>
  <c r="CE15" i="20" s="1"/>
  <c r="P104" i="14"/>
  <c r="BR22" i="4"/>
  <c r="CR15" i="21"/>
  <c r="CR8" i="4"/>
  <c r="CX5" i="4"/>
  <c r="BG166" i="3"/>
  <c r="BG86" i="3"/>
  <c r="R262" i="11"/>
  <c r="Q263" i="11"/>
  <c r="R70" i="11"/>
  <c r="CE19" i="21"/>
  <c r="CG19" i="21" s="1"/>
  <c r="CK5" i="20"/>
  <c r="CK14" i="20" s="1"/>
  <c r="CG5" i="20"/>
  <c r="CG6" i="20" s="1"/>
  <c r="BU11" i="4"/>
  <c r="BU12" i="4" s="1"/>
  <c r="BX21" i="4"/>
  <c r="BU9" i="4"/>
  <c r="BU40" i="21"/>
  <c r="BI28" i="9"/>
  <c r="BI29" i="9" s="1"/>
  <c r="BG69" i="9"/>
  <c r="BG70" i="9" s="1"/>
  <c r="BG73" i="9"/>
  <c r="BI75" i="9"/>
  <c r="BI26" i="9"/>
  <c r="BH144" i="3"/>
  <c r="BI143" i="3"/>
  <c r="BI120" i="3" s="1"/>
  <c r="BI121" i="3" s="1"/>
  <c r="BF86" i="3"/>
  <c r="BF159" i="3" s="1"/>
  <c r="BF160" i="3" s="1"/>
  <c r="CA168" i="3"/>
  <c r="CA169" i="3" s="1"/>
  <c r="CD228" i="117"/>
  <c r="CB228" i="117"/>
  <c r="CB229" i="117" s="1"/>
  <c r="BI147" i="21"/>
  <c r="K21" i="14"/>
  <c r="CC161" i="21"/>
  <c r="CC162" i="21" s="1"/>
  <c r="CI158" i="21"/>
  <c r="BW146" i="21"/>
  <c r="BW147" i="21" s="1"/>
  <c r="CQ70" i="21"/>
  <c r="CM70" i="21"/>
  <c r="K185" i="11"/>
  <c r="K187" i="11" s="1"/>
  <c r="K188" i="11" s="1"/>
  <c r="BI11" i="4"/>
  <c r="BO9" i="4"/>
  <c r="BI20" i="4"/>
  <c r="BG22" i="4"/>
  <c r="CF17" i="4"/>
  <c r="BZ14" i="4"/>
  <c r="L186" i="11"/>
  <c r="L187" i="11" s="1"/>
  <c r="L188" i="11" s="1"/>
  <c r="BN22" i="4"/>
  <c r="BN21" i="4"/>
  <c r="BT64" i="21"/>
  <c r="BT15" i="4"/>
  <c r="BT20" i="4"/>
  <c r="BO17" i="4"/>
  <c r="BO18" i="4" s="1"/>
  <c r="BO64" i="21"/>
  <c r="BB88" i="15"/>
  <c r="BE82" i="15"/>
  <c r="BE83" i="15" s="1"/>
  <c r="BC83" i="15"/>
  <c r="BA91" i="15"/>
  <c r="BC85" i="15"/>
  <c r="BA45" i="15"/>
  <c r="BA34" i="15"/>
  <c r="AY51" i="15"/>
  <c r="AZ45" i="15"/>
  <c r="AZ34" i="15"/>
  <c r="BB20" i="15"/>
  <c r="BB32" i="15"/>
  <c r="BB17" i="15"/>
  <c r="BC7" i="15"/>
  <c r="BA13" i="15"/>
  <c r="BA10" i="15" s="1"/>
  <c r="BE4" i="15"/>
  <c r="BE5" i="15" s="1"/>
  <c r="BC5" i="15"/>
  <c r="BH106" i="17"/>
  <c r="BG95" i="17"/>
  <c r="BG92" i="21"/>
  <c r="BF72" i="17"/>
  <c r="BF73" i="17" s="1"/>
  <c r="BF29" i="17"/>
  <c r="BG75" i="17"/>
  <c r="BF135" i="21"/>
  <c r="BH95" i="16"/>
  <c r="BF98" i="16"/>
  <c r="BF113" i="21"/>
  <c r="BF87" i="16"/>
  <c r="BG91" i="21"/>
  <c r="BG84" i="16"/>
  <c r="BG67" i="16"/>
  <c r="BG21" i="16"/>
  <c r="BF64" i="16"/>
  <c r="BF61" i="16" s="1"/>
  <c r="BV164" i="117"/>
  <c r="BX164" i="117"/>
  <c r="AR171" i="117"/>
  <c r="AR162" i="117"/>
  <c r="AO216" i="117"/>
  <c r="AO174" i="117"/>
  <c r="AO217" i="117" s="1"/>
  <c r="AO306" i="117"/>
  <c r="BF11" i="21" s="1"/>
  <c r="AP306" i="117"/>
  <c r="BG11" i="21" s="1"/>
  <c r="AP216" i="117"/>
  <c r="AP174" i="117"/>
  <c r="AP217" i="117" s="1"/>
  <c r="AQ205" i="117"/>
  <c r="AQ202" i="117" s="1"/>
  <c r="AQ203" i="117" s="1"/>
  <c r="AR208" i="117"/>
  <c r="AN216" i="117"/>
  <c r="AN174" i="117"/>
  <c r="AN217" i="117" s="1"/>
  <c r="AN306" i="117"/>
  <c r="BE11" i="21" s="1"/>
  <c r="BZ17" i="20"/>
  <c r="BZ18" i="20" s="1"/>
  <c r="BZ15" i="20"/>
  <c r="BZ44" i="21"/>
  <c r="CL8" i="20"/>
  <c r="CF14" i="20"/>
  <c r="CF11" i="20"/>
  <c r="CF12" i="20" s="1"/>
  <c r="CQ8" i="20"/>
  <c r="BZ26" i="20"/>
  <c r="BZ21" i="20"/>
  <c r="BZ68" i="21"/>
  <c r="CF20" i="20"/>
  <c r="CL23" i="20"/>
  <c r="CK23" i="20"/>
  <c r="CE20" i="20"/>
  <c r="BY21" i="20"/>
  <c r="BY68" i="21"/>
  <c r="BY26" i="20"/>
  <c r="CJ15" i="20"/>
  <c r="CJ17" i="20"/>
  <c r="CJ18" i="20" s="1"/>
  <c r="CJ26" i="20"/>
  <c r="CJ44" i="21"/>
  <c r="CV5" i="20"/>
  <c r="CP14" i="20"/>
  <c r="CP19" i="21"/>
  <c r="CP11" i="20"/>
  <c r="CP12" i="20" s="1"/>
  <c r="CP20" i="20"/>
  <c r="CJ21" i="20"/>
  <c r="CJ68" i="21"/>
  <c r="CI23" i="20"/>
  <c r="CC20" i="20"/>
  <c r="M246" i="11"/>
  <c r="BU23" i="20"/>
  <c r="BU24" i="20" s="1"/>
  <c r="BU68" i="21"/>
  <c r="BU21" i="20"/>
  <c r="BW68" i="21"/>
  <c r="BW21" i="20"/>
  <c r="CA20" i="20"/>
  <c r="CU5" i="20"/>
  <c r="CO19" i="21"/>
  <c r="CE5" i="4"/>
  <c r="BY14" i="4"/>
  <c r="BY15" i="21"/>
  <c r="CA15" i="21" s="1"/>
  <c r="CA5" i="4"/>
  <c r="CA6" i="4" s="1"/>
  <c r="BY8" i="4"/>
  <c r="BU14" i="4"/>
  <c r="BS15" i="4"/>
  <c r="BS20" i="4"/>
  <c r="BS64" i="21"/>
  <c r="CD40" i="21"/>
  <c r="CD9" i="4"/>
  <c r="CP5" i="4"/>
  <c r="CJ8" i="4"/>
  <c r="CJ15" i="21"/>
  <c r="CP17" i="4"/>
  <c r="CJ14" i="4"/>
  <c r="CD15" i="4"/>
  <c r="CD20" i="4"/>
  <c r="CD21" i="4" s="1"/>
  <c r="CD64" i="21"/>
  <c r="BH73" i="9"/>
  <c r="BI72" i="9"/>
  <c r="BH84" i="21"/>
  <c r="BH41" i="9"/>
  <c r="BH69" i="9"/>
  <c r="BF79" i="9"/>
  <c r="BF66" i="9"/>
  <c r="BF106" i="21"/>
  <c r="BF55" i="9"/>
  <c r="BF57" i="9"/>
  <c r="BF58" i="9" s="1"/>
  <c r="CU43" i="9"/>
  <c r="BE105" i="21"/>
  <c r="BE49" i="7"/>
  <c r="BE50" i="7" s="1"/>
  <c r="BE47" i="7"/>
  <c r="BG67" i="7"/>
  <c r="BG21" i="7"/>
  <c r="BF64" i="7"/>
  <c r="BF61" i="7" s="1"/>
  <c r="BI20" i="7"/>
  <c r="BG30" i="7"/>
  <c r="BF29" i="10"/>
  <c r="BG75" i="10"/>
  <c r="BF72" i="10"/>
  <c r="BF69" i="10" s="1"/>
  <c r="BG21" i="8"/>
  <c r="BG67" i="8"/>
  <c r="BG30" i="8"/>
  <c r="BI20" i="8"/>
  <c r="BF64" i="8"/>
  <c r="BF61" i="8" s="1"/>
  <c r="CK151" i="3"/>
  <c r="CM151" i="3" s="1"/>
  <c r="CM152" i="3" s="1"/>
  <c r="CE168" i="3"/>
  <c r="CE169" i="3" s="1"/>
  <c r="BB32" i="21"/>
  <c r="BB188" i="3"/>
  <c r="BB200" i="3"/>
  <c r="BB190" i="3"/>
  <c r="BB191" i="3" s="1"/>
  <c r="BB6" i="21"/>
  <c r="BC7" i="21"/>
  <c r="BB181" i="3"/>
  <c r="BC180" i="3"/>
  <c r="BB56" i="21"/>
  <c r="BB195" i="3"/>
  <c r="BC194" i="3"/>
  <c r="BL52" i="3"/>
  <c r="BI101" i="3"/>
  <c r="BL51" i="3"/>
  <c r="BK10" i="3"/>
  <c r="BK11" i="3" s="1"/>
  <c r="BK118" i="3"/>
  <c r="CJ168" i="3"/>
  <c r="CJ169" i="3" s="1"/>
  <c r="CP151" i="3"/>
  <c r="DD151" i="3"/>
  <c r="CX168" i="3"/>
  <c r="CX169" i="3" s="1"/>
  <c r="CC169" i="3"/>
  <c r="CO151" i="3"/>
  <c r="CI168" i="3"/>
  <c r="BE163" i="3"/>
  <c r="BI20" i="2"/>
  <c r="BG67" i="2"/>
  <c r="BG21" i="2"/>
  <c r="BF64" i="2"/>
  <c r="BO14" i="20"/>
  <c r="BK26" i="20"/>
  <c r="BK44" i="21"/>
  <c r="BO44" i="21" s="1"/>
  <c r="BK15" i="20"/>
  <c r="BO9" i="20"/>
  <c r="BO11" i="20"/>
  <c r="BO12" i="20" s="1"/>
  <c r="BQ11" i="20"/>
  <c r="BQ12" i="20" s="1"/>
  <c r="BU8" i="20"/>
  <c r="BW8" i="20"/>
  <c r="BQ14" i="20"/>
  <c r="BQ13" i="20" s="1"/>
  <c r="CO15" i="21"/>
  <c r="CO8" i="4"/>
  <c r="CO14" i="4"/>
  <c r="CU5" i="4"/>
  <c r="CI64" i="21"/>
  <c r="CI15" i="4"/>
  <c r="CI20" i="4"/>
  <c r="CI40" i="21"/>
  <c r="CI9" i="4"/>
  <c r="CC21" i="4"/>
  <c r="P103" i="14" l="1"/>
  <c r="P110" i="14" s="1"/>
  <c r="Q104" i="14"/>
  <c r="R95" i="14"/>
  <c r="S96" i="14"/>
  <c r="CR5" i="20"/>
  <c r="CL19" i="21"/>
  <c r="BC58" i="4"/>
  <c r="BC60" i="4"/>
  <c r="BC61" i="4" s="1"/>
  <c r="BC85" i="4"/>
  <c r="BC86" i="4" s="1"/>
  <c r="BC83" i="4"/>
  <c r="AA33" i="9"/>
  <c r="S48" i="9"/>
  <c r="U49" i="9"/>
  <c r="O51" i="9"/>
  <c r="O49" i="9"/>
  <c r="AW181" i="3"/>
  <c r="AW183" i="3"/>
  <c r="AW184" i="3" s="1"/>
  <c r="G114" i="117"/>
  <c r="M115" i="117" s="1"/>
  <c r="M112" i="117"/>
  <c r="BF94" i="4"/>
  <c r="BF83" i="4"/>
  <c r="AG7" i="3"/>
  <c r="AH4" i="3"/>
  <c r="AH6" i="3" s="1"/>
  <c r="AG26" i="3"/>
  <c r="AH25" i="3"/>
  <c r="BI89" i="4"/>
  <c r="BI91" i="4"/>
  <c r="BI92" i="4" s="1"/>
  <c r="S43" i="9"/>
  <c r="S46" i="9"/>
  <c r="Y46" i="9"/>
  <c r="Y43" i="15"/>
  <c r="Y46" i="15"/>
  <c r="BA34" i="4"/>
  <c r="BA45" i="4"/>
  <c r="BA46" i="4" s="1"/>
  <c r="AU200" i="3"/>
  <c r="AU32" i="21"/>
  <c r="AU188" i="3"/>
  <c r="AU190" i="3"/>
  <c r="AU191" i="3" s="1"/>
  <c r="AW187" i="3"/>
  <c r="AE183" i="3"/>
  <c r="AF180" i="3"/>
  <c r="AE181" i="3"/>
  <c r="AL180" i="3"/>
  <c r="AK181" i="3"/>
  <c r="Q49" i="10"/>
  <c r="Q51" i="10"/>
  <c r="S48" i="10"/>
  <c r="W49" i="10"/>
  <c r="BR85" i="4"/>
  <c r="BR82" i="4" s="1"/>
  <c r="BL82" i="4"/>
  <c r="P27" i="8"/>
  <c r="V27" i="8"/>
  <c r="F41" i="117"/>
  <c r="F178" i="117"/>
  <c r="F176" i="117" s="1"/>
  <c r="AO91" i="15"/>
  <c r="AO89" i="15"/>
  <c r="M43" i="9"/>
  <c r="M44" i="9" s="1"/>
  <c r="M46" i="9"/>
  <c r="BM85" i="4"/>
  <c r="BG82" i="4"/>
  <c r="BI82" i="4" s="1"/>
  <c r="AM72" i="21"/>
  <c r="AQ72" i="21" s="1"/>
  <c r="H252" i="14" s="1"/>
  <c r="AQ55" i="21"/>
  <c r="AM54" i="21"/>
  <c r="Y27" i="8"/>
  <c r="U46" i="17"/>
  <c r="Y45" i="17"/>
  <c r="U48" i="17"/>
  <c r="AA46" i="17"/>
  <c r="X135" i="117"/>
  <c r="X132" i="117" s="1"/>
  <c r="L44" i="16"/>
  <c r="R44" i="16"/>
  <c r="G166" i="117"/>
  <c r="G167" i="117" s="1"/>
  <c r="G164" i="117"/>
  <c r="H164" i="117" s="1"/>
  <c r="BM60" i="4"/>
  <c r="BG57" i="4"/>
  <c r="AE14" i="17"/>
  <c r="AE15" i="17"/>
  <c r="AD10" i="17"/>
  <c r="AD11" i="17" s="1"/>
  <c r="G154" i="117"/>
  <c r="G151" i="117"/>
  <c r="BR36" i="4"/>
  <c r="BR33" i="4" s="1"/>
  <c r="BL33" i="4"/>
  <c r="BR60" i="4"/>
  <c r="BR57" i="4" s="1"/>
  <c r="BL57" i="4"/>
  <c r="D51" i="17"/>
  <c r="G48" i="17"/>
  <c r="G51" i="17" s="1"/>
  <c r="C43" i="2"/>
  <c r="G40" i="2"/>
  <c r="G43" i="2" s="1"/>
  <c r="AC72" i="21"/>
  <c r="AC54" i="21"/>
  <c r="AI54" i="21"/>
  <c r="BQ69" i="4"/>
  <c r="BQ58" i="4"/>
  <c r="M14" i="7"/>
  <c r="M15" i="7"/>
  <c r="Q27" i="7"/>
  <c r="W27" i="7"/>
  <c r="V43" i="2"/>
  <c r="V41" i="2"/>
  <c r="Y40" i="2"/>
  <c r="AB23" i="21"/>
  <c r="AE6" i="21"/>
  <c r="AH5" i="21"/>
  <c r="AE35" i="17"/>
  <c r="R41" i="8"/>
  <c r="R43" i="8"/>
  <c r="R44" i="8" s="1"/>
  <c r="R52" i="10"/>
  <c r="K147" i="117"/>
  <c r="K8" i="117"/>
  <c r="L5" i="117"/>
  <c r="L7" i="117" s="1"/>
  <c r="AD48" i="17"/>
  <c r="AD46" i="17"/>
  <c r="AD4" i="9"/>
  <c r="AD6" i="9" s="1"/>
  <c r="AC7" i="9"/>
  <c r="J40" i="7"/>
  <c r="J38" i="7"/>
  <c r="M37" i="7"/>
  <c r="P38" i="7"/>
  <c r="BA23" i="21"/>
  <c r="BA5" i="21"/>
  <c r="J51" i="15"/>
  <c r="J52" i="15" s="1"/>
  <c r="M48" i="15"/>
  <c r="J49" i="15"/>
  <c r="Q52" i="17"/>
  <c r="P41" i="2"/>
  <c r="S40" i="2"/>
  <c r="P43" i="2"/>
  <c r="P44" i="2" s="1"/>
  <c r="AA18" i="15"/>
  <c r="AA13" i="15"/>
  <c r="AA14" i="15" s="1"/>
  <c r="AA33" i="15"/>
  <c r="O51" i="17"/>
  <c r="S48" i="17"/>
  <c r="AA20" i="10"/>
  <c r="AA21" i="10" s="1"/>
  <c r="AA8" i="10"/>
  <c r="AA32" i="10"/>
  <c r="AA17" i="10"/>
  <c r="AL55" i="21"/>
  <c r="S43" i="15"/>
  <c r="S46" i="15"/>
  <c r="W109" i="117"/>
  <c r="D176" i="117"/>
  <c r="AW111" i="4"/>
  <c r="AQ32" i="21"/>
  <c r="AS82" i="15"/>
  <c r="AQ83" i="15"/>
  <c r="BQ110" i="4"/>
  <c r="BQ107" i="4" s="1"/>
  <c r="BK107" i="4"/>
  <c r="BK96" i="3"/>
  <c r="BQ95" i="3"/>
  <c r="BW95" i="3" s="1"/>
  <c r="CC95" i="3" s="1"/>
  <c r="CI95" i="3" s="1"/>
  <c r="CO95" i="3" s="1"/>
  <c r="CU95" i="3" s="1"/>
  <c r="DA95" i="3" s="1"/>
  <c r="DG95" i="3" s="1"/>
  <c r="AB201" i="3"/>
  <c r="AE200" i="3"/>
  <c r="AE201" i="3" s="1"/>
  <c r="AH201" i="3"/>
  <c r="AH191" i="3"/>
  <c r="AB191" i="3"/>
  <c r="H165" i="117"/>
  <c r="AW34" i="4"/>
  <c r="AW36" i="4"/>
  <c r="AW37" i="4" s="1"/>
  <c r="AA20" i="9"/>
  <c r="AA21" i="9" s="1"/>
  <c r="AA13" i="9"/>
  <c r="AA14" i="9" s="1"/>
  <c r="AA18" i="9"/>
  <c r="AA10" i="9"/>
  <c r="AA11" i="9" s="1"/>
  <c r="AW54" i="21"/>
  <c r="AC38" i="16"/>
  <c r="AC40" i="16"/>
  <c r="BK70" i="4"/>
  <c r="BM36" i="4"/>
  <c r="BG33" i="4"/>
  <c r="Y48" i="10"/>
  <c r="U51" i="10"/>
  <c r="U52" i="10" s="1"/>
  <c r="U49" i="10"/>
  <c r="AG30" i="3"/>
  <c r="AE31" i="3"/>
  <c r="AE14" i="7"/>
  <c r="AE15" i="7"/>
  <c r="AD13" i="16"/>
  <c r="AD14" i="16" s="1"/>
  <c r="AD18" i="16"/>
  <c r="AD10" i="16"/>
  <c r="AD11" i="16" s="1"/>
  <c r="BC40" i="4"/>
  <c r="BC42" i="4"/>
  <c r="BC43" i="4" s="1"/>
  <c r="BE134" i="3"/>
  <c r="AZ56" i="21"/>
  <c r="AZ55" i="21" s="1"/>
  <c r="AZ195" i="3"/>
  <c r="I51" i="9"/>
  <c r="I49" i="9"/>
  <c r="M48" i="9"/>
  <c r="X40" i="8"/>
  <c r="X38" i="8"/>
  <c r="BQ89" i="4"/>
  <c r="BU88" i="4"/>
  <c r="AD23" i="21"/>
  <c r="AJ5" i="21"/>
  <c r="Q114" i="117"/>
  <c r="Q112" i="117"/>
  <c r="T111" i="117"/>
  <c r="W92" i="117"/>
  <c r="W161" i="117"/>
  <c r="W138" i="117"/>
  <c r="W103" i="117"/>
  <c r="W38" i="8"/>
  <c r="W40" i="8"/>
  <c r="Y37" i="8"/>
  <c r="AE195" i="3"/>
  <c r="AE197" i="3"/>
  <c r="AE206" i="3"/>
  <c r="AE207" i="3" s="1"/>
  <c r="F19" i="11"/>
  <c r="AK195" i="3"/>
  <c r="BR42" i="4"/>
  <c r="BR39" i="4" s="1"/>
  <c r="BL39" i="4"/>
  <c r="X117" i="117"/>
  <c r="X126" i="117"/>
  <c r="X127" i="117" s="1"/>
  <c r="X104" i="117"/>
  <c r="M38" i="2"/>
  <c r="M35" i="2"/>
  <c r="M36" i="2" s="1"/>
  <c r="S14" i="2"/>
  <c r="S15" i="2"/>
  <c r="Y14" i="10"/>
  <c r="Y15" i="10"/>
  <c r="X51" i="10"/>
  <c r="X52" i="10" s="1"/>
  <c r="X49" i="10"/>
  <c r="AB8" i="15"/>
  <c r="AB32" i="15"/>
  <c r="AB33" i="15" s="1"/>
  <c r="AB20" i="15"/>
  <c r="AB21" i="15" s="1"/>
  <c r="AB17" i="15"/>
  <c r="C43" i="8"/>
  <c r="I44" i="8" s="1"/>
  <c r="G40" i="8"/>
  <c r="G43" i="8" s="1"/>
  <c r="I41" i="8"/>
  <c r="AA24" i="2"/>
  <c r="AA8" i="2"/>
  <c r="AA17" i="2"/>
  <c r="AA74" i="2"/>
  <c r="AA75" i="2" s="1"/>
  <c r="I41" i="16"/>
  <c r="I43" i="16"/>
  <c r="I44" i="16" s="1"/>
  <c r="M40" i="16"/>
  <c r="AC48" i="17"/>
  <c r="AC46" i="17"/>
  <c r="AE45" i="17"/>
  <c r="S14" i="7"/>
  <c r="S15" i="7"/>
  <c r="Y14" i="7"/>
  <c r="Y10" i="17"/>
  <c r="Y11" i="17" s="1"/>
  <c r="Y70" i="17"/>
  <c r="J43" i="8"/>
  <c r="J44" i="8" s="1"/>
  <c r="J41" i="8"/>
  <c r="M40" i="8"/>
  <c r="AA61" i="3"/>
  <c r="K145" i="117"/>
  <c r="J146" i="117"/>
  <c r="V52" i="17"/>
  <c r="AB52" i="17"/>
  <c r="H135" i="117"/>
  <c r="H84" i="117" s="1"/>
  <c r="H86" i="117" s="1"/>
  <c r="F132" i="117"/>
  <c r="H132" i="117" s="1"/>
  <c r="H81" i="117" s="1"/>
  <c r="AY120" i="4"/>
  <c r="J45" i="3"/>
  <c r="J46" i="3" s="1"/>
  <c r="K44" i="3"/>
  <c r="M10" i="15"/>
  <c r="M11" i="15" s="1"/>
  <c r="M70" i="15"/>
  <c r="AZ46" i="4"/>
  <c r="BC45" i="4"/>
  <c r="BC46" i="4" s="1"/>
  <c r="BA56" i="21"/>
  <c r="BA55" i="21" s="1"/>
  <c r="BA195" i="3"/>
  <c r="BO64" i="4"/>
  <c r="BO66" i="4"/>
  <c r="BO67" i="4" s="1"/>
  <c r="BB108" i="4"/>
  <c r="BB119" i="4"/>
  <c r="BC119" i="4" s="1"/>
  <c r="BC120" i="4" s="1"/>
  <c r="AB7" i="8"/>
  <c r="AC4" i="8"/>
  <c r="AC6" i="8" s="1"/>
  <c r="N89" i="117"/>
  <c r="T89" i="117"/>
  <c r="D114" i="117"/>
  <c r="H111" i="117"/>
  <c r="H114" i="117" s="1"/>
  <c r="D181" i="117"/>
  <c r="U43" i="16"/>
  <c r="AA41" i="16"/>
  <c r="U41" i="16"/>
  <c r="Y40" i="16"/>
  <c r="S11" i="9"/>
  <c r="O41" i="16"/>
  <c r="S40" i="16"/>
  <c r="O43" i="16"/>
  <c r="O44" i="16" s="1"/>
  <c r="X78" i="2"/>
  <c r="X80" i="2" s="1"/>
  <c r="AE32" i="21"/>
  <c r="G48" i="9"/>
  <c r="G51" i="9" s="1"/>
  <c r="C51" i="9"/>
  <c r="BQ94" i="4"/>
  <c r="BQ83" i="4"/>
  <c r="AD72" i="21"/>
  <c r="AD54" i="21"/>
  <c r="AJ54" i="21"/>
  <c r="U51" i="15"/>
  <c r="U52" i="15" s="1"/>
  <c r="Y48" i="15"/>
  <c r="U49" i="15"/>
  <c r="AA92" i="15"/>
  <c r="Y46" i="10"/>
  <c r="Y43" i="10"/>
  <c r="AD25" i="16"/>
  <c r="AE24" i="16"/>
  <c r="AE23" i="16" s="1"/>
  <c r="S46" i="10"/>
  <c r="S43" i="10"/>
  <c r="AB40" i="16"/>
  <c r="AB38" i="16"/>
  <c r="P40" i="8"/>
  <c r="P38" i="8"/>
  <c r="S37" i="8"/>
  <c r="V38" i="8"/>
  <c r="BF137" i="3"/>
  <c r="BG125" i="3"/>
  <c r="BF123" i="3"/>
  <c r="AZ187" i="3"/>
  <c r="AZ181" i="3"/>
  <c r="M14" i="15"/>
  <c r="M15" i="15"/>
  <c r="BK89" i="4"/>
  <c r="BO88" i="4"/>
  <c r="BK94" i="4"/>
  <c r="AE56" i="21"/>
  <c r="AB55" i="21"/>
  <c r="BI39" i="4"/>
  <c r="BF40" i="4"/>
  <c r="M45" i="17"/>
  <c r="I46" i="17"/>
  <c r="I48" i="17"/>
  <c r="O49" i="17" s="1"/>
  <c r="AB55" i="3"/>
  <c r="AB59" i="3"/>
  <c r="AB58" i="3"/>
  <c r="AD38" i="7"/>
  <c r="AD40" i="7"/>
  <c r="AG17" i="7"/>
  <c r="AG24" i="7"/>
  <c r="AG8" i="7"/>
  <c r="AE11" i="17"/>
  <c r="Y14" i="15"/>
  <c r="Y15" i="15"/>
  <c r="AC23" i="21"/>
  <c r="AI5" i="21"/>
  <c r="BU63" i="4"/>
  <c r="BQ64" i="4"/>
  <c r="Q44" i="8"/>
  <c r="S27" i="7"/>
  <c r="Y27" i="7"/>
  <c r="AD4" i="15"/>
  <c r="AD6" i="15" s="1"/>
  <c r="AC7" i="15"/>
  <c r="Y38" i="2"/>
  <c r="Y35" i="2"/>
  <c r="AC4" i="2"/>
  <c r="AC6" i="2" s="1"/>
  <c r="AB7" i="2"/>
  <c r="J52" i="17"/>
  <c r="AI86" i="15"/>
  <c r="AC88" i="15"/>
  <c r="AC86" i="15"/>
  <c r="J97" i="117"/>
  <c r="J108" i="117"/>
  <c r="N96" i="117"/>
  <c r="N97" i="117" s="1"/>
  <c r="BI113" i="4"/>
  <c r="BE114" i="4"/>
  <c r="J18" i="117"/>
  <c r="J25" i="117"/>
  <c r="J9" i="117"/>
  <c r="F62" i="117"/>
  <c r="H65" i="117"/>
  <c r="H14" i="117" s="1"/>
  <c r="H16" i="117" s="1"/>
  <c r="F205" i="117"/>
  <c r="M43" i="10"/>
  <c r="M44" i="10" s="1"/>
  <c r="M46" i="10"/>
  <c r="G40" i="16"/>
  <c r="G43" i="16" s="1"/>
  <c r="D43" i="16"/>
  <c r="J44" i="16" s="1"/>
  <c r="AC74" i="16"/>
  <c r="AC76" i="16" s="1"/>
  <c r="AB77" i="16"/>
  <c r="BM39" i="4"/>
  <c r="BM40" i="4" s="1"/>
  <c r="BS42" i="4"/>
  <c r="BS39" i="4" s="1"/>
  <c r="BA32" i="21"/>
  <c r="BA190" i="3"/>
  <c r="BA191" i="3" s="1"/>
  <c r="BA200" i="3"/>
  <c r="BA201" i="3" s="1"/>
  <c r="BA188" i="3"/>
  <c r="M43" i="15"/>
  <c r="M44" i="15" s="1"/>
  <c r="M46" i="15"/>
  <c r="I11" i="17"/>
  <c r="O11" i="17"/>
  <c r="O46" i="17"/>
  <c r="S14" i="15"/>
  <c r="S15" i="15"/>
  <c r="S115" i="117"/>
  <c r="Y114" i="117"/>
  <c r="BM108" i="4"/>
  <c r="BM119" i="4"/>
  <c r="AK4" i="16"/>
  <c r="AG6" i="16"/>
  <c r="G162" i="14"/>
  <c r="G252" i="14"/>
  <c r="BN110" i="4"/>
  <c r="BH107" i="4"/>
  <c r="AA17" i="8"/>
  <c r="AA8" i="8"/>
  <c r="AA24" i="8"/>
  <c r="R44" i="7"/>
  <c r="X44" i="7"/>
  <c r="Y38" i="16"/>
  <c r="Y35" i="16"/>
  <c r="AA88" i="17"/>
  <c r="AA86" i="17"/>
  <c r="AC40" i="7"/>
  <c r="AE37" i="7"/>
  <c r="AC38" i="7"/>
  <c r="S35" i="16"/>
  <c r="S36" i="16" s="1"/>
  <c r="S38" i="16"/>
  <c r="D51" i="10"/>
  <c r="G48" i="10"/>
  <c r="G51" i="10" s="1"/>
  <c r="X43" i="2"/>
  <c r="X41" i="2"/>
  <c r="AW69" i="4"/>
  <c r="AW70" i="4" s="1"/>
  <c r="Y14" i="17"/>
  <c r="Y15" i="17"/>
  <c r="AE70" i="15"/>
  <c r="T106" i="117"/>
  <c r="BA83" i="4"/>
  <c r="BA94" i="4"/>
  <c r="BC94" i="4" s="1"/>
  <c r="BC95" i="4" s="1"/>
  <c r="R44" i="2"/>
  <c r="U35" i="17"/>
  <c r="AA35" i="17"/>
  <c r="G38" i="117"/>
  <c r="G27" i="117"/>
  <c r="I43" i="2"/>
  <c r="O41" i="2"/>
  <c r="I41" i="2"/>
  <c r="M40" i="2"/>
  <c r="AD53" i="3"/>
  <c r="AC54" i="3"/>
  <c r="AC60" i="3"/>
  <c r="BA58" i="4"/>
  <c r="BA69" i="4"/>
  <c r="BA70" i="4" s="1"/>
  <c r="M15" i="9"/>
  <c r="M14" i="9"/>
  <c r="S14" i="9"/>
  <c r="AH7" i="7"/>
  <c r="AI4" i="7"/>
  <c r="AI6" i="7" s="1"/>
  <c r="AJ201" i="3"/>
  <c r="S15" i="8"/>
  <c r="S14" i="8"/>
  <c r="BI33" i="4"/>
  <c r="BF34" i="4"/>
  <c r="BF45" i="4"/>
  <c r="BF58" i="4"/>
  <c r="BF69" i="4"/>
  <c r="BI57" i="4"/>
  <c r="Y96" i="117"/>
  <c r="Z95" i="117"/>
  <c r="W170" i="117"/>
  <c r="W101" i="117"/>
  <c r="Q40" i="7"/>
  <c r="Q38" i="7"/>
  <c r="S37" i="7"/>
  <c r="W38" i="7"/>
  <c r="J56" i="14"/>
  <c r="J58" i="14"/>
  <c r="M35" i="16"/>
  <c r="M36" i="16" s="1"/>
  <c r="M38" i="16"/>
  <c r="AE84" i="15"/>
  <c r="AD85" i="15"/>
  <c r="BQ116" i="4"/>
  <c r="BQ113" i="4" s="1"/>
  <c r="BK113" i="4"/>
  <c r="M35" i="8"/>
  <c r="M36" i="8" s="1"/>
  <c r="M38" i="8"/>
  <c r="AG7" i="17"/>
  <c r="AH4" i="17"/>
  <c r="AH6" i="17" s="1"/>
  <c r="AD21" i="3"/>
  <c r="AE20" i="3"/>
  <c r="J49" i="10"/>
  <c r="J51" i="10"/>
  <c r="M48" i="10"/>
  <c r="P49" i="10"/>
  <c r="BC108" i="4"/>
  <c r="BC110" i="4"/>
  <c r="BC111" i="4" s="1"/>
  <c r="AA80" i="16"/>
  <c r="AA81" i="16" s="1"/>
  <c r="AA78" i="16"/>
  <c r="S11" i="15"/>
  <c r="AB17" i="9"/>
  <c r="AB32" i="9"/>
  <c r="AB33" i="9" s="1"/>
  <c r="AB8" i="9"/>
  <c r="J27" i="7"/>
  <c r="P27" i="7"/>
  <c r="BC33" i="4"/>
  <c r="BC69" i="4"/>
  <c r="BC70" i="4" s="1"/>
  <c r="AZ70" i="4"/>
  <c r="S38" i="2"/>
  <c r="S35" i="2"/>
  <c r="S36" i="2" s="1"/>
  <c r="S46" i="17"/>
  <c r="S43" i="17"/>
  <c r="BS107" i="4"/>
  <c r="BU104" i="4"/>
  <c r="BU105" i="4" s="1"/>
  <c r="BS113" i="4"/>
  <c r="BS114" i="4" s="1"/>
  <c r="AC4" i="10"/>
  <c r="AC6" i="10" s="1"/>
  <c r="AB7" i="10"/>
  <c r="G40" i="7"/>
  <c r="G43" i="7" s="1"/>
  <c r="C43" i="7"/>
  <c r="I44" i="7" s="1"/>
  <c r="I41" i="7"/>
  <c r="P49" i="15"/>
  <c r="P51" i="15"/>
  <c r="P52" i="15" s="1"/>
  <c r="S48" i="15"/>
  <c r="AB89" i="15"/>
  <c r="AB91" i="15"/>
  <c r="AH89" i="15"/>
  <c r="W44" i="16"/>
  <c r="BC114" i="4"/>
  <c r="BC116" i="4"/>
  <c r="BC117" i="4" s="1"/>
  <c r="BB16" i="3"/>
  <c r="BA17" i="3"/>
  <c r="AC82" i="17"/>
  <c r="AC84" i="17" s="1"/>
  <c r="AB85" i="17"/>
  <c r="Y18" i="8"/>
  <c r="Y13" i="8"/>
  <c r="AP88" i="15"/>
  <c r="AP86" i="15"/>
  <c r="BE108" i="4"/>
  <c r="BI107" i="4"/>
  <c r="BE119" i="4"/>
  <c r="BK99" i="3"/>
  <c r="BQ98" i="3"/>
  <c r="BW98" i="3" s="1"/>
  <c r="CC98" i="3" s="1"/>
  <c r="CI98" i="3" s="1"/>
  <c r="CO98" i="3" s="1"/>
  <c r="CU98" i="3" s="1"/>
  <c r="DA98" i="3" s="1"/>
  <c r="DG98" i="3" s="1"/>
  <c r="AE190" i="3"/>
  <c r="AE191" i="3" s="1"/>
  <c r="AE188" i="3"/>
  <c r="F18" i="11"/>
  <c r="F20" i="11" s="1"/>
  <c r="F21" i="11" s="1"/>
  <c r="AQ85" i="15"/>
  <c r="CG168" i="3"/>
  <c r="CG169" i="3" s="1"/>
  <c r="BF176" i="3"/>
  <c r="BF183" i="3" s="1"/>
  <c r="BR183" i="3" s="1"/>
  <c r="BX183" i="3" s="1"/>
  <c r="CD183" i="3" s="1"/>
  <c r="CJ183" i="3" s="1"/>
  <c r="CP183" i="3" s="1"/>
  <c r="CV183" i="3" s="1"/>
  <c r="DB183" i="3" s="1"/>
  <c r="DH183" i="3" s="1"/>
  <c r="BG159" i="3"/>
  <c r="BG176" i="3" s="1"/>
  <c r="BG183" i="3" s="1"/>
  <c r="BS183" i="3" s="1"/>
  <c r="BY183" i="3" s="1"/>
  <c r="CE183" i="3" s="1"/>
  <c r="CK183" i="3" s="1"/>
  <c r="CQ183" i="3" s="1"/>
  <c r="CW183" i="3" s="1"/>
  <c r="DC183" i="3" s="1"/>
  <c r="DI183" i="3" s="1"/>
  <c r="BG87" i="3"/>
  <c r="BI9" i="21"/>
  <c r="CE17" i="20"/>
  <c r="CE18" i="20" s="1"/>
  <c r="D30" i="14"/>
  <c r="D37" i="14" s="1"/>
  <c r="D246" i="14"/>
  <c r="D12" i="14"/>
  <c r="D13" i="14" s="1"/>
  <c r="BL162" i="21"/>
  <c r="AW23" i="21"/>
  <c r="I6" i="14" s="1"/>
  <c r="AZ5" i="21"/>
  <c r="AZ23" i="21"/>
  <c r="BO9" i="21"/>
  <c r="BQ9" i="21"/>
  <c r="E15" i="14"/>
  <c r="E131" i="14" s="1"/>
  <c r="E250" i="14"/>
  <c r="T243" i="117"/>
  <c r="V248" i="117"/>
  <c r="V244" i="117"/>
  <c r="AB244" i="117"/>
  <c r="CK11" i="20"/>
  <c r="CK12" i="20" s="1"/>
  <c r="D190" i="14"/>
  <c r="C242" i="14"/>
  <c r="BH107" i="17"/>
  <c r="BT106" i="17"/>
  <c r="BZ106" i="17" s="1"/>
  <c r="CF106" i="17" s="1"/>
  <c r="CL106" i="17" s="1"/>
  <c r="CR106" i="17" s="1"/>
  <c r="CX106" i="17" s="1"/>
  <c r="DD106" i="17" s="1"/>
  <c r="DJ106" i="17" s="1"/>
  <c r="BH96" i="16"/>
  <c r="CE44" i="21"/>
  <c r="BX158" i="21"/>
  <c r="BR161" i="21"/>
  <c r="BO26" i="20"/>
  <c r="BK28" i="20"/>
  <c r="CR9" i="4"/>
  <c r="CR40" i="21"/>
  <c r="CX15" i="21"/>
  <c r="CX8" i="4"/>
  <c r="DD5" i="4"/>
  <c r="BI144" i="3"/>
  <c r="BH165" i="3"/>
  <c r="BH120" i="3"/>
  <c r="BH121" i="3" s="1"/>
  <c r="V263" i="11"/>
  <c r="R263" i="11"/>
  <c r="V262" i="11" s="1"/>
  <c r="CK19" i="21"/>
  <c r="CM19" i="21" s="1"/>
  <c r="CQ5" i="20"/>
  <c r="CQ14" i="20" s="1"/>
  <c r="CM5" i="20"/>
  <c r="CM6" i="20" s="1"/>
  <c r="BF87" i="3"/>
  <c r="CH228" i="117"/>
  <c r="CH229" i="117" s="1"/>
  <c r="CJ228" i="117"/>
  <c r="AP199" i="117"/>
  <c r="AP200" i="117" s="1"/>
  <c r="AO222" i="117"/>
  <c r="AO219" i="117" s="1"/>
  <c r="AO220" i="117" s="1"/>
  <c r="CI161" i="21"/>
  <c r="CI162" i="21" s="1"/>
  <c r="CO158" i="21"/>
  <c r="CC146" i="21"/>
  <c r="CC147" i="21" s="1"/>
  <c r="CS70" i="21"/>
  <c r="CW70" i="21"/>
  <c r="BI22" i="4"/>
  <c r="BO21" i="4"/>
  <c r="BO22" i="4"/>
  <c r="BO12" i="4"/>
  <c r="BT21" i="4"/>
  <c r="BT22" i="4"/>
  <c r="BU64" i="21"/>
  <c r="BZ64" i="21"/>
  <c r="BZ15" i="4"/>
  <c r="BZ20" i="4"/>
  <c r="BZ21" i="4" s="1"/>
  <c r="CL17" i="4"/>
  <c r="CF14" i="4"/>
  <c r="BB91" i="15"/>
  <c r="BC88" i="15"/>
  <c r="BI82" i="15"/>
  <c r="BI4" i="15"/>
  <c r="BC20" i="15"/>
  <c r="BA48" i="15"/>
  <c r="AZ48" i="15"/>
  <c r="BB13" i="15"/>
  <c r="BB33" i="15"/>
  <c r="BC32" i="15"/>
  <c r="BC31" i="15" s="1"/>
  <c r="BH92" i="21"/>
  <c r="BH95" i="17"/>
  <c r="BG114" i="21"/>
  <c r="BG98" i="17"/>
  <c r="BG109" i="17"/>
  <c r="BG110" i="17" s="1"/>
  <c r="BG136" i="21"/>
  <c r="BG72" i="17"/>
  <c r="BG73" i="17" s="1"/>
  <c r="BG29" i="17"/>
  <c r="BF69" i="17"/>
  <c r="BF70" i="17" s="1"/>
  <c r="BE95" i="17"/>
  <c r="BE92" i="21"/>
  <c r="BI94" i="17"/>
  <c r="BF99" i="16"/>
  <c r="BG113" i="21"/>
  <c r="BG98" i="16"/>
  <c r="BG99" i="16" s="1"/>
  <c r="BH91" i="21"/>
  <c r="BI91" i="21" s="1"/>
  <c r="BH84" i="16"/>
  <c r="BI92" i="16"/>
  <c r="BI83" i="16"/>
  <c r="BG135" i="21"/>
  <c r="BF62" i="16"/>
  <c r="BF65" i="16"/>
  <c r="BG30" i="16"/>
  <c r="BH21" i="16"/>
  <c r="BH67" i="16"/>
  <c r="BI20" i="16"/>
  <c r="BG64" i="16"/>
  <c r="BG65" i="16" s="1"/>
  <c r="CD164" i="117"/>
  <c r="CB164" i="117"/>
  <c r="AQ206" i="117"/>
  <c r="AR205" i="117"/>
  <c r="AQ216" i="117"/>
  <c r="AQ174" i="117"/>
  <c r="AQ217" i="117" s="1"/>
  <c r="AQ306" i="117"/>
  <c r="BH11" i="21" s="1"/>
  <c r="AR173" i="117"/>
  <c r="AT208" i="117"/>
  <c r="AT162" i="117"/>
  <c r="AR202" i="117"/>
  <c r="CL11" i="20"/>
  <c r="CL12" i="20" s="1"/>
  <c r="CL14" i="20"/>
  <c r="CR8" i="20"/>
  <c r="CF15" i="20"/>
  <c r="CF17" i="20"/>
  <c r="CF18" i="20" s="1"/>
  <c r="CF44" i="21"/>
  <c r="CW8" i="20"/>
  <c r="CK17" i="20"/>
  <c r="CK15" i="20"/>
  <c r="CK44" i="21"/>
  <c r="CF26" i="20"/>
  <c r="CF68" i="21"/>
  <c r="CF21" i="20"/>
  <c r="CR23" i="20"/>
  <c r="CL20" i="20"/>
  <c r="CE68" i="21"/>
  <c r="CE26" i="20"/>
  <c r="CE21" i="20"/>
  <c r="CQ23" i="20"/>
  <c r="CK20" i="20"/>
  <c r="CP26" i="20"/>
  <c r="CP15" i="20"/>
  <c r="CP17" i="20"/>
  <c r="CP18" i="20" s="1"/>
  <c r="CP44" i="21"/>
  <c r="CP21" i="20"/>
  <c r="CP68" i="21"/>
  <c r="CV19" i="21"/>
  <c r="CV20" i="20"/>
  <c r="CV11" i="20"/>
  <c r="CV12" i="20" s="1"/>
  <c r="DB5" i="20"/>
  <c r="CV14" i="20"/>
  <c r="CC21" i="20"/>
  <c r="CG20" i="20"/>
  <c r="CC68" i="21"/>
  <c r="CA23" i="20"/>
  <c r="CA24" i="20" s="1"/>
  <c r="N246" i="11"/>
  <c r="CA68" i="21"/>
  <c r="CA21" i="20"/>
  <c r="CO23" i="20"/>
  <c r="CI20" i="20"/>
  <c r="CU19" i="21"/>
  <c r="DA5" i="20"/>
  <c r="BY15" i="4"/>
  <c r="BY64" i="21"/>
  <c r="CA14" i="4"/>
  <c r="BU20" i="4"/>
  <c r="BS21" i="4"/>
  <c r="BS22" i="4"/>
  <c r="BY40" i="21"/>
  <c r="CA40" i="21" s="1"/>
  <c r="BY20" i="4"/>
  <c r="CA8" i="4"/>
  <c r="BY9" i="4"/>
  <c r="CE15" i="21"/>
  <c r="CG15" i="21" s="1"/>
  <c r="CK5" i="4"/>
  <c r="CE14" i="4"/>
  <c r="CG5" i="4"/>
  <c r="CG6" i="4" s="1"/>
  <c r="CE8" i="4"/>
  <c r="BU17" i="4"/>
  <c r="BU18" i="4" s="1"/>
  <c r="M186" i="11"/>
  <c r="M187" i="11" s="1"/>
  <c r="M188" i="11" s="1"/>
  <c r="BU15" i="4"/>
  <c r="CJ40" i="21"/>
  <c r="CJ9" i="4"/>
  <c r="CP15" i="21"/>
  <c r="CV5" i="4"/>
  <c r="CP8" i="4"/>
  <c r="CJ15" i="4"/>
  <c r="CJ64" i="21"/>
  <c r="CJ20" i="4"/>
  <c r="CJ21" i="4" s="1"/>
  <c r="CV17" i="4"/>
  <c r="CP14" i="4"/>
  <c r="BH70" i="9"/>
  <c r="BI69" i="9"/>
  <c r="BH79" i="9"/>
  <c r="BH80" i="9" s="1"/>
  <c r="BH106" i="21"/>
  <c r="BH66" i="9"/>
  <c r="BH67" i="9" s="1"/>
  <c r="BH55" i="9"/>
  <c r="BH57" i="9"/>
  <c r="BH58" i="9" s="1"/>
  <c r="BH128" i="21"/>
  <c r="BI73" i="9"/>
  <c r="BF67" i="9"/>
  <c r="BF80" i="9"/>
  <c r="DA43" i="9"/>
  <c r="BI21" i="7"/>
  <c r="BI67" i="7"/>
  <c r="BF62" i="7"/>
  <c r="BH67" i="7"/>
  <c r="BH21" i="7"/>
  <c r="BF65" i="7"/>
  <c r="BG64" i="7"/>
  <c r="BG65" i="7" s="1"/>
  <c r="BF70" i="10"/>
  <c r="BF41" i="10"/>
  <c r="BF85" i="21"/>
  <c r="BG72" i="10"/>
  <c r="BG73" i="10" s="1"/>
  <c r="BF73" i="10"/>
  <c r="BH75" i="10"/>
  <c r="BI25" i="10"/>
  <c r="BG29" i="10"/>
  <c r="BI21" i="8"/>
  <c r="BI67" i="8"/>
  <c r="BF62" i="8"/>
  <c r="BG64" i="8"/>
  <c r="BG65" i="8" s="1"/>
  <c r="BF30" i="8"/>
  <c r="BH67" i="8"/>
  <c r="BH21" i="8"/>
  <c r="BF65" i="8"/>
  <c r="CQ151" i="3"/>
  <c r="CK168" i="3"/>
  <c r="CK169" i="3" s="1"/>
  <c r="BB55" i="21"/>
  <c r="BC56" i="21"/>
  <c r="BB201" i="3"/>
  <c r="BC181" i="3"/>
  <c r="BC183" i="3"/>
  <c r="BC184" i="3" s="1"/>
  <c r="BD180" i="3"/>
  <c r="BB5" i="21"/>
  <c r="BB23" i="21"/>
  <c r="BC6" i="21"/>
  <c r="BC195" i="3"/>
  <c r="BC206" i="3"/>
  <c r="BC207" i="3" s="1"/>
  <c r="BC197" i="3"/>
  <c r="BC198" i="3" s="1"/>
  <c r="J19" i="11"/>
  <c r="BM52" i="3"/>
  <c r="BL117" i="3"/>
  <c r="BL118" i="3" s="1"/>
  <c r="BH113" i="3"/>
  <c r="BH162" i="3"/>
  <c r="BH86" i="3" s="1"/>
  <c r="BI112" i="3"/>
  <c r="BL10" i="3"/>
  <c r="BL11" i="3" s="1"/>
  <c r="BM51" i="3"/>
  <c r="BL92" i="3"/>
  <c r="BI102" i="3"/>
  <c r="BI98" i="3"/>
  <c r="BI99" i="3" s="1"/>
  <c r="BK144" i="3"/>
  <c r="BK165" i="3"/>
  <c r="CV151" i="3"/>
  <c r="CP168" i="3"/>
  <c r="CP169" i="3" s="1"/>
  <c r="DD168" i="3"/>
  <c r="DD169" i="3" s="1"/>
  <c r="DJ151" i="3"/>
  <c r="DJ168" i="3" s="1"/>
  <c r="CO168" i="3"/>
  <c r="CU151" i="3"/>
  <c r="CI169" i="3"/>
  <c r="BK110" i="3"/>
  <c r="BG160" i="3"/>
  <c r="BF7" i="21"/>
  <c r="BF194" i="3"/>
  <c r="BH159" i="3"/>
  <c r="BG33" i="2"/>
  <c r="BF65" i="2"/>
  <c r="BG64" i="2"/>
  <c r="BG65" i="2" s="1"/>
  <c r="BH67" i="2"/>
  <c r="BH21" i="2"/>
  <c r="BF61" i="2"/>
  <c r="BI67" i="2"/>
  <c r="BI21" i="2"/>
  <c r="CC8" i="20"/>
  <c r="BW14" i="20"/>
  <c r="CA8" i="20"/>
  <c r="BW11" i="20"/>
  <c r="BW12" i="20" s="1"/>
  <c r="BU9" i="20"/>
  <c r="BU11" i="20"/>
  <c r="BU12" i="20" s="1"/>
  <c r="L245" i="11"/>
  <c r="L247" i="11" s="1"/>
  <c r="L248" i="11" s="1"/>
  <c r="BO17" i="20"/>
  <c r="BO18" i="20" s="1"/>
  <c r="BO15" i="20"/>
  <c r="BQ17" i="20"/>
  <c r="BQ18" i="20" s="1"/>
  <c r="BQ15" i="20"/>
  <c r="BQ26" i="20"/>
  <c r="BU14" i="20"/>
  <c r="BQ44" i="21"/>
  <c r="BU44" i="21" s="1"/>
  <c r="CO64" i="21"/>
  <c r="CO15" i="4"/>
  <c r="CO40" i="21"/>
  <c r="CO9" i="4"/>
  <c r="CO20" i="4"/>
  <c r="CI21" i="4"/>
  <c r="CU8" i="4"/>
  <c r="CU14" i="4"/>
  <c r="DA5" i="4"/>
  <c r="CU15" i="21"/>
  <c r="Q103" i="14" l="1"/>
  <c r="Q110" i="14" s="1"/>
  <c r="R104" i="14"/>
  <c r="S95" i="14"/>
  <c r="T96" i="14"/>
  <c r="T95" i="14" s="1"/>
  <c r="CK18" i="20"/>
  <c r="CR19" i="21"/>
  <c r="CX5" i="20"/>
  <c r="BI85" i="4"/>
  <c r="BI86" i="4" s="1"/>
  <c r="BI83" i="4"/>
  <c r="AB86" i="17"/>
  <c r="AB88" i="17"/>
  <c r="BB17" i="3"/>
  <c r="BC16" i="3"/>
  <c r="AD4" i="10"/>
  <c r="AD6" i="10" s="1"/>
  <c r="AC7" i="10"/>
  <c r="J52" i="10"/>
  <c r="P52" i="10"/>
  <c r="AI4" i="17"/>
  <c r="AI6" i="17" s="1"/>
  <c r="AH7" i="17"/>
  <c r="BK114" i="4"/>
  <c r="BO113" i="4"/>
  <c r="Y108" i="117"/>
  <c r="Y100" i="117"/>
  <c r="Z96" i="117"/>
  <c r="BF46" i="4"/>
  <c r="AH8" i="7"/>
  <c r="AH24" i="7"/>
  <c r="AH25" i="7" s="1"/>
  <c r="AH17" i="7"/>
  <c r="AE35" i="7"/>
  <c r="AE36" i="7" s="1"/>
  <c r="AE38" i="7"/>
  <c r="AA91" i="17"/>
  <c r="AA89" i="17"/>
  <c r="AA13" i="8"/>
  <c r="AA14" i="8" s="1"/>
  <c r="AA18" i="8"/>
  <c r="AA10" i="8"/>
  <c r="AA11" i="8" s="1"/>
  <c r="AG7" i="16"/>
  <c r="AH4" i="16"/>
  <c r="AH6" i="16" s="1"/>
  <c r="AC77" i="16"/>
  <c r="AD74" i="16"/>
  <c r="AD76" i="16" s="1"/>
  <c r="P98" i="117"/>
  <c r="J98" i="117"/>
  <c r="Q98" i="117"/>
  <c r="AG13" i="7"/>
  <c r="AG14" i="7" s="1"/>
  <c r="AG18" i="7"/>
  <c r="BK95" i="4"/>
  <c r="S38" i="8"/>
  <c r="S35" i="8"/>
  <c r="S36" i="8" s="1"/>
  <c r="AB8" i="8"/>
  <c r="AB17" i="8"/>
  <c r="AB24" i="8"/>
  <c r="AB25" i="8" s="1"/>
  <c r="BU39" i="4"/>
  <c r="BR40" i="4"/>
  <c r="AE198" i="3"/>
  <c r="AK198" i="3"/>
  <c r="W126" i="117"/>
  <c r="W127" i="117" s="1"/>
  <c r="W173" i="117"/>
  <c r="W104" i="117"/>
  <c r="T114" i="117"/>
  <c r="BF134" i="3"/>
  <c r="BS36" i="4"/>
  <c r="BS33" i="4" s="1"/>
  <c r="BM33" i="4"/>
  <c r="BK119" i="4"/>
  <c r="BK108" i="4"/>
  <c r="AK191" i="3"/>
  <c r="AA33" i="10"/>
  <c r="S51" i="17"/>
  <c r="J41" i="7"/>
  <c r="J43" i="7"/>
  <c r="M40" i="7"/>
  <c r="P41" i="7"/>
  <c r="H166" i="117"/>
  <c r="H167" i="117" s="1"/>
  <c r="AE23" i="21"/>
  <c r="F6" i="14" s="1"/>
  <c r="BL45" i="4"/>
  <c r="BO33" i="4"/>
  <c r="BL34" i="4"/>
  <c r="U49" i="17"/>
  <c r="U51" i="17"/>
  <c r="Y48" i="17"/>
  <c r="AA49" i="17"/>
  <c r="AO92" i="15"/>
  <c r="BL94" i="4"/>
  <c r="BL95" i="4" s="1"/>
  <c r="BL83" i="4"/>
  <c r="Q52" i="10"/>
  <c r="W52" i="10"/>
  <c r="Y44" i="15"/>
  <c r="AI25" i="3"/>
  <c r="AH26" i="3"/>
  <c r="AA45" i="9"/>
  <c r="AA34" i="9"/>
  <c r="AA35" i="9" s="1"/>
  <c r="BH87" i="3"/>
  <c r="BE120" i="4"/>
  <c r="AP89" i="15"/>
  <c r="AP91" i="15"/>
  <c r="AP92" i="15" s="1"/>
  <c r="AD82" i="17"/>
  <c r="AD84" i="17" s="1"/>
  <c r="AC85" i="17"/>
  <c r="AB92" i="15"/>
  <c r="AH92" i="15"/>
  <c r="AG17" i="17"/>
  <c r="AG32" i="17"/>
  <c r="AG8" i="17"/>
  <c r="AG20" i="17"/>
  <c r="AG21" i="17" s="1"/>
  <c r="BU113" i="4"/>
  <c r="BQ114" i="4"/>
  <c r="S38" i="7"/>
  <c r="S35" i="7"/>
  <c r="Y38" i="7"/>
  <c r="BI58" i="4"/>
  <c r="BI60" i="4"/>
  <c r="BI61" i="4" s="1"/>
  <c r="AC59" i="3"/>
  <c r="AC55" i="3"/>
  <c r="AC58" i="3"/>
  <c r="AC61" i="3" s="1"/>
  <c r="G41" i="117"/>
  <c r="G178" i="117"/>
  <c r="AE40" i="7"/>
  <c r="AC41" i="7"/>
  <c r="AC43" i="7"/>
  <c r="AC44" i="7" s="1"/>
  <c r="Y36" i="16"/>
  <c r="BH108" i="4"/>
  <c r="BH119" i="4"/>
  <c r="BI119" i="4" s="1"/>
  <c r="BI120" i="4" s="1"/>
  <c r="BS40" i="4"/>
  <c r="H205" i="117"/>
  <c r="H154" i="117" s="1"/>
  <c r="H156" i="117" s="1"/>
  <c r="BI114" i="4"/>
  <c r="BI116" i="4"/>
  <c r="BI117" i="4" s="1"/>
  <c r="AB74" i="2"/>
  <c r="AB75" i="2" s="1"/>
  <c r="AB17" i="2"/>
  <c r="AB24" i="2"/>
  <c r="AB25" i="2" s="1"/>
  <c r="AB8" i="2"/>
  <c r="AC8" i="15"/>
  <c r="AC32" i="15"/>
  <c r="AC33" i="15" s="1"/>
  <c r="AC17" i="15"/>
  <c r="AC20" i="15"/>
  <c r="AC21" i="15" s="1"/>
  <c r="AD43" i="7"/>
  <c r="AD44" i="7" s="1"/>
  <c r="AD41" i="7"/>
  <c r="M46" i="17"/>
  <c r="M43" i="17"/>
  <c r="M44" i="17" s="1"/>
  <c r="BI40" i="4"/>
  <c r="BI42" i="4"/>
  <c r="BI43" i="4" s="1"/>
  <c r="BO89" i="4"/>
  <c r="BO91" i="4"/>
  <c r="BO92" i="4" s="1"/>
  <c r="BH125" i="3"/>
  <c r="BH137" i="3" s="1"/>
  <c r="BH138" i="3" s="1"/>
  <c r="BG123" i="3"/>
  <c r="BG134" i="3" s="1"/>
  <c r="AB43" i="16"/>
  <c r="AB44" i="16" s="1"/>
  <c r="AB41" i="16"/>
  <c r="AD37" i="16"/>
  <c r="AD26" i="16"/>
  <c r="AD27" i="16" s="1"/>
  <c r="AE25" i="16"/>
  <c r="AE26" i="16" s="1"/>
  <c r="AE27" i="16" s="1"/>
  <c r="U44" i="16"/>
  <c r="AA44" i="16"/>
  <c r="AC51" i="17"/>
  <c r="AC52" i="17" s="1"/>
  <c r="AC49" i="17"/>
  <c r="AE48" i="17"/>
  <c r="AA25" i="2"/>
  <c r="AB34" i="15"/>
  <c r="AB35" i="15" s="1"/>
  <c r="AB45" i="15"/>
  <c r="W135" i="117"/>
  <c r="W132" i="117" s="1"/>
  <c r="I52" i="9"/>
  <c r="BE135" i="3"/>
  <c r="BE140" i="3"/>
  <c r="BQ108" i="4"/>
  <c r="BQ119" i="4"/>
  <c r="AA10" i="15"/>
  <c r="AA11" i="15" s="1"/>
  <c r="S41" i="2"/>
  <c r="S43" i="2"/>
  <c r="M49" i="15"/>
  <c r="M51" i="15"/>
  <c r="M52" i="15" s="1"/>
  <c r="AC8" i="9"/>
  <c r="AC17" i="9"/>
  <c r="AC32" i="9"/>
  <c r="AC33" i="9" s="1"/>
  <c r="AE7" i="9"/>
  <c r="AD49" i="17"/>
  <c r="AD51" i="17"/>
  <c r="AD52" i="17" s="1"/>
  <c r="M5" i="117"/>
  <c r="M7" i="117" s="1"/>
  <c r="L147" i="117"/>
  <c r="L8" i="117"/>
  <c r="V52" i="15"/>
  <c r="Y43" i="2"/>
  <c r="Y41" i="2"/>
  <c r="BQ70" i="4"/>
  <c r="BU33" i="4"/>
  <c r="BR34" i="4"/>
  <c r="BR45" i="4"/>
  <c r="BG69" i="4"/>
  <c r="BG70" i="4" s="1"/>
  <c r="BG58" i="4"/>
  <c r="Y43" i="17"/>
  <c r="Y44" i="17" s="1"/>
  <c r="Y46" i="17"/>
  <c r="BG83" i="4"/>
  <c r="BG94" i="4"/>
  <c r="AH152" i="21"/>
  <c r="AI152" i="21" s="1"/>
  <c r="AJ152" i="21" s="1"/>
  <c r="AK152" i="21" s="1"/>
  <c r="H41" i="117"/>
  <c r="H44" i="117" s="1"/>
  <c r="F181" i="117"/>
  <c r="F184" i="117" s="1"/>
  <c r="F44" i="117"/>
  <c r="BR83" i="4"/>
  <c r="BR94" i="4"/>
  <c r="BR95" i="4" s="1"/>
  <c r="U52" i="9"/>
  <c r="O52" i="9"/>
  <c r="BI108" i="4"/>
  <c r="BI110" i="4"/>
  <c r="BI111" i="4" s="1"/>
  <c r="Y14" i="8"/>
  <c r="Y15" i="8"/>
  <c r="BC34" i="4"/>
  <c r="BC36" i="4"/>
  <c r="BC37" i="4" s="1"/>
  <c r="AB45" i="9"/>
  <c r="AB34" i="9"/>
  <c r="AB35" i="9" s="1"/>
  <c r="AG20" i="3"/>
  <c r="AE21" i="3"/>
  <c r="AD88" i="15"/>
  <c r="AD86" i="15"/>
  <c r="AJ86" i="15"/>
  <c r="AE85" i="15"/>
  <c r="J241" i="14"/>
  <c r="J59" i="14"/>
  <c r="AC171" i="117"/>
  <c r="W171" i="117"/>
  <c r="BF70" i="4"/>
  <c r="BI69" i="4"/>
  <c r="BI70" i="4" s="1"/>
  <c r="BI34" i="4"/>
  <c r="BI36" i="4"/>
  <c r="AD54" i="3"/>
  <c r="AD60" i="3" s="1"/>
  <c r="AE53" i="3"/>
  <c r="I44" i="2"/>
  <c r="O44" i="2"/>
  <c r="AD43" i="2"/>
  <c r="X44" i="2"/>
  <c r="AA25" i="8"/>
  <c r="BT110" i="4"/>
  <c r="BT107" i="4" s="1"/>
  <c r="BU107" i="4" s="1"/>
  <c r="BN107" i="4"/>
  <c r="J26" i="117"/>
  <c r="J165" i="117"/>
  <c r="N98" i="117"/>
  <c r="T98" i="117"/>
  <c r="AC91" i="15"/>
  <c r="AC89" i="15"/>
  <c r="AI89" i="15"/>
  <c r="AC7" i="2"/>
  <c r="AD4" i="2"/>
  <c r="AD6" i="2" s="1"/>
  <c r="AE6" i="15"/>
  <c r="AD7" i="15"/>
  <c r="AB72" i="21"/>
  <c r="AE72" i="21" s="1"/>
  <c r="F252" i="14" s="1"/>
  <c r="AE55" i="21"/>
  <c r="AB54" i="21"/>
  <c r="AH54" i="21"/>
  <c r="AZ32" i="21"/>
  <c r="AZ200" i="3"/>
  <c r="AZ188" i="3"/>
  <c r="AZ190" i="3"/>
  <c r="AZ191" i="3" s="1"/>
  <c r="BC187" i="3"/>
  <c r="BF138" i="3"/>
  <c r="P41" i="8"/>
  <c r="P43" i="8"/>
  <c r="S40" i="8"/>
  <c r="V41" i="8"/>
  <c r="S44" i="10"/>
  <c r="Y44" i="10"/>
  <c r="BQ95" i="4"/>
  <c r="Y41" i="16"/>
  <c r="Y43" i="16"/>
  <c r="D184" i="117"/>
  <c r="AE7" i="15"/>
  <c r="BA54" i="21"/>
  <c r="BA72" i="21"/>
  <c r="M43" i="16"/>
  <c r="M44" i="16" s="1"/>
  <c r="M41" i="16"/>
  <c r="X129" i="117"/>
  <c r="X130" i="117" s="1"/>
  <c r="X118" i="117"/>
  <c r="X120" i="117"/>
  <c r="X121" i="117" s="1"/>
  <c r="Y38" i="8"/>
  <c r="Y35" i="8"/>
  <c r="Y36" i="8" s="1"/>
  <c r="W162" i="117"/>
  <c r="AC162" i="117"/>
  <c r="Q115" i="117"/>
  <c r="W114" i="117"/>
  <c r="W111" i="117" s="1"/>
  <c r="X41" i="8"/>
  <c r="X43" i="8"/>
  <c r="X44" i="8" s="1"/>
  <c r="Y49" i="10"/>
  <c r="Y51" i="10"/>
  <c r="M35" i="7"/>
  <c r="M36" i="7" s="1"/>
  <c r="M38" i="7"/>
  <c r="AE6" i="9"/>
  <c r="AD7" i="9"/>
  <c r="K18" i="117"/>
  <c r="K25" i="117"/>
  <c r="K9" i="117"/>
  <c r="BL69" i="4"/>
  <c r="BL58" i="4"/>
  <c r="BS60" i="4"/>
  <c r="BS57" i="4" s="1"/>
  <c r="BM57" i="4"/>
  <c r="BS85" i="4"/>
  <c r="BS82" i="4" s="1"/>
  <c r="BM82" i="4"/>
  <c r="BO82" i="4" s="1"/>
  <c r="AE184" i="3"/>
  <c r="AK184" i="3"/>
  <c r="AW32" i="21"/>
  <c r="AK201" i="3"/>
  <c r="AH7" i="3"/>
  <c r="AI4" i="3"/>
  <c r="AI6" i="3" s="1"/>
  <c r="BF95" i="4"/>
  <c r="BI94" i="4"/>
  <c r="BI95" i="4" s="1"/>
  <c r="BI86" i="3"/>
  <c r="BI87" i="3" s="1"/>
  <c r="AQ88" i="15"/>
  <c r="BB104" i="3"/>
  <c r="S49" i="15"/>
  <c r="S51" i="15"/>
  <c r="S52" i="15" s="1"/>
  <c r="AB32" i="10"/>
  <c r="AB33" i="10" s="1"/>
  <c r="AB20" i="10"/>
  <c r="AB21" i="10" s="1"/>
  <c r="AB8" i="10"/>
  <c r="AB17" i="10"/>
  <c r="BS108" i="4"/>
  <c r="BS119" i="4"/>
  <c r="AB20" i="9"/>
  <c r="AB21" i="9" s="1"/>
  <c r="AB13" i="9"/>
  <c r="AB14" i="9" s="1"/>
  <c r="AB18" i="9"/>
  <c r="M49" i="10"/>
  <c r="M51" i="10"/>
  <c r="M52" i="10" s="1"/>
  <c r="AG82" i="15"/>
  <c r="AE83" i="15"/>
  <c r="Q43" i="7"/>
  <c r="Q41" i="7"/>
  <c r="W41" i="7"/>
  <c r="S40" i="7"/>
  <c r="AI7" i="7"/>
  <c r="AJ4" i="7"/>
  <c r="AJ6" i="7" s="1"/>
  <c r="M43" i="2"/>
  <c r="M44" i="2" s="1"/>
  <c r="M41" i="2"/>
  <c r="G193" i="14"/>
  <c r="G175" i="14"/>
  <c r="G208" i="14"/>
  <c r="AB80" i="16"/>
  <c r="AB81" i="16" s="1"/>
  <c r="AB78" i="16"/>
  <c r="F202" i="117"/>
  <c r="H62" i="117"/>
  <c r="H11" i="117" s="1"/>
  <c r="J16" i="117"/>
  <c r="J19" i="117"/>
  <c r="J11" i="117"/>
  <c r="J12" i="117" s="1"/>
  <c r="J111" i="117"/>
  <c r="J109" i="117"/>
  <c r="P109" i="117"/>
  <c r="N108" i="117"/>
  <c r="Y36" i="2"/>
  <c r="BU64" i="4"/>
  <c r="BU66" i="4"/>
  <c r="BU67" i="4" s="1"/>
  <c r="AG25" i="7"/>
  <c r="AB61" i="3"/>
  <c r="I51" i="17"/>
  <c r="I52" i="17" s="1"/>
  <c r="M48" i="17"/>
  <c r="S49" i="17" s="1"/>
  <c r="I49" i="17"/>
  <c r="BG137" i="3"/>
  <c r="BG138" i="3" s="1"/>
  <c r="Y49" i="15"/>
  <c r="Y51" i="15"/>
  <c r="S43" i="16"/>
  <c r="S44" i="16" s="1"/>
  <c r="S41" i="16"/>
  <c r="AC7" i="8"/>
  <c r="AD4" i="8"/>
  <c r="AD6" i="8" s="1"/>
  <c r="L44" i="3"/>
  <c r="K45" i="3"/>
  <c r="K46" i="3" s="1"/>
  <c r="J148" i="117"/>
  <c r="M41" i="8"/>
  <c r="M43" i="8"/>
  <c r="M44" i="8" s="1"/>
  <c r="AE46" i="17"/>
  <c r="AE43" i="17"/>
  <c r="AE44" i="17" s="1"/>
  <c r="AA13" i="2"/>
  <c r="AA14" i="2" s="1"/>
  <c r="AA18" i="2"/>
  <c r="AA10" i="2"/>
  <c r="AB13" i="15"/>
  <c r="AB14" i="15" s="1"/>
  <c r="AB18" i="15"/>
  <c r="BL40" i="4"/>
  <c r="BO39" i="4"/>
  <c r="W41" i="8"/>
  <c r="W43" i="8"/>
  <c r="W44" i="8" s="1"/>
  <c r="Y40" i="8"/>
  <c r="BU89" i="4"/>
  <c r="BU91" i="4"/>
  <c r="BU92" i="4" s="1"/>
  <c r="M51" i="9"/>
  <c r="M52" i="9" s="1"/>
  <c r="M49" i="9"/>
  <c r="AZ72" i="21"/>
  <c r="AZ54" i="21"/>
  <c r="AG31" i="3"/>
  <c r="AH30" i="3"/>
  <c r="BG34" i="4"/>
  <c r="BG45" i="4"/>
  <c r="BG46" i="4" s="1"/>
  <c r="AC43" i="16"/>
  <c r="AC44" i="16" s="1"/>
  <c r="AC41" i="16"/>
  <c r="AW82" i="15"/>
  <c r="AS84" i="15"/>
  <c r="S44" i="15"/>
  <c r="AA10" i="10"/>
  <c r="AA11" i="10" s="1"/>
  <c r="AA18" i="10"/>
  <c r="AA13" i="10"/>
  <c r="AA14" i="10" s="1"/>
  <c r="AA34" i="15"/>
  <c r="AA35" i="15" s="1"/>
  <c r="AA45" i="15"/>
  <c r="L145" i="117"/>
  <c r="K146" i="117"/>
  <c r="K148" i="117"/>
  <c r="AK5" i="21"/>
  <c r="AB43" i="2"/>
  <c r="V44" i="2"/>
  <c r="BR58" i="4"/>
  <c r="BR69" i="4"/>
  <c r="BR70" i="4" s="1"/>
  <c r="AQ54" i="21"/>
  <c r="AR55" i="21"/>
  <c r="H38" i="117"/>
  <c r="H36" i="117" s="1"/>
  <c r="S49" i="10"/>
  <c r="S51" i="10"/>
  <c r="S52" i="10" s="1"/>
  <c r="AW190" i="3"/>
  <c r="AW191" i="3" s="1"/>
  <c r="I18" i="11"/>
  <c r="I20" i="11" s="1"/>
  <c r="I21" i="11" s="1"/>
  <c r="AW188" i="3"/>
  <c r="AU201" i="3"/>
  <c r="AW200" i="3"/>
  <c r="AW201" i="3" s="1"/>
  <c r="S44" i="9"/>
  <c r="Y44" i="9"/>
  <c r="AG8" i="3"/>
  <c r="AG81" i="3" s="1"/>
  <c r="AG80" i="3"/>
  <c r="AG83" i="3" s="1"/>
  <c r="AG84" i="3" s="1"/>
  <c r="S51" i="9"/>
  <c r="S49" i="9"/>
  <c r="Y49" i="9"/>
  <c r="BI159" i="3"/>
  <c r="BI160" i="3" s="1"/>
  <c r="BC23" i="21"/>
  <c r="J6" i="14" s="1"/>
  <c r="D35" i="14"/>
  <c r="BL146" i="21"/>
  <c r="BL147" i="21" s="1"/>
  <c r="BU9" i="21"/>
  <c r="BW9" i="21"/>
  <c r="E205" i="14"/>
  <c r="E217" i="14" s="1"/>
  <c r="E221" i="14" s="1"/>
  <c r="E258" i="14" s="1"/>
  <c r="E16" i="14"/>
  <c r="E9" i="14"/>
  <c r="E18" i="14"/>
  <c r="E19" i="14" s="1"/>
  <c r="E24" i="14"/>
  <c r="D39" i="14"/>
  <c r="D48" i="14" s="1"/>
  <c r="D49" i="14" s="1"/>
  <c r="D137" i="14"/>
  <c r="D154" i="14" s="1"/>
  <c r="D158" i="14" s="1"/>
  <c r="BO27" i="20"/>
  <c r="BO30" i="20"/>
  <c r="CQ11" i="20"/>
  <c r="CQ12" i="20" s="1"/>
  <c r="CA64" i="21"/>
  <c r="BH176" i="3"/>
  <c r="BH183" i="3" s="1"/>
  <c r="BT183" i="3" s="1"/>
  <c r="BZ183" i="3" s="1"/>
  <c r="CF183" i="3" s="1"/>
  <c r="CL183" i="3" s="1"/>
  <c r="CR183" i="3" s="1"/>
  <c r="CX183" i="3" s="1"/>
  <c r="DD183" i="3" s="1"/>
  <c r="DJ183" i="3" s="1"/>
  <c r="BX161" i="21"/>
  <c r="BX162" i="21" s="1"/>
  <c r="CD158" i="21"/>
  <c r="BR162" i="21"/>
  <c r="BR146" i="21"/>
  <c r="CX9" i="4"/>
  <c r="CX40" i="21"/>
  <c r="DD8" i="4"/>
  <c r="DJ5" i="4"/>
  <c r="DD15" i="21"/>
  <c r="BI11" i="21"/>
  <c r="BH166" i="3"/>
  <c r="BI165" i="3"/>
  <c r="BI166" i="3" s="1"/>
  <c r="CM168" i="3"/>
  <c r="CM169" i="3" s="1"/>
  <c r="V264" i="11"/>
  <c r="K29" i="138" s="1"/>
  <c r="AP222" i="117"/>
  <c r="AP219" i="117" s="1"/>
  <c r="AP220" i="117" s="1"/>
  <c r="BU26" i="20"/>
  <c r="BQ28" i="20"/>
  <c r="CQ19" i="21"/>
  <c r="CS19" i="21" s="1"/>
  <c r="CW5" i="20"/>
  <c r="CW14" i="20" s="1"/>
  <c r="CS5" i="20"/>
  <c r="CS6" i="20" s="1"/>
  <c r="BK41" i="9"/>
  <c r="BK84" i="21"/>
  <c r="BG84" i="21"/>
  <c r="BI84" i="21" s="1"/>
  <c r="BG41" i="9"/>
  <c r="BI40" i="9"/>
  <c r="BI41" i="9" s="1"/>
  <c r="BG33" i="8"/>
  <c r="CP228" i="117"/>
  <c r="CT228" i="117" s="1"/>
  <c r="CN228" i="117"/>
  <c r="CN229" i="117" s="1"/>
  <c r="AP190" i="117"/>
  <c r="AP191" i="117" s="1"/>
  <c r="AP226" i="117" s="1"/>
  <c r="AP309" i="117"/>
  <c r="BG36" i="21" s="1"/>
  <c r="AP188" i="117"/>
  <c r="AP223" i="117" s="1"/>
  <c r="AO199" i="117"/>
  <c r="AO200" i="117" s="1"/>
  <c r="AO190" i="117"/>
  <c r="AO225" i="117" s="1"/>
  <c r="AO188" i="117"/>
  <c r="AO223" i="117" s="1"/>
  <c r="AO309" i="117"/>
  <c r="BF36" i="21" s="1"/>
  <c r="CI146" i="21"/>
  <c r="CI147" i="21" s="1"/>
  <c r="CO161" i="21"/>
  <c r="CO162" i="21" s="1"/>
  <c r="CU158" i="21"/>
  <c r="CY70" i="21"/>
  <c r="DC70" i="21"/>
  <c r="CF20" i="4"/>
  <c r="CF21" i="4" s="1"/>
  <c r="CF64" i="21"/>
  <c r="CF15" i="4"/>
  <c r="CR17" i="4"/>
  <c r="CL14" i="4"/>
  <c r="BF82" i="15"/>
  <c r="BF84" i="15" s="1"/>
  <c r="BE85" i="15"/>
  <c r="BE88" i="15" s="1"/>
  <c r="BC91" i="15"/>
  <c r="BB10" i="15"/>
  <c r="AZ51" i="15"/>
  <c r="BB45" i="15"/>
  <c r="BB34" i="15"/>
  <c r="BC33" i="15"/>
  <c r="BC34" i="15" s="1"/>
  <c r="BA51" i="15"/>
  <c r="BF4" i="15"/>
  <c r="BF6" i="15" s="1"/>
  <c r="BE7" i="15"/>
  <c r="BH109" i="17"/>
  <c r="BH110" i="17" s="1"/>
  <c r="BH114" i="21"/>
  <c r="BH98" i="17"/>
  <c r="BI92" i="21"/>
  <c r="BH136" i="21"/>
  <c r="BH29" i="17"/>
  <c r="BG88" i="21"/>
  <c r="BG41" i="17"/>
  <c r="BI37" i="17"/>
  <c r="BF41" i="17"/>
  <c r="BF88" i="21"/>
  <c r="BG69" i="17"/>
  <c r="BG70" i="17" s="1"/>
  <c r="BI103" i="17"/>
  <c r="BE136" i="21"/>
  <c r="BE104" i="17"/>
  <c r="BE114" i="21"/>
  <c r="BI97" i="17"/>
  <c r="BE109" i="17"/>
  <c r="BI95" i="17"/>
  <c r="BE75" i="17"/>
  <c r="BI84" i="16"/>
  <c r="BH113" i="21"/>
  <c r="BH87" i="16"/>
  <c r="BH98" i="16"/>
  <c r="BH99" i="16" s="1"/>
  <c r="K216" i="11"/>
  <c r="BI95" i="16"/>
  <c r="BI96" i="16" s="1"/>
  <c r="BI135" i="21"/>
  <c r="BI93" i="16"/>
  <c r="BH93" i="16"/>
  <c r="BH135" i="21"/>
  <c r="BI86" i="16"/>
  <c r="BI98" i="16"/>
  <c r="BI99" i="16" s="1"/>
  <c r="BG61" i="16"/>
  <c r="BG62" i="16" s="1"/>
  <c r="BI21" i="16"/>
  <c r="BG33" i="16"/>
  <c r="BG87" i="21"/>
  <c r="BF87" i="21"/>
  <c r="BF33" i="16"/>
  <c r="BI32" i="16"/>
  <c r="BI33" i="16" s="1"/>
  <c r="BH30" i="16"/>
  <c r="BH64" i="16"/>
  <c r="BH65" i="16" s="1"/>
  <c r="BI67" i="16"/>
  <c r="BI29" i="16"/>
  <c r="CJ164" i="117"/>
  <c r="CH164" i="117"/>
  <c r="AT205" i="117"/>
  <c r="AR203" i="117"/>
  <c r="AO258" i="117"/>
  <c r="AO231" i="117"/>
  <c r="AO232" i="117" s="1"/>
  <c r="AR206" i="117"/>
  <c r="AR216" i="117"/>
  <c r="AR196" i="117"/>
  <c r="AR197" i="117" s="1"/>
  <c r="AR174" i="117"/>
  <c r="AR217" i="117" s="1"/>
  <c r="AR187" i="117"/>
  <c r="AN222" i="117"/>
  <c r="AN199" i="117"/>
  <c r="AN223" i="117"/>
  <c r="AN309" i="117"/>
  <c r="BE36" i="21" s="1"/>
  <c r="CR14" i="20"/>
  <c r="CX8" i="20"/>
  <c r="CR11" i="20"/>
  <c r="CR12" i="20" s="1"/>
  <c r="CL15" i="20"/>
  <c r="CL44" i="21"/>
  <c r="CL17" i="20"/>
  <c r="CL18" i="20" s="1"/>
  <c r="CQ15" i="20"/>
  <c r="CQ17" i="20"/>
  <c r="CQ18" i="20" s="1"/>
  <c r="CQ44" i="21"/>
  <c r="DC8" i="20"/>
  <c r="CX23" i="20"/>
  <c r="CR20" i="20"/>
  <c r="CL26" i="20"/>
  <c r="CL21" i="20"/>
  <c r="CL68" i="21"/>
  <c r="CQ20" i="20"/>
  <c r="CW23" i="20"/>
  <c r="CK68" i="21"/>
  <c r="CK26" i="20"/>
  <c r="CK21" i="20"/>
  <c r="CV68" i="21"/>
  <c r="CV21" i="20"/>
  <c r="CV17" i="20"/>
  <c r="CV18" i="20" s="1"/>
  <c r="CV15" i="20"/>
  <c r="CV44" i="21"/>
  <c r="CV26" i="20"/>
  <c r="DB19" i="21"/>
  <c r="DB11" i="20"/>
  <c r="DB12" i="20" s="1"/>
  <c r="DH5" i="20"/>
  <c r="DB20" i="20"/>
  <c r="DB14" i="20"/>
  <c r="CG68" i="21"/>
  <c r="CG21" i="20"/>
  <c r="O246" i="11"/>
  <c r="CG23" i="20"/>
  <c r="CG24" i="20" s="1"/>
  <c r="CU23" i="20"/>
  <c r="CO20" i="20"/>
  <c r="CM20" i="20"/>
  <c r="CI21" i="20"/>
  <c r="CI68" i="21"/>
  <c r="DG5" i="20"/>
  <c r="DA19" i="21"/>
  <c r="CE64" i="21"/>
  <c r="CE15" i="4"/>
  <c r="CG14" i="4"/>
  <c r="N185" i="11"/>
  <c r="CA9" i="4"/>
  <c r="CA11" i="4"/>
  <c r="CA12" i="4" s="1"/>
  <c r="CQ5" i="4"/>
  <c r="CK8" i="4"/>
  <c r="CK15" i="21"/>
  <c r="CM15" i="21" s="1"/>
  <c r="CK14" i="4"/>
  <c r="CM5" i="4"/>
  <c r="CM6" i="4" s="1"/>
  <c r="BY21" i="4"/>
  <c r="CA20" i="4"/>
  <c r="CA21" i="4" s="1"/>
  <c r="BU21" i="4"/>
  <c r="BU22" i="4"/>
  <c r="CE20" i="4"/>
  <c r="CE40" i="21"/>
  <c r="CG40" i="21" s="1"/>
  <c r="CE9" i="4"/>
  <c r="CG8" i="4"/>
  <c r="N186" i="11"/>
  <c r="CA15" i="4"/>
  <c r="CA17" i="4"/>
  <c r="CA18" i="4" s="1"/>
  <c r="CP40" i="21"/>
  <c r="CP9" i="4"/>
  <c r="CV15" i="21"/>
  <c r="DB5" i="4"/>
  <c r="CV8" i="4"/>
  <c r="CP64" i="21"/>
  <c r="CP20" i="4"/>
  <c r="CP21" i="4" s="1"/>
  <c r="CP15" i="4"/>
  <c r="CV14" i="4"/>
  <c r="DB17" i="4"/>
  <c r="BI70" i="9"/>
  <c r="DG43" i="9"/>
  <c r="BI29" i="7"/>
  <c r="BG61" i="7"/>
  <c r="BG62" i="7" s="1"/>
  <c r="BH64" i="7"/>
  <c r="BH61" i="7" s="1"/>
  <c r="BI32" i="7"/>
  <c r="BI33" i="7" s="1"/>
  <c r="BF83" i="21"/>
  <c r="BF33" i="7"/>
  <c r="BG33" i="7"/>
  <c r="BG83" i="21"/>
  <c r="BH29" i="10"/>
  <c r="BI28" i="10"/>
  <c r="BG41" i="10"/>
  <c r="BG85" i="21"/>
  <c r="BG69" i="10"/>
  <c r="BI26" i="10"/>
  <c r="BI75" i="10"/>
  <c r="BF129" i="21"/>
  <c r="BH72" i="10"/>
  <c r="BH69" i="10" s="1"/>
  <c r="BH70" i="10" s="1"/>
  <c r="BF33" i="8"/>
  <c r="BH64" i="8"/>
  <c r="BH61" i="8" s="1"/>
  <c r="BH62" i="8" s="1"/>
  <c r="BG61" i="8"/>
  <c r="CQ168" i="3"/>
  <c r="CQ169" i="3" s="1"/>
  <c r="CW151" i="3"/>
  <c r="CY151" i="3" s="1"/>
  <c r="CS151" i="3"/>
  <c r="CS152" i="3" s="1"/>
  <c r="BC5" i="21"/>
  <c r="BB72" i="21"/>
  <c r="BC72" i="21" s="1"/>
  <c r="BB54" i="21"/>
  <c r="BC55" i="21"/>
  <c r="BC54" i="21" s="1"/>
  <c r="J7" i="14"/>
  <c r="BN52" i="3"/>
  <c r="BM117" i="3"/>
  <c r="BM118" i="3" s="1"/>
  <c r="BI113" i="3"/>
  <c r="BI95" i="3"/>
  <c r="BI96" i="3" s="1"/>
  <c r="BL93" i="3"/>
  <c r="BL102" i="3"/>
  <c r="BH163" i="3"/>
  <c r="BI162" i="3"/>
  <c r="BI163" i="3" s="1"/>
  <c r="BN51" i="3"/>
  <c r="BM92" i="3"/>
  <c r="BM10" i="3"/>
  <c r="BM11" i="3" s="1"/>
  <c r="BK166" i="3"/>
  <c r="DJ169" i="3"/>
  <c r="CV168" i="3"/>
  <c r="CV169" i="3" s="1"/>
  <c r="DB151" i="3"/>
  <c r="CU168" i="3"/>
  <c r="DA151" i="3"/>
  <c r="CO169" i="3"/>
  <c r="BK113" i="3"/>
  <c r="BK162" i="3"/>
  <c r="BK86" i="3" s="1"/>
  <c r="BH160" i="3"/>
  <c r="BF56" i="21"/>
  <c r="BG7" i="21"/>
  <c r="BG194" i="3"/>
  <c r="BF187" i="3"/>
  <c r="BG8" i="21"/>
  <c r="BG40" i="2"/>
  <c r="BG41" i="2" s="1"/>
  <c r="BG52" i="2"/>
  <c r="BG61" i="2"/>
  <c r="BG62" i="2" s="1"/>
  <c r="BH64" i="2"/>
  <c r="BH65" i="2" s="1"/>
  <c r="BF8" i="21"/>
  <c r="BF33" i="2"/>
  <c r="BF52" i="2"/>
  <c r="BF193" i="3" s="1"/>
  <c r="BF62" i="2"/>
  <c r="CA9" i="20"/>
  <c r="CA11" i="20"/>
  <c r="CA12" i="20" s="1"/>
  <c r="BW17" i="20"/>
  <c r="BW18" i="20" s="1"/>
  <c r="BW15" i="20"/>
  <c r="CA14" i="20"/>
  <c r="BW44" i="21"/>
  <c r="CA44" i="21" s="1"/>
  <c r="BW26" i="20"/>
  <c r="CA26" i="20" s="1"/>
  <c r="CA30" i="20" s="1"/>
  <c r="BU15" i="20"/>
  <c r="M245" i="11"/>
  <c r="M247" i="11" s="1"/>
  <c r="M248" i="11" s="1"/>
  <c r="BU17" i="20"/>
  <c r="BU18" i="20" s="1"/>
  <c r="CC11" i="20"/>
  <c r="CC12" i="20" s="1"/>
  <c r="CI8" i="20"/>
  <c r="CC14" i="20"/>
  <c r="CG8" i="20"/>
  <c r="CU15" i="4"/>
  <c r="CU64" i="21"/>
  <c r="CU20" i="4"/>
  <c r="CU9" i="4"/>
  <c r="CU40" i="21"/>
  <c r="CO21" i="4"/>
  <c r="DG5" i="4"/>
  <c r="DA14" i="4"/>
  <c r="DA15" i="21"/>
  <c r="DA8" i="4"/>
  <c r="R103" i="14" l="1"/>
  <c r="R110" i="14" s="1"/>
  <c r="S104" i="14"/>
  <c r="DD5" i="20"/>
  <c r="CX19" i="21"/>
  <c r="CW11" i="20"/>
  <c r="CW12" i="20" s="1"/>
  <c r="BL148" i="21"/>
  <c r="BO83" i="4"/>
  <c r="BO85" i="4"/>
  <c r="BO86" i="4" s="1"/>
  <c r="W133" i="117"/>
  <c r="W202" i="117"/>
  <c r="BU110" i="4"/>
  <c r="BG135" i="3"/>
  <c r="BG140" i="3"/>
  <c r="AB10" i="15"/>
  <c r="AB11" i="15" s="1"/>
  <c r="AD7" i="8"/>
  <c r="AE6" i="8"/>
  <c r="AG4" i="8" s="1"/>
  <c r="Y52" i="15"/>
  <c r="G194" i="14"/>
  <c r="G200" i="14"/>
  <c r="AG83" i="15"/>
  <c r="AG85" i="15" s="1"/>
  <c r="AK82" i="15"/>
  <c r="AK83" i="15" s="1"/>
  <c r="AB10" i="9"/>
  <c r="AB11" i="9" s="1"/>
  <c r="AB34" i="10"/>
  <c r="AB35" i="10" s="1"/>
  <c r="AB45" i="10"/>
  <c r="AH8" i="3"/>
  <c r="AH81" i="3" s="1"/>
  <c r="AH80" i="3"/>
  <c r="AH83" i="3" s="1"/>
  <c r="AH84" i="3" s="1"/>
  <c r="BS94" i="4"/>
  <c r="BU94" i="4" s="1"/>
  <c r="BS83" i="4"/>
  <c r="BU82" i="4"/>
  <c r="BL70" i="4"/>
  <c r="AD8" i="9"/>
  <c r="AD17" i="9"/>
  <c r="AD32" i="9"/>
  <c r="O52" i="17"/>
  <c r="W112" i="117"/>
  <c r="S43" i="8"/>
  <c r="S44" i="8" s="1"/>
  <c r="S41" i="8"/>
  <c r="AZ201" i="3"/>
  <c r="BC200" i="3"/>
  <c r="BC201" i="3" s="1"/>
  <c r="AC17" i="2"/>
  <c r="AC74" i="2"/>
  <c r="AC75" i="2" s="1"/>
  <c r="AC24" i="2"/>
  <c r="AC8" i="2"/>
  <c r="J38" i="117"/>
  <c r="J27" i="117"/>
  <c r="J28" i="117" s="1"/>
  <c r="BI37" i="4"/>
  <c r="Y44" i="2"/>
  <c r="M8" i="117"/>
  <c r="M147" i="117"/>
  <c r="P5" i="117"/>
  <c r="N7" i="117"/>
  <c r="AC34" i="9"/>
  <c r="AC35" i="9" s="1"/>
  <c r="AC45" i="9"/>
  <c r="BQ120" i="4"/>
  <c r="BE141" i="3"/>
  <c r="AA37" i="2"/>
  <c r="AA26" i="2"/>
  <c r="AA27" i="2" s="1"/>
  <c r="G176" i="117"/>
  <c r="H178" i="117"/>
  <c r="H176" i="117" s="1"/>
  <c r="BU114" i="4"/>
  <c r="BU116" i="4"/>
  <c r="AG33" i="17"/>
  <c r="AC86" i="17"/>
  <c r="AC88" i="17"/>
  <c r="AJ25" i="3"/>
  <c r="AI26" i="3"/>
  <c r="M41" i="7"/>
  <c r="M43" i="7"/>
  <c r="M44" i="7" s="1"/>
  <c r="BM34" i="4"/>
  <c r="BM45" i="4"/>
  <c r="BM46" i="4" s="1"/>
  <c r="BU42" i="4"/>
  <c r="BU40" i="4"/>
  <c r="AB37" i="8"/>
  <c r="AB26" i="8"/>
  <c r="AB27" i="8" s="1"/>
  <c r="Y101" i="117"/>
  <c r="Z100" i="117"/>
  <c r="AH32" i="17"/>
  <c r="AH33" i="17" s="1"/>
  <c r="AH8" i="17"/>
  <c r="AH20" i="17"/>
  <c r="AH21" i="17" s="1"/>
  <c r="AH17" i="17"/>
  <c r="S44" i="17"/>
  <c r="BG57" i="21"/>
  <c r="BG193" i="3"/>
  <c r="BE89" i="15"/>
  <c r="BE91" i="15"/>
  <c r="BE92" i="15" s="1"/>
  <c r="AS85" i="15"/>
  <c r="AT82" i="15"/>
  <c r="AT84" i="15" s="1"/>
  <c r="AH31" i="3"/>
  <c r="AI30" i="3"/>
  <c r="BO42" i="4"/>
  <c r="BO43" i="4" s="1"/>
  <c r="BO40" i="4"/>
  <c r="J149" i="117"/>
  <c r="J158" i="117"/>
  <c r="AC17" i="8"/>
  <c r="AC8" i="8"/>
  <c r="AC24" i="8"/>
  <c r="AE7" i="8"/>
  <c r="J65" i="117"/>
  <c r="J86" i="117"/>
  <c r="AK6" i="7"/>
  <c r="AM4" i="7" s="1"/>
  <c r="AJ7" i="7"/>
  <c r="AK7" i="7" s="1"/>
  <c r="AB13" i="10"/>
  <c r="AB14" i="10" s="1"/>
  <c r="AB10" i="10"/>
  <c r="AB11" i="10" s="1"/>
  <c r="AB18" i="10"/>
  <c r="AG4" i="9"/>
  <c r="AE5" i="9"/>
  <c r="Y52" i="10"/>
  <c r="Y44" i="16"/>
  <c r="P44" i="8"/>
  <c r="V44" i="8"/>
  <c r="J18" i="11"/>
  <c r="J20" i="11" s="1"/>
  <c r="J21" i="11" s="1"/>
  <c r="BC190" i="3"/>
  <c r="BC191" i="3" s="1"/>
  <c r="BC188" i="3"/>
  <c r="BC32" i="21"/>
  <c r="AD20" i="15"/>
  <c r="AD21" i="15" s="1"/>
  <c r="AD32" i="15"/>
  <c r="AD33" i="15" s="1"/>
  <c r="AD17" i="15"/>
  <c r="AD8" i="15"/>
  <c r="BN108" i="4"/>
  <c r="BN119" i="4"/>
  <c r="AD59" i="3"/>
  <c r="AD55" i="3"/>
  <c r="AE54" i="3"/>
  <c r="AD58" i="3"/>
  <c r="AD61" i="3" s="1"/>
  <c r="AD89" i="15"/>
  <c r="AD91" i="15"/>
  <c r="AJ89" i="15"/>
  <c r="AB48" i="9"/>
  <c r="AB46" i="9"/>
  <c r="BR46" i="4"/>
  <c r="AC18" i="9"/>
  <c r="AC13" i="9"/>
  <c r="AC14" i="9" s="1"/>
  <c r="AC20" i="9"/>
  <c r="AC21" i="9" s="1"/>
  <c r="S44" i="2"/>
  <c r="W136" i="117"/>
  <c r="W205" i="117"/>
  <c r="AB46" i="15"/>
  <c r="AB48" i="15"/>
  <c r="AD38" i="16"/>
  <c r="AD40" i="16"/>
  <c r="AE37" i="16"/>
  <c r="G44" i="117"/>
  <c r="G181" i="117"/>
  <c r="G184" i="117" s="1"/>
  <c r="S36" i="7"/>
  <c r="Y36" i="7"/>
  <c r="AG13" i="17"/>
  <c r="AG14" i="17" s="1"/>
  <c r="AG10" i="17"/>
  <c r="AG11" i="17" s="1"/>
  <c r="AG18" i="17"/>
  <c r="AE84" i="17"/>
  <c r="AD85" i="17"/>
  <c r="AQ91" i="15"/>
  <c r="Y49" i="17"/>
  <c r="Y51" i="17"/>
  <c r="Y52" i="17" s="1"/>
  <c r="BO36" i="4"/>
  <c r="BO37" i="4" s="1"/>
  <c r="BO34" i="4"/>
  <c r="J44" i="7"/>
  <c r="P44" i="7"/>
  <c r="BO107" i="4"/>
  <c r="BU108" i="4" s="1"/>
  <c r="BS34" i="4"/>
  <c r="BS45" i="4"/>
  <c r="BS46" i="4" s="1"/>
  <c r="AB18" i="8"/>
  <c r="AB13" i="8"/>
  <c r="AB14" i="8" s="1"/>
  <c r="AG10" i="7"/>
  <c r="AG11" i="7" s="1"/>
  <c r="Y109" i="117"/>
  <c r="Z108" i="117"/>
  <c r="AI7" i="17"/>
  <c r="AJ4" i="17"/>
  <c r="AJ6" i="17" s="1"/>
  <c r="AC8" i="10"/>
  <c r="AC20" i="10"/>
  <c r="AC21" i="10" s="1"/>
  <c r="AC32" i="10"/>
  <c r="AC33" i="10" s="1"/>
  <c r="AC17" i="10"/>
  <c r="AB89" i="17"/>
  <c r="AB91" i="17"/>
  <c r="AB92" i="17" s="1"/>
  <c r="BE32" i="15"/>
  <c r="BE33" i="15" s="1"/>
  <c r="BE20" i="15"/>
  <c r="BE21" i="15" s="1"/>
  <c r="BE17" i="15"/>
  <c r="S52" i="9"/>
  <c r="Y52" i="9"/>
  <c r="AA48" i="15"/>
  <c r="AA46" i="15"/>
  <c r="Y44" i="8"/>
  <c r="Y41" i="8"/>
  <c r="Y43" i="8"/>
  <c r="AA11" i="2"/>
  <c r="AA77" i="2"/>
  <c r="AA78" i="2" s="1"/>
  <c r="AA80" i="2" s="1"/>
  <c r="N111" i="117"/>
  <c r="P112" i="117"/>
  <c r="J112" i="117"/>
  <c r="J114" i="117"/>
  <c r="AI24" i="7"/>
  <c r="AI8" i="7"/>
  <c r="AI17" i="7"/>
  <c r="Q44" i="7"/>
  <c r="W44" i="7"/>
  <c r="BM69" i="4"/>
  <c r="BM70" i="4" s="1"/>
  <c r="BM58" i="4"/>
  <c r="BO57" i="4"/>
  <c r="K26" i="117"/>
  <c r="K165" i="117"/>
  <c r="AE20" i="15"/>
  <c r="AE21" i="15" s="1"/>
  <c r="AE8" i="15"/>
  <c r="AE17" i="15"/>
  <c r="AE18" i="15" s="1"/>
  <c r="AE13" i="15"/>
  <c r="AE10" i="15"/>
  <c r="AE11" i="15" s="1"/>
  <c r="AE54" i="21"/>
  <c r="AF55" i="21"/>
  <c r="AR53" i="21" s="1"/>
  <c r="AK54" i="21"/>
  <c r="AG4" i="15"/>
  <c r="AE5" i="15"/>
  <c r="BT119" i="4"/>
  <c r="BU119" i="4" s="1"/>
  <c r="BU120" i="4" s="1"/>
  <c r="BT108" i="4"/>
  <c r="AE86" i="15"/>
  <c r="AE88" i="15"/>
  <c r="AE89" i="15" s="1"/>
  <c r="L25" i="117"/>
  <c r="L9" i="117"/>
  <c r="L18" i="117"/>
  <c r="N8" i="117"/>
  <c r="AE49" i="17"/>
  <c r="AE51" i="17"/>
  <c r="AE52" i="17" s="1"/>
  <c r="BH134" i="3"/>
  <c r="BI134" i="3" s="1"/>
  <c r="BI135" i="3" s="1"/>
  <c r="AC13" i="15"/>
  <c r="AC14" i="15" s="1"/>
  <c r="AC18" i="15"/>
  <c r="AB26" i="2"/>
  <c r="AB27" i="2" s="1"/>
  <c r="AB37" i="2"/>
  <c r="AA46" i="9"/>
  <c r="AA48" i="9"/>
  <c r="U52" i="17"/>
  <c r="AA52" i="17"/>
  <c r="BO45" i="4"/>
  <c r="BL46" i="4"/>
  <c r="BF135" i="3"/>
  <c r="BF140" i="3"/>
  <c r="W306" i="117"/>
  <c r="AN11" i="21" s="1"/>
  <c r="W216" i="117"/>
  <c r="W196" i="117"/>
  <c r="W174" i="117"/>
  <c r="W217" i="117" s="1"/>
  <c r="AC174" i="117"/>
  <c r="AC217" i="117" s="1"/>
  <c r="AD77" i="16"/>
  <c r="AE76" i="16"/>
  <c r="AG74" i="16" s="1"/>
  <c r="AH7" i="16"/>
  <c r="AI4" i="16"/>
  <c r="AI6" i="16" s="1"/>
  <c r="AA92" i="17"/>
  <c r="AH18" i="7"/>
  <c r="AH13" i="7"/>
  <c r="AH14" i="7" s="1"/>
  <c r="BI45" i="4"/>
  <c r="BI46" i="4" s="1"/>
  <c r="BO116" i="4"/>
  <c r="BO117" i="4" s="1"/>
  <c r="BO114" i="4"/>
  <c r="AE6" i="10"/>
  <c r="AD7" i="10"/>
  <c r="AB40" i="2"/>
  <c r="AH43" i="2"/>
  <c r="K149" i="117"/>
  <c r="K158" i="117"/>
  <c r="M44" i="3"/>
  <c r="L45" i="3"/>
  <c r="L46" i="3" s="1"/>
  <c r="M49" i="17"/>
  <c r="M51" i="17"/>
  <c r="M52" i="17" s="1"/>
  <c r="AG26" i="7"/>
  <c r="AG27" i="7" s="1"/>
  <c r="AG37" i="7"/>
  <c r="N106" i="117"/>
  <c r="N109" i="117"/>
  <c r="T109" i="117"/>
  <c r="H202" i="117"/>
  <c r="H151" i="117" s="1"/>
  <c r="F208" i="117"/>
  <c r="S41" i="7"/>
  <c r="S43" i="7"/>
  <c r="S44" i="7" s="1"/>
  <c r="Y41" i="7"/>
  <c r="Y44" i="7"/>
  <c r="BB106" i="3"/>
  <c r="BB107" i="3" s="1"/>
  <c r="BC104" i="3"/>
  <c r="BC106" i="3" s="1"/>
  <c r="BC107" i="3" s="1"/>
  <c r="AI7" i="3"/>
  <c r="AJ4" i="3"/>
  <c r="AJ6" i="3" s="1"/>
  <c r="BM83" i="4"/>
  <c r="BM94" i="4"/>
  <c r="BO94" i="4" s="1"/>
  <c r="BO95" i="4" s="1"/>
  <c r="BS69" i="4"/>
  <c r="BS70" i="4" s="1"/>
  <c r="BS58" i="4"/>
  <c r="BU57" i="4"/>
  <c r="K11" i="117"/>
  <c r="K12" i="117" s="1"/>
  <c r="K19" i="117"/>
  <c r="K14" i="117"/>
  <c r="BI137" i="3"/>
  <c r="BI138" i="3" s="1"/>
  <c r="AE6" i="2"/>
  <c r="AD7" i="2"/>
  <c r="AC92" i="15"/>
  <c r="AI92" i="15"/>
  <c r="J166" i="117"/>
  <c r="J164" i="117"/>
  <c r="AA37" i="8"/>
  <c r="AA26" i="8"/>
  <c r="AA27" i="8" s="1"/>
  <c r="AJ43" i="2"/>
  <c r="AD40" i="2"/>
  <c r="AD41" i="2" s="1"/>
  <c r="AG53" i="3"/>
  <c r="AE60" i="3"/>
  <c r="AH20" i="3"/>
  <c r="AG21" i="3"/>
  <c r="BU34" i="4"/>
  <c r="BU36" i="4"/>
  <c r="BU37" i="4" s="1"/>
  <c r="L146" i="117"/>
  <c r="M145" i="117"/>
  <c r="AE20" i="9"/>
  <c r="AE21" i="9" s="1"/>
  <c r="AE8" i="9"/>
  <c r="AE10" i="9"/>
  <c r="AE11" i="9" s="1"/>
  <c r="AE13" i="9"/>
  <c r="AE17" i="9"/>
  <c r="AE18" i="9" s="1"/>
  <c r="BI125" i="3"/>
  <c r="BH123" i="3"/>
  <c r="AC45" i="15"/>
  <c r="AC34" i="15"/>
  <c r="AC35" i="15" s="1"/>
  <c r="AB13" i="2"/>
  <c r="AB14" i="2" s="1"/>
  <c r="AB18" i="2"/>
  <c r="AE44" i="7"/>
  <c r="AE41" i="7"/>
  <c r="AE43" i="7"/>
  <c r="G7" i="14"/>
  <c r="F7" i="14"/>
  <c r="AE32" i="15"/>
  <c r="AE31" i="15" s="1"/>
  <c r="AA45" i="10"/>
  <c r="AA34" i="10"/>
  <c r="AA35" i="10" s="1"/>
  <c r="BK120" i="4"/>
  <c r="BO119" i="4"/>
  <c r="BO120" i="4" s="1"/>
  <c r="W117" i="117"/>
  <c r="AC78" i="16"/>
  <c r="AC80" i="16"/>
  <c r="AC81" i="16" s="1"/>
  <c r="AE77" i="16"/>
  <c r="AG24" i="16"/>
  <c r="AG17" i="16"/>
  <c r="AG8" i="16"/>
  <c r="AH37" i="7"/>
  <c r="AH26" i="7"/>
  <c r="AH27" i="7" s="1"/>
  <c r="BC17" i="3"/>
  <c r="BE16" i="3"/>
  <c r="AE91" i="15"/>
  <c r="AE92" i="15" s="1"/>
  <c r="BK87" i="3"/>
  <c r="BR147" i="21"/>
  <c r="CC9" i="21"/>
  <c r="CA9" i="21"/>
  <c r="E12" i="14"/>
  <c r="E13" i="14" s="1"/>
  <c r="E10" i="14"/>
  <c r="E30" i="14"/>
  <c r="E25" i="14"/>
  <c r="E246" i="14"/>
  <c r="J252" i="14"/>
  <c r="J314" i="14"/>
  <c r="D189" i="14"/>
  <c r="D191" i="14" s="1"/>
  <c r="E190" i="14" s="1"/>
  <c r="D193" i="14"/>
  <c r="D194" i="14" s="1"/>
  <c r="BU27" i="20"/>
  <c r="BU30" i="20"/>
  <c r="BR148" i="21"/>
  <c r="CJ158" i="21"/>
  <c r="CD161" i="21"/>
  <c r="CD162" i="21" s="1"/>
  <c r="BX146" i="21"/>
  <c r="BX147" i="21" s="1"/>
  <c r="CA27" i="20"/>
  <c r="DJ8" i="4"/>
  <c r="DJ15" i="21"/>
  <c r="DD9" i="4"/>
  <c r="DD40" i="21"/>
  <c r="P264" i="14"/>
  <c r="K264" i="14"/>
  <c r="J264" i="14"/>
  <c r="N264" i="14"/>
  <c r="L264" i="14"/>
  <c r="I264" i="14"/>
  <c r="H264" i="14"/>
  <c r="O264" i="14"/>
  <c r="M264" i="14"/>
  <c r="AM21" i="12"/>
  <c r="AP231" i="117"/>
  <c r="AP232" i="117" s="1"/>
  <c r="AP258" i="117"/>
  <c r="AP259" i="117" s="1"/>
  <c r="CW19" i="21"/>
  <c r="DC5" i="20"/>
  <c r="DC14" i="20" s="1"/>
  <c r="CY5" i="20"/>
  <c r="CY6" i="20" s="1"/>
  <c r="BG106" i="21"/>
  <c r="BG66" i="9"/>
  <c r="BG79" i="9"/>
  <c r="BG55" i="9"/>
  <c r="BG57" i="9"/>
  <c r="BG58" i="9" s="1"/>
  <c r="BI54" i="9"/>
  <c r="BG128" i="21"/>
  <c r="BI60" i="9"/>
  <c r="BK79" i="9"/>
  <c r="BK80" i="9" s="1"/>
  <c r="BK128" i="21"/>
  <c r="CY152" i="3"/>
  <c r="BN117" i="3"/>
  <c r="BO117" i="3" s="1"/>
  <c r="BO118" i="3" s="1"/>
  <c r="CT229" i="117"/>
  <c r="AP225" i="117"/>
  <c r="AP315" i="117"/>
  <c r="AO191" i="117"/>
  <c r="AO226" i="117" s="1"/>
  <c r="AO315" i="117"/>
  <c r="CO146" i="21"/>
  <c r="CO147" i="21" s="1"/>
  <c r="DA158" i="21"/>
  <c r="CU161" i="21"/>
  <c r="CU162" i="21" s="1"/>
  <c r="DI70" i="21"/>
  <c r="DK70" i="21" s="1"/>
  <c r="DE70" i="21"/>
  <c r="CX17" i="4"/>
  <c r="CR14" i="4"/>
  <c r="CG64" i="21"/>
  <c r="CL64" i="21"/>
  <c r="CL20" i="4"/>
  <c r="CL21" i="4" s="1"/>
  <c r="CL15" i="4"/>
  <c r="BE86" i="15"/>
  <c r="BF85" i="15"/>
  <c r="BF88" i="15" s="1"/>
  <c r="BG82" i="15"/>
  <c r="BG84" i="15" s="1"/>
  <c r="BG4" i="15"/>
  <c r="BG6" i="15" s="1"/>
  <c r="BF7" i="15"/>
  <c r="BB48" i="15"/>
  <c r="BC45" i="15"/>
  <c r="BE8" i="15"/>
  <c r="BK106" i="17"/>
  <c r="BF110" i="21"/>
  <c r="BG110" i="21"/>
  <c r="BF132" i="21"/>
  <c r="BI38" i="17"/>
  <c r="BG132" i="21"/>
  <c r="BH41" i="17"/>
  <c r="BH88" i="21"/>
  <c r="BE110" i="17"/>
  <c r="BI109" i="17"/>
  <c r="BI110" i="17" s="1"/>
  <c r="BI114" i="21"/>
  <c r="BI100" i="17"/>
  <c r="BI101" i="17" s="1"/>
  <c r="K230" i="11"/>
  <c r="BI98" i="17"/>
  <c r="BI106" i="17"/>
  <c r="BI107" i="17" s="1"/>
  <c r="BI136" i="21"/>
  <c r="BI104" i="17"/>
  <c r="K231" i="11"/>
  <c r="BE29" i="17"/>
  <c r="BI28" i="17"/>
  <c r="BK75" i="17"/>
  <c r="BE72" i="17"/>
  <c r="BE69" i="17" s="1"/>
  <c r="BI87" i="16"/>
  <c r="BI113" i="21"/>
  <c r="BI89" i="16"/>
  <c r="BI90" i="16" s="1"/>
  <c r="K215" i="11"/>
  <c r="K217" i="11" s="1"/>
  <c r="K218" i="11" s="1"/>
  <c r="BK91" i="21"/>
  <c r="BK84" i="16"/>
  <c r="BG58" i="16"/>
  <c r="BG59" i="16" s="1"/>
  <c r="BF105" i="16"/>
  <c r="BH61" i="16"/>
  <c r="BI30" i="16"/>
  <c r="BI64" i="16"/>
  <c r="BI52" i="16"/>
  <c r="BH33" i="16"/>
  <c r="BH87" i="21"/>
  <c r="BI87" i="21" s="1"/>
  <c r="BF131" i="21"/>
  <c r="BG131" i="21"/>
  <c r="CP164" i="117"/>
  <c r="CT164" i="117" s="1"/>
  <c r="CN164" i="117"/>
  <c r="AR190" i="117"/>
  <c r="AR222" i="117"/>
  <c r="K50" i="11" s="1"/>
  <c r="K52" i="11" s="1"/>
  <c r="K53" i="11" s="1"/>
  <c r="AR188" i="117"/>
  <c r="AR223" i="117" s="1"/>
  <c r="AT206" i="117"/>
  <c r="AN225" i="117"/>
  <c r="AN226" i="117"/>
  <c r="AT202" i="117"/>
  <c r="AN258" i="117"/>
  <c r="AN231" i="117"/>
  <c r="AN219" i="117"/>
  <c r="AN220" i="117" s="1"/>
  <c r="AQ188" i="117"/>
  <c r="AQ223" i="117" s="1"/>
  <c r="AQ222" i="117"/>
  <c r="AQ190" i="117"/>
  <c r="AQ199" i="117"/>
  <c r="AQ200" i="117" s="1"/>
  <c r="AQ309" i="117"/>
  <c r="BH36" i="21" s="1"/>
  <c r="AN315" i="117"/>
  <c r="AN200" i="117"/>
  <c r="AO259" i="117"/>
  <c r="AO264" i="117"/>
  <c r="AP264" i="117"/>
  <c r="CX11" i="20"/>
  <c r="CX12" i="20" s="1"/>
  <c r="DD8" i="20"/>
  <c r="CX14" i="20"/>
  <c r="CR15" i="20"/>
  <c r="CR17" i="20"/>
  <c r="CR18" i="20" s="1"/>
  <c r="CR44" i="21"/>
  <c r="DI8" i="20"/>
  <c r="CW17" i="20"/>
  <c r="CW18" i="20" s="1"/>
  <c r="CW44" i="21"/>
  <c r="CW15" i="20"/>
  <c r="CR26" i="20"/>
  <c r="CR21" i="20"/>
  <c r="CR68" i="21"/>
  <c r="DD23" i="20"/>
  <c r="CX20" i="20"/>
  <c r="DC23" i="20"/>
  <c r="CW20" i="20"/>
  <c r="CQ26" i="20"/>
  <c r="CQ68" i="21"/>
  <c r="CQ21" i="20"/>
  <c r="DB17" i="20"/>
  <c r="DB18" i="20" s="1"/>
  <c r="DB15" i="20"/>
  <c r="DB44" i="21"/>
  <c r="DB26" i="20"/>
  <c r="DB68" i="21"/>
  <c r="DB21" i="20"/>
  <c r="DH19" i="21"/>
  <c r="DH20" i="20"/>
  <c r="DH14" i="20"/>
  <c r="DH11" i="20"/>
  <c r="DH12" i="20" s="1"/>
  <c r="CM68" i="21"/>
  <c r="P246" i="11"/>
  <c r="CM23" i="20"/>
  <c r="CM24" i="20" s="1"/>
  <c r="CM21" i="20"/>
  <c r="CO21" i="20"/>
  <c r="CO68" i="21"/>
  <c r="CS20" i="20"/>
  <c r="DA23" i="20"/>
  <c r="CU20" i="20"/>
  <c r="DG19" i="21"/>
  <c r="CE21" i="4"/>
  <c r="CG20" i="4"/>
  <c r="CG21" i="4" s="1"/>
  <c r="O185" i="11"/>
  <c r="CG11" i="4"/>
  <c r="CG12" i="4" s="1"/>
  <c r="CG9" i="4"/>
  <c r="CK9" i="4"/>
  <c r="CK40" i="21"/>
  <c r="CM40" i="21" s="1"/>
  <c r="CK20" i="4"/>
  <c r="CM8" i="4"/>
  <c r="N187" i="11"/>
  <c r="N188" i="11" s="1"/>
  <c r="N191" i="11" s="1"/>
  <c r="CQ8" i="4"/>
  <c r="CQ15" i="21"/>
  <c r="CS15" i="21" s="1"/>
  <c r="CQ14" i="4"/>
  <c r="CW5" i="4"/>
  <c r="CS5" i="4"/>
  <c r="CS6" i="4" s="1"/>
  <c r="CG15" i="4"/>
  <c r="O186" i="11"/>
  <c r="CG17" i="4"/>
  <c r="CG18" i="4" s="1"/>
  <c r="CM14" i="4"/>
  <c r="CK15" i="4"/>
  <c r="CK64" i="21"/>
  <c r="CV9" i="4"/>
  <c r="CV40" i="21"/>
  <c r="DH5" i="4"/>
  <c r="DB15" i="21"/>
  <c r="DB8" i="4"/>
  <c r="DH17" i="4"/>
  <c r="DB14" i="4"/>
  <c r="CV20" i="4"/>
  <c r="CV21" i="4" s="1"/>
  <c r="CV15" i="4"/>
  <c r="CV64" i="21"/>
  <c r="BI30" i="7"/>
  <c r="BG105" i="21"/>
  <c r="BH62" i="7"/>
  <c r="BI61" i="7"/>
  <c r="BF127" i="21"/>
  <c r="BG127" i="21"/>
  <c r="BK67" i="7"/>
  <c r="BK21" i="7"/>
  <c r="BH83" i="21"/>
  <c r="BI83" i="21" s="1"/>
  <c r="BI52" i="7"/>
  <c r="BH33" i="7"/>
  <c r="BH65" i="7"/>
  <c r="BI64" i="7"/>
  <c r="BI65" i="7" s="1"/>
  <c r="BH73" i="10"/>
  <c r="BI72" i="10"/>
  <c r="BF55" i="10"/>
  <c r="BF66" i="10"/>
  <c r="BF107" i="21"/>
  <c r="BF57" i="10"/>
  <c r="BF58" i="10" s="1"/>
  <c r="BG129" i="21"/>
  <c r="BG70" i="10"/>
  <c r="BI69" i="10"/>
  <c r="BI29" i="10"/>
  <c r="BG62" i="8"/>
  <c r="BI61" i="8"/>
  <c r="BK21" i="8"/>
  <c r="BK67" i="8"/>
  <c r="BH65" i="8"/>
  <c r="BI64" i="8"/>
  <c r="BI65" i="8" s="1"/>
  <c r="CS168" i="3"/>
  <c r="CS169" i="3" s="1"/>
  <c r="CW168" i="3"/>
  <c r="CW169" i="3" s="1"/>
  <c r="DC151" i="3"/>
  <c r="DE151" i="3" s="1"/>
  <c r="DE152" i="3" s="1"/>
  <c r="BO52" i="3"/>
  <c r="BM93" i="3"/>
  <c r="BN10" i="3"/>
  <c r="BN11" i="3" s="1"/>
  <c r="BO51" i="3"/>
  <c r="BN92" i="3"/>
  <c r="BO92" i="3" s="1"/>
  <c r="BO93" i="3" s="1"/>
  <c r="BG187" i="3"/>
  <c r="BG190" i="3" s="1"/>
  <c r="DB168" i="3"/>
  <c r="DB169" i="3" s="1"/>
  <c r="DH151" i="3"/>
  <c r="DH168" i="3" s="1"/>
  <c r="BG6" i="21"/>
  <c r="CU169" i="3"/>
  <c r="DG151" i="3"/>
  <c r="DA168" i="3"/>
  <c r="BK163" i="3"/>
  <c r="BG56" i="21"/>
  <c r="BG55" i="21" s="1"/>
  <c r="BF32" i="21"/>
  <c r="BF200" i="3"/>
  <c r="BF190" i="3"/>
  <c r="BH7" i="21"/>
  <c r="BH194" i="3"/>
  <c r="BG53" i="2"/>
  <c r="BI64" i="2"/>
  <c r="BI65" i="2" s="1"/>
  <c r="BF53" i="2"/>
  <c r="BF57" i="21"/>
  <c r="BF6" i="21"/>
  <c r="BH30" i="2"/>
  <c r="BH61" i="2"/>
  <c r="CG9" i="20"/>
  <c r="CG11" i="20"/>
  <c r="CG12" i="20" s="1"/>
  <c r="CC15" i="20"/>
  <c r="CC44" i="21"/>
  <c r="CG44" i="21" s="1"/>
  <c r="CC17" i="20"/>
  <c r="CC18" i="20" s="1"/>
  <c r="CG14" i="20"/>
  <c r="CC26" i="20"/>
  <c r="CG26" i="20" s="1"/>
  <c r="CG27" i="20" s="1"/>
  <c r="CA15" i="20"/>
  <c r="CA17" i="20"/>
  <c r="CA18" i="20" s="1"/>
  <c r="N245" i="11"/>
  <c r="N247" i="11" s="1"/>
  <c r="N248" i="11" s="1"/>
  <c r="N251" i="11" s="1"/>
  <c r="CI14" i="20"/>
  <c r="CO8" i="20"/>
  <c r="CI11" i="20"/>
  <c r="CI12" i="20" s="1"/>
  <c r="CM8" i="20"/>
  <c r="CM9" i="20" s="1"/>
  <c r="CU21" i="4"/>
  <c r="DA64" i="21"/>
  <c r="DA15" i="4"/>
  <c r="DA20" i="4"/>
  <c r="DA9" i="4"/>
  <c r="DA40" i="21"/>
  <c r="DG15" i="21"/>
  <c r="DG8" i="4"/>
  <c r="DG14" i="4"/>
  <c r="S103" i="14" l="1"/>
  <c r="S110" i="14" s="1"/>
  <c r="T104" i="14"/>
  <c r="T103" i="14" s="1"/>
  <c r="T110" i="14" s="1"/>
  <c r="CY19" i="21"/>
  <c r="DD19" i="21"/>
  <c r="DJ5" i="20"/>
  <c r="DJ19" i="21" s="1"/>
  <c r="AK10" i="7"/>
  <c r="AK11" i="7" s="1"/>
  <c r="AK8" i="7"/>
  <c r="AK17" i="7"/>
  <c r="AG18" i="16"/>
  <c r="AG13" i="16"/>
  <c r="AG14" i="16" s="1"/>
  <c r="W129" i="117"/>
  <c r="W120" i="117"/>
  <c r="W121" i="117" s="1"/>
  <c r="W118" i="117"/>
  <c r="AA48" i="10"/>
  <c r="AA46" i="10"/>
  <c r="AB10" i="2"/>
  <c r="L148" i="117"/>
  <c r="AD24" i="2"/>
  <c r="AD25" i="2" s="1"/>
  <c r="AD17" i="2"/>
  <c r="AD8" i="2"/>
  <c r="AD74" i="2"/>
  <c r="AD75" i="2" s="1"/>
  <c r="AE7" i="2"/>
  <c r="K15" i="117"/>
  <c r="R15" i="117"/>
  <c r="AK6" i="3"/>
  <c r="AJ7" i="3"/>
  <c r="H208" i="117"/>
  <c r="F156" i="117"/>
  <c r="F154" i="117" s="1"/>
  <c r="F151" i="117" s="1"/>
  <c r="N107" i="117"/>
  <c r="T107" i="117"/>
  <c r="AN43" i="2"/>
  <c r="AH40" i="2"/>
  <c r="AH10" i="7"/>
  <c r="AH11" i="7" s="1"/>
  <c r="AJ4" i="16"/>
  <c r="AJ6" i="16" s="1"/>
  <c r="AI7" i="16"/>
  <c r="AC197" i="117"/>
  <c r="W197" i="117"/>
  <c r="BF141" i="3"/>
  <c r="BO46" i="4"/>
  <c r="AB38" i="2"/>
  <c r="AB46" i="2"/>
  <c r="AC10" i="15"/>
  <c r="AC11" i="15" s="1"/>
  <c r="L16" i="117"/>
  <c r="L19" i="117"/>
  <c r="L11" i="117"/>
  <c r="L12" i="117" s="1"/>
  <c r="BO60" i="4"/>
  <c r="BO61" i="4" s="1"/>
  <c r="BO58" i="4"/>
  <c r="N112" i="117"/>
  <c r="N114" i="117"/>
  <c r="T112" i="117"/>
  <c r="BE34" i="15"/>
  <c r="BE35" i="15" s="1"/>
  <c r="BE45" i="15"/>
  <c r="AC13" i="10"/>
  <c r="AC14" i="10" s="1"/>
  <c r="AC10" i="10"/>
  <c r="AC11" i="10" s="1"/>
  <c r="AC18" i="10"/>
  <c r="AK6" i="17"/>
  <c r="AJ7" i="17"/>
  <c r="S52" i="17"/>
  <c r="AD43" i="16"/>
  <c r="AD44" i="16" s="1"/>
  <c r="AD41" i="16"/>
  <c r="AE40" i="16"/>
  <c r="W206" i="117"/>
  <c r="AC206" i="117"/>
  <c r="AB51" i="9"/>
  <c r="AB52" i="9" s="1"/>
  <c r="AB49" i="9"/>
  <c r="AD13" i="15"/>
  <c r="AD10" i="15"/>
  <c r="AM6" i="7"/>
  <c r="AQ4" i="7"/>
  <c r="J66" i="117"/>
  <c r="J62" i="117"/>
  <c r="AC25" i="8"/>
  <c r="AU82" i="15"/>
  <c r="AU84" i="15" s="1"/>
  <c r="AT85" i="15"/>
  <c r="BU43" i="4"/>
  <c r="M25" i="117"/>
  <c r="M18" i="117"/>
  <c r="M9" i="117"/>
  <c r="J41" i="117"/>
  <c r="J178" i="117"/>
  <c r="J39" i="117"/>
  <c r="BF16" i="3"/>
  <c r="BE17" i="3"/>
  <c r="AH38" i="7"/>
  <c r="AH40" i="7"/>
  <c r="AG25" i="16"/>
  <c r="BK125" i="3"/>
  <c r="BI123" i="3"/>
  <c r="AI20" i="3"/>
  <c r="AH21" i="3"/>
  <c r="AH53" i="3"/>
  <c r="AG54" i="3"/>
  <c r="AG60" i="3"/>
  <c r="J167" i="117"/>
  <c r="J168" i="117" s="1"/>
  <c r="AG4" i="2"/>
  <c r="AE5" i="2"/>
  <c r="AI8" i="3"/>
  <c r="AI81" i="3" s="1"/>
  <c r="AI80" i="3"/>
  <c r="AI83" i="3" s="1"/>
  <c r="AI84" i="3" s="1"/>
  <c r="AK7" i="3"/>
  <c r="AB41" i="2"/>
  <c r="AE40" i="2"/>
  <c r="AH17" i="16"/>
  <c r="AH24" i="16"/>
  <c r="AH25" i="16" s="1"/>
  <c r="AH8" i="16"/>
  <c r="AA51" i="9"/>
  <c r="AA52" i="9" s="1"/>
  <c r="AA49" i="9"/>
  <c r="BH135" i="3"/>
  <c r="BH140" i="3"/>
  <c r="AG6" i="15"/>
  <c r="AK4" i="15"/>
  <c r="AI13" i="7"/>
  <c r="AI14" i="7" s="1"/>
  <c r="AI10" i="7"/>
  <c r="AI11" i="7" s="1"/>
  <c r="AI18" i="7"/>
  <c r="J115" i="117"/>
  <c r="P115" i="117"/>
  <c r="AC34" i="10"/>
  <c r="AC35" i="10" s="1"/>
  <c r="AC45" i="10"/>
  <c r="AI17" i="17"/>
  <c r="AI8" i="17"/>
  <c r="AI20" i="17"/>
  <c r="AI21" i="17" s="1"/>
  <c r="AI32" i="17"/>
  <c r="AI33" i="17" s="1"/>
  <c r="AK7" i="17"/>
  <c r="AD45" i="15"/>
  <c r="AD34" i="15"/>
  <c r="AD35" i="15" s="1"/>
  <c r="AE33" i="15"/>
  <c r="AE34" i="15" s="1"/>
  <c r="AE35" i="15" s="1"/>
  <c r="AS88" i="15"/>
  <c r="AS86" i="15"/>
  <c r="AY86" i="15"/>
  <c r="AJ26" i="3"/>
  <c r="AK25" i="3"/>
  <c r="AG45" i="17"/>
  <c r="AG34" i="17"/>
  <c r="AG35" i="17" s="1"/>
  <c r="AC13" i="2"/>
  <c r="AC14" i="2" s="1"/>
  <c r="AC10" i="2"/>
  <c r="AC18" i="2"/>
  <c r="BO69" i="4"/>
  <c r="BO70" i="4" s="1"/>
  <c r="BU95" i="4"/>
  <c r="AB46" i="10"/>
  <c r="AB48" i="10"/>
  <c r="AG88" i="15"/>
  <c r="AK85" i="15"/>
  <c r="AG86" i="15"/>
  <c r="AM86" i="15"/>
  <c r="BG141" i="3"/>
  <c r="AE80" i="16"/>
  <c r="AE81" i="16" s="1"/>
  <c r="AE78" i="16"/>
  <c r="AA40" i="8"/>
  <c r="AA38" i="8"/>
  <c r="AG40" i="7"/>
  <c r="AG38" i="7"/>
  <c r="K159" i="117"/>
  <c r="K154" i="117"/>
  <c r="K155" i="117" s="1"/>
  <c r="K151" i="117"/>
  <c r="K152" i="117" s="1"/>
  <c r="AD8" i="10"/>
  <c r="AD32" i="10"/>
  <c r="AD20" i="10"/>
  <c r="AD21" i="10" s="1"/>
  <c r="AD17" i="10"/>
  <c r="AE7" i="10"/>
  <c r="AG76" i="16"/>
  <c r="AK74" i="16"/>
  <c r="AN23" i="21"/>
  <c r="L26" i="117"/>
  <c r="L165" i="117"/>
  <c r="AE15" i="15"/>
  <c r="AE14" i="15"/>
  <c r="K164" i="117"/>
  <c r="K166" i="117"/>
  <c r="K167" i="117" s="1"/>
  <c r="K168" i="117" s="1"/>
  <c r="Z106" i="117"/>
  <c r="Z107" i="117" s="1"/>
  <c r="Z109" i="117"/>
  <c r="AB10" i="8"/>
  <c r="AB11" i="8" s="1"/>
  <c r="AD88" i="17"/>
  <c r="AD86" i="17"/>
  <c r="AE85" i="17"/>
  <c r="AB51" i="15"/>
  <c r="AB52" i="15" s="1"/>
  <c r="AB49" i="15"/>
  <c r="AD92" i="15"/>
  <c r="AJ92" i="15"/>
  <c r="AE59" i="3"/>
  <c r="AE58" i="3"/>
  <c r="AC13" i="8"/>
  <c r="AC14" i="8" s="1"/>
  <c r="AC18" i="8"/>
  <c r="AI31" i="3"/>
  <c r="AJ30" i="3"/>
  <c r="AH45" i="17"/>
  <c r="AH34" i="17"/>
  <c r="AH35" i="17" s="1"/>
  <c r="AB40" i="8"/>
  <c r="AB38" i="8"/>
  <c r="AC89" i="17"/>
  <c r="AC91" i="17"/>
  <c r="BU117" i="4"/>
  <c r="AA46" i="2"/>
  <c r="AA38" i="2"/>
  <c r="T5" i="117"/>
  <c r="P7" i="117"/>
  <c r="H181" i="117"/>
  <c r="H184" i="117" s="1"/>
  <c r="AD33" i="9"/>
  <c r="AE32" i="9"/>
  <c r="AE31" i="9" s="1"/>
  <c r="AG6" i="8"/>
  <c r="AK4" i="8"/>
  <c r="W203" i="117"/>
  <c r="W208" i="117"/>
  <c r="W156" i="117" s="1"/>
  <c r="AC203" i="117"/>
  <c r="BF32" i="15"/>
  <c r="BF33" i="15" s="1"/>
  <c r="BF20" i="15"/>
  <c r="BF21" i="15" s="1"/>
  <c r="BF17" i="15"/>
  <c r="BN118" i="3"/>
  <c r="BE104" i="3"/>
  <c r="AC46" i="15"/>
  <c r="AC48" i="15"/>
  <c r="AE14" i="9"/>
  <c r="AE15" i="9"/>
  <c r="AP43" i="2"/>
  <c r="AJ40" i="2"/>
  <c r="AJ41" i="2" s="1"/>
  <c r="BU60" i="4"/>
  <c r="BU61" i="4" s="1"/>
  <c r="BU58" i="4"/>
  <c r="O44" i="3"/>
  <c r="M45" i="3"/>
  <c r="M46" i="3" s="1"/>
  <c r="AG4" i="10"/>
  <c r="AE5" i="10"/>
  <c r="AD80" i="16"/>
  <c r="AD81" i="16" s="1"/>
  <c r="AD78" i="16"/>
  <c r="N9" i="117"/>
  <c r="N18" i="117"/>
  <c r="N19" i="117" s="1"/>
  <c r="BU69" i="4"/>
  <c r="BU70" i="4" s="1"/>
  <c r="N25" i="117"/>
  <c r="K38" i="117"/>
  <c r="K27" i="117"/>
  <c r="K28" i="117" s="1"/>
  <c r="AI25" i="7"/>
  <c r="AA51" i="15"/>
  <c r="AA52" i="15" s="1"/>
  <c r="AA49" i="15"/>
  <c r="BO110" i="4"/>
  <c r="BO111" i="4" s="1"/>
  <c r="BO108" i="4"/>
  <c r="AG82" i="17"/>
  <c r="AE83" i="17"/>
  <c r="AE35" i="16"/>
  <c r="AE36" i="16" s="1"/>
  <c r="AE38" i="16"/>
  <c r="AC10" i="9"/>
  <c r="AC11" i="9" s="1"/>
  <c r="BU45" i="4"/>
  <c r="BU46" i="4" s="1"/>
  <c r="AG6" i="9"/>
  <c r="AK4" i="9"/>
  <c r="AJ8" i="7"/>
  <c r="AJ17" i="7"/>
  <c r="AJ24" i="7"/>
  <c r="AJ25" i="7" s="1"/>
  <c r="J84" i="117"/>
  <c r="J135" i="117"/>
  <c r="AE17" i="8"/>
  <c r="AE8" i="8"/>
  <c r="AE10" i="8"/>
  <c r="AE11" i="8" s="1"/>
  <c r="J159" i="117"/>
  <c r="AH13" i="17"/>
  <c r="AH14" i="17" s="1"/>
  <c r="AH18" i="17"/>
  <c r="Z97" i="117"/>
  <c r="Z98" i="117" s="1"/>
  <c r="Z101" i="117"/>
  <c r="BI140" i="3"/>
  <c r="BI141" i="3" s="1"/>
  <c r="AC46" i="9"/>
  <c r="AC48" i="9"/>
  <c r="N147" i="117"/>
  <c r="P145" i="117" s="1"/>
  <c r="T145" i="117" s="1"/>
  <c r="M146" i="117"/>
  <c r="N146" i="117" s="1"/>
  <c r="AC25" i="2"/>
  <c r="AE24" i="2"/>
  <c r="AE23" i="2" s="1"/>
  <c r="AD13" i="9"/>
  <c r="AD14" i="9" s="1"/>
  <c r="AD20" i="9"/>
  <c r="AD21" i="9" s="1"/>
  <c r="AD18" i="9"/>
  <c r="BU85" i="4"/>
  <c r="BU86" i="4" s="1"/>
  <c r="BU83" i="4"/>
  <c r="AD8" i="8"/>
  <c r="AD17" i="8"/>
  <c r="AD24" i="8"/>
  <c r="AD25" i="8" s="1"/>
  <c r="BU111" i="4"/>
  <c r="D242" i="14"/>
  <c r="CI9" i="21"/>
  <c r="CG9" i="21"/>
  <c r="E37" i="14"/>
  <c r="E35" i="14"/>
  <c r="BK107" i="17"/>
  <c r="BQ106" i="17"/>
  <c r="BW106" i="17" s="1"/>
  <c r="CC106" i="17" s="1"/>
  <c r="CI106" i="17" s="1"/>
  <c r="CO106" i="17" s="1"/>
  <c r="CU106" i="17" s="1"/>
  <c r="DA106" i="17" s="1"/>
  <c r="DG106" i="17" s="1"/>
  <c r="BO23" i="4"/>
  <c r="BQ52" i="3"/>
  <c r="BQ117" i="3" s="1"/>
  <c r="CD146" i="21"/>
  <c r="CD147" i="21" s="1"/>
  <c r="BX148" i="21"/>
  <c r="CJ161" i="21"/>
  <c r="CJ162" i="21" s="1"/>
  <c r="CP158" i="21"/>
  <c r="DJ9" i="4"/>
  <c r="DJ40" i="21"/>
  <c r="AL21" i="12"/>
  <c r="AN21" i="12"/>
  <c r="BF89" i="15"/>
  <c r="BF91" i="15"/>
  <c r="BF66" i="17"/>
  <c r="BF67" i="17" s="1"/>
  <c r="BF47" i="16"/>
  <c r="DI5" i="20"/>
  <c r="DI11" i="20" s="1"/>
  <c r="DC19" i="21"/>
  <c r="DE19" i="21" s="1"/>
  <c r="DE5" i="20"/>
  <c r="DE6" i="20" s="1"/>
  <c r="DC11" i="20"/>
  <c r="DC12" i="20" s="1"/>
  <c r="BK57" i="9"/>
  <c r="BK58" i="9" s="1"/>
  <c r="BK106" i="21"/>
  <c r="BK66" i="9"/>
  <c r="BK67" i="9" s="1"/>
  <c r="BK55" i="9"/>
  <c r="BG80" i="9"/>
  <c r="BI79" i="9"/>
  <c r="BI80" i="9" s="1"/>
  <c r="BI106" i="21"/>
  <c r="BI55" i="9"/>
  <c r="BI57" i="9"/>
  <c r="BI58" i="9" s="1"/>
  <c r="K110" i="11"/>
  <c r="BG67" i="9"/>
  <c r="BI66" i="9"/>
  <c r="BI67" i="9" s="1"/>
  <c r="K111" i="11"/>
  <c r="BI63" i="9"/>
  <c r="BI64" i="9" s="1"/>
  <c r="BI61" i="9"/>
  <c r="BI128" i="21"/>
  <c r="AR199" i="117"/>
  <c r="AR200" i="117" s="1"/>
  <c r="CU146" i="21"/>
  <c r="CU147" i="21" s="1"/>
  <c r="DA161" i="21"/>
  <c r="DA162" i="21" s="1"/>
  <c r="DG158" i="21"/>
  <c r="DG161" i="21" s="1"/>
  <c r="CM64" i="21"/>
  <c r="DH14" i="4"/>
  <c r="DH15" i="4" s="1"/>
  <c r="CR20" i="4"/>
  <c r="CR21" i="4" s="1"/>
  <c r="CR15" i="4"/>
  <c r="CR64" i="21"/>
  <c r="DD17" i="4"/>
  <c r="CX14" i="4"/>
  <c r="BF86" i="15"/>
  <c r="BG85" i="15"/>
  <c r="BG88" i="15" s="1"/>
  <c r="BH82" i="15"/>
  <c r="BH84" i="15" s="1"/>
  <c r="BE95" i="15"/>
  <c r="BE90" i="21"/>
  <c r="BE13" i="15"/>
  <c r="BE10" i="15" s="1"/>
  <c r="BC43" i="15"/>
  <c r="BF8" i="15"/>
  <c r="BB51" i="15"/>
  <c r="BC48" i="15"/>
  <c r="BG7" i="15"/>
  <c r="BG32" i="15" s="1"/>
  <c r="BG33" i="15" s="1"/>
  <c r="BH4" i="15"/>
  <c r="BH6" i="15" s="1"/>
  <c r="BG66" i="17"/>
  <c r="BG67" i="17" s="1"/>
  <c r="BK95" i="17"/>
  <c r="BK92" i="21"/>
  <c r="BG116" i="17"/>
  <c r="BG119" i="17" s="1"/>
  <c r="BG120" i="17" s="1"/>
  <c r="BG55" i="17"/>
  <c r="BF57" i="17"/>
  <c r="BF58" i="17" s="1"/>
  <c r="BF55" i="17"/>
  <c r="BF116" i="17"/>
  <c r="BF119" i="17" s="1"/>
  <c r="BF120" i="17" s="1"/>
  <c r="BG57" i="17"/>
  <c r="BG58" i="17" s="1"/>
  <c r="BH110" i="21"/>
  <c r="BH132" i="21"/>
  <c r="K232" i="11"/>
  <c r="K233" i="11" s="1"/>
  <c r="BE70" i="17"/>
  <c r="BE73" i="17"/>
  <c r="BK29" i="17"/>
  <c r="BI29" i="17"/>
  <c r="BK72" i="17"/>
  <c r="BK69" i="17" s="1"/>
  <c r="BE88" i="21"/>
  <c r="BI88" i="21" s="1"/>
  <c r="BE41" i="17"/>
  <c r="BI40" i="17"/>
  <c r="BI41" i="17" s="1"/>
  <c r="BK135" i="21"/>
  <c r="BK113" i="21"/>
  <c r="BK98" i="16"/>
  <c r="BK87" i="16"/>
  <c r="BG109" i="21"/>
  <c r="BG105" i="16"/>
  <c r="BG113" i="16" s="1"/>
  <c r="BG114" i="16" s="1"/>
  <c r="BG47" i="16"/>
  <c r="BG49" i="16"/>
  <c r="BG50" i="16" s="1"/>
  <c r="BF58" i="16"/>
  <c r="BF59" i="16" s="1"/>
  <c r="BF109" i="21"/>
  <c r="BF49" i="16"/>
  <c r="BF50" i="16" s="1"/>
  <c r="BI131" i="21"/>
  <c r="BI53" i="16"/>
  <c r="BI55" i="16"/>
  <c r="BI56" i="16" s="1"/>
  <c r="K156" i="11"/>
  <c r="BH53" i="16"/>
  <c r="BH131" i="21"/>
  <c r="BK21" i="16"/>
  <c r="BK67" i="16"/>
  <c r="BI15" i="16"/>
  <c r="BI65" i="16"/>
  <c r="BH62" i="16"/>
  <c r="BI61" i="16"/>
  <c r="BF113" i="16"/>
  <c r="BF114" i="16" s="1"/>
  <c r="BF108" i="16"/>
  <c r="BF109" i="16" s="1"/>
  <c r="BF106" i="16"/>
  <c r="AR219" i="117"/>
  <c r="AR220" i="117" s="1"/>
  <c r="AQ225" i="117"/>
  <c r="AQ191" i="117"/>
  <c r="AQ226" i="117" s="1"/>
  <c r="AN232" i="117"/>
  <c r="AP272" i="117"/>
  <c r="AP265" i="117"/>
  <c r="AQ258" i="117"/>
  <c r="AR258" i="117" s="1"/>
  <c r="AR259" i="117" s="1"/>
  <c r="AQ231" i="117"/>
  <c r="AQ232" i="117" s="1"/>
  <c r="AQ219" i="117"/>
  <c r="AQ220" i="117" s="1"/>
  <c r="AN259" i="117"/>
  <c r="AN264" i="117"/>
  <c r="AT216" i="117"/>
  <c r="AT306" i="117"/>
  <c r="BK11" i="21" s="1"/>
  <c r="AT174" i="117"/>
  <c r="AT217" i="117" s="1"/>
  <c r="AT196" i="117"/>
  <c r="AT197" i="117" s="1"/>
  <c r="AO272" i="117"/>
  <c r="AO265" i="117"/>
  <c r="BI36" i="21"/>
  <c r="AQ315" i="117"/>
  <c r="AT203" i="117"/>
  <c r="AR191" i="117"/>
  <c r="AR226" i="117" s="1"/>
  <c r="AR225" i="117"/>
  <c r="CX15" i="20"/>
  <c r="CX17" i="20"/>
  <c r="CX18" i="20" s="1"/>
  <c r="CX44" i="21"/>
  <c r="DD11" i="20"/>
  <c r="DD12" i="20" s="1"/>
  <c r="DJ8" i="20"/>
  <c r="DD14" i="20"/>
  <c r="DC15" i="20"/>
  <c r="DC44" i="21"/>
  <c r="DC17" i="20"/>
  <c r="DC18" i="20" s="1"/>
  <c r="DD20" i="20"/>
  <c r="DJ23" i="20"/>
  <c r="DJ20" i="20" s="1"/>
  <c r="CX68" i="21"/>
  <c r="CX26" i="20"/>
  <c r="CX21" i="20"/>
  <c r="CW26" i="20"/>
  <c r="CW21" i="20"/>
  <c r="CW68" i="21"/>
  <c r="DC20" i="20"/>
  <c r="DI23" i="20"/>
  <c r="DH21" i="20"/>
  <c r="DH68" i="21"/>
  <c r="DH15" i="20"/>
  <c r="DH17" i="20"/>
  <c r="DH18" i="20" s="1"/>
  <c r="DH26" i="20"/>
  <c r="DH44" i="21"/>
  <c r="DG23" i="20"/>
  <c r="DG20" i="20" s="1"/>
  <c r="DG68" i="21" s="1"/>
  <c r="DA20" i="20"/>
  <c r="CS23" i="20"/>
  <c r="CS24" i="20" s="1"/>
  <c r="CS68" i="21"/>
  <c r="Q246" i="11"/>
  <c r="CS21" i="20"/>
  <c r="CU21" i="20"/>
  <c r="CY20" i="20"/>
  <c r="CU68" i="21"/>
  <c r="P186" i="11"/>
  <c r="CM17" i="4"/>
  <c r="CM18" i="4" s="1"/>
  <c r="CM15" i="4"/>
  <c r="CQ40" i="21"/>
  <c r="CS40" i="21" s="1"/>
  <c r="CS8" i="4"/>
  <c r="CQ20" i="4"/>
  <c r="CQ9" i="4"/>
  <c r="CM9" i="4"/>
  <c r="P185" i="11"/>
  <c r="CM11" i="4"/>
  <c r="CM12" i="4" s="1"/>
  <c r="CQ64" i="21"/>
  <c r="CS14" i="4"/>
  <c r="CQ15" i="4"/>
  <c r="O187" i="11"/>
  <c r="O188" i="11" s="1"/>
  <c r="O191" i="11" s="1"/>
  <c r="CW8" i="4"/>
  <c r="CW14" i="4"/>
  <c r="CW15" i="21"/>
  <c r="CY15" i="21" s="1"/>
  <c r="DC5" i="4"/>
  <c r="CY5" i="4"/>
  <c r="CY6" i="4" s="1"/>
  <c r="CK21" i="4"/>
  <c r="CM20" i="4"/>
  <c r="CM21" i="4" s="1"/>
  <c r="DB9" i="4"/>
  <c r="DB40" i="21"/>
  <c r="DH8" i="4"/>
  <c r="DH15" i="21"/>
  <c r="DB64" i="21"/>
  <c r="DB15" i="4"/>
  <c r="DB20" i="4"/>
  <c r="DB21" i="4" s="1"/>
  <c r="BG49" i="7"/>
  <c r="BG50" i="7" s="1"/>
  <c r="BG47" i="7"/>
  <c r="BG58" i="7"/>
  <c r="BG59" i="7" s="1"/>
  <c r="BI127" i="21"/>
  <c r="BI53" i="7"/>
  <c r="K96" i="11"/>
  <c r="BI55" i="7"/>
  <c r="BI56" i="7" s="1"/>
  <c r="BH127" i="21"/>
  <c r="BK64" i="7"/>
  <c r="BI62" i="7"/>
  <c r="BH85" i="21"/>
  <c r="BI85" i="21" s="1"/>
  <c r="BH79" i="10"/>
  <c r="BH80" i="10" s="1"/>
  <c r="BH41" i="10"/>
  <c r="BI40" i="10"/>
  <c r="BI41" i="10" s="1"/>
  <c r="BI73" i="10"/>
  <c r="BI70" i="10"/>
  <c r="BK75" i="10"/>
  <c r="BF67" i="10"/>
  <c r="BG57" i="10"/>
  <c r="BG58" i="10" s="1"/>
  <c r="BG55" i="10"/>
  <c r="BG66" i="10"/>
  <c r="BG67" i="10" s="1"/>
  <c r="BG79" i="10"/>
  <c r="BG80" i="10" s="1"/>
  <c r="BG107" i="21"/>
  <c r="BF49" i="8"/>
  <c r="BF50" i="8" s="1"/>
  <c r="BF47" i="8"/>
  <c r="BF58" i="8"/>
  <c r="BH33" i="8"/>
  <c r="BI32" i="8"/>
  <c r="BI33" i="8" s="1"/>
  <c r="BK64" i="8"/>
  <c r="BK61" i="8" s="1"/>
  <c r="BI62" i="8"/>
  <c r="DC168" i="3"/>
  <c r="DC169" i="3" s="1"/>
  <c r="DI151" i="3"/>
  <c r="DI168" i="3" s="1"/>
  <c r="CY168" i="3"/>
  <c r="CY169" i="3" s="1"/>
  <c r="DH169" i="3"/>
  <c r="BN93" i="3"/>
  <c r="BQ51" i="3"/>
  <c r="BO10" i="3"/>
  <c r="BO11" i="3" s="1"/>
  <c r="BG32" i="21"/>
  <c r="BG200" i="3"/>
  <c r="DA169" i="3"/>
  <c r="DG168" i="3"/>
  <c r="BG54" i="21"/>
  <c r="BH187" i="3"/>
  <c r="BH56" i="21"/>
  <c r="BK159" i="3"/>
  <c r="BK67" i="2"/>
  <c r="BK21" i="2"/>
  <c r="BH62" i="2"/>
  <c r="BI61" i="2"/>
  <c r="BH8" i="21"/>
  <c r="BH52" i="2"/>
  <c r="BH193" i="3" s="1"/>
  <c r="BH33" i="2"/>
  <c r="BF55" i="21"/>
  <c r="CG15" i="20"/>
  <c r="O245" i="11"/>
  <c r="O247" i="11" s="1"/>
  <c r="O248" i="11" s="1"/>
  <c r="O251" i="11" s="1"/>
  <c r="CG17" i="20"/>
  <c r="CG18" i="20" s="1"/>
  <c r="CO14" i="20"/>
  <c r="CO11" i="20"/>
  <c r="CO12" i="20" s="1"/>
  <c r="CS8" i="20"/>
  <c r="CS9" i="20" s="1"/>
  <c r="CU8" i="20"/>
  <c r="CI26" i="20"/>
  <c r="CM26" i="20" s="1"/>
  <c r="CM27" i="20" s="1"/>
  <c r="CI15" i="20"/>
  <c r="CI17" i="20"/>
  <c r="CI18" i="20" s="1"/>
  <c r="CI44" i="21"/>
  <c r="CM44" i="21" s="1"/>
  <c r="CM14" i="20"/>
  <c r="CM11" i="20"/>
  <c r="CM12" i="20" s="1"/>
  <c r="DG15" i="4"/>
  <c r="DG64" i="21"/>
  <c r="DG20" i="4"/>
  <c r="DG40" i="21"/>
  <c r="DG9" i="4"/>
  <c r="DA21" i="4"/>
  <c r="AG7" i="9" l="1"/>
  <c r="AH4" i="9"/>
  <c r="AH6" i="9" s="1"/>
  <c r="AV43" i="2"/>
  <c r="AP40" i="2"/>
  <c r="AP41" i="2" s="1"/>
  <c r="AH46" i="17"/>
  <c r="AH48" i="17"/>
  <c r="AD91" i="17"/>
  <c r="AD92" i="17" s="1"/>
  <c r="AD89" i="17"/>
  <c r="L166" i="117"/>
  <c r="L167" i="117" s="1"/>
  <c r="L168" i="117" s="1"/>
  <c r="L164" i="117"/>
  <c r="AS91" i="15"/>
  <c r="AS89" i="15"/>
  <c r="AY89" i="15"/>
  <c r="AH26" i="16"/>
  <c r="AH27" i="16" s="1"/>
  <c r="AH37" i="16"/>
  <c r="BG91" i="15"/>
  <c r="BG92" i="15" s="1"/>
  <c r="BG89" i="15"/>
  <c r="AE18" i="8"/>
  <c r="AE13" i="8"/>
  <c r="AJ10" i="7"/>
  <c r="AJ11" i="7" s="1"/>
  <c r="AJ13" i="7"/>
  <c r="AJ14" i="7" s="1"/>
  <c r="AJ18" i="7"/>
  <c r="AK24" i="7"/>
  <c r="AK23" i="7" s="1"/>
  <c r="AC49" i="15"/>
  <c r="AC51" i="15"/>
  <c r="AC52" i="15" s="1"/>
  <c r="AG7" i="8"/>
  <c r="AH4" i="8"/>
  <c r="AH6" i="8" s="1"/>
  <c r="Q5" i="117"/>
  <c r="Q7" i="117" s="1"/>
  <c r="P8" i="117"/>
  <c r="P147" i="117"/>
  <c r="AA33" i="21"/>
  <c r="AA192" i="3"/>
  <c r="AA47" i="2"/>
  <c r="AA58" i="2"/>
  <c r="AA49" i="2"/>
  <c r="AA50" i="2" s="1"/>
  <c r="AK30" i="3"/>
  <c r="AJ31" i="3"/>
  <c r="AC10" i="8"/>
  <c r="AC11" i="8" s="1"/>
  <c r="L38" i="117"/>
  <c r="L27" i="117"/>
  <c r="L28" i="117" s="1"/>
  <c r="AE8" i="10"/>
  <c r="AE20" i="10"/>
  <c r="AE21" i="10" s="1"/>
  <c r="AE17" i="10"/>
  <c r="AE18" i="10" s="1"/>
  <c r="AE10" i="10"/>
  <c r="AE11" i="10" s="1"/>
  <c r="AE13" i="10"/>
  <c r="AB49" i="10"/>
  <c r="AB51" i="10"/>
  <c r="AB52" i="10" s="1"/>
  <c r="AK20" i="17"/>
  <c r="AK21" i="17" s="1"/>
  <c r="AK8" i="17"/>
  <c r="AK17" i="17"/>
  <c r="AK18" i="17" s="1"/>
  <c r="AK10" i="17"/>
  <c r="AK11" i="17" s="1"/>
  <c r="AK13" i="17"/>
  <c r="AI13" i="17"/>
  <c r="AI14" i="17" s="1"/>
  <c r="AI18" i="17"/>
  <c r="AH18" i="16"/>
  <c r="AH13" i="16"/>
  <c r="AH14" i="16" s="1"/>
  <c r="AH10" i="16"/>
  <c r="AH11" i="16" s="1"/>
  <c r="AJ20" i="3"/>
  <c r="AI21" i="3"/>
  <c r="BK137" i="3"/>
  <c r="BL125" i="3"/>
  <c r="BK123" i="3"/>
  <c r="BK134" i="3" s="1"/>
  <c r="J181" i="117"/>
  <c r="J42" i="117"/>
  <c r="J44" i="117"/>
  <c r="J45" i="117" s="1"/>
  <c r="AC37" i="8"/>
  <c r="AC26" i="8"/>
  <c r="AC27" i="8" s="1"/>
  <c r="AE25" i="8"/>
  <c r="AE26" i="8" s="1"/>
  <c r="AE27" i="8" s="1"/>
  <c r="AE41" i="16"/>
  <c r="AE43" i="16"/>
  <c r="AE44" i="16" s="1"/>
  <c r="AB47" i="2"/>
  <c r="AB33" i="21"/>
  <c r="AB31" i="21" s="1"/>
  <c r="AB48" i="21" s="1"/>
  <c r="AB192" i="3"/>
  <c r="AB58" i="2"/>
  <c r="AB59" i="2" s="1"/>
  <c r="AB49" i="2"/>
  <c r="AB50" i="2" s="1"/>
  <c r="AM4" i="3"/>
  <c r="AK5" i="3"/>
  <c r="AB11" i="2"/>
  <c r="AB77" i="2"/>
  <c r="AB78" i="2" s="1"/>
  <c r="AB80" i="2" s="1"/>
  <c r="AG10" i="16"/>
  <c r="AG11" i="16" s="1"/>
  <c r="AC49" i="9"/>
  <c r="AC51" i="9"/>
  <c r="AC52" i="9" s="1"/>
  <c r="O45" i="3"/>
  <c r="O46" i="3" s="1"/>
  <c r="P44" i="3"/>
  <c r="AH74" i="16"/>
  <c r="AH76" i="16" s="1"/>
  <c r="AG77" i="16"/>
  <c r="AA41" i="8"/>
  <c r="AA43" i="8"/>
  <c r="AA44" i="8" s="1"/>
  <c r="AG91" i="15"/>
  <c r="AG89" i="15"/>
  <c r="AM89" i="15"/>
  <c r="AH41" i="7"/>
  <c r="AH43" i="7"/>
  <c r="AH44" i="7" s="1"/>
  <c r="BG34" i="15"/>
  <c r="BG35" i="15" s="1"/>
  <c r="BG45" i="15"/>
  <c r="AD37" i="8"/>
  <c r="AD26" i="8"/>
  <c r="AD27" i="8" s="1"/>
  <c r="AD10" i="9"/>
  <c r="AD11" i="9" s="1"/>
  <c r="M148" i="117"/>
  <c r="N148" i="117" s="1"/>
  <c r="J136" i="117"/>
  <c r="J132" i="117"/>
  <c r="AE48" i="15"/>
  <c r="AI26" i="7"/>
  <c r="AI27" i="7" s="1"/>
  <c r="AI37" i="7"/>
  <c r="AK25" i="7"/>
  <c r="AK26" i="7" s="1"/>
  <c r="AK27" i="7" s="1"/>
  <c r="AK4" i="10"/>
  <c r="AG6" i="10"/>
  <c r="BF18" i="15"/>
  <c r="BF10" i="15"/>
  <c r="BF13" i="15"/>
  <c r="AB41" i="8"/>
  <c r="AB43" i="8"/>
  <c r="AB44" i="8" s="1"/>
  <c r="AE86" i="17"/>
  <c r="AE88" i="17"/>
  <c r="AE89" i="17" s="1"/>
  <c r="AD13" i="10"/>
  <c r="AD14" i="10" s="1"/>
  <c r="AD10" i="10"/>
  <c r="AD11" i="10" s="1"/>
  <c r="AD18" i="10"/>
  <c r="AG43" i="7"/>
  <c r="AG44" i="7" s="1"/>
  <c r="AG41" i="7"/>
  <c r="AC77" i="2"/>
  <c r="AC78" i="2" s="1"/>
  <c r="AC80" i="2" s="1"/>
  <c r="AC11" i="2"/>
  <c r="AG48" i="17"/>
  <c r="AG46" i="17"/>
  <c r="AI34" i="17"/>
  <c r="AI35" i="17" s="1"/>
  <c r="AI45" i="17"/>
  <c r="AC48" i="10"/>
  <c r="AC46" i="10"/>
  <c r="AE41" i="2"/>
  <c r="AE43" i="2"/>
  <c r="AE44" i="2" s="1"/>
  <c r="AK80" i="3"/>
  <c r="AK83" i="3" s="1"/>
  <c r="AK84" i="3" s="1"/>
  <c r="AK8" i="3"/>
  <c r="AK81" i="3" s="1"/>
  <c r="AG6" i="2"/>
  <c r="AK4" i="2"/>
  <c r="AG55" i="3"/>
  <c r="AG58" i="3"/>
  <c r="AG59" i="3"/>
  <c r="AH41" i="2"/>
  <c r="AK40" i="2"/>
  <c r="AD10" i="2"/>
  <c r="AD18" i="2"/>
  <c r="AD13" i="2"/>
  <c r="AD14" i="2" s="1"/>
  <c r="N26" i="117"/>
  <c r="N27" i="117" s="1"/>
  <c r="N28" i="117" s="1"/>
  <c r="AC37" i="2"/>
  <c r="AC26" i="2"/>
  <c r="AC27" i="2" s="1"/>
  <c r="AE25" i="2"/>
  <c r="AE26" i="2" s="1"/>
  <c r="AE27" i="2" s="1"/>
  <c r="AJ26" i="7"/>
  <c r="AJ37" i="7"/>
  <c r="K39" i="117"/>
  <c r="K41" i="117"/>
  <c r="K178" i="117"/>
  <c r="BF45" i="15"/>
  <c r="AD33" i="10"/>
  <c r="AE32" i="10"/>
  <c r="AE31" i="10" s="1"/>
  <c r="AG7" i="15"/>
  <c r="AH4" i="15"/>
  <c r="AH6" i="15" s="1"/>
  <c r="BG16" i="3"/>
  <c r="BF17" i="3"/>
  <c r="BG104" i="3"/>
  <c r="BG106" i="3" s="1"/>
  <c r="AD18" i="8"/>
  <c r="AD13" i="8"/>
  <c r="AD14" i="8" s="1"/>
  <c r="AH10" i="17"/>
  <c r="AH11" i="17" s="1"/>
  <c r="J85" i="117"/>
  <c r="Q85" i="117"/>
  <c r="J81" i="117"/>
  <c r="AG84" i="17"/>
  <c r="AK82" i="17"/>
  <c r="BE106" i="3"/>
  <c r="BE107" i="3" s="1"/>
  <c r="AD45" i="9"/>
  <c r="AD34" i="9"/>
  <c r="AD35" i="9" s="1"/>
  <c r="AE33" i="9"/>
  <c r="AE34" i="9" s="1"/>
  <c r="AE35" i="9" s="1"/>
  <c r="AC92" i="17"/>
  <c r="AE91" i="17"/>
  <c r="AE92" i="17" s="1"/>
  <c r="AE61" i="3"/>
  <c r="AK88" i="15"/>
  <c r="AK86" i="15"/>
  <c r="AQ86" i="15"/>
  <c r="AM25" i="3"/>
  <c r="AK26" i="3"/>
  <c r="AD48" i="15"/>
  <c r="AD46" i="15"/>
  <c r="BH141" i="3"/>
  <c r="AI53" i="3"/>
  <c r="AH54" i="3"/>
  <c r="AH60" i="3"/>
  <c r="AG26" i="16"/>
  <c r="AG27" i="16" s="1"/>
  <c r="AG37" i="16"/>
  <c r="BF104" i="3"/>
  <c r="BF106" i="3" s="1"/>
  <c r="J179" i="117"/>
  <c r="J176" i="117"/>
  <c r="J177" i="117" s="1"/>
  <c r="M19" i="117"/>
  <c r="M14" i="117"/>
  <c r="M15" i="117" s="1"/>
  <c r="AT88" i="15"/>
  <c r="AT86" i="15"/>
  <c r="AZ86" i="15"/>
  <c r="J205" i="117"/>
  <c r="AM7" i="7"/>
  <c r="AN4" i="7"/>
  <c r="AN6" i="7" s="1"/>
  <c r="AJ17" i="17"/>
  <c r="AJ8" i="17"/>
  <c r="AJ32" i="17"/>
  <c r="AJ20" i="17"/>
  <c r="AJ21" i="17" s="1"/>
  <c r="N115" i="117"/>
  <c r="T115" i="117"/>
  <c r="L65" i="117"/>
  <c r="L86" i="117"/>
  <c r="L135" i="117" s="1"/>
  <c r="N135" i="117" s="1"/>
  <c r="AI17" i="16"/>
  <c r="AI24" i="16"/>
  <c r="AI25" i="16" s="1"/>
  <c r="AI8" i="16"/>
  <c r="AT43" i="2"/>
  <c r="AN40" i="2"/>
  <c r="AE8" i="2"/>
  <c r="AE17" i="2"/>
  <c r="AE10" i="2"/>
  <c r="AE11" i="2" s="1"/>
  <c r="AD37" i="2"/>
  <c r="AD26" i="2"/>
  <c r="AD27" i="2" s="1"/>
  <c r="M165" i="117"/>
  <c r="M26" i="117"/>
  <c r="AU85" i="15"/>
  <c r="AV82" i="15"/>
  <c r="AV84" i="15" s="1"/>
  <c r="AE24" i="8"/>
  <c r="AE23" i="8" s="1"/>
  <c r="J63" i="117"/>
  <c r="J202" i="117"/>
  <c r="AM4" i="17"/>
  <c r="AK5" i="17"/>
  <c r="BE48" i="15"/>
  <c r="BE46" i="15"/>
  <c r="AJ7" i="16"/>
  <c r="AK7" i="16" s="1"/>
  <c r="AK6" i="16"/>
  <c r="AJ8" i="3"/>
  <c r="AJ81" i="3" s="1"/>
  <c r="AJ80" i="3"/>
  <c r="AJ83" i="3" s="1"/>
  <c r="AJ84" i="3" s="1"/>
  <c r="L149" i="117"/>
  <c r="L158" i="117"/>
  <c r="AA51" i="10"/>
  <c r="AA52" i="10" s="1"/>
  <c r="AA49" i="10"/>
  <c r="W130" i="117"/>
  <c r="AK18" i="7"/>
  <c r="AK13" i="7"/>
  <c r="AE45" i="15"/>
  <c r="CM9" i="21"/>
  <c r="CO9" i="21"/>
  <c r="E39" i="14"/>
  <c r="E48" i="14" s="1"/>
  <c r="E137" i="14"/>
  <c r="E154" i="14" s="1"/>
  <c r="E158" i="14" s="1"/>
  <c r="DI20" i="20"/>
  <c r="DI68" i="21" s="1"/>
  <c r="DG162" i="21"/>
  <c r="DI12" i="20"/>
  <c r="BR52" i="3"/>
  <c r="BR117" i="3" s="1"/>
  <c r="BR118" i="3" s="1"/>
  <c r="CJ146" i="21"/>
  <c r="CJ147" i="21" s="1"/>
  <c r="CV158" i="21"/>
  <c r="CP161" i="21"/>
  <c r="CP162" i="21" s="1"/>
  <c r="CD148" i="21"/>
  <c r="BG20" i="15"/>
  <c r="BG21" i="15" s="1"/>
  <c r="BG17" i="15"/>
  <c r="DI14" i="20"/>
  <c r="DI15" i="20" s="1"/>
  <c r="P187" i="11"/>
  <c r="P188" i="11" s="1"/>
  <c r="P191" i="11" s="1"/>
  <c r="DH64" i="21"/>
  <c r="BF92" i="15"/>
  <c r="BG108" i="16"/>
  <c r="BG109" i="16" s="1"/>
  <c r="DG21" i="20"/>
  <c r="DI19" i="21"/>
  <c r="DK19" i="21" s="1"/>
  <c r="DK5" i="20"/>
  <c r="DK6" i="20" s="1"/>
  <c r="K112" i="11"/>
  <c r="K113" i="11" s="1"/>
  <c r="DE168" i="3"/>
  <c r="DE169" i="3" s="1"/>
  <c r="DI169" i="3"/>
  <c r="K254" i="14"/>
  <c r="K256" i="14" s="1"/>
  <c r="DA146" i="21"/>
  <c r="DA147" i="21" s="1"/>
  <c r="DG146" i="21"/>
  <c r="CS64" i="21"/>
  <c r="DD14" i="4"/>
  <c r="DJ17" i="4"/>
  <c r="DJ14" i="4" s="1"/>
  <c r="CX15" i="4"/>
  <c r="CX20" i="4"/>
  <c r="CX21" i="4" s="1"/>
  <c r="CX64" i="21"/>
  <c r="BH85" i="15"/>
  <c r="BI84" i="15"/>
  <c r="BG86" i="15"/>
  <c r="BF95" i="15"/>
  <c r="BF90" i="21"/>
  <c r="BE98" i="15"/>
  <c r="BE112" i="21"/>
  <c r="BG8" i="15"/>
  <c r="BC51" i="15"/>
  <c r="BF37" i="15"/>
  <c r="BF38" i="15" s="1"/>
  <c r="BF75" i="15"/>
  <c r="BH7" i="15"/>
  <c r="BI6" i="15"/>
  <c r="BK136" i="21"/>
  <c r="BK114" i="21"/>
  <c r="BK109" i="17"/>
  <c r="BH57" i="17"/>
  <c r="BH58" i="17" s="1"/>
  <c r="BH116" i="17"/>
  <c r="BH117" i="17" s="1"/>
  <c r="BG117" i="17"/>
  <c r="BG124" i="17"/>
  <c r="BG125" i="17" s="1"/>
  <c r="BF124" i="17"/>
  <c r="BF125" i="17" s="1"/>
  <c r="BF117" i="17"/>
  <c r="BH55" i="17"/>
  <c r="BH66" i="17"/>
  <c r="BH67" i="17" s="1"/>
  <c r="BE61" i="17"/>
  <c r="BI60" i="17"/>
  <c r="BE132" i="21"/>
  <c r="BE66" i="17"/>
  <c r="BE116" i="17"/>
  <c r="BE110" i="21"/>
  <c r="BI54" i="17"/>
  <c r="BK70" i="17"/>
  <c r="BK73" i="17"/>
  <c r="BK99" i="16"/>
  <c r="BG106" i="16"/>
  <c r="BI62" i="16"/>
  <c r="BK64" i="16"/>
  <c r="AN265" i="117"/>
  <c r="AN272" i="117"/>
  <c r="AQ259" i="117"/>
  <c r="AQ264" i="117"/>
  <c r="AR264" i="117" s="1"/>
  <c r="AR265" i="117" s="1"/>
  <c r="AT199" i="117"/>
  <c r="AT188" i="117"/>
  <c r="AT223" i="117" s="1"/>
  <c r="AT222" i="117"/>
  <c r="AT190" i="117"/>
  <c r="AT309" i="117"/>
  <c r="BK36" i="21" s="1"/>
  <c r="AR231" i="117"/>
  <c r="AR232" i="117" s="1"/>
  <c r="DD15" i="20"/>
  <c r="DD17" i="20"/>
  <c r="DD18" i="20" s="1"/>
  <c r="DD44" i="21"/>
  <c r="DJ11" i="20"/>
  <c r="DJ12" i="20" s="1"/>
  <c r="DJ14" i="20"/>
  <c r="DJ26" i="20" s="1"/>
  <c r="DJ21" i="20"/>
  <c r="DJ68" i="21"/>
  <c r="DD21" i="20"/>
  <c r="DD26" i="20"/>
  <c r="DD68" i="21"/>
  <c r="DC68" i="21"/>
  <c r="DC21" i="20"/>
  <c r="DC26" i="20"/>
  <c r="DE20" i="20"/>
  <c r="DA21" i="20"/>
  <c r="DA68" i="21"/>
  <c r="CY23" i="20"/>
  <c r="CY24" i="20" s="1"/>
  <c r="CY21" i="20"/>
  <c r="R246" i="11"/>
  <c r="CY68" i="21"/>
  <c r="CW9" i="4"/>
  <c r="CW40" i="21"/>
  <c r="CY40" i="21" s="1"/>
  <c r="CW20" i="4"/>
  <c r="CY8" i="4"/>
  <c r="CS11" i="4"/>
  <c r="CS12" i="4" s="1"/>
  <c r="Q185" i="11"/>
  <c r="CS9" i="4"/>
  <c r="DI5" i="4"/>
  <c r="DC8" i="4"/>
  <c r="DC14" i="4"/>
  <c r="DE5" i="4"/>
  <c r="DE6" i="4" s="1"/>
  <c r="DC15" i="21"/>
  <c r="DE15" i="21" s="1"/>
  <c r="CS17" i="4"/>
  <c r="CS18" i="4" s="1"/>
  <c r="Q186" i="11"/>
  <c r="CS15" i="4"/>
  <c r="CW64" i="21"/>
  <c r="CW15" i="4"/>
  <c r="CY14" i="4"/>
  <c r="CQ21" i="4"/>
  <c r="CS20" i="4"/>
  <c r="CS21" i="4" s="1"/>
  <c r="DH20" i="4"/>
  <c r="DH21" i="4" s="1"/>
  <c r="DH40" i="21"/>
  <c r="DH9" i="4"/>
  <c r="BH105" i="21"/>
  <c r="BH47" i="7"/>
  <c r="BH58" i="7"/>
  <c r="BH59" i="7" s="1"/>
  <c r="BH49" i="7"/>
  <c r="BH50" i="7" s="1"/>
  <c r="BK65" i="7"/>
  <c r="BK61" i="7"/>
  <c r="BK29" i="10"/>
  <c r="BH107" i="21"/>
  <c r="BH57" i="10"/>
  <c r="BH58" i="10" s="1"/>
  <c r="BH55" i="10"/>
  <c r="BH66" i="10"/>
  <c r="BH67" i="10" s="1"/>
  <c r="BI54" i="10"/>
  <c r="BK72" i="10"/>
  <c r="BK69" i="10" s="1"/>
  <c r="BH129" i="21"/>
  <c r="BI60" i="10"/>
  <c r="BK62" i="8"/>
  <c r="BI82" i="21"/>
  <c r="BK65" i="8"/>
  <c r="BF59" i="8"/>
  <c r="BH58" i="8"/>
  <c r="BH59" i="8" s="1"/>
  <c r="BH47" i="8"/>
  <c r="BI46" i="8"/>
  <c r="BI52" i="8"/>
  <c r="DK151" i="3"/>
  <c r="DK152" i="3" s="1"/>
  <c r="BR51" i="3"/>
  <c r="BQ92" i="3"/>
  <c r="BQ10" i="3"/>
  <c r="BQ11" i="3" s="1"/>
  <c r="BQ118" i="3"/>
  <c r="DK168" i="3"/>
  <c r="DG169" i="3"/>
  <c r="BK160" i="3"/>
  <c r="BH32" i="21"/>
  <c r="BH190" i="3"/>
  <c r="BH200" i="3"/>
  <c r="BH57" i="21"/>
  <c r="BH53" i="2"/>
  <c r="BH6" i="21"/>
  <c r="BI62" i="2"/>
  <c r="BF54" i="21"/>
  <c r="BK64" i="2"/>
  <c r="BK61" i="2" s="1"/>
  <c r="P245" i="11"/>
  <c r="P247" i="11" s="1"/>
  <c r="P248" i="11" s="1"/>
  <c r="P251" i="11" s="1"/>
  <c r="CM15" i="20"/>
  <c r="CM17" i="20"/>
  <c r="CM18" i="20" s="1"/>
  <c r="CO44" i="21"/>
  <c r="CS44" i="21" s="1"/>
  <c r="CO17" i="20"/>
  <c r="CO18" i="20" s="1"/>
  <c r="CO15" i="20"/>
  <c r="CS14" i="20"/>
  <c r="CO26" i="20"/>
  <c r="CS26" i="20" s="1"/>
  <c r="CS27" i="20" s="1"/>
  <c r="DA8" i="20"/>
  <c r="CU14" i="20"/>
  <c r="CY8" i="20"/>
  <c r="CY9" i="20" s="1"/>
  <c r="CU11" i="20"/>
  <c r="CU12" i="20" s="1"/>
  <c r="CS11" i="20"/>
  <c r="CS12" i="20" s="1"/>
  <c r="DG21" i="4"/>
  <c r="DI21" i="20" l="1"/>
  <c r="DK20" i="20"/>
  <c r="DK23" i="20" s="1"/>
  <c r="AK17" i="16"/>
  <c r="AK18" i="16" s="1"/>
  <c r="AK8" i="16"/>
  <c r="AK10" i="16"/>
  <c r="AK11" i="16" s="1"/>
  <c r="AK13" i="16"/>
  <c r="AK14" i="16" s="1"/>
  <c r="N84" i="117"/>
  <c r="N136" i="117"/>
  <c r="N149" i="117"/>
  <c r="N158" i="117"/>
  <c r="N159" i="117" s="1"/>
  <c r="BK120" i="3"/>
  <c r="BK121" i="3" s="1"/>
  <c r="BK140" i="3"/>
  <c r="BK135" i="3"/>
  <c r="BH32" i="15"/>
  <c r="BH33" i="15" s="1"/>
  <c r="BH34" i="15" s="1"/>
  <c r="BH35" i="15" s="1"/>
  <c r="BH20" i="15"/>
  <c r="BH21" i="15" s="1"/>
  <c r="BH17" i="15"/>
  <c r="AM4" i="16"/>
  <c r="AK5" i="16"/>
  <c r="M38" i="117"/>
  <c r="M27" i="117"/>
  <c r="M28" i="117" s="1"/>
  <c r="AE18" i="2"/>
  <c r="AE13" i="2"/>
  <c r="AJ33" i="17"/>
  <c r="AK32" i="17"/>
  <c r="AK31" i="17" s="1"/>
  <c r="AM24" i="7"/>
  <c r="AM17" i="7"/>
  <c r="AM8" i="7"/>
  <c r="AT91" i="15"/>
  <c r="AT89" i="15"/>
  <c r="AZ89" i="15"/>
  <c r="AK89" i="15"/>
  <c r="AQ89" i="15"/>
  <c r="AD46" i="9"/>
  <c r="AD48" i="9"/>
  <c r="AE45" i="9"/>
  <c r="AH82" i="17"/>
  <c r="AH84" i="17" s="1"/>
  <c r="AG85" i="17"/>
  <c r="BG107" i="3"/>
  <c r="BS106" i="3"/>
  <c r="BY106" i="3" s="1"/>
  <c r="CE106" i="3" s="1"/>
  <c r="CK106" i="3" s="1"/>
  <c r="CQ106" i="3" s="1"/>
  <c r="CW106" i="3" s="1"/>
  <c r="DC106" i="3" s="1"/>
  <c r="DI106" i="3" s="1"/>
  <c r="AG17" i="15"/>
  <c r="AG8" i="15"/>
  <c r="AG32" i="15"/>
  <c r="AG20" i="15"/>
  <c r="AG21" i="15" s="1"/>
  <c r="AD45" i="10"/>
  <c r="AE33" i="10"/>
  <c r="AE34" i="10" s="1"/>
  <c r="AE35" i="10" s="1"/>
  <c r="AJ40" i="7"/>
  <c r="AJ38" i="7"/>
  <c r="AC38" i="2"/>
  <c r="AC46" i="2"/>
  <c r="AE37" i="2"/>
  <c r="AD11" i="2"/>
  <c r="AD77" i="2"/>
  <c r="AD78" i="2" s="1"/>
  <c r="AD80" i="2" s="1"/>
  <c r="AC51" i="10"/>
  <c r="AC52" i="10" s="1"/>
  <c r="AC49" i="10"/>
  <c r="BF11" i="15"/>
  <c r="AD38" i="8"/>
  <c r="AD40" i="8"/>
  <c r="AK20" i="3"/>
  <c r="AJ21" i="3"/>
  <c r="AM30" i="3"/>
  <c r="AK31" i="3"/>
  <c r="P18" i="117"/>
  <c r="P25" i="117"/>
  <c r="P9" i="117"/>
  <c r="AH49" i="17"/>
  <c r="AH51" i="17"/>
  <c r="AH52" i="17" s="1"/>
  <c r="AH7" i="9"/>
  <c r="AI4" i="9"/>
  <c r="AI6" i="9" s="1"/>
  <c r="L159" i="117"/>
  <c r="AM6" i="17"/>
  <c r="AQ4" i="17"/>
  <c r="M164" i="117"/>
  <c r="N164" i="117" s="1"/>
  <c r="M166" i="117"/>
  <c r="M167" i="117" s="1"/>
  <c r="M168" i="117" s="1"/>
  <c r="K179" i="117"/>
  <c r="K176" i="117"/>
  <c r="K177" i="117" s="1"/>
  <c r="BI85" i="15"/>
  <c r="BI86" i="15" s="1"/>
  <c r="BH88" i="15"/>
  <c r="AK14" i="7"/>
  <c r="AK15" i="7"/>
  <c r="L136" i="117"/>
  <c r="L132" i="117"/>
  <c r="L133" i="117" s="1"/>
  <c r="J206" i="117"/>
  <c r="J156" i="117"/>
  <c r="J154" i="117" s="1"/>
  <c r="BF107" i="3"/>
  <c r="BR106" i="3"/>
  <c r="BX106" i="3" s="1"/>
  <c r="CD106" i="3" s="1"/>
  <c r="CJ106" i="3" s="1"/>
  <c r="CP106" i="3" s="1"/>
  <c r="CV106" i="3" s="1"/>
  <c r="DB106" i="3" s="1"/>
  <c r="DH106" i="3" s="1"/>
  <c r="AG51" i="17"/>
  <c r="AG52" i="17" s="1"/>
  <c r="AG49" i="17"/>
  <c r="AG7" i="10"/>
  <c r="AH4" i="10"/>
  <c r="AH6" i="10" s="1"/>
  <c r="AE49" i="15"/>
  <c r="AE51" i="15"/>
  <c r="AE52" i="15" s="1"/>
  <c r="Q44" i="3"/>
  <c r="P45" i="3"/>
  <c r="P46" i="3" s="1"/>
  <c r="Q8" i="117"/>
  <c r="Q147" i="117"/>
  <c r="R5" i="117"/>
  <c r="R7" i="117" s="1"/>
  <c r="J208" i="117"/>
  <c r="J203" i="117"/>
  <c r="AV85" i="15"/>
  <c r="AW84" i="15"/>
  <c r="AW83" i="15" s="1"/>
  <c r="AD46" i="2"/>
  <c r="AD38" i="2"/>
  <c r="AN41" i="2"/>
  <c r="AQ40" i="2"/>
  <c r="AI37" i="16"/>
  <c r="AI26" i="16"/>
  <c r="AI27" i="16" s="1"/>
  <c r="L205" i="117"/>
  <c r="N205" i="117" s="1"/>
  <c r="L66" i="117"/>
  <c r="L62" i="117"/>
  <c r="N65" i="117"/>
  <c r="AJ13" i="17"/>
  <c r="AJ14" i="17" s="1"/>
  <c r="AJ18" i="17"/>
  <c r="M11" i="117"/>
  <c r="M12" i="117" s="1"/>
  <c r="AK25" i="16"/>
  <c r="AK26" i="16" s="1"/>
  <c r="AK27" i="16" s="1"/>
  <c r="AH59" i="3"/>
  <c r="AH55" i="3"/>
  <c r="AH58" i="3"/>
  <c r="AH61" i="3" s="1"/>
  <c r="AD10" i="8"/>
  <c r="AD11" i="8" s="1"/>
  <c r="BG17" i="3"/>
  <c r="BH104" i="3"/>
  <c r="BH106" i="3" s="1"/>
  <c r="BH16" i="3"/>
  <c r="BF34" i="15"/>
  <c r="K181" i="117"/>
  <c r="K42" i="117"/>
  <c r="K44" i="117"/>
  <c r="K45" i="117" s="1"/>
  <c r="AK24" i="16"/>
  <c r="AK23" i="16" s="1"/>
  <c r="AG7" i="2"/>
  <c r="AH4" i="2"/>
  <c r="AH6" i="2" s="1"/>
  <c r="J133" i="117"/>
  <c r="BG48" i="15"/>
  <c r="BG46" i="15"/>
  <c r="AK91" i="15"/>
  <c r="AG92" i="15"/>
  <c r="AM92" i="15"/>
  <c r="AG80" i="16"/>
  <c r="AG81" i="16" s="1"/>
  <c r="AG78" i="16"/>
  <c r="AM6" i="3"/>
  <c r="AQ4" i="3"/>
  <c r="AB144" i="21"/>
  <c r="AB49" i="21"/>
  <c r="J184" i="117"/>
  <c r="J185" i="117" s="1"/>
  <c r="J182" i="117"/>
  <c r="BK138" i="3"/>
  <c r="AI10" i="17"/>
  <c r="AI11" i="17" s="1"/>
  <c r="AA59" i="2"/>
  <c r="AA31" i="21"/>
  <c r="AI4" i="8"/>
  <c r="AI6" i="8" s="1"/>
  <c r="AH7" i="8"/>
  <c r="AE14" i="8"/>
  <c r="AE15" i="8"/>
  <c r="AH38" i="16"/>
  <c r="AH40" i="16"/>
  <c r="AJ17" i="16"/>
  <c r="AJ8" i="16"/>
  <c r="AJ24" i="16"/>
  <c r="AJ25" i="16" s="1"/>
  <c r="AM26" i="3"/>
  <c r="AN25" i="3"/>
  <c r="J82" i="117"/>
  <c r="Q82" i="117"/>
  <c r="BF48" i="15"/>
  <c r="BF46" i="15"/>
  <c r="AK41" i="2"/>
  <c r="AK43" i="2"/>
  <c r="AK44" i="2" s="1"/>
  <c r="AI48" i="17"/>
  <c r="AI46" i="17"/>
  <c r="M149" i="117"/>
  <c r="M158" i="117"/>
  <c r="BL137" i="3"/>
  <c r="BL138" i="3" s="1"/>
  <c r="BM125" i="3"/>
  <c r="BM137" i="3" s="1"/>
  <c r="BM138" i="3" s="1"/>
  <c r="BL123" i="3"/>
  <c r="BL134" i="3" s="1"/>
  <c r="AG8" i="9"/>
  <c r="AG32" i="9"/>
  <c r="AG17" i="9"/>
  <c r="AE43" i="15"/>
  <c r="AE44" i="15" s="1"/>
  <c r="AE46" i="15"/>
  <c r="BE49" i="15"/>
  <c r="BE51" i="15"/>
  <c r="BE52" i="15" s="1"/>
  <c r="AU88" i="15"/>
  <c r="AU86" i="15"/>
  <c r="BA86" i="15"/>
  <c r="N165" i="117"/>
  <c r="AZ43" i="2"/>
  <c r="AT40" i="2"/>
  <c r="AI18" i="16"/>
  <c r="AI13" i="16"/>
  <c r="AI14" i="16" s="1"/>
  <c r="AN7" i="7"/>
  <c r="AO4" i="7"/>
  <c r="AO6" i="7" s="1"/>
  <c r="AG40" i="16"/>
  <c r="AG38" i="16"/>
  <c r="AI60" i="3"/>
  <c r="AJ53" i="3"/>
  <c r="AI54" i="3"/>
  <c r="AD51" i="15"/>
  <c r="AD52" i="15" s="1"/>
  <c r="AD49" i="15"/>
  <c r="AI4" i="15"/>
  <c r="AI6" i="15" s="1"/>
  <c r="AH7" i="15"/>
  <c r="AG61" i="3"/>
  <c r="BF14" i="15"/>
  <c r="AI40" i="7"/>
  <c r="AI38" i="7"/>
  <c r="AK37" i="7"/>
  <c r="AH77" i="16"/>
  <c r="AI74" i="16"/>
  <c r="AI76" i="16" s="1"/>
  <c r="AC40" i="8"/>
  <c r="AC38" i="8"/>
  <c r="AE37" i="8"/>
  <c r="AK14" i="17"/>
  <c r="AK15" i="17"/>
  <c r="AE14" i="10"/>
  <c r="AE15" i="10"/>
  <c r="L41" i="117"/>
  <c r="L39" i="117"/>
  <c r="L178" i="117"/>
  <c r="Q145" i="117"/>
  <c r="P146" i="117"/>
  <c r="P148" i="117"/>
  <c r="AG8" i="8"/>
  <c r="AG24" i="8"/>
  <c r="AG17" i="8"/>
  <c r="AS92" i="15"/>
  <c r="AY92" i="15"/>
  <c r="BB43" i="2"/>
  <c r="AV40" i="2"/>
  <c r="AV41" i="2" s="1"/>
  <c r="CU9" i="21"/>
  <c r="CS9" i="21"/>
  <c r="E189" i="14"/>
  <c r="E191" i="14" s="1"/>
  <c r="E193" i="14"/>
  <c r="E53" i="14"/>
  <c r="E49" i="14"/>
  <c r="DI26" i="20"/>
  <c r="DI44" i="21"/>
  <c r="DI17" i="20"/>
  <c r="DI18" i="20" s="1"/>
  <c r="DG147" i="21"/>
  <c r="BI7" i="15"/>
  <c r="BI8" i="15" s="1"/>
  <c r="CY64" i="21"/>
  <c r="DK169" i="3"/>
  <c r="BS52" i="3"/>
  <c r="BT52" i="3" s="1"/>
  <c r="CP146" i="21"/>
  <c r="CP147" i="21" s="1"/>
  <c r="DB158" i="21"/>
  <c r="CV161" i="21"/>
  <c r="CV162" i="21" s="1"/>
  <c r="CJ148" i="21"/>
  <c r="BG13" i="15"/>
  <c r="BG10" i="15" s="1"/>
  <c r="BG18" i="15"/>
  <c r="BS34" i="15"/>
  <c r="BY34" i="15" s="1"/>
  <c r="CE34" i="15" s="1"/>
  <c r="CK34" i="15" s="1"/>
  <c r="CQ34" i="15" s="1"/>
  <c r="CW34" i="15" s="1"/>
  <c r="DC34" i="15" s="1"/>
  <c r="DI34" i="15" s="1"/>
  <c r="BH119" i="17"/>
  <c r="BH120" i="17" s="1"/>
  <c r="BR91" i="15"/>
  <c r="BH124" i="17"/>
  <c r="BH125" i="17" s="1"/>
  <c r="DJ64" i="21"/>
  <c r="DJ15" i="4"/>
  <c r="DJ20" i="4"/>
  <c r="DD20" i="4"/>
  <c r="DD21" i="4" s="1"/>
  <c r="DD15" i="4"/>
  <c r="DD64" i="21"/>
  <c r="Q187" i="11"/>
  <c r="Q188" i="11" s="1"/>
  <c r="Q191" i="11" s="1"/>
  <c r="BF134" i="21"/>
  <c r="BF104" i="15"/>
  <c r="BG90" i="21"/>
  <c r="BG95" i="15"/>
  <c r="BK82" i="15"/>
  <c r="BI83" i="15"/>
  <c r="BH86" i="15"/>
  <c r="BF109" i="15"/>
  <c r="BF110" i="15" s="1"/>
  <c r="BF98" i="15"/>
  <c r="BF112" i="21"/>
  <c r="BH75" i="15"/>
  <c r="BH8" i="15"/>
  <c r="BG75" i="15"/>
  <c r="BF72" i="15"/>
  <c r="BF73" i="15" s="1"/>
  <c r="BF29" i="15"/>
  <c r="BK4" i="15"/>
  <c r="BI5" i="15"/>
  <c r="BK110" i="17"/>
  <c r="BE67" i="17"/>
  <c r="BI66" i="17"/>
  <c r="BI67" i="17" s="1"/>
  <c r="BI61" i="17"/>
  <c r="BI63" i="17"/>
  <c r="BI64" i="17" s="1"/>
  <c r="K171" i="11"/>
  <c r="BI132" i="21"/>
  <c r="BI57" i="17"/>
  <c r="BI58" i="17" s="1"/>
  <c r="BI110" i="21"/>
  <c r="K170" i="11"/>
  <c r="BI55" i="17"/>
  <c r="BE124" i="17"/>
  <c r="BE117" i="17"/>
  <c r="BE119" i="17"/>
  <c r="BE120" i="17" s="1"/>
  <c r="BI116" i="17"/>
  <c r="BK61" i="16"/>
  <c r="BK65" i="16"/>
  <c r="AT315" i="117"/>
  <c r="AT258" i="117"/>
  <c r="AT231" i="117"/>
  <c r="AT219" i="117"/>
  <c r="AT220" i="117" s="1"/>
  <c r="AQ272" i="117"/>
  <c r="AR272" i="117" s="1"/>
  <c r="AQ265" i="117"/>
  <c r="AT225" i="117"/>
  <c r="AT191" i="117"/>
  <c r="AT226" i="117" s="1"/>
  <c r="AT200" i="117"/>
  <c r="DJ44" i="21"/>
  <c r="DJ15" i="20"/>
  <c r="DJ17" i="20"/>
  <c r="DJ18" i="20" s="1"/>
  <c r="DE68" i="21"/>
  <c r="DE21" i="20"/>
  <c r="DE23" i="20"/>
  <c r="DE24" i="20" s="1"/>
  <c r="DC15" i="4"/>
  <c r="DC64" i="21"/>
  <c r="DE14" i="4"/>
  <c r="CW21" i="4"/>
  <c r="CY20" i="4"/>
  <c r="CY21" i="4" s="1"/>
  <c r="CY17" i="4"/>
  <c r="CY18" i="4" s="1"/>
  <c r="R186" i="11"/>
  <c r="CY15" i="4"/>
  <c r="DI8" i="4"/>
  <c r="DK5" i="4"/>
  <c r="DK6" i="4" s="1"/>
  <c r="DI15" i="21"/>
  <c r="DK15" i="21" s="1"/>
  <c r="DI14" i="4"/>
  <c r="DC9" i="4"/>
  <c r="DC20" i="4"/>
  <c r="DC40" i="21"/>
  <c r="DE40" i="21" s="1"/>
  <c r="DE8" i="4"/>
  <c r="R185" i="11"/>
  <c r="CY9" i="4"/>
  <c r="CY11" i="4"/>
  <c r="CY12" i="4" s="1"/>
  <c r="BK62" i="7"/>
  <c r="BK33" i="7"/>
  <c r="BK83" i="21"/>
  <c r="BI66" i="10"/>
  <c r="BI67" i="10" s="1"/>
  <c r="BK73" i="10"/>
  <c r="BI79" i="10"/>
  <c r="BI80" i="10" s="1"/>
  <c r="BI63" i="10"/>
  <c r="BI64" i="10" s="1"/>
  <c r="K126" i="11"/>
  <c r="BI129" i="21"/>
  <c r="BI61" i="10"/>
  <c r="BK70" i="10"/>
  <c r="BI55" i="10"/>
  <c r="K125" i="11"/>
  <c r="BI107" i="21"/>
  <c r="BI57" i="10"/>
  <c r="BI58" i="10" s="1"/>
  <c r="BK41" i="10"/>
  <c r="BK85" i="21"/>
  <c r="BI58" i="8"/>
  <c r="BI53" i="8"/>
  <c r="K81" i="11"/>
  <c r="BI55" i="8"/>
  <c r="BI56" i="8" s="1"/>
  <c r="K80" i="11"/>
  <c r="BI47" i="8"/>
  <c r="BI49" i="8"/>
  <c r="BI50" i="8" s="1"/>
  <c r="BQ101" i="3"/>
  <c r="BQ93" i="3"/>
  <c r="BR10" i="3"/>
  <c r="BR11" i="3" s="1"/>
  <c r="BR92" i="3"/>
  <c r="BS51" i="3"/>
  <c r="BK62" i="2"/>
  <c r="BK65" i="2"/>
  <c r="BH55" i="21"/>
  <c r="CY11" i="20"/>
  <c r="CY12" i="20" s="1"/>
  <c r="CS17" i="20"/>
  <c r="CS18" i="20" s="1"/>
  <c r="Q245" i="11"/>
  <c r="Q247" i="11" s="1"/>
  <c r="Q248" i="11" s="1"/>
  <c r="Q251" i="11" s="1"/>
  <c r="CS15" i="20"/>
  <c r="CU17" i="20"/>
  <c r="CU18" i="20" s="1"/>
  <c r="CU26" i="20"/>
  <c r="CY26" i="20" s="1"/>
  <c r="CY27" i="20" s="1"/>
  <c r="CY14" i="20"/>
  <c r="CU15" i="20"/>
  <c r="CU44" i="21"/>
  <c r="CY44" i="21" s="1"/>
  <c r="DG8" i="20"/>
  <c r="DA11" i="20"/>
  <c r="DA12" i="20" s="1"/>
  <c r="DA14" i="20"/>
  <c r="DE8" i="20"/>
  <c r="DE9" i="20" s="1"/>
  <c r="BS117" i="3" l="1"/>
  <c r="BS118" i="3" s="1"/>
  <c r="DK21" i="20"/>
  <c r="DK68" i="21"/>
  <c r="BL140" i="3"/>
  <c r="BL141" i="3" s="1"/>
  <c r="BR140" i="3"/>
  <c r="BX140" i="3" s="1"/>
  <c r="CD140" i="3" s="1"/>
  <c r="CJ140" i="3" s="1"/>
  <c r="CP140" i="3" s="1"/>
  <c r="CV140" i="3" s="1"/>
  <c r="DB140" i="3" s="1"/>
  <c r="DH140" i="3" s="1"/>
  <c r="N206" i="117"/>
  <c r="N154" i="117"/>
  <c r="BF43" i="2"/>
  <c r="AZ40" i="2"/>
  <c r="M154" i="117"/>
  <c r="M155" i="117" s="1"/>
  <c r="M159" i="117"/>
  <c r="AH43" i="16"/>
  <c r="AH44" i="16" s="1"/>
  <c r="AH41" i="16"/>
  <c r="AG74" i="2"/>
  <c r="AG75" i="2" s="1"/>
  <c r="AG17" i="2"/>
  <c r="AG24" i="2"/>
  <c r="AG8" i="2"/>
  <c r="AT92" i="15"/>
  <c r="AZ92" i="15"/>
  <c r="L44" i="117"/>
  <c r="L45" i="117" s="1"/>
  <c r="L181" i="117"/>
  <c r="L42" i="117"/>
  <c r="N41" i="117"/>
  <c r="AI77" i="16"/>
  <c r="AJ74" i="16"/>
  <c r="AJ76" i="16" s="1"/>
  <c r="BI104" i="3"/>
  <c r="BI106" i="3" s="1"/>
  <c r="BI107" i="3" s="1"/>
  <c r="AK53" i="3"/>
  <c r="AJ60" i="3"/>
  <c r="AJ54" i="3"/>
  <c r="AG41" i="16"/>
  <c r="AG43" i="16"/>
  <c r="AG44" i="16" s="1"/>
  <c r="AN17" i="7"/>
  <c r="AN24" i="7"/>
  <c r="AN25" i="7" s="1"/>
  <c r="AN8" i="7"/>
  <c r="AT41" i="2"/>
  <c r="AW40" i="2"/>
  <c r="AJ26" i="16"/>
  <c r="AJ27" i="16" s="1"/>
  <c r="AJ37" i="16"/>
  <c r="AI7" i="8"/>
  <c r="AJ4" i="8"/>
  <c r="AJ6" i="8" s="1"/>
  <c r="AI4" i="2"/>
  <c r="AI6" i="2" s="1"/>
  <c r="AH7" i="2"/>
  <c r="BH48" i="3"/>
  <c r="BI16" i="3"/>
  <c r="BH17" i="3"/>
  <c r="AQ41" i="2"/>
  <c r="AQ43" i="2"/>
  <c r="AQ44" i="2" s="1"/>
  <c r="R147" i="117"/>
  <c r="S5" i="117"/>
  <c r="S7" i="117" s="1"/>
  <c r="R8" i="117"/>
  <c r="AI4" i="10"/>
  <c r="AI6" i="10" s="1"/>
  <c r="AH7" i="10"/>
  <c r="AM7" i="17"/>
  <c r="AN4" i="17"/>
  <c r="AN6" i="17" s="1"/>
  <c r="AJ4" i="9"/>
  <c r="AJ6" i="9" s="1"/>
  <c r="AI7" i="9"/>
  <c r="P26" i="117"/>
  <c r="P165" i="117"/>
  <c r="AN30" i="3"/>
  <c r="AM31" i="3"/>
  <c r="AC49" i="2"/>
  <c r="AC50" i="2" s="1"/>
  <c r="AC33" i="21"/>
  <c r="AC192" i="3"/>
  <c r="AC47" i="2"/>
  <c r="AC58" i="2"/>
  <c r="AE46" i="2"/>
  <c r="AG33" i="15"/>
  <c r="AD51" i="9"/>
  <c r="AD52" i="9" s="1"/>
  <c r="AD49" i="9"/>
  <c r="AE48" i="9"/>
  <c r="AM18" i="7"/>
  <c r="AM13" i="7"/>
  <c r="AM14" i="7" s="1"/>
  <c r="BH18" i="15"/>
  <c r="BH13" i="15"/>
  <c r="BH10" i="15"/>
  <c r="AE35" i="8"/>
  <c r="AE36" i="8" s="1"/>
  <c r="AE38" i="8"/>
  <c r="AK35" i="7"/>
  <c r="AK36" i="7" s="1"/>
  <c r="AK38" i="7"/>
  <c r="AN4" i="3"/>
  <c r="AN6" i="3" s="1"/>
  <c r="AM7" i="3"/>
  <c r="BH107" i="3"/>
  <c r="AV86" i="15"/>
  <c r="AV88" i="15"/>
  <c r="BB86" i="15"/>
  <c r="Q148" i="117"/>
  <c r="R145" i="117"/>
  <c r="Q146" i="117"/>
  <c r="AG17" i="10"/>
  <c r="AG8" i="10"/>
  <c r="AG20" i="10"/>
  <c r="AG21" i="10" s="1"/>
  <c r="AG32" i="10"/>
  <c r="AD46" i="10"/>
  <c r="AD48" i="10"/>
  <c r="AE45" i="10"/>
  <c r="BK141" i="3"/>
  <c r="BQ140" i="3"/>
  <c r="N166" i="117"/>
  <c r="N167" i="117" s="1"/>
  <c r="N168" i="117" s="1"/>
  <c r="L176" i="117"/>
  <c r="L177" i="117" s="1"/>
  <c r="L179" i="117"/>
  <c r="AH20" i="15"/>
  <c r="AH21" i="15" s="1"/>
  <c r="AH32" i="15"/>
  <c r="AH33" i="15" s="1"/>
  <c r="AH8" i="15"/>
  <c r="AH17" i="15"/>
  <c r="AU91" i="15"/>
  <c r="AU89" i="15"/>
  <c r="BA89" i="15"/>
  <c r="AG20" i="9"/>
  <c r="AG21" i="9" s="1"/>
  <c r="AG13" i="9"/>
  <c r="AG14" i="9" s="1"/>
  <c r="AG18" i="9"/>
  <c r="AO25" i="3"/>
  <c r="AN26" i="3"/>
  <c r="AJ18" i="16"/>
  <c r="AJ10" i="16"/>
  <c r="AJ11" i="16" s="1"/>
  <c r="AJ13" i="16"/>
  <c r="AJ14" i="16" s="1"/>
  <c r="BF35" i="15"/>
  <c r="BR34" i="15"/>
  <c r="BX34" i="15" s="1"/>
  <c r="CD34" i="15" s="1"/>
  <c r="CJ34" i="15" s="1"/>
  <c r="CP34" i="15" s="1"/>
  <c r="CV34" i="15" s="1"/>
  <c r="DB34" i="15" s="1"/>
  <c r="DH34" i="15" s="1"/>
  <c r="N14" i="117"/>
  <c r="N66" i="117"/>
  <c r="Q9" i="117"/>
  <c r="Q18" i="117"/>
  <c r="Q25" i="117"/>
  <c r="AD41" i="8"/>
  <c r="AD43" i="8"/>
  <c r="AD44" i="8" s="1"/>
  <c r="AG18" i="15"/>
  <c r="AG13" i="15"/>
  <c r="AG14" i="15" s="1"/>
  <c r="AG10" i="15"/>
  <c r="AG11" i="15" s="1"/>
  <c r="AI82" i="17"/>
  <c r="AI84" i="17" s="1"/>
  <c r="AH85" i="17"/>
  <c r="AE14" i="2"/>
  <c r="AE15" i="2"/>
  <c r="AG25" i="8"/>
  <c r="AH80" i="16"/>
  <c r="AH81" i="16" s="1"/>
  <c r="AH78" i="16"/>
  <c r="BN125" i="3"/>
  <c r="BN137" i="3" s="1"/>
  <c r="BN138" i="3" s="1"/>
  <c r="BM123" i="3"/>
  <c r="BM134" i="3" s="1"/>
  <c r="BM140" i="3" s="1"/>
  <c r="AA48" i="21"/>
  <c r="BG51" i="15"/>
  <c r="BG52" i="15" s="1"/>
  <c r="BG49" i="15"/>
  <c r="K182" i="117"/>
  <c r="K184" i="117"/>
  <c r="K185" i="117" s="1"/>
  <c r="L206" i="117"/>
  <c r="R44" i="3"/>
  <c r="Q45" i="3"/>
  <c r="Q46" i="3" s="1"/>
  <c r="BH91" i="15"/>
  <c r="BH89" i="15"/>
  <c r="AH8" i="9"/>
  <c r="AH17" i="9"/>
  <c r="AH32" i="9"/>
  <c r="AH33" i="9" s="1"/>
  <c r="P16" i="117"/>
  <c r="P19" i="117"/>
  <c r="P11" i="117"/>
  <c r="P12" i="117" s="1"/>
  <c r="AM20" i="3"/>
  <c r="AK21" i="3"/>
  <c r="AG88" i="17"/>
  <c r="AG86" i="17"/>
  <c r="AM25" i="7"/>
  <c r="M39" i="117"/>
  <c r="M178" i="117"/>
  <c r="N178" i="117" s="1"/>
  <c r="M41" i="117"/>
  <c r="N38" i="117"/>
  <c r="AM6" i="16"/>
  <c r="AQ4" i="16"/>
  <c r="BH43" i="2"/>
  <c r="BB40" i="2"/>
  <c r="BB41" i="2" s="1"/>
  <c r="AG18" i="8"/>
  <c r="AG10" i="8"/>
  <c r="AG11" i="8" s="1"/>
  <c r="AG13" i="8"/>
  <c r="AG14" i="8" s="1"/>
  <c r="P158" i="117"/>
  <c r="P149" i="117"/>
  <c r="AC41" i="8"/>
  <c r="AC43" i="8"/>
  <c r="AC44" i="8" s="1"/>
  <c r="AE40" i="8"/>
  <c r="AI43" i="7"/>
  <c r="AI44" i="7" s="1"/>
  <c r="AI41" i="7"/>
  <c r="AK40" i="7"/>
  <c r="AJ4" i="15"/>
  <c r="AJ6" i="15" s="1"/>
  <c r="AI7" i="15"/>
  <c r="AI58" i="3"/>
  <c r="AI55" i="3"/>
  <c r="AI59" i="3"/>
  <c r="AP4" i="7"/>
  <c r="AP6" i="7" s="1"/>
  <c r="AO7" i="7"/>
  <c r="AI10" i="16"/>
  <c r="AI11" i="16" s="1"/>
  <c r="AW85" i="15"/>
  <c r="AG33" i="9"/>
  <c r="BL135" i="3"/>
  <c r="AI51" i="17"/>
  <c r="AI52" i="17" s="1"/>
  <c r="AI49" i="17"/>
  <c r="BF49" i="15"/>
  <c r="BF51" i="15"/>
  <c r="AH8" i="8"/>
  <c r="AH17" i="8"/>
  <c r="AH24" i="8"/>
  <c r="AH25" i="8" s="1"/>
  <c r="AK92" i="15"/>
  <c r="AQ92" i="15"/>
  <c r="N132" i="117"/>
  <c r="AJ10" i="17"/>
  <c r="AJ11" i="17" s="1"/>
  <c r="L202" i="117"/>
  <c r="L63" i="117"/>
  <c r="N62" i="117"/>
  <c r="AI38" i="16"/>
  <c r="AI40" i="16"/>
  <c r="AD49" i="2"/>
  <c r="AD50" i="2" s="1"/>
  <c r="AD33" i="21"/>
  <c r="AD31" i="21" s="1"/>
  <c r="AD48" i="21" s="1"/>
  <c r="AD47" i="2"/>
  <c r="AD58" i="2"/>
  <c r="AD59" i="2" s="1"/>
  <c r="AD192" i="3"/>
  <c r="J155" i="117"/>
  <c r="J151" i="117"/>
  <c r="J152" i="117" s="1"/>
  <c r="AE35" i="2"/>
  <c r="AE36" i="2" s="1"/>
  <c r="AE38" i="2"/>
  <c r="AJ43" i="7"/>
  <c r="AJ44" i="7" s="1"/>
  <c r="AJ41" i="7"/>
  <c r="AE43" i="9"/>
  <c r="AE44" i="9" s="1"/>
  <c r="AE46" i="9"/>
  <c r="AJ45" i="17"/>
  <c r="AJ34" i="17"/>
  <c r="AJ35" i="17" s="1"/>
  <c r="AK33" i="17"/>
  <c r="AK34" i="17" s="1"/>
  <c r="AK35" i="17" s="1"/>
  <c r="N85" i="117"/>
  <c r="N86" i="117"/>
  <c r="DA9" i="21"/>
  <c r="CY9" i="21"/>
  <c r="E200" i="14"/>
  <c r="E194" i="14"/>
  <c r="F194" i="14"/>
  <c r="E242" i="14"/>
  <c r="F190" i="14"/>
  <c r="F189" i="14" s="1"/>
  <c r="DK24" i="20"/>
  <c r="BI94" i="15"/>
  <c r="BI95" i="15" s="1"/>
  <c r="BH106" i="15"/>
  <c r="BH100" i="15"/>
  <c r="CV146" i="21"/>
  <c r="CV147" i="21" s="1"/>
  <c r="DH158" i="21"/>
  <c r="DH161" i="21" s="1"/>
  <c r="DB161" i="21"/>
  <c r="DB162" i="21" s="1"/>
  <c r="CP148" i="21"/>
  <c r="BS91" i="15"/>
  <c r="BG11" i="15"/>
  <c r="BG14" i="15"/>
  <c r="BX91" i="15"/>
  <c r="BR88" i="15"/>
  <c r="BR89" i="15" s="1"/>
  <c r="DE64" i="21"/>
  <c r="DJ21" i="4"/>
  <c r="R187" i="11"/>
  <c r="R188" i="11" s="1"/>
  <c r="S191" i="11" s="1"/>
  <c r="V191" i="11" s="1"/>
  <c r="BI88" i="15"/>
  <c r="BI89" i="15" s="1"/>
  <c r="BH95" i="15"/>
  <c r="BI97" i="15"/>
  <c r="BH90" i="21"/>
  <c r="BI90" i="21" s="1"/>
  <c r="BK84" i="15"/>
  <c r="BO82" i="15"/>
  <c r="BG109" i="15"/>
  <c r="BG110" i="15" s="1"/>
  <c r="BG134" i="21"/>
  <c r="BG112" i="21"/>
  <c r="BG98" i="15"/>
  <c r="BH29" i="15"/>
  <c r="BI32" i="15"/>
  <c r="BI31" i="15" s="1"/>
  <c r="BI33" i="15"/>
  <c r="BF69" i="15"/>
  <c r="BF70" i="15" s="1"/>
  <c r="BG72" i="15"/>
  <c r="BG73" i="15" s="1"/>
  <c r="BF41" i="15"/>
  <c r="BF86" i="21"/>
  <c r="BH72" i="15"/>
  <c r="BH73" i="15" s="1"/>
  <c r="BK6" i="15"/>
  <c r="BO4" i="15"/>
  <c r="BG29" i="15"/>
  <c r="BH45" i="15"/>
  <c r="BK41" i="17"/>
  <c r="BK88" i="21"/>
  <c r="BI117" i="17"/>
  <c r="BI119" i="17"/>
  <c r="BI120" i="17" s="1"/>
  <c r="BE125" i="17"/>
  <c r="BI124" i="17"/>
  <c r="BI125" i="17" s="1"/>
  <c r="K172" i="11"/>
  <c r="K173" i="11" s="1"/>
  <c r="BK62" i="16"/>
  <c r="BK33" i="16"/>
  <c r="BK87" i="21"/>
  <c r="AT232" i="117"/>
  <c r="AT259" i="117"/>
  <c r="AT264" i="117"/>
  <c r="DE15" i="4"/>
  <c r="DE17" i="4"/>
  <c r="DE18" i="4" s="1"/>
  <c r="DC21" i="4"/>
  <c r="DE20" i="4"/>
  <c r="DE21" i="4" s="1"/>
  <c r="DI9" i="4"/>
  <c r="DI20" i="4"/>
  <c r="DI40" i="21"/>
  <c r="DK40" i="21" s="1"/>
  <c r="DK8" i="4"/>
  <c r="DE9" i="4"/>
  <c r="DE11" i="4"/>
  <c r="DE12" i="4" s="1"/>
  <c r="DI64" i="21"/>
  <c r="DK64" i="21" s="1"/>
  <c r="DI15" i="4"/>
  <c r="DK14" i="4"/>
  <c r="BK127" i="21"/>
  <c r="BK49" i="7"/>
  <c r="BK50" i="7" s="1"/>
  <c r="BK105" i="21"/>
  <c r="BK47" i="7"/>
  <c r="K127" i="11"/>
  <c r="K128" i="11" s="1"/>
  <c r="BK129" i="21"/>
  <c r="BK55" i="10"/>
  <c r="BK57" i="10"/>
  <c r="BK58" i="10" s="1"/>
  <c r="BK107" i="21"/>
  <c r="BI59" i="8"/>
  <c r="K82" i="11"/>
  <c r="K83" i="11" s="1"/>
  <c r="BQ102" i="3"/>
  <c r="BS10" i="3"/>
  <c r="BS11" i="3" s="1"/>
  <c r="BS92" i="3"/>
  <c r="BT51" i="3"/>
  <c r="BR101" i="3"/>
  <c r="BR102" i="3" s="1"/>
  <c r="BR93" i="3"/>
  <c r="BT117" i="3"/>
  <c r="BT118" i="3" s="1"/>
  <c r="BU52" i="3"/>
  <c r="BH54" i="21"/>
  <c r="DE11" i="20"/>
  <c r="DE12" i="20" s="1"/>
  <c r="DA15" i="20"/>
  <c r="DE14" i="20"/>
  <c r="DA44" i="21"/>
  <c r="DE44" i="21" s="1"/>
  <c r="DA26" i="20"/>
  <c r="DE26" i="20" s="1"/>
  <c r="DE27" i="20" s="1"/>
  <c r="DA17" i="20"/>
  <c r="DA18" i="20" s="1"/>
  <c r="R245" i="11"/>
  <c r="R247" i="11" s="1"/>
  <c r="R248" i="11" s="1"/>
  <c r="CY15" i="20"/>
  <c r="CY17" i="20"/>
  <c r="CY18" i="20" s="1"/>
  <c r="DK8" i="20"/>
  <c r="DK9" i="20" s="1"/>
  <c r="DG11" i="20"/>
  <c r="DG12" i="20" s="1"/>
  <c r="DG14" i="20"/>
  <c r="BM141" i="3" l="1"/>
  <c r="BS140" i="3"/>
  <c r="BY140" i="3" s="1"/>
  <c r="CE140" i="3" s="1"/>
  <c r="CK140" i="3" s="1"/>
  <c r="CQ140" i="3" s="1"/>
  <c r="CW140" i="3" s="1"/>
  <c r="DC140" i="3" s="1"/>
  <c r="DI140" i="3" s="1"/>
  <c r="N176" i="117"/>
  <c r="N177" i="117" s="1"/>
  <c r="N179" i="117"/>
  <c r="AG45" i="9"/>
  <c r="AG34" i="9"/>
  <c r="AG35" i="9" s="1"/>
  <c r="AI20" i="15"/>
  <c r="AI21" i="15" s="1"/>
  <c r="AI32" i="15"/>
  <c r="AI8" i="15"/>
  <c r="AI17" i="15"/>
  <c r="AI32" i="9"/>
  <c r="AI33" i="9" s="1"/>
  <c r="AI17" i="9"/>
  <c r="AI8" i="9"/>
  <c r="AZ41" i="2"/>
  <c r="BC40" i="2"/>
  <c r="AD144" i="21"/>
  <c r="AD150" i="21" s="1"/>
  <c r="AD49" i="21"/>
  <c r="N11" i="117"/>
  <c r="N12" i="117" s="1"/>
  <c r="N63" i="117"/>
  <c r="N133" i="117"/>
  <c r="N81" i="117"/>
  <c r="N82" i="117" s="1"/>
  <c r="AH18" i="8"/>
  <c r="AH13" i="8"/>
  <c r="AH14" i="8" s="1"/>
  <c r="AP7" i="7"/>
  <c r="AQ6" i="7"/>
  <c r="AS4" i="7" s="1"/>
  <c r="AI61" i="3"/>
  <c r="AE41" i="8"/>
  <c r="AE43" i="8"/>
  <c r="AE44" i="8"/>
  <c r="AM7" i="16"/>
  <c r="AN4" i="16"/>
  <c r="AN6" i="16" s="1"/>
  <c r="AG91" i="17"/>
  <c r="AG89" i="17"/>
  <c r="AH18" i="9"/>
  <c r="AH20" i="9"/>
  <c r="AH21" i="9" s="1"/>
  <c r="AH13" i="9"/>
  <c r="AH14" i="9" s="1"/>
  <c r="BO125" i="3"/>
  <c r="BN123" i="3"/>
  <c r="AJ82" i="17"/>
  <c r="AJ84" i="17" s="1"/>
  <c r="AI85" i="17"/>
  <c r="Q14" i="117"/>
  <c r="Q15" i="117" s="1"/>
  <c r="Q11" i="117"/>
  <c r="Q12" i="117" s="1"/>
  <c r="Q19" i="117"/>
  <c r="AP25" i="3"/>
  <c r="AO26" i="3"/>
  <c r="AH45" i="15"/>
  <c r="AH34" i="15"/>
  <c r="AH35" i="15" s="1"/>
  <c r="AE43" i="10"/>
  <c r="AE44" i="10" s="1"/>
  <c r="AE46" i="10"/>
  <c r="AO4" i="3"/>
  <c r="AO6" i="3" s="1"/>
  <c r="AN7" i="3"/>
  <c r="BH14" i="15"/>
  <c r="AM10" i="7"/>
  <c r="AM11" i="7" s="1"/>
  <c r="AE49" i="2"/>
  <c r="AE50" i="2" s="1"/>
  <c r="F3" i="11"/>
  <c r="F5" i="11" s="1"/>
  <c r="F6" i="11" s="1"/>
  <c r="AE47" i="2"/>
  <c r="AC31" i="21"/>
  <c r="AE33" i="21"/>
  <c r="AM17" i="17"/>
  <c r="AM32" i="17"/>
  <c r="AM8" i="17"/>
  <c r="AM20" i="17"/>
  <c r="AM21" i="17" s="1"/>
  <c r="R25" i="117"/>
  <c r="R18" i="117"/>
  <c r="R9" i="117"/>
  <c r="AI7" i="2"/>
  <c r="AJ4" i="2"/>
  <c r="AJ6" i="2" s="1"/>
  <c r="AI17" i="8"/>
  <c r="AI24" i="8"/>
  <c r="AI25" i="8" s="1"/>
  <c r="AI8" i="8"/>
  <c r="AM53" i="3"/>
  <c r="AI80" i="16"/>
  <c r="AI81" i="16" s="1"/>
  <c r="AI78" i="16"/>
  <c r="M151" i="117"/>
  <c r="M152" i="117" s="1"/>
  <c r="N36" i="117"/>
  <c r="N37" i="117" s="1"/>
  <c r="N39" i="117"/>
  <c r="S44" i="3"/>
  <c r="R45" i="3"/>
  <c r="R46" i="3" s="1"/>
  <c r="AD49" i="10"/>
  <c r="AD51" i="10"/>
  <c r="AD52" i="10" s="1"/>
  <c r="AE48" i="10"/>
  <c r="Q149" i="117"/>
  <c r="Q158" i="117"/>
  <c r="AC59" i="2"/>
  <c r="AE58" i="2"/>
  <c r="AE59" i="2" s="1"/>
  <c r="P166" i="117"/>
  <c r="P164" i="117"/>
  <c r="S8" i="117"/>
  <c r="T7" i="117"/>
  <c r="S147" i="117"/>
  <c r="V5" i="117"/>
  <c r="BK16" i="3"/>
  <c r="BI17" i="3"/>
  <c r="BK104" i="3"/>
  <c r="AN37" i="7"/>
  <c r="AN26" i="7"/>
  <c r="AN27" i="7" s="1"/>
  <c r="AI43" i="16"/>
  <c r="AI44" i="16" s="1"/>
  <c r="AI41" i="16"/>
  <c r="L203" i="117"/>
  <c r="L208" i="117"/>
  <c r="N202" i="117"/>
  <c r="BF52" i="15"/>
  <c r="BR51" i="15"/>
  <c r="BX51" i="15" s="1"/>
  <c r="CD51" i="15" s="1"/>
  <c r="CJ51" i="15" s="1"/>
  <c r="CP51" i="15" s="1"/>
  <c r="CV51" i="15" s="1"/>
  <c r="DB51" i="15" s="1"/>
  <c r="DH51" i="15" s="1"/>
  <c r="BL165" i="3"/>
  <c r="BL144" i="3"/>
  <c r="BL120" i="3"/>
  <c r="BL121" i="3" s="1"/>
  <c r="AJ7" i="15"/>
  <c r="AK6" i="15"/>
  <c r="BN43" i="2"/>
  <c r="BT43" i="2" s="1"/>
  <c r="BZ43" i="2" s="1"/>
  <c r="CF43" i="2" s="1"/>
  <c r="CL43" i="2" s="1"/>
  <c r="CR43" i="2" s="1"/>
  <c r="CX43" i="2" s="1"/>
  <c r="DD43" i="2" s="1"/>
  <c r="DJ43" i="2" s="1"/>
  <c r="BH40" i="2"/>
  <c r="M181" i="117"/>
  <c r="M42" i="117"/>
  <c r="M44" i="117"/>
  <c r="M45" i="117" s="1"/>
  <c r="AM37" i="7"/>
  <c r="AM26" i="7"/>
  <c r="AM27" i="7" s="1"/>
  <c r="P65" i="117"/>
  <c r="P86" i="117"/>
  <c r="AA144" i="21"/>
  <c r="AA49" i="21"/>
  <c r="N16" i="117"/>
  <c r="N15" i="117"/>
  <c r="AG10" i="9"/>
  <c r="AG11" i="9" s="1"/>
  <c r="AH13" i="15"/>
  <c r="AH14" i="15" s="1"/>
  <c r="AH18" i="15"/>
  <c r="BW140" i="3"/>
  <c r="AG13" i="10"/>
  <c r="AG14" i="10" s="1"/>
  <c r="AG18" i="10"/>
  <c r="P38" i="117"/>
  <c r="P27" i="117"/>
  <c r="P28" i="117" s="1"/>
  <c r="AJ7" i="9"/>
  <c r="AK7" i="9" s="1"/>
  <c r="AK6" i="9"/>
  <c r="AH8" i="10"/>
  <c r="AH20" i="10"/>
  <c r="AH21" i="10" s="1"/>
  <c r="AH32" i="10"/>
  <c r="AH33" i="10" s="1"/>
  <c r="AH17" i="10"/>
  <c r="R146" i="117"/>
  <c r="R148" i="117"/>
  <c r="S145" i="117"/>
  <c r="AW43" i="2"/>
  <c r="AW44" i="2" s="1"/>
  <c r="AW41" i="2"/>
  <c r="AN10" i="7"/>
  <c r="AN11" i="7" s="1"/>
  <c r="AN18" i="7"/>
  <c r="AN13" i="7"/>
  <c r="AN14" i="7" s="1"/>
  <c r="AJ58" i="3"/>
  <c r="AJ55" i="3"/>
  <c r="AJ59" i="3"/>
  <c r="AK54" i="3"/>
  <c r="AG18" i="2"/>
  <c r="AG13" i="2"/>
  <c r="AG14" i="2" s="1"/>
  <c r="BL43" i="2"/>
  <c r="BF40" i="2"/>
  <c r="AW86" i="15"/>
  <c r="AW88" i="15"/>
  <c r="BC86" i="15"/>
  <c r="P159" i="117"/>
  <c r="AJ38" i="16"/>
  <c r="AJ40" i="16"/>
  <c r="AK37" i="16"/>
  <c r="N44" i="117"/>
  <c r="N45" i="117" s="1"/>
  <c r="N42" i="117"/>
  <c r="AG25" i="2"/>
  <c r="J67" i="11"/>
  <c r="J68" i="11" s="1"/>
  <c r="N155" i="117"/>
  <c r="N156" i="117"/>
  <c r="BH46" i="15"/>
  <c r="BH48" i="15"/>
  <c r="AJ48" i="17"/>
  <c r="AJ46" i="17"/>
  <c r="AK45" i="17"/>
  <c r="AH37" i="8"/>
  <c r="AH26" i="8"/>
  <c r="AH27" i="8" s="1"/>
  <c r="AO17" i="7"/>
  <c r="AO8" i="7"/>
  <c r="AO24" i="7"/>
  <c r="AK41" i="7"/>
  <c r="AK43" i="7"/>
  <c r="AK44" i="7"/>
  <c r="M179" i="117"/>
  <c r="M176" i="117"/>
  <c r="M177" i="117" s="1"/>
  <c r="AN20" i="3"/>
  <c r="AM21" i="3"/>
  <c r="AH45" i="9"/>
  <c r="AH34" i="9"/>
  <c r="AH35" i="9" s="1"/>
  <c r="BH92" i="15"/>
  <c r="BI91" i="15"/>
  <c r="BI92" i="15" s="1"/>
  <c r="BM135" i="3"/>
  <c r="AG26" i="8"/>
  <c r="AG27" i="8" s="1"/>
  <c r="AG37" i="8"/>
  <c r="AH88" i="17"/>
  <c r="AH86" i="17"/>
  <c r="Q26" i="117"/>
  <c r="Q165" i="117"/>
  <c r="AU92" i="15"/>
  <c r="BA92" i="15"/>
  <c r="AG33" i="10"/>
  <c r="AV91" i="15"/>
  <c r="AV89" i="15"/>
  <c r="BB89" i="15"/>
  <c r="AM8" i="3"/>
  <c r="AM81" i="3" s="1"/>
  <c r="AM80" i="3"/>
  <c r="AM83" i="3" s="1"/>
  <c r="AM84" i="3" s="1"/>
  <c r="BH11" i="15"/>
  <c r="AE49" i="9"/>
  <c r="AE51" i="9"/>
  <c r="AE52" i="9" s="1"/>
  <c r="AG45" i="15"/>
  <c r="AG34" i="15"/>
  <c r="AG35" i="15" s="1"/>
  <c r="AN31" i="3"/>
  <c r="AO30" i="3"/>
  <c r="AO4" i="17"/>
  <c r="AO6" i="17" s="1"/>
  <c r="AN7" i="17"/>
  <c r="AI7" i="10"/>
  <c r="AJ4" i="10"/>
  <c r="AJ6" i="10" s="1"/>
  <c r="AH24" i="2"/>
  <c r="AH25" i="2" s="1"/>
  <c r="AH8" i="2"/>
  <c r="AH17" i="2"/>
  <c r="AK6" i="8"/>
  <c r="AM4" i="8" s="1"/>
  <c r="AJ7" i="8"/>
  <c r="AK40" i="16"/>
  <c r="AK76" i="16"/>
  <c r="AM74" i="16" s="1"/>
  <c r="AJ77" i="16"/>
  <c r="L184" i="117"/>
  <c r="L185" i="117" s="1"/>
  <c r="L182" i="117"/>
  <c r="DG9" i="21"/>
  <c r="DK9" i="21" s="1"/>
  <c r="DE9" i="21"/>
  <c r="BF13" i="21"/>
  <c r="BF23" i="21" s="1"/>
  <c r="BF94" i="21"/>
  <c r="CD94" i="21" s="1"/>
  <c r="CJ94" i="21" s="1"/>
  <c r="CP94" i="21" s="1"/>
  <c r="DH162" i="21"/>
  <c r="BH101" i="15"/>
  <c r="BT100" i="15"/>
  <c r="BZ100" i="15" s="1"/>
  <c r="CF100" i="15" s="1"/>
  <c r="CL100" i="15" s="1"/>
  <c r="CR100" i="15" s="1"/>
  <c r="CX100" i="15" s="1"/>
  <c r="DD100" i="15" s="1"/>
  <c r="DJ100" i="15" s="1"/>
  <c r="BH107" i="15"/>
  <c r="BT106" i="15"/>
  <c r="BZ106" i="15" s="1"/>
  <c r="CF106" i="15" s="1"/>
  <c r="CL106" i="15" s="1"/>
  <c r="CR106" i="15" s="1"/>
  <c r="CX106" i="15" s="1"/>
  <c r="DD106" i="15" s="1"/>
  <c r="DJ106" i="15" s="1"/>
  <c r="DB146" i="21"/>
  <c r="DB147" i="21" s="1"/>
  <c r="DH146" i="21"/>
  <c r="CV148" i="21"/>
  <c r="BY91" i="15"/>
  <c r="BS88" i="15"/>
  <c r="BS89" i="15" s="1"/>
  <c r="BX88" i="15"/>
  <c r="BX89" i="15" s="1"/>
  <c r="CD91" i="15"/>
  <c r="R191" i="11"/>
  <c r="V190" i="11" s="1"/>
  <c r="V192" i="11" s="1"/>
  <c r="BL82" i="15"/>
  <c r="BL84" i="15" s="1"/>
  <c r="BK85" i="15"/>
  <c r="BK88" i="15" s="1"/>
  <c r="BH109" i="15"/>
  <c r="BH110" i="15" s="1"/>
  <c r="BH112" i="21"/>
  <c r="BH98" i="15"/>
  <c r="BH134" i="21"/>
  <c r="BI112" i="21"/>
  <c r="BI100" i="15"/>
  <c r="BI101" i="15" s="1"/>
  <c r="BI98" i="15"/>
  <c r="K200" i="11"/>
  <c r="BF108" i="21"/>
  <c r="BH69" i="15"/>
  <c r="BH70" i="15" s="1"/>
  <c r="BG69" i="15"/>
  <c r="BG70" i="15" s="1"/>
  <c r="BG86" i="21"/>
  <c r="BG41" i="15"/>
  <c r="BF61" i="15"/>
  <c r="BF130" i="21"/>
  <c r="BL4" i="15"/>
  <c r="BL6" i="15" s="1"/>
  <c r="BK7" i="15"/>
  <c r="BK32" i="15" s="1"/>
  <c r="BK33" i="15" s="1"/>
  <c r="BI45" i="15"/>
  <c r="BK132" i="21"/>
  <c r="BK131" i="21"/>
  <c r="AT265" i="117"/>
  <c r="AT272" i="117"/>
  <c r="DK11" i="4"/>
  <c r="DK12" i="4" s="1"/>
  <c r="DK9" i="4"/>
  <c r="DI21" i="4"/>
  <c r="DK20" i="4"/>
  <c r="DK21" i="4" s="1"/>
  <c r="DK15" i="4"/>
  <c r="DK17" i="4"/>
  <c r="DK18" i="4" s="1"/>
  <c r="BT92" i="3"/>
  <c r="BT10" i="3"/>
  <c r="BT11" i="3" s="1"/>
  <c r="BU51" i="3"/>
  <c r="BS101" i="3"/>
  <c r="BS93" i="3"/>
  <c r="BW52" i="3"/>
  <c r="BU117" i="3"/>
  <c r="BU118" i="3" s="1"/>
  <c r="DG15" i="20"/>
  <c r="DG44" i="21"/>
  <c r="DK44" i="21" s="1"/>
  <c r="DG26" i="20"/>
  <c r="DK26" i="20" s="1"/>
  <c r="DK27" i="20" s="1"/>
  <c r="DG17" i="20"/>
  <c r="DG18" i="20" s="1"/>
  <c r="DK14" i="20"/>
  <c r="R251" i="11"/>
  <c r="V250" i="11" s="1"/>
  <c r="S251" i="11"/>
  <c r="V251" i="11" s="1"/>
  <c r="DE17" i="20"/>
  <c r="DE18" i="20" s="1"/>
  <c r="DE15" i="20"/>
  <c r="DK11" i="20"/>
  <c r="DK12" i="20" s="1"/>
  <c r="BN134" i="3" l="1"/>
  <c r="BN135" i="3" s="1"/>
  <c r="AK8" i="9"/>
  <c r="AK20" i="9"/>
  <c r="AK21" i="9" s="1"/>
  <c r="AK17" i="9"/>
  <c r="AK18" i="9" s="1"/>
  <c r="AK13" i="9"/>
  <c r="AK10" i="9"/>
  <c r="AK11" i="9" s="1"/>
  <c r="AH18" i="2"/>
  <c r="AH13" i="2"/>
  <c r="AH14" i="2" s="1"/>
  <c r="AG38" i="8"/>
  <c r="AG40" i="8"/>
  <c r="AH46" i="9"/>
  <c r="AH48" i="9"/>
  <c r="AO18" i="7"/>
  <c r="AO13" i="7"/>
  <c r="AO14" i="7" s="1"/>
  <c r="AO10" i="7"/>
  <c r="AO11" i="7" s="1"/>
  <c r="S146" i="117"/>
  <c r="S148" i="117" s="1"/>
  <c r="T147" i="117"/>
  <c r="V145" i="117" s="1"/>
  <c r="Z145" i="117" s="1"/>
  <c r="AM33" i="17"/>
  <c r="AP4" i="3"/>
  <c r="AP6" i="3" s="1"/>
  <c r="AO7" i="3"/>
  <c r="AQ25" i="3"/>
  <c r="AP26" i="3"/>
  <c r="AK84" i="17"/>
  <c r="AJ85" i="17"/>
  <c r="AK85" i="17" s="1"/>
  <c r="AM76" i="16"/>
  <c r="AQ74" i="16"/>
  <c r="AQ4" i="8"/>
  <c r="AM6" i="8"/>
  <c r="AN32" i="17"/>
  <c r="AN33" i="17" s="1"/>
  <c r="AN20" i="17"/>
  <c r="AN21" i="17" s="1"/>
  <c r="AN8" i="17"/>
  <c r="AN17" i="17"/>
  <c r="AV92" i="15"/>
  <c r="BB92" i="15"/>
  <c r="AH89" i="17"/>
  <c r="AH91" i="17"/>
  <c r="AH92" i="17" s="1"/>
  <c r="AK46" i="17"/>
  <c r="AK43" i="17"/>
  <c r="AK44" i="17" s="1"/>
  <c r="BH51" i="15"/>
  <c r="BH49" i="15"/>
  <c r="AG26" i="2"/>
  <c r="AG27" i="2" s="1"/>
  <c r="AG37" i="2"/>
  <c r="AJ43" i="16"/>
  <c r="AJ44" i="16" s="1"/>
  <c r="AJ41" i="16"/>
  <c r="BF41" i="2"/>
  <c r="AG10" i="2"/>
  <c r="AK59" i="3"/>
  <c r="AK58" i="3"/>
  <c r="AH34" i="10"/>
  <c r="AH35" i="10" s="1"/>
  <c r="AH45" i="10"/>
  <c r="P39" i="117"/>
  <c r="P41" i="117"/>
  <c r="P178" i="117"/>
  <c r="AG10" i="10"/>
  <c r="AG11" i="10" s="1"/>
  <c r="CC140" i="3"/>
  <c r="AA150" i="21"/>
  <c r="AM4" i="15"/>
  <c r="AK5" i="15"/>
  <c r="BL166" i="3"/>
  <c r="AN40" i="7"/>
  <c r="AN38" i="7"/>
  <c r="V7" i="117"/>
  <c r="Z5" i="117"/>
  <c r="Q154" i="117"/>
  <c r="Q155" i="117" s="1"/>
  <c r="Q159" i="117"/>
  <c r="AN53" i="3"/>
  <c r="AM54" i="3"/>
  <c r="AJ7" i="2"/>
  <c r="AK7" i="2" s="1"/>
  <c r="AK6" i="2"/>
  <c r="R26" i="117"/>
  <c r="R165" i="117"/>
  <c r="AN80" i="3"/>
  <c r="AN83" i="3" s="1"/>
  <c r="AN84" i="3" s="1"/>
  <c r="AN8" i="3"/>
  <c r="AN81" i="3" s="1"/>
  <c r="AI88" i="17"/>
  <c r="AI86" i="17"/>
  <c r="BQ125" i="3"/>
  <c r="BO123" i="3"/>
  <c r="AH10" i="9"/>
  <c r="AH11" i="9" s="1"/>
  <c r="AN7" i="16"/>
  <c r="AO4" i="16"/>
  <c r="AO6" i="16" s="1"/>
  <c r="AI10" i="15"/>
  <c r="AI11" i="15" s="1"/>
  <c r="AI13" i="15"/>
  <c r="AI14" i="15" s="1"/>
  <c r="AI18" i="15"/>
  <c r="AO7" i="17"/>
  <c r="AP4" i="17"/>
  <c r="AP6" i="17" s="1"/>
  <c r="BR43" i="2"/>
  <c r="BX43" i="2" s="1"/>
  <c r="CD43" i="2" s="1"/>
  <c r="CJ43" i="2" s="1"/>
  <c r="CP43" i="2" s="1"/>
  <c r="CV43" i="2" s="1"/>
  <c r="DB43" i="2" s="1"/>
  <c r="DH43" i="2" s="1"/>
  <c r="AM4" i="9"/>
  <c r="AK5" i="9"/>
  <c r="M182" i="117"/>
  <c r="M184" i="117"/>
  <c r="M185" i="117" s="1"/>
  <c r="BK106" i="3"/>
  <c r="AI8" i="2"/>
  <c r="AI17" i="2"/>
  <c r="AI24" i="2"/>
  <c r="AI25" i="2" s="1"/>
  <c r="AM24" i="16"/>
  <c r="AM17" i="16"/>
  <c r="AM8" i="16"/>
  <c r="AK6" i="10"/>
  <c r="AJ7" i="10"/>
  <c r="AP30" i="3"/>
  <c r="AO31" i="3"/>
  <c r="AG48" i="15"/>
  <c r="AG46" i="15"/>
  <c r="AG45" i="10"/>
  <c r="AG34" i="10"/>
  <c r="AG35" i="10" s="1"/>
  <c r="Q27" i="117"/>
  <c r="Q28" i="117" s="1"/>
  <c r="Q38" i="117"/>
  <c r="AW152" i="21"/>
  <c r="AH40" i="8"/>
  <c r="AH38" i="8"/>
  <c r="AJ49" i="17"/>
  <c r="AJ51" i="17"/>
  <c r="AJ52" i="17" s="1"/>
  <c r="AK48" i="17"/>
  <c r="AW89" i="15"/>
  <c r="BC89" i="15"/>
  <c r="T146" i="117"/>
  <c r="AJ32" i="9"/>
  <c r="AJ33" i="9" s="1"/>
  <c r="AJ17" i="9"/>
  <c r="AJ8" i="9"/>
  <c r="AH10" i="15"/>
  <c r="AH11" i="15" s="1"/>
  <c r="P84" i="117"/>
  <c r="P135" i="117"/>
  <c r="AM38" i="7"/>
  <c r="AM40" i="7"/>
  <c r="BH41" i="2"/>
  <c r="N208" i="117"/>
  <c r="L156" i="117"/>
  <c r="L154" i="117" s="1"/>
  <c r="P167" i="117"/>
  <c r="P168" i="117" s="1"/>
  <c r="AE51" i="10"/>
  <c r="AE52" i="10" s="1"/>
  <c r="AE49" i="10"/>
  <c r="U44" i="3"/>
  <c r="S45" i="3"/>
  <c r="S46" i="3" s="1"/>
  <c r="AI26" i="8"/>
  <c r="AI27" i="8" s="1"/>
  <c r="AI37" i="8"/>
  <c r="AM13" i="17"/>
  <c r="AM14" i="17" s="1"/>
  <c r="AM18" i="17"/>
  <c r="BT13" i="15"/>
  <c r="AK24" i="8"/>
  <c r="AS6" i="7"/>
  <c r="AW4" i="7"/>
  <c r="AH10" i="8"/>
  <c r="AH11" i="8" s="1"/>
  <c r="AI18" i="9"/>
  <c r="AI20" i="9"/>
  <c r="AI21" i="9" s="1"/>
  <c r="AI13" i="9"/>
  <c r="AI14" i="9" s="1"/>
  <c r="AI10" i="9"/>
  <c r="AI11" i="9" s="1"/>
  <c r="AI33" i="15"/>
  <c r="AG48" i="9"/>
  <c r="AG46" i="9"/>
  <c r="AW91" i="15"/>
  <c r="O193" i="11"/>
  <c r="O195" i="11"/>
  <c r="O194" i="11"/>
  <c r="AK41" i="16"/>
  <c r="AK43" i="16"/>
  <c r="AK44" i="16" s="1"/>
  <c r="BT10" i="15"/>
  <c r="Q164" i="117"/>
  <c r="Q166" i="117"/>
  <c r="Q167" i="117" s="1"/>
  <c r="Q168" i="117" s="1"/>
  <c r="BM165" i="3"/>
  <c r="BM166" i="3" s="1"/>
  <c r="BM144" i="3"/>
  <c r="BM120" i="3"/>
  <c r="BM121" i="3" s="1"/>
  <c r="R149" i="117"/>
  <c r="R158" i="117"/>
  <c r="AJ17" i="15"/>
  <c r="AJ8" i="15"/>
  <c r="AJ20" i="15"/>
  <c r="AJ21" i="15" s="1"/>
  <c r="AJ32" i="15"/>
  <c r="AJ33" i="15" s="1"/>
  <c r="N203" i="117"/>
  <c r="N151" i="117"/>
  <c r="N152" i="117" s="1"/>
  <c r="AC48" i="21"/>
  <c r="AE31" i="21"/>
  <c r="BO137" i="3"/>
  <c r="BO138" i="3" s="1"/>
  <c r="BK34" i="15"/>
  <c r="BK45" i="15"/>
  <c r="BK91" i="15"/>
  <c r="BK89" i="15"/>
  <c r="N181" i="117"/>
  <c r="AJ80" i="16"/>
  <c r="AJ81" i="16" s="1"/>
  <c r="AJ78" i="16"/>
  <c r="AK77" i="16"/>
  <c r="AJ24" i="8"/>
  <c r="AJ25" i="8" s="1"/>
  <c r="AJ8" i="8"/>
  <c r="AJ17" i="8"/>
  <c r="AK7" i="8"/>
  <c r="AH37" i="2"/>
  <c r="AH26" i="2"/>
  <c r="AH27" i="2" s="1"/>
  <c r="AI17" i="10"/>
  <c r="AI8" i="10"/>
  <c r="AI20" i="10"/>
  <c r="AI21" i="10" s="1"/>
  <c r="AI32" i="10"/>
  <c r="AK7" i="10"/>
  <c r="AN21" i="3"/>
  <c r="AO20" i="3"/>
  <c r="AO25" i="7"/>
  <c r="AK38" i="16"/>
  <c r="AK35" i="16"/>
  <c r="AK36" i="16" s="1"/>
  <c r="AJ61" i="3"/>
  <c r="AH13" i="10"/>
  <c r="AH14" i="10" s="1"/>
  <c r="AH18" i="10"/>
  <c r="P66" i="117"/>
  <c r="P205" i="117"/>
  <c r="P62" i="117"/>
  <c r="BL16" i="3"/>
  <c r="BK17" i="3"/>
  <c r="S18" i="117"/>
  <c r="S9" i="117"/>
  <c r="S25" i="117"/>
  <c r="T25" i="117" s="1"/>
  <c r="T8" i="117"/>
  <c r="AK60" i="3"/>
  <c r="AI18" i="8"/>
  <c r="AI13" i="8"/>
  <c r="AI14" i="8" s="1"/>
  <c r="R16" i="117"/>
  <c r="R19" i="117"/>
  <c r="R11" i="117"/>
  <c r="AH48" i="15"/>
  <c r="AH46" i="15"/>
  <c r="AK7" i="15"/>
  <c r="AG92" i="17"/>
  <c r="AP24" i="7"/>
  <c r="AP25" i="7" s="1"/>
  <c r="AP17" i="7"/>
  <c r="AP8" i="7"/>
  <c r="BC41" i="2"/>
  <c r="BC43" i="2"/>
  <c r="BC44" i="2" s="1"/>
  <c r="AI45" i="9"/>
  <c r="AI34" i="9"/>
  <c r="AI35" i="9" s="1"/>
  <c r="BO134" i="3"/>
  <c r="BO135" i="3" s="1"/>
  <c r="AQ7" i="7"/>
  <c r="BG13" i="21"/>
  <c r="BG23" i="21" s="1"/>
  <c r="BG94" i="21"/>
  <c r="BY94" i="21" s="1"/>
  <c r="CE94" i="21" s="1"/>
  <c r="CK94" i="21" s="1"/>
  <c r="CQ94" i="21" s="1"/>
  <c r="CW94" i="21" s="1"/>
  <c r="DC94" i="21" s="1"/>
  <c r="DI94" i="21" s="1"/>
  <c r="BF62" i="21"/>
  <c r="BF72" i="21" s="1"/>
  <c r="BF138" i="21"/>
  <c r="BK20" i="15"/>
  <c r="BK21" i="15" s="1"/>
  <c r="BK17" i="15"/>
  <c r="CV94" i="21"/>
  <c r="DH147" i="21"/>
  <c r="DH148" i="21"/>
  <c r="DB148" i="21"/>
  <c r="BY88" i="15"/>
  <c r="BY89" i="15" s="1"/>
  <c r="CE91" i="15"/>
  <c r="CJ91" i="15"/>
  <c r="CD88" i="15"/>
  <c r="CD89" i="15" s="1"/>
  <c r="BF57" i="15"/>
  <c r="BF58" i="15" s="1"/>
  <c r="BF55" i="15"/>
  <c r="BK86" i="15"/>
  <c r="BL85" i="15"/>
  <c r="BM82" i="15"/>
  <c r="BM84" i="15" s="1"/>
  <c r="BF66" i="15"/>
  <c r="BF67" i="15" s="1"/>
  <c r="BF116" i="15"/>
  <c r="BF117" i="15" s="1"/>
  <c r="BM4" i="15"/>
  <c r="BM6" i="15" s="1"/>
  <c r="BL7" i="15"/>
  <c r="BI43" i="15"/>
  <c r="BI44" i="15" s="1"/>
  <c r="BI46" i="15"/>
  <c r="BK8" i="15"/>
  <c r="BG130" i="21"/>
  <c r="BK55" i="17"/>
  <c r="BK66" i="17"/>
  <c r="BK116" i="17"/>
  <c r="BK110" i="21"/>
  <c r="BK57" i="17"/>
  <c r="BK58" i="17" s="1"/>
  <c r="BK105" i="16"/>
  <c r="BK58" i="16"/>
  <c r="BK59" i="16" s="1"/>
  <c r="BK49" i="16"/>
  <c r="BK50" i="16" s="1"/>
  <c r="BK47" i="16"/>
  <c r="BK109" i="21"/>
  <c r="N195" i="11"/>
  <c r="C31" i="12"/>
  <c r="L193" i="11"/>
  <c r="N193" i="11"/>
  <c r="N194" i="11"/>
  <c r="M193" i="11"/>
  <c r="L194" i="11"/>
  <c r="M195" i="11"/>
  <c r="L195" i="11"/>
  <c r="M194" i="11"/>
  <c r="BS102" i="3"/>
  <c r="BT93" i="3"/>
  <c r="BU92" i="3"/>
  <c r="BU93" i="3" s="1"/>
  <c r="BU10" i="3"/>
  <c r="BU11" i="3" s="1"/>
  <c r="BW51" i="3"/>
  <c r="BX52" i="3"/>
  <c r="BW117" i="3"/>
  <c r="V252" i="11"/>
  <c r="C33" i="12" s="1"/>
  <c r="DK17" i="20"/>
  <c r="DK18" i="20" s="1"/>
  <c r="DK15" i="20"/>
  <c r="BN140" i="3" l="1"/>
  <c r="BL20" i="15"/>
  <c r="BL21" i="15" s="1"/>
  <c r="BL17" i="15"/>
  <c r="AK8" i="2"/>
  <c r="AK17" i="2"/>
  <c r="AK10" i="2"/>
  <c r="AK11" i="2" s="1"/>
  <c r="AK86" i="17"/>
  <c r="AK88" i="17"/>
  <c r="AK89" i="17" s="1"/>
  <c r="S149" i="117"/>
  <c r="S158" i="117"/>
  <c r="T148" i="117"/>
  <c r="BL17" i="3"/>
  <c r="BM16" i="3"/>
  <c r="BM104" i="3" s="1"/>
  <c r="P85" i="117"/>
  <c r="P81" i="117"/>
  <c r="P82" i="117" s="1"/>
  <c r="BQ137" i="3"/>
  <c r="BR125" i="3"/>
  <c r="BR137" i="3" s="1"/>
  <c r="BR138" i="3" s="1"/>
  <c r="BQ123" i="3"/>
  <c r="BQ134" i="3" s="1"/>
  <c r="R38" i="117"/>
  <c r="R27" i="117"/>
  <c r="AN41" i="7"/>
  <c r="AN43" i="7"/>
  <c r="AN44" i="7" s="1"/>
  <c r="BH52" i="15"/>
  <c r="AG41" i="8"/>
  <c r="AG43" i="8"/>
  <c r="AG44" i="8" s="1"/>
  <c r="AK15" i="9"/>
  <c r="AK14" i="9"/>
  <c r="BK13" i="15"/>
  <c r="BK14" i="15" s="1"/>
  <c r="AK8" i="15"/>
  <c r="AK20" i="15"/>
  <c r="AK21" i="15" s="1"/>
  <c r="AK17" i="15"/>
  <c r="AK18" i="15" s="1"/>
  <c r="AK13" i="15"/>
  <c r="AK10" i="15"/>
  <c r="AK11" i="15" s="1"/>
  <c r="X11" i="117"/>
  <c r="R12" i="117"/>
  <c r="S19" i="117"/>
  <c r="S11" i="117"/>
  <c r="S16" i="117"/>
  <c r="P63" i="117"/>
  <c r="AH10" i="10"/>
  <c r="AH11" i="10" s="1"/>
  <c r="AQ24" i="7"/>
  <c r="AQ23" i="7" s="1"/>
  <c r="AP20" i="3"/>
  <c r="AO21" i="3"/>
  <c r="AH38" i="2"/>
  <c r="AH46" i="2"/>
  <c r="AJ37" i="8"/>
  <c r="AJ26" i="8"/>
  <c r="AJ27" i="8" s="1"/>
  <c r="AK25" i="8"/>
  <c r="AK26" i="8" s="1"/>
  <c r="AK27" i="8" s="1"/>
  <c r="N182" i="117"/>
  <c r="N184" i="117"/>
  <c r="N185" i="117" s="1"/>
  <c r="BK35" i="15"/>
  <c r="BQ34" i="15"/>
  <c r="BW34" i="15" s="1"/>
  <c r="CC34" i="15" s="1"/>
  <c r="CI34" i="15" s="1"/>
  <c r="CO34" i="15" s="1"/>
  <c r="CU34" i="15" s="1"/>
  <c r="DA34" i="15" s="1"/>
  <c r="DG34" i="15" s="1"/>
  <c r="AW92" i="15"/>
  <c r="BC92" i="15"/>
  <c r="AG49" i="9"/>
  <c r="AG51" i="9"/>
  <c r="AG52" i="9" s="1"/>
  <c r="AM10" i="17"/>
  <c r="AM11" i="17" s="1"/>
  <c r="AM41" i="7"/>
  <c r="AM43" i="7"/>
  <c r="AM44" i="7" s="1"/>
  <c r="AK49" i="17"/>
  <c r="AK51" i="17"/>
  <c r="AK52" i="17" s="1"/>
  <c r="AH41" i="8"/>
  <c r="AH43" i="8"/>
  <c r="AH44" i="8" s="1"/>
  <c r="Q178" i="117"/>
  <c r="Q41" i="117"/>
  <c r="Q39" i="117"/>
  <c r="AG46" i="10"/>
  <c r="AG48" i="10"/>
  <c r="AM25" i="16"/>
  <c r="AN17" i="16"/>
  <c r="AN8" i="16"/>
  <c r="AN24" i="16"/>
  <c r="AN25" i="16" s="1"/>
  <c r="AK5" i="2"/>
  <c r="AM4" i="2"/>
  <c r="AO53" i="3"/>
  <c r="AN54" i="3"/>
  <c r="AN60" i="3" s="1"/>
  <c r="AG77" i="2"/>
  <c r="AG78" i="2" s="1"/>
  <c r="AG80" i="2" s="1"/>
  <c r="AG11" i="2"/>
  <c r="AN18" i="17"/>
  <c r="AN13" i="17"/>
  <c r="AN14" i="17" s="1"/>
  <c r="AM77" i="16"/>
  <c r="AN74" i="16"/>
  <c r="AN76" i="16" s="1"/>
  <c r="AS25" i="3"/>
  <c r="AQ26" i="3"/>
  <c r="AM45" i="17"/>
  <c r="AM34" i="17"/>
  <c r="AM35" i="17" s="1"/>
  <c r="AH49" i="9"/>
  <c r="AH51" i="9"/>
  <c r="AH52" i="9" s="1"/>
  <c r="BN144" i="3"/>
  <c r="BN165" i="3"/>
  <c r="BN120" i="3"/>
  <c r="BN121" i="3" s="1"/>
  <c r="AI33" i="10"/>
  <c r="AK32" i="10"/>
  <c r="AK31" i="10" s="1"/>
  <c r="AC144" i="21"/>
  <c r="AC49" i="21"/>
  <c r="AE48" i="21"/>
  <c r="L155" i="117"/>
  <c r="L151" i="117"/>
  <c r="L152" i="117" s="1"/>
  <c r="AM10" i="16"/>
  <c r="AM11" i="16" s="1"/>
  <c r="AM18" i="16"/>
  <c r="AM13" i="16"/>
  <c r="AM14" i="16" s="1"/>
  <c r="AP4" i="16"/>
  <c r="AP6" i="16" s="1"/>
  <c r="AO7" i="16"/>
  <c r="CI140" i="3"/>
  <c r="AI10" i="8"/>
  <c r="AI11" i="8" s="1"/>
  <c r="T9" i="117"/>
  <c r="T18" i="117"/>
  <c r="T19" i="117" s="1"/>
  <c r="BL104" i="3"/>
  <c r="P206" i="117"/>
  <c r="AO37" i="7"/>
  <c r="AO26" i="7"/>
  <c r="AO27" i="7" s="1"/>
  <c r="AQ25" i="7"/>
  <c r="AQ26" i="7" s="1"/>
  <c r="AQ27" i="7" s="1"/>
  <c r="AK8" i="8"/>
  <c r="AK17" i="8"/>
  <c r="AK10" i="8"/>
  <c r="AK11" i="8" s="1"/>
  <c r="AK78" i="16"/>
  <c r="AK80" i="16"/>
  <c r="AK81" i="16" s="1"/>
  <c r="R159" i="117"/>
  <c r="BZ10" i="15"/>
  <c r="BT17" i="15"/>
  <c r="AK32" i="15"/>
  <c r="AK31" i="15" s="1"/>
  <c r="AS7" i="7"/>
  <c r="AT4" i="7"/>
  <c r="AT6" i="7" s="1"/>
  <c r="AJ13" i="9"/>
  <c r="AJ14" i="9" s="1"/>
  <c r="AJ10" i="9"/>
  <c r="AJ11" i="9" s="1"/>
  <c r="AJ18" i="9"/>
  <c r="AJ20" i="9"/>
  <c r="AJ21" i="9" s="1"/>
  <c r="AP31" i="3"/>
  <c r="AQ30" i="3"/>
  <c r="AI26" i="2"/>
  <c r="AI27" i="2" s="1"/>
  <c r="AI37" i="2"/>
  <c r="BK107" i="3"/>
  <c r="BQ106" i="3"/>
  <c r="BW106" i="3" s="1"/>
  <c r="CC106" i="3" s="1"/>
  <c r="CI106" i="3" s="1"/>
  <c r="CO106" i="3" s="1"/>
  <c r="CU106" i="3" s="1"/>
  <c r="DA106" i="3" s="1"/>
  <c r="DG106" i="3" s="1"/>
  <c r="AM6" i="9"/>
  <c r="AQ4" i="9"/>
  <c r="AQ6" i="17"/>
  <c r="AP7" i="17"/>
  <c r="AJ8" i="2"/>
  <c r="AJ17" i="2"/>
  <c r="AJ24" i="2"/>
  <c r="Q151" i="117"/>
  <c r="Q152" i="117" s="1"/>
  <c r="V8" i="117"/>
  <c r="V147" i="117"/>
  <c r="W5" i="117"/>
  <c r="W7" i="117" s="1"/>
  <c r="P176" i="117"/>
  <c r="P177" i="117" s="1"/>
  <c r="P179" i="117"/>
  <c r="AN4" i="8"/>
  <c r="AN6" i="8" s="1"/>
  <c r="AM7" i="8"/>
  <c r="AJ86" i="17"/>
  <c r="AJ88" i="17"/>
  <c r="AO80" i="3"/>
  <c r="AO83" i="3" s="1"/>
  <c r="AO84" i="3" s="1"/>
  <c r="AO8" i="3"/>
  <c r="AO81" i="3" s="1"/>
  <c r="AP37" i="7"/>
  <c r="AP26" i="7"/>
  <c r="AP27" i="7" s="1"/>
  <c r="BK46" i="15"/>
  <c r="BK48" i="15"/>
  <c r="AJ45" i="15"/>
  <c r="AJ34" i="15"/>
  <c r="AJ35" i="15" s="1"/>
  <c r="AK5" i="10"/>
  <c r="AM4" i="10"/>
  <c r="K67" i="11"/>
  <c r="K68" i="11" s="1"/>
  <c r="AM59" i="3"/>
  <c r="AM55" i="3"/>
  <c r="AM58" i="3"/>
  <c r="AM6" i="15"/>
  <c r="AQ4" i="15"/>
  <c r="AH48" i="10"/>
  <c r="AH46" i="10"/>
  <c r="AN45" i="17"/>
  <c r="AN34" i="17"/>
  <c r="AN35" i="17" s="1"/>
  <c r="BO143" i="3"/>
  <c r="AQ8" i="7"/>
  <c r="AQ17" i="7"/>
  <c r="AQ10" i="7"/>
  <c r="AQ11" i="7" s="1"/>
  <c r="AI48" i="9"/>
  <c r="AI46" i="9"/>
  <c r="AP13" i="7"/>
  <c r="AP14" i="7" s="1"/>
  <c r="AP18" i="7"/>
  <c r="AH51" i="15"/>
  <c r="AH52" i="15" s="1"/>
  <c r="AH49" i="15"/>
  <c r="R65" i="117"/>
  <c r="R86" i="117"/>
  <c r="R135" i="117" s="1"/>
  <c r="S26" i="117"/>
  <c r="T26" i="117" s="1"/>
  <c r="T27" i="117" s="1"/>
  <c r="T28" i="117" s="1"/>
  <c r="S165" i="117"/>
  <c r="AK20" i="10"/>
  <c r="AK21" i="10" s="1"/>
  <c r="AK8" i="10"/>
  <c r="AK17" i="10"/>
  <c r="AK18" i="10" s="1"/>
  <c r="AK13" i="10"/>
  <c r="AK10" i="10"/>
  <c r="AK11" i="10" s="1"/>
  <c r="AI10" i="10"/>
  <c r="AI11" i="10" s="1"/>
  <c r="AI13" i="10"/>
  <c r="AI14" i="10" s="1"/>
  <c r="AI18" i="10"/>
  <c r="AJ13" i="8"/>
  <c r="AJ14" i="8" s="1"/>
  <c r="AJ18" i="8"/>
  <c r="BK92" i="15"/>
  <c r="BQ91" i="15"/>
  <c r="AF31" i="21"/>
  <c r="AE27" i="21"/>
  <c r="AE24" i="21"/>
  <c r="AJ10" i="15"/>
  <c r="AJ11" i="15" s="1"/>
  <c r="AJ13" i="15"/>
  <c r="AJ14" i="15" s="1"/>
  <c r="AJ18" i="15"/>
  <c r="AI34" i="15"/>
  <c r="AI35" i="15" s="1"/>
  <c r="AI45" i="15"/>
  <c r="AK33" i="15"/>
  <c r="AK34" i="15" s="1"/>
  <c r="AK35" i="15" s="1"/>
  <c r="AK23" i="8"/>
  <c r="BZ13" i="15"/>
  <c r="AI40" i="8"/>
  <c r="AI38" i="8"/>
  <c r="V44" i="3"/>
  <c r="U45" i="3"/>
  <c r="U46" i="3" s="1"/>
  <c r="P132" i="117"/>
  <c r="P202" i="117" s="1"/>
  <c r="P136" i="117"/>
  <c r="AJ34" i="9"/>
  <c r="AJ35" i="9" s="1"/>
  <c r="AJ45" i="9"/>
  <c r="AK33" i="9"/>
  <c r="AK34" i="9" s="1"/>
  <c r="AK35" i="9" s="1"/>
  <c r="AG51" i="15"/>
  <c r="AG52" i="15" s="1"/>
  <c r="AG49" i="15"/>
  <c r="AJ20" i="10"/>
  <c r="AJ21" i="10" s="1"/>
  <c r="AJ32" i="10"/>
  <c r="AJ33" i="10" s="1"/>
  <c r="AJ17" i="10"/>
  <c r="AJ8" i="10"/>
  <c r="AI10" i="2"/>
  <c r="AI11" i="2" s="1"/>
  <c r="AI18" i="2"/>
  <c r="AI13" i="2"/>
  <c r="AI14" i="2" s="1"/>
  <c r="AO20" i="17"/>
  <c r="AO21" i="17" s="1"/>
  <c r="AO8" i="17"/>
  <c r="AO32" i="17"/>
  <c r="AO33" i="17" s="1"/>
  <c r="AO17" i="17"/>
  <c r="AK32" i="9"/>
  <c r="AK31" i="9" s="1"/>
  <c r="AI91" i="17"/>
  <c r="AI89" i="17"/>
  <c r="R164" i="117"/>
  <c r="R166" i="117"/>
  <c r="R167" i="117" s="1"/>
  <c r="R168" i="117" s="1"/>
  <c r="AM60" i="3"/>
  <c r="P181" i="117"/>
  <c r="P44" i="117"/>
  <c r="P45" i="117" s="1"/>
  <c r="P42" i="117"/>
  <c r="AK61" i="3"/>
  <c r="AG38" i="2"/>
  <c r="AG46" i="2"/>
  <c r="AM82" i="17"/>
  <c r="AK83" i="17"/>
  <c r="AQ6" i="3"/>
  <c r="AP7" i="3"/>
  <c r="AK37" i="8"/>
  <c r="AH10" i="2"/>
  <c r="AH11" i="2" s="1"/>
  <c r="T165" i="117"/>
  <c r="BX138" i="21"/>
  <c r="CD138" i="21" s="1"/>
  <c r="CJ138" i="21" s="1"/>
  <c r="CP138" i="21" s="1"/>
  <c r="CV138" i="21" s="1"/>
  <c r="DB138" i="21" s="1"/>
  <c r="DH138" i="21" s="1"/>
  <c r="BG62" i="21"/>
  <c r="BG72" i="21" s="1"/>
  <c r="BG138" i="21"/>
  <c r="BK18" i="15"/>
  <c r="DB94" i="21"/>
  <c r="CE88" i="15"/>
  <c r="CE89" i="15" s="1"/>
  <c r="CK91" i="15"/>
  <c r="CJ88" i="15"/>
  <c r="CJ89" i="15" s="1"/>
  <c r="CP91" i="15"/>
  <c r="BK90" i="21"/>
  <c r="BK95" i="15"/>
  <c r="BN82" i="15"/>
  <c r="BN84" i="15" s="1"/>
  <c r="BM85" i="15"/>
  <c r="BL86" i="15"/>
  <c r="BL106" i="15"/>
  <c r="BF124" i="15"/>
  <c r="BF125" i="15" s="1"/>
  <c r="BF119" i="15"/>
  <c r="BF120" i="15" s="1"/>
  <c r="BL8" i="15"/>
  <c r="BM7" i="15"/>
  <c r="BN4" i="15"/>
  <c r="BN6" i="15" s="1"/>
  <c r="BK67" i="17"/>
  <c r="BK117" i="17"/>
  <c r="BK119" i="17"/>
  <c r="BK120" i="17" s="1"/>
  <c r="BK124" i="17"/>
  <c r="BK106" i="16"/>
  <c r="BK113" i="16"/>
  <c r="BK114" i="16" s="1"/>
  <c r="BK108" i="16"/>
  <c r="BK109" i="16" s="1"/>
  <c r="E31" i="12"/>
  <c r="BX51" i="3"/>
  <c r="BW10" i="3"/>
  <c r="BW11" i="3" s="1"/>
  <c r="BW92" i="3"/>
  <c r="BW118" i="3"/>
  <c r="BX117" i="3"/>
  <c r="BX118" i="3" s="1"/>
  <c r="BY52" i="3"/>
  <c r="E33" i="12"/>
  <c r="BO140" i="3" l="1"/>
  <c r="BO141" i="3" s="1"/>
  <c r="BT140" i="3"/>
  <c r="BN141" i="3"/>
  <c r="BN166" i="3"/>
  <c r="BM17" i="15"/>
  <c r="BM20" i="15"/>
  <c r="BM21" i="15" s="1"/>
  <c r="BT15" i="15"/>
  <c r="BL107" i="15"/>
  <c r="BR106" i="15"/>
  <c r="BX106" i="15" s="1"/>
  <c r="CD106" i="15" s="1"/>
  <c r="CJ106" i="15" s="1"/>
  <c r="CP106" i="15" s="1"/>
  <c r="CV106" i="15" s="1"/>
  <c r="DB106" i="15" s="1"/>
  <c r="DH106" i="15" s="1"/>
  <c r="BL18" i="15"/>
  <c r="BL13" i="15"/>
  <c r="P208" i="117"/>
  <c r="P203" i="117"/>
  <c r="AI92" i="17"/>
  <c r="AN7" i="8"/>
  <c r="AO4" i="8"/>
  <c r="AO6" i="8" s="1"/>
  <c r="AO17" i="16"/>
  <c r="AO8" i="16"/>
  <c r="AO24" i="16"/>
  <c r="AO25" i="16" s="1"/>
  <c r="AG51" i="10"/>
  <c r="AG52" i="10" s="1"/>
  <c r="AG49" i="10"/>
  <c r="AK38" i="8"/>
  <c r="AK35" i="8"/>
  <c r="AK36" i="8" s="1"/>
  <c r="AQ82" i="17"/>
  <c r="AM84" i="17"/>
  <c r="AJ10" i="10"/>
  <c r="AJ11" i="10" s="1"/>
  <c r="AJ13" i="10"/>
  <c r="AJ14" i="10" s="1"/>
  <c r="AJ18" i="10"/>
  <c r="AI46" i="15"/>
  <c r="AI48" i="15"/>
  <c r="AK45" i="15"/>
  <c r="R136" i="117"/>
  <c r="R132" i="117"/>
  <c r="X136" i="117"/>
  <c r="AI49" i="9"/>
  <c r="AI51" i="9"/>
  <c r="AI52" i="9" s="1"/>
  <c r="AH51" i="10"/>
  <c r="AH52" i="10" s="1"/>
  <c r="AH49" i="10"/>
  <c r="AM61" i="3"/>
  <c r="AJ46" i="15"/>
  <c r="AJ48" i="15"/>
  <c r="AP38" i="7"/>
  <c r="AP40" i="7"/>
  <c r="AJ91" i="17"/>
  <c r="AJ92" i="17" s="1"/>
  <c r="AJ89" i="17"/>
  <c r="W8" i="117"/>
  <c r="X5" i="117"/>
  <c r="X7" i="117" s="1"/>
  <c r="W147" i="117"/>
  <c r="AJ25" i="2"/>
  <c r="AK24" i="2"/>
  <c r="AK23" i="2" s="1"/>
  <c r="AS4" i="17"/>
  <c r="AQ5" i="17"/>
  <c r="AI46" i="2"/>
  <c r="AI38" i="2"/>
  <c r="AK13" i="8"/>
  <c r="AK18" i="8"/>
  <c r="AO38" i="7"/>
  <c r="AO40" i="7"/>
  <c r="AQ37" i="7"/>
  <c r="AQ6" i="16"/>
  <c r="AP7" i="16"/>
  <c r="F250" i="14"/>
  <c r="F15" i="14"/>
  <c r="F131" i="14" s="1"/>
  <c r="AE49" i="21"/>
  <c r="AI34" i="10"/>
  <c r="AI35" i="10" s="1"/>
  <c r="AI45" i="10"/>
  <c r="AK33" i="10"/>
  <c r="AK34" i="10" s="1"/>
  <c r="AK35" i="10" s="1"/>
  <c r="AT25" i="3"/>
  <c r="AS26" i="3"/>
  <c r="BO165" i="3"/>
  <c r="BO166" i="3" s="1"/>
  <c r="AQ4" i="2"/>
  <c r="AM6" i="2"/>
  <c r="AN13" i="16"/>
  <c r="AN14" i="16" s="1"/>
  <c r="AN10" i="16"/>
  <c r="AN11" i="16" s="1"/>
  <c r="AN18" i="16"/>
  <c r="Q176" i="117"/>
  <c r="Q177" i="117" s="1"/>
  <c r="Q179" i="117"/>
  <c r="S86" i="117"/>
  <c r="S65" i="117"/>
  <c r="AK14" i="15"/>
  <c r="AK15" i="15"/>
  <c r="BK10" i="15"/>
  <c r="BK11" i="15" s="1"/>
  <c r="X27" i="117"/>
  <c r="R28" i="117"/>
  <c r="BS125" i="3"/>
  <c r="BS137" i="3" s="1"/>
  <c r="BS138" i="3" s="1"/>
  <c r="BR123" i="3"/>
  <c r="S159" i="117"/>
  <c r="AG33" i="21"/>
  <c r="AG49" i="2"/>
  <c r="AG50" i="2" s="1"/>
  <c r="AG58" i="2"/>
  <c r="AG192" i="3"/>
  <c r="AG47" i="2"/>
  <c r="P133" i="117"/>
  <c r="AP20" i="17"/>
  <c r="AP21" i="17" s="1"/>
  <c r="AP32" i="17"/>
  <c r="AP17" i="17"/>
  <c r="AP8" i="17"/>
  <c r="AQ7" i="17"/>
  <c r="AP53" i="3"/>
  <c r="AO60" i="3"/>
  <c r="AO54" i="3"/>
  <c r="Q44" i="117"/>
  <c r="Q181" i="117"/>
  <c r="Q42" i="117"/>
  <c r="AP8" i="3"/>
  <c r="AP81" i="3" s="1"/>
  <c r="AP80" i="3"/>
  <c r="AP83" i="3" s="1"/>
  <c r="AP84" i="3" s="1"/>
  <c r="AO18" i="17"/>
  <c r="AO13" i="17"/>
  <c r="AO14" i="17" s="1"/>
  <c r="AJ45" i="10"/>
  <c r="AJ34" i="10"/>
  <c r="AJ35" i="10" s="1"/>
  <c r="W44" i="3"/>
  <c r="V45" i="3"/>
  <c r="V46" i="3" s="1"/>
  <c r="CF13" i="15"/>
  <c r="AJ10" i="8"/>
  <c r="AJ11" i="8" s="1"/>
  <c r="R205" i="117"/>
  <c r="R66" i="117"/>
  <c r="R62" i="117"/>
  <c r="T65" i="117"/>
  <c r="AP10" i="7"/>
  <c r="AP11" i="7" s="1"/>
  <c r="AN48" i="17"/>
  <c r="AN46" i="17"/>
  <c r="BK49" i="15"/>
  <c r="BK51" i="15"/>
  <c r="AQ7" i="3"/>
  <c r="V146" i="117"/>
  <c r="W145" i="117"/>
  <c r="V148" i="117"/>
  <c r="AJ18" i="2"/>
  <c r="AJ13" i="2"/>
  <c r="AJ14" i="2" s="1"/>
  <c r="AJ10" i="2"/>
  <c r="AJ11" i="2" s="1"/>
  <c r="AT7" i="7"/>
  <c r="AU4" i="7"/>
  <c r="AU6" i="7" s="1"/>
  <c r="BZ17" i="15"/>
  <c r="BZ18" i="15" s="1"/>
  <c r="CF10" i="15"/>
  <c r="AM48" i="17"/>
  <c r="AM46" i="17"/>
  <c r="AO74" i="16"/>
  <c r="AO76" i="16" s="1"/>
  <c r="AN77" i="16"/>
  <c r="AN10" i="17"/>
  <c r="AN11" i="17" s="1"/>
  <c r="AJ40" i="8"/>
  <c r="AJ38" i="8"/>
  <c r="AP21" i="3"/>
  <c r="AQ20" i="3"/>
  <c r="Y11" i="117"/>
  <c r="S12" i="117"/>
  <c r="R39" i="117"/>
  <c r="R178" i="117"/>
  <c r="R41" i="117"/>
  <c r="BQ138" i="3"/>
  <c r="BN16" i="3"/>
  <c r="BM17" i="3"/>
  <c r="AK13" i="2"/>
  <c r="AK18" i="2"/>
  <c r="AJ48" i="9"/>
  <c r="AJ46" i="9"/>
  <c r="AI41" i="8"/>
  <c r="AI43" i="8"/>
  <c r="AI44" i="8" s="1"/>
  <c r="AK14" i="10"/>
  <c r="AK15" i="10"/>
  <c r="S27" i="117"/>
  <c r="S38" i="117"/>
  <c r="T149" i="117"/>
  <c r="T158" i="117"/>
  <c r="T159" i="117" s="1"/>
  <c r="AS4" i="3"/>
  <c r="AQ5" i="3"/>
  <c r="P182" i="117"/>
  <c r="P184" i="117"/>
  <c r="P185" i="117" s="1"/>
  <c r="AO34" i="17"/>
  <c r="AO35" i="17" s="1"/>
  <c r="AO45" i="17"/>
  <c r="AK45" i="9"/>
  <c r="BQ88" i="15"/>
  <c r="BQ89" i="15" s="1"/>
  <c r="BW91" i="15"/>
  <c r="S164" i="117"/>
  <c r="T164" i="117" s="1"/>
  <c r="S166" i="117"/>
  <c r="AQ13" i="7"/>
  <c r="AQ18" i="7"/>
  <c r="BO144" i="3"/>
  <c r="BO120" i="3"/>
  <c r="BO121" i="3" s="1"/>
  <c r="AM7" i="15"/>
  <c r="AN4" i="15"/>
  <c r="AN6" i="15" s="1"/>
  <c r="AM6" i="10"/>
  <c r="AQ4" i="10"/>
  <c r="AM17" i="8"/>
  <c r="AM24" i="8"/>
  <c r="AM8" i="8"/>
  <c r="V18" i="117"/>
  <c r="V25" i="117"/>
  <c r="V9" i="117"/>
  <c r="AN4" i="9"/>
  <c r="AN6" i="9" s="1"/>
  <c r="AM7" i="9"/>
  <c r="AS30" i="3"/>
  <c r="AQ31" i="3"/>
  <c r="AS24" i="7"/>
  <c r="AS17" i="7"/>
  <c r="AS8" i="7"/>
  <c r="CO140" i="3"/>
  <c r="AC150" i="21"/>
  <c r="AE144" i="21"/>
  <c r="AM78" i="16"/>
  <c r="AM80" i="16"/>
  <c r="AM81" i="16" s="1"/>
  <c r="AN58" i="3"/>
  <c r="AN59" i="3"/>
  <c r="AN55" i="3"/>
  <c r="AN37" i="16"/>
  <c r="AN26" i="16"/>
  <c r="AN27" i="16" s="1"/>
  <c r="AM26" i="16"/>
  <c r="AM27" i="16" s="1"/>
  <c r="AM37" i="16"/>
  <c r="AH47" i="2"/>
  <c r="AH49" i="2"/>
  <c r="AH50" i="2" s="1"/>
  <c r="AH33" i="21"/>
  <c r="AH31" i="21" s="1"/>
  <c r="AH48" i="21" s="1"/>
  <c r="AH58" i="2"/>
  <c r="AH59" i="2" s="1"/>
  <c r="X18" i="117"/>
  <c r="AD11" i="117"/>
  <c r="BQ143" i="3"/>
  <c r="BQ135" i="3"/>
  <c r="DH94" i="21"/>
  <c r="CQ91" i="15"/>
  <c r="CK88" i="15"/>
  <c r="CK89" i="15" s="1"/>
  <c r="CP88" i="15"/>
  <c r="CP89" i="15" s="1"/>
  <c r="CV91" i="15"/>
  <c r="BM86" i="15"/>
  <c r="BO84" i="15"/>
  <c r="BN85" i="15"/>
  <c r="BL90" i="21"/>
  <c r="BK112" i="21"/>
  <c r="BK98" i="15"/>
  <c r="BM8" i="15"/>
  <c r="BL75" i="15"/>
  <c r="BN7" i="15"/>
  <c r="BO6" i="15"/>
  <c r="BK125" i="17"/>
  <c r="BW101" i="3"/>
  <c r="BW93" i="3"/>
  <c r="BY51" i="3"/>
  <c r="BX92" i="3"/>
  <c r="BX10" i="3"/>
  <c r="BX11" i="3" s="1"/>
  <c r="BZ52" i="3"/>
  <c r="BY117" i="3"/>
  <c r="BY118" i="3" s="1"/>
  <c r="AE54" i="12"/>
  <c r="BO85" i="15" l="1"/>
  <c r="BO86" i="15" s="1"/>
  <c r="BN88" i="15"/>
  <c r="BN20" i="15"/>
  <c r="BN21" i="15" s="1"/>
  <c r="BN17" i="15"/>
  <c r="BZ140" i="3"/>
  <c r="BU140" i="3"/>
  <c r="BU141" i="3" s="1"/>
  <c r="BS106" i="15"/>
  <c r="BY106" i="15" s="1"/>
  <c r="CE106" i="15" s="1"/>
  <c r="CK106" i="15" s="1"/>
  <c r="CQ106" i="15" s="1"/>
  <c r="CW106" i="15" s="1"/>
  <c r="DC106" i="15" s="1"/>
  <c r="DI106" i="15" s="1"/>
  <c r="BM18" i="15"/>
  <c r="BL10" i="15"/>
  <c r="BL14" i="15"/>
  <c r="BR13" i="15"/>
  <c r="BO104" i="3"/>
  <c r="AH144" i="21"/>
  <c r="AH150" i="21" s="1"/>
  <c r="AH49" i="21"/>
  <c r="AH51" i="21" s="1"/>
  <c r="AO4" i="9"/>
  <c r="AO6" i="9" s="1"/>
  <c r="AN7" i="9"/>
  <c r="AM18" i="8"/>
  <c r="AM13" i="8"/>
  <c r="AM14" i="8" s="1"/>
  <c r="AM10" i="8"/>
  <c r="AM11" i="8" s="1"/>
  <c r="AQ15" i="7"/>
  <c r="AQ14" i="7"/>
  <c r="BW88" i="15"/>
  <c r="BW89" i="15" s="1"/>
  <c r="CC91" i="15"/>
  <c r="AS6" i="3"/>
  <c r="AW4" i="3"/>
  <c r="S178" i="117"/>
  <c r="S39" i="117"/>
  <c r="S41" i="117"/>
  <c r="T38" i="117"/>
  <c r="AE11" i="117"/>
  <c r="Y18" i="117"/>
  <c r="AN80" i="16"/>
  <c r="AN81" i="16" s="1"/>
  <c r="AN78" i="16"/>
  <c r="AQ80" i="3"/>
  <c r="AQ83" i="3" s="1"/>
  <c r="AQ84" i="3" s="1"/>
  <c r="AQ8" i="3"/>
  <c r="AQ81" i="3" s="1"/>
  <c r="AN40" i="16"/>
  <c r="AN38" i="16"/>
  <c r="AN61" i="3"/>
  <c r="AS13" i="7"/>
  <c r="AS14" i="7" s="1"/>
  <c r="AS18" i="7"/>
  <c r="AM32" i="9"/>
  <c r="AM8" i="9"/>
  <c r="AM17" i="9"/>
  <c r="V165" i="117"/>
  <c r="V26" i="117"/>
  <c r="AM25" i="8"/>
  <c r="AO4" i="15"/>
  <c r="AO6" i="15" s="1"/>
  <c r="AN7" i="15"/>
  <c r="AJ49" i="9"/>
  <c r="AJ51" i="9"/>
  <c r="AJ52" i="9" s="1"/>
  <c r="AK48" i="9"/>
  <c r="BL110" i="3"/>
  <c r="R63" i="117"/>
  <c r="R202" i="117"/>
  <c r="Q184" i="117"/>
  <c r="Q185" i="117" s="1"/>
  <c r="Q182" i="117"/>
  <c r="AQ53" i="3"/>
  <c r="AP54" i="3"/>
  <c r="AP60" i="3" s="1"/>
  <c r="AP18" i="17"/>
  <c r="AP13" i="17"/>
  <c r="AP14" i="17" s="1"/>
  <c r="AG59" i="2"/>
  <c r="BR134" i="3"/>
  <c r="AD27" i="117"/>
  <c r="AI48" i="10"/>
  <c r="AI46" i="10"/>
  <c r="AK45" i="10"/>
  <c r="AQ38" i="7"/>
  <c r="AQ35" i="7"/>
  <c r="AQ36" i="7" s="1"/>
  <c r="AK14" i="8"/>
  <c r="AK15" i="8"/>
  <c r="AW4" i="17"/>
  <c r="AS6" i="17"/>
  <c r="X147" i="117"/>
  <c r="X8" i="117"/>
  <c r="Y5" i="117"/>
  <c r="Y7" i="117" s="1"/>
  <c r="AJ49" i="15"/>
  <c r="AJ51" i="15"/>
  <c r="AJ52" i="15" s="1"/>
  <c r="AI51" i="15"/>
  <c r="AI52" i="15" s="1"/>
  <c r="AI49" i="15"/>
  <c r="AK48" i="15"/>
  <c r="AO37" i="16"/>
  <c r="AO26" i="16"/>
  <c r="AO27" i="16" s="1"/>
  <c r="AN24" i="8"/>
  <c r="AN25" i="8" s="1"/>
  <c r="AN8" i="8"/>
  <c r="AN17" i="8"/>
  <c r="V19" i="117"/>
  <c r="V11" i="117"/>
  <c r="V16" i="117"/>
  <c r="R44" i="117"/>
  <c r="R42" i="117"/>
  <c r="R181" i="117"/>
  <c r="T41" i="117"/>
  <c r="AM49" i="17"/>
  <c r="AM51" i="17"/>
  <c r="AM52" i="17" s="1"/>
  <c r="W45" i="3"/>
  <c r="W46" i="3" s="1"/>
  <c r="X44" i="3"/>
  <c r="W44" i="117"/>
  <c r="Q45" i="117"/>
  <c r="AO43" i="7"/>
  <c r="AO44" i="7" s="1"/>
  <c r="AO41" i="7"/>
  <c r="AQ40" i="7"/>
  <c r="W25" i="117"/>
  <c r="W18" i="117"/>
  <c r="W9" i="117"/>
  <c r="AD18" i="117"/>
  <c r="AJ11" i="117"/>
  <c r="S167" i="117"/>
  <c r="S168" i="117" s="1"/>
  <c r="T166" i="117"/>
  <c r="T167" i="117" s="1"/>
  <c r="T168" i="117" s="1"/>
  <c r="Y27" i="117"/>
  <c r="S28" i="117"/>
  <c r="BN17" i="3"/>
  <c r="BO16" i="3"/>
  <c r="R176" i="117"/>
  <c r="R177" i="117" s="1"/>
  <c r="R179" i="117"/>
  <c r="T178" i="117"/>
  <c r="AQ21" i="3"/>
  <c r="AS20" i="3"/>
  <c r="AO77" i="16"/>
  <c r="AP74" i="16"/>
  <c r="AP76" i="16" s="1"/>
  <c r="AT24" i="7"/>
  <c r="AT25" i="7" s="1"/>
  <c r="AT17" i="7"/>
  <c r="AT8" i="7"/>
  <c r="V149" i="117"/>
  <c r="V158" i="117"/>
  <c r="BK52" i="15"/>
  <c r="BQ51" i="15"/>
  <c r="BW51" i="15" s="1"/>
  <c r="CC51" i="15" s="1"/>
  <c r="CI51" i="15" s="1"/>
  <c r="CO51" i="15" s="1"/>
  <c r="CU51" i="15" s="1"/>
  <c r="DA51" i="15" s="1"/>
  <c r="DG51" i="15" s="1"/>
  <c r="R206" i="117"/>
  <c r="BZ15" i="15"/>
  <c r="AO10" i="17"/>
  <c r="AO11" i="17" s="1"/>
  <c r="AO55" i="3"/>
  <c r="AO58" i="3"/>
  <c r="AO59" i="3"/>
  <c r="AQ17" i="17"/>
  <c r="AQ18" i="17" s="1"/>
  <c r="AQ20" i="17"/>
  <c r="AQ21" i="17" s="1"/>
  <c r="AQ8" i="17"/>
  <c r="AQ13" i="17"/>
  <c r="AQ10" i="17"/>
  <c r="AQ11" i="17" s="1"/>
  <c r="AG31" i="21"/>
  <c r="BT125" i="3"/>
  <c r="BT137" i="3" s="1"/>
  <c r="BS123" i="3"/>
  <c r="BS134" i="3" s="1"/>
  <c r="S62" i="117"/>
  <c r="S66" i="117"/>
  <c r="AU25" i="3"/>
  <c r="AT26" i="3"/>
  <c r="AS4" i="16"/>
  <c r="AQ5" i="16"/>
  <c r="AI58" i="2"/>
  <c r="AI59" i="2" s="1"/>
  <c r="AI47" i="2"/>
  <c r="AI49" i="2"/>
  <c r="AI50" i="2" s="1"/>
  <c r="AI33" i="21"/>
  <c r="AI31" i="21" s="1"/>
  <c r="AI48" i="21" s="1"/>
  <c r="AJ37" i="2"/>
  <c r="AJ26" i="2"/>
  <c r="AJ27" i="2" s="1"/>
  <c r="AK25" i="2"/>
  <c r="AK26" i="2" s="1"/>
  <c r="AK27" i="2" s="1"/>
  <c r="AP43" i="7"/>
  <c r="AP44" i="7" s="1"/>
  <c r="AP41" i="7"/>
  <c r="AM85" i="17"/>
  <c r="AN82" i="17"/>
  <c r="AN84" i="17" s="1"/>
  <c r="AO18" i="16"/>
  <c r="AO13" i="16"/>
  <c r="AO14" i="16" s="1"/>
  <c r="P156" i="117"/>
  <c r="P154" i="117" s="1"/>
  <c r="BQ120" i="3"/>
  <c r="BQ121" i="3" s="1"/>
  <c r="BQ144" i="3"/>
  <c r="BQ165" i="3"/>
  <c r="BQ166" i="3" s="1"/>
  <c r="AM40" i="16"/>
  <c r="AM38" i="16"/>
  <c r="AS25" i="7"/>
  <c r="AM32" i="15"/>
  <c r="AM20" i="15"/>
  <c r="AM21" i="15" s="1"/>
  <c r="AM8" i="15"/>
  <c r="AJ43" i="8"/>
  <c r="AJ44" i="8" s="1"/>
  <c r="AJ41" i="8"/>
  <c r="AU7" i="7"/>
  <c r="AV4" i="7"/>
  <c r="AV6" i="7" s="1"/>
  <c r="AN51" i="17"/>
  <c r="AN52" i="17" s="1"/>
  <c r="AN49" i="17"/>
  <c r="AP33" i="17"/>
  <c r="AQ32" i="17"/>
  <c r="AQ31" i="17" s="1"/>
  <c r="AM7" i="2"/>
  <c r="AN4" i="2"/>
  <c r="AN6" i="2" s="1"/>
  <c r="AP17" i="16"/>
  <c r="AP24" i="16"/>
  <c r="AP8" i="16"/>
  <c r="R133" i="117"/>
  <c r="X133" i="117"/>
  <c r="BM162" i="3"/>
  <c r="BM163" i="3" s="1"/>
  <c r="BM113" i="3"/>
  <c r="X16" i="117"/>
  <c r="X19" i="117"/>
  <c r="X21" i="117"/>
  <c r="CU140" i="3"/>
  <c r="AT30" i="3"/>
  <c r="AS31" i="3"/>
  <c r="AM7" i="10"/>
  <c r="AN4" i="10"/>
  <c r="AN6" i="10" s="1"/>
  <c r="AK43" i="9"/>
  <c r="AK44" i="9" s="1"/>
  <c r="AK46" i="9"/>
  <c r="AO46" i="17"/>
  <c r="AO48" i="17"/>
  <c r="AK14" i="2"/>
  <c r="AK15" i="2"/>
  <c r="CF17" i="15"/>
  <c r="CF18" i="15" s="1"/>
  <c r="CL10" i="15"/>
  <c r="T14" i="117"/>
  <c r="T66" i="117"/>
  <c r="CL13" i="15"/>
  <c r="AJ48" i="10"/>
  <c r="AJ46" i="10"/>
  <c r="S135" i="117"/>
  <c r="S205" i="117" s="1"/>
  <c r="S84" i="117"/>
  <c r="F205" i="14"/>
  <c r="F217" i="14" s="1"/>
  <c r="F221" i="14" s="1"/>
  <c r="F258" i="14" s="1"/>
  <c r="F18" i="14"/>
  <c r="F16" i="14"/>
  <c r="F9" i="14"/>
  <c r="W146" i="117"/>
  <c r="X145" i="117"/>
  <c r="AK43" i="15"/>
  <c r="AK44" i="15" s="1"/>
  <c r="AK46" i="15"/>
  <c r="AQ7" i="16"/>
  <c r="AP4" i="8"/>
  <c r="AP6" i="8" s="1"/>
  <c r="AO7" i="8"/>
  <c r="AK91" i="17"/>
  <c r="AK92" i="17" s="1"/>
  <c r="AK40" i="8"/>
  <c r="CQ88" i="15"/>
  <c r="CQ89" i="15" s="1"/>
  <c r="CW91" i="15"/>
  <c r="CV88" i="15"/>
  <c r="CV89" i="15" s="1"/>
  <c r="DB91" i="15"/>
  <c r="BQ82" i="15"/>
  <c r="BO83" i="15"/>
  <c r="BL134" i="21"/>
  <c r="BL112" i="21"/>
  <c r="BL109" i="15"/>
  <c r="BL110" i="15" s="1"/>
  <c r="BN86" i="15"/>
  <c r="BM90" i="21"/>
  <c r="BQ4" i="15"/>
  <c r="BO5" i="15"/>
  <c r="BL72" i="15"/>
  <c r="BL73" i="15" s="1"/>
  <c r="BM38" i="15"/>
  <c r="BN8" i="15"/>
  <c r="BO7" i="15"/>
  <c r="BO8" i="15" s="1"/>
  <c r="BL29" i="15"/>
  <c r="BM75" i="15"/>
  <c r="BZ51" i="3"/>
  <c r="BY10" i="3"/>
  <c r="BY11" i="3" s="1"/>
  <c r="BY92" i="3"/>
  <c r="BX101" i="3"/>
  <c r="BX102" i="3" s="1"/>
  <c r="BX93" i="3"/>
  <c r="BW102" i="3"/>
  <c r="BZ117" i="3"/>
  <c r="BZ118" i="3" s="1"/>
  <c r="CA52" i="3"/>
  <c r="AF56" i="12"/>
  <c r="AG56" i="12"/>
  <c r="BN91" i="15" l="1"/>
  <c r="BN89" i="15"/>
  <c r="BN18" i="15"/>
  <c r="BT18" i="15"/>
  <c r="CA140" i="3"/>
  <c r="CA141" i="3" s="1"/>
  <c r="CF140" i="3"/>
  <c r="BS10" i="15"/>
  <c r="BS13" i="15"/>
  <c r="CF15" i="15"/>
  <c r="BX13" i="15"/>
  <c r="BL11" i="15"/>
  <c r="BR10" i="15"/>
  <c r="BT138" i="3"/>
  <c r="BU137" i="3"/>
  <c r="BU138" i="3" s="1"/>
  <c r="S206" i="117"/>
  <c r="T205" i="117"/>
  <c r="BS135" i="3"/>
  <c r="BS143" i="3"/>
  <c r="AN85" i="17"/>
  <c r="AO82" i="17"/>
  <c r="AO84" i="17" s="1"/>
  <c r="AQ14" i="17"/>
  <c r="AQ15" i="17"/>
  <c r="W26" i="117"/>
  <c r="W165" i="117"/>
  <c r="V27" i="117"/>
  <c r="V38" i="117"/>
  <c r="W148" i="117"/>
  <c r="F19" i="14"/>
  <c r="AJ51" i="10"/>
  <c r="AJ52" i="10" s="1"/>
  <c r="AJ49" i="10"/>
  <c r="T15" i="117"/>
  <c r="T16" i="117"/>
  <c r="AM20" i="10"/>
  <c r="AM21" i="10" s="1"/>
  <c r="AM17" i="10"/>
  <c r="AM32" i="10"/>
  <c r="AM8" i="10"/>
  <c r="DA140" i="3"/>
  <c r="AP13" i="16"/>
  <c r="AP14" i="16" s="1"/>
  <c r="AP18" i="16"/>
  <c r="AP10" i="16"/>
  <c r="AP11" i="16" s="1"/>
  <c r="AM33" i="15"/>
  <c r="AO10" i="16"/>
  <c r="AO11" i="16" s="1"/>
  <c r="AI49" i="21"/>
  <c r="AI51" i="21" s="1"/>
  <c r="AI144" i="21"/>
  <c r="AI150" i="21" s="1"/>
  <c r="AT37" i="7"/>
  <c r="AT26" i="7"/>
  <c r="AT27" i="7" s="1"/>
  <c r="AO80" i="16"/>
  <c r="AO81" i="16" s="1"/>
  <c r="AO78" i="16"/>
  <c r="BQ16" i="3"/>
  <c r="BO17" i="3"/>
  <c r="W19" i="117"/>
  <c r="W14" i="117"/>
  <c r="W11" i="117"/>
  <c r="AT4" i="17"/>
  <c r="AT6" i="17" s="1"/>
  <c r="AS7" i="17"/>
  <c r="AI51" i="10"/>
  <c r="AI52" i="10" s="1"/>
  <c r="AI49" i="10"/>
  <c r="AK48" i="10"/>
  <c r="BR135" i="3"/>
  <c r="BR143" i="3"/>
  <c r="R203" i="117"/>
  <c r="R208" i="117"/>
  <c r="AK51" i="9"/>
  <c r="AK52" i="9" s="1"/>
  <c r="AK49" i="9"/>
  <c r="AN20" i="15"/>
  <c r="AN21" i="15" s="1"/>
  <c r="AN32" i="15"/>
  <c r="AN33" i="15" s="1"/>
  <c r="AN8" i="15"/>
  <c r="AN17" i="15"/>
  <c r="AM18" i="9"/>
  <c r="AM13" i="9"/>
  <c r="AM14" i="9" s="1"/>
  <c r="AM20" i="9"/>
  <c r="AM21" i="9" s="1"/>
  <c r="AM10" i="9"/>
  <c r="AM11" i="9" s="1"/>
  <c r="AS10" i="7"/>
  <c r="AS11" i="7" s="1"/>
  <c r="S42" i="117"/>
  <c r="S181" i="117"/>
  <c r="S44" i="117"/>
  <c r="AS7" i="3"/>
  <c r="AT4" i="3"/>
  <c r="AT6" i="3" s="1"/>
  <c r="AV7" i="7"/>
  <c r="AW7" i="7" s="1"/>
  <c r="AW6" i="7"/>
  <c r="AY4" i="7" s="1"/>
  <c r="AM41" i="16"/>
  <c r="AM43" i="16"/>
  <c r="AM44" i="16" s="1"/>
  <c r="AS6" i="16"/>
  <c r="AW4" i="16"/>
  <c r="BU125" i="3"/>
  <c r="BT123" i="3"/>
  <c r="BT134" i="3" s="1"/>
  <c r="T179" i="117"/>
  <c r="T176" i="117"/>
  <c r="T177" i="117" s="1"/>
  <c r="X44" i="117"/>
  <c r="R45" i="117"/>
  <c r="AO40" i="16"/>
  <c r="AO38" i="16"/>
  <c r="AP4" i="15"/>
  <c r="AP6" i="15" s="1"/>
  <c r="AO7" i="15"/>
  <c r="AN41" i="16"/>
  <c r="AN43" i="16"/>
  <c r="AN44" i="16" s="1"/>
  <c r="Y16" i="117"/>
  <c r="Y19" i="117"/>
  <c r="AN8" i="9"/>
  <c r="AN17" i="9"/>
  <c r="AN32" i="9"/>
  <c r="AN33" i="9" s="1"/>
  <c r="AQ6" i="8"/>
  <c r="AS4" i="8" s="1"/>
  <c r="AP7" i="8"/>
  <c r="F12" i="14"/>
  <c r="F13" i="14" s="1"/>
  <c r="F10" i="14"/>
  <c r="S85" i="117"/>
  <c r="Y84" i="117"/>
  <c r="S81" i="117"/>
  <c r="CR13" i="15"/>
  <c r="AU30" i="3"/>
  <c r="AT31" i="3"/>
  <c r="X22" i="117"/>
  <c r="X68" i="117"/>
  <c r="X161" i="117"/>
  <c r="AM8" i="2"/>
  <c r="AM17" i="2"/>
  <c r="AM24" i="2"/>
  <c r="AP34" i="17"/>
  <c r="AP35" i="17" s="1"/>
  <c r="AP45" i="17"/>
  <c r="AQ33" i="17"/>
  <c r="AQ34" i="17" s="1"/>
  <c r="AQ35" i="17" s="1"/>
  <c r="AU24" i="7"/>
  <c r="AU17" i="7"/>
  <c r="AU8" i="7"/>
  <c r="AS37" i="7"/>
  <c r="AS26" i="7"/>
  <c r="AS27" i="7" s="1"/>
  <c r="P155" i="117"/>
  <c r="P151" i="117"/>
  <c r="P152" i="117" s="1"/>
  <c r="AM88" i="17"/>
  <c r="AM86" i="17"/>
  <c r="S63" i="117"/>
  <c r="AD19" i="117"/>
  <c r="AD16" i="117"/>
  <c r="AQ41" i="7"/>
  <c r="AQ43" i="7"/>
  <c r="AQ44" i="7" s="1"/>
  <c r="W41" i="117"/>
  <c r="AC44" i="117"/>
  <c r="T44" i="117"/>
  <c r="T45" i="117" s="1"/>
  <c r="T42" i="117"/>
  <c r="V65" i="117"/>
  <c r="V86" i="117"/>
  <c r="AK49" i="15"/>
  <c r="AK51" i="15"/>
  <c r="AK52" i="15" s="1"/>
  <c r="X25" i="117"/>
  <c r="X9" i="117"/>
  <c r="AK46" i="10"/>
  <c r="AK43" i="10"/>
  <c r="AK44" i="10" s="1"/>
  <c r="AJ27" i="117"/>
  <c r="AS53" i="3"/>
  <c r="V164" i="117"/>
  <c r="V166" i="117"/>
  <c r="AM33" i="9"/>
  <c r="AK11" i="117"/>
  <c r="AE18" i="117"/>
  <c r="S179" i="117"/>
  <c r="S176" i="117"/>
  <c r="S177" i="117" s="1"/>
  <c r="CI91" i="15"/>
  <c r="CC88" i="15"/>
  <c r="CC89" i="15" s="1"/>
  <c r="AO7" i="9"/>
  <c r="AP4" i="9"/>
  <c r="AP6" i="9" s="1"/>
  <c r="BO112" i="3"/>
  <c r="AO17" i="8"/>
  <c r="AO8" i="8"/>
  <c r="AO24" i="8"/>
  <c r="AQ7" i="8"/>
  <c r="CL17" i="15"/>
  <c r="CL18" i="15" s="1"/>
  <c r="CR10" i="15"/>
  <c r="AO49" i="17"/>
  <c r="AO51" i="17"/>
  <c r="AO52" i="17" s="1"/>
  <c r="AN7" i="2"/>
  <c r="AO4" i="2"/>
  <c r="AO6" i="2" s="1"/>
  <c r="AJ18" i="117"/>
  <c r="AP11" i="117"/>
  <c r="AN18" i="8"/>
  <c r="AN13" i="8"/>
  <c r="AN14" i="8" s="1"/>
  <c r="Y147" i="117"/>
  <c r="Y8" i="117"/>
  <c r="Z8" i="117" s="1"/>
  <c r="Z9" i="117" s="1"/>
  <c r="AB5" i="117"/>
  <c r="Z7" i="117"/>
  <c r="AP59" i="3"/>
  <c r="AP55" i="3"/>
  <c r="AQ54" i="3"/>
  <c r="AP58" i="3"/>
  <c r="BL162" i="3"/>
  <c r="BL86" i="3" s="1"/>
  <c r="BL113" i="3"/>
  <c r="AK41" i="8"/>
  <c r="AK43" i="8"/>
  <c r="AK44" i="8"/>
  <c r="AQ8" i="16"/>
  <c r="AQ17" i="16"/>
  <c r="AQ18" i="16" s="1"/>
  <c r="AQ13" i="16"/>
  <c r="AQ14" i="16" s="1"/>
  <c r="AQ10" i="16"/>
  <c r="AQ11" i="16" s="1"/>
  <c r="S136" i="117"/>
  <c r="S132" i="117"/>
  <c r="T135" i="117"/>
  <c r="AN7" i="10"/>
  <c r="AO4" i="10"/>
  <c r="AO6" i="10" s="1"/>
  <c r="AP25" i="16"/>
  <c r="AQ24" i="16"/>
  <c r="AQ23" i="16" s="1"/>
  <c r="AJ46" i="2"/>
  <c r="AJ38" i="2"/>
  <c r="AK37" i="2"/>
  <c r="AV25" i="3"/>
  <c r="AU26" i="3"/>
  <c r="AG48" i="21"/>
  <c r="AO61" i="3"/>
  <c r="V159" i="117"/>
  <c r="AT18" i="7"/>
  <c r="AT13" i="7"/>
  <c r="AT14" i="7" s="1"/>
  <c r="AQ76" i="16"/>
  <c r="AS74" i="16" s="1"/>
  <c r="AP77" i="16"/>
  <c r="AQ77" i="16" s="1"/>
  <c r="AT20" i="3"/>
  <c r="AS21" i="3"/>
  <c r="AE27" i="117"/>
  <c r="Y44" i="3"/>
  <c r="X45" i="3"/>
  <c r="X46" i="3" s="1"/>
  <c r="R182" i="117"/>
  <c r="R184" i="117"/>
  <c r="R185" i="117" s="1"/>
  <c r="AB11" i="117"/>
  <c r="V12" i="117"/>
  <c r="AN26" i="8"/>
  <c r="AN27" i="8" s="1"/>
  <c r="AN37" i="8"/>
  <c r="X146" i="117"/>
  <c r="Y145" i="117"/>
  <c r="AP10" i="17"/>
  <c r="AP11" i="17" s="1"/>
  <c r="T62" i="117"/>
  <c r="AM37" i="8"/>
  <c r="AM26" i="8"/>
  <c r="AM27" i="8" s="1"/>
  <c r="T39" i="117"/>
  <c r="T36" i="117"/>
  <c r="T37" i="117" s="1"/>
  <c r="DC91" i="15"/>
  <c r="CW88" i="15"/>
  <c r="CW89" i="15" s="1"/>
  <c r="DB88" i="15"/>
  <c r="DB89" i="15" s="1"/>
  <c r="DH91" i="15"/>
  <c r="BQ84" i="15"/>
  <c r="BU82" i="15"/>
  <c r="BM134" i="21"/>
  <c r="BN90" i="21"/>
  <c r="BO90" i="21" s="1"/>
  <c r="BN95" i="15"/>
  <c r="BO97" i="15"/>
  <c r="BO94" i="15"/>
  <c r="BM109" i="15"/>
  <c r="BM98" i="15"/>
  <c r="BM112" i="21"/>
  <c r="BM29" i="15"/>
  <c r="BQ6" i="15"/>
  <c r="BU4" i="15"/>
  <c r="BN75" i="15"/>
  <c r="BM72" i="15"/>
  <c r="BM73" i="15" s="1"/>
  <c r="BL86" i="21"/>
  <c r="BL41" i="15"/>
  <c r="BO32" i="15"/>
  <c r="BO31" i="15" s="1"/>
  <c r="BL69" i="15"/>
  <c r="BL70" i="15" s="1"/>
  <c r="BO33" i="15"/>
  <c r="CA117" i="3"/>
  <c r="CA118" i="3" s="1"/>
  <c r="BY93" i="3"/>
  <c r="BY101" i="3"/>
  <c r="CA51" i="3"/>
  <c r="BZ92" i="3"/>
  <c r="CA92" i="3" s="1"/>
  <c r="CA93" i="3" s="1"/>
  <c r="BZ10" i="3"/>
  <c r="BZ11" i="3" s="1"/>
  <c r="CC52" i="3"/>
  <c r="AN19" i="12"/>
  <c r="AL19" i="12"/>
  <c r="BN92" i="15" l="1"/>
  <c r="BT91" i="15"/>
  <c r="BO91" i="15"/>
  <c r="BO92" i="15" s="1"/>
  <c r="CL140" i="3"/>
  <c r="CG140" i="3"/>
  <c r="CG141" i="3" s="1"/>
  <c r="BY13" i="15"/>
  <c r="BY10" i="15"/>
  <c r="BS17" i="15"/>
  <c r="BS18" i="15" s="1"/>
  <c r="BR17" i="15"/>
  <c r="BX10" i="15"/>
  <c r="CD13" i="15"/>
  <c r="AQ80" i="16"/>
  <c r="AQ81" i="16" s="1"/>
  <c r="AQ78" i="16"/>
  <c r="AW17" i="7"/>
  <c r="AW10" i="7"/>
  <c r="AW11" i="7" s="1"/>
  <c r="AW8" i="7"/>
  <c r="BO113" i="3"/>
  <c r="BO95" i="3"/>
  <c r="BO96" i="3" s="1"/>
  <c r="AQ59" i="3"/>
  <c r="AR59" i="3" s="1"/>
  <c r="AQ58" i="3"/>
  <c r="AB7" i="117"/>
  <c r="AF5" i="117"/>
  <c r="AP7" i="9"/>
  <c r="AQ6" i="9"/>
  <c r="AQ60" i="3"/>
  <c r="AR60" i="3" s="1"/>
  <c r="W181" i="117"/>
  <c r="W42" i="117"/>
  <c r="AM18" i="2"/>
  <c r="AM13" i="2"/>
  <c r="AM14" i="2" s="1"/>
  <c r="AM40" i="8"/>
  <c r="AM38" i="8"/>
  <c r="AN38" i="8"/>
  <c r="AN40" i="8"/>
  <c r="AA44" i="3"/>
  <c r="Y45" i="3"/>
  <c r="Y46" i="3" s="1"/>
  <c r="AU20" i="3"/>
  <c r="AT21" i="3"/>
  <c r="AT10" i="7"/>
  <c r="AT11" i="7" s="1"/>
  <c r="AW25" i="3"/>
  <c r="AV26" i="3"/>
  <c r="AP37" i="16"/>
  <c r="AP26" i="16"/>
  <c r="AP27" i="16" s="1"/>
  <c r="AQ25" i="16"/>
  <c r="AQ26" i="16" s="1"/>
  <c r="AQ27" i="16" s="1"/>
  <c r="AP4" i="10"/>
  <c r="AP6" i="10" s="1"/>
  <c r="AO7" i="10"/>
  <c r="AP61" i="3"/>
  <c r="AN10" i="8"/>
  <c r="AN11" i="8" s="1"/>
  <c r="AJ16" i="117"/>
  <c r="AJ19" i="117"/>
  <c r="CR17" i="15"/>
  <c r="CR18" i="15" s="1"/>
  <c r="CX10" i="15"/>
  <c r="AE16" i="117"/>
  <c r="AE19" i="117"/>
  <c r="V167" i="117"/>
  <c r="V168" i="117" s="1"/>
  <c r="AP27" i="117"/>
  <c r="X165" i="117"/>
  <c r="X26" i="117"/>
  <c r="V84" i="117"/>
  <c r="V135" i="117"/>
  <c r="AI44" i="117"/>
  <c r="AM25" i="2"/>
  <c r="AD162" i="117"/>
  <c r="X162" i="117"/>
  <c r="AU31" i="3"/>
  <c r="AV30" i="3"/>
  <c r="S82" i="117"/>
  <c r="Y81" i="117"/>
  <c r="Y88" i="117" s="1"/>
  <c r="Y86" i="117" s="1"/>
  <c r="AO43" i="16"/>
  <c r="AO44" i="16" s="1"/>
  <c r="AO41" i="16"/>
  <c r="AS7" i="16"/>
  <c r="AT4" i="16"/>
  <c r="AT6" i="16" s="1"/>
  <c r="AY6" i="7"/>
  <c r="BC4" i="7"/>
  <c r="Y44" i="117"/>
  <c r="S45" i="117"/>
  <c r="AN45" i="15"/>
  <c r="AN34" i="15"/>
  <c r="AN35" i="15" s="1"/>
  <c r="BR120" i="3"/>
  <c r="BR121" i="3" s="1"/>
  <c r="BR165" i="3"/>
  <c r="BR144" i="3"/>
  <c r="W15" i="117"/>
  <c r="AC14" i="117"/>
  <c r="AT38" i="7"/>
  <c r="AT40" i="7"/>
  <c r="AM45" i="15"/>
  <c r="AM34" i="15"/>
  <c r="AM35" i="15" s="1"/>
  <c r="DG140" i="3"/>
  <c r="AM10" i="10"/>
  <c r="AM11" i="10" s="1"/>
  <c r="AM18" i="10"/>
  <c r="AM13" i="10"/>
  <c r="AM14" i="10" s="1"/>
  <c r="W149" i="117"/>
  <c r="W158" i="117"/>
  <c r="AP82" i="17"/>
  <c r="AP84" i="17" s="1"/>
  <c r="AO85" i="17"/>
  <c r="AK38" i="2"/>
  <c r="AK35" i="2"/>
  <c r="AK36" i="2" s="1"/>
  <c r="AN32" i="10"/>
  <c r="AN33" i="10" s="1"/>
  <c r="AN8" i="10"/>
  <c r="AN17" i="10"/>
  <c r="AN20" i="10"/>
  <c r="AN21" i="10" s="1"/>
  <c r="CI88" i="15"/>
  <c r="CI89" i="15" s="1"/>
  <c r="CO91" i="15"/>
  <c r="V205" i="117"/>
  <c r="V66" i="117"/>
  <c r="V62" i="117"/>
  <c r="AN45" i="9"/>
  <c r="AN34" i="9"/>
  <c r="AN35" i="9" s="1"/>
  <c r="BT135" i="3"/>
  <c r="BT143" i="3"/>
  <c r="AV17" i="7"/>
  <c r="AV24" i="7"/>
  <c r="AV25" i="7" s="1"/>
  <c r="AV8" i="7"/>
  <c r="S184" i="117"/>
  <c r="S185" i="117" s="1"/>
  <c r="S182" i="117"/>
  <c r="R156" i="117"/>
  <c r="R154" i="117" s="1"/>
  <c r="AS20" i="17"/>
  <c r="AS21" i="17" s="1"/>
  <c r="AS8" i="17"/>
  <c r="AS17" i="17"/>
  <c r="AS32" i="17"/>
  <c r="V41" i="117"/>
  <c r="V39" i="117"/>
  <c r="V178" i="117"/>
  <c r="AN88" i="17"/>
  <c r="AN86" i="17"/>
  <c r="BS165" i="3"/>
  <c r="BS166" i="3" s="1"/>
  <c r="BS120" i="3"/>
  <c r="BS121" i="3" s="1"/>
  <c r="BS144" i="3"/>
  <c r="T63" i="117"/>
  <c r="T11" i="117"/>
  <c r="T12" i="117" s="1"/>
  <c r="X148" i="117"/>
  <c r="X149" i="117" s="1"/>
  <c r="AB18" i="117"/>
  <c r="AH11" i="117"/>
  <c r="AK27" i="117"/>
  <c r="AW74" i="16"/>
  <c r="AS76" i="16"/>
  <c r="AG144" i="21"/>
  <c r="AG49" i="21"/>
  <c r="AG51" i="21" s="1"/>
  <c r="T136" i="117"/>
  <c r="T84" i="117"/>
  <c r="BL163" i="3"/>
  <c r="Y9" i="117"/>
  <c r="Y25" i="117"/>
  <c r="AN24" i="2"/>
  <c r="AN25" i="2" s="1"/>
  <c r="AN17" i="2"/>
  <c r="AN8" i="2"/>
  <c r="AQ17" i="8"/>
  <c r="AQ8" i="8"/>
  <c r="AQ10" i="8"/>
  <c r="AQ11" i="8" s="1"/>
  <c r="AO32" i="9"/>
  <c r="AO33" i="9" s="1"/>
  <c r="AO17" i="9"/>
  <c r="AO8" i="9"/>
  <c r="AS54" i="3"/>
  <c r="AT53" i="3"/>
  <c r="AM89" i="17"/>
  <c r="AM91" i="17"/>
  <c r="AU18" i="7"/>
  <c r="AU13" i="7"/>
  <c r="AU14" i="7" s="1"/>
  <c r="CL15" i="15"/>
  <c r="AP17" i="8"/>
  <c r="AP24" i="8"/>
  <c r="AP25" i="8" s="1"/>
  <c r="AP8" i="8"/>
  <c r="AN20" i="9"/>
  <c r="AN21" i="9" s="1"/>
  <c r="AN18" i="9"/>
  <c r="AN10" i="9"/>
  <c r="AN11" i="9" s="1"/>
  <c r="AN13" i="9"/>
  <c r="AN14" i="9" s="1"/>
  <c r="Y21" i="117"/>
  <c r="AQ6" i="15"/>
  <c r="AP7" i="15"/>
  <c r="AD44" i="117"/>
  <c r="BW125" i="3"/>
  <c r="BU123" i="3"/>
  <c r="AT7" i="3"/>
  <c r="AU4" i="3"/>
  <c r="AU6" i="3" s="1"/>
  <c r="AN13" i="15"/>
  <c r="AN14" i="15" s="1"/>
  <c r="AN10" i="15"/>
  <c r="AN11" i="15" s="1"/>
  <c r="AN18" i="15"/>
  <c r="AK49" i="10"/>
  <c r="AK51" i="10"/>
  <c r="AK52" i="10" s="1"/>
  <c r="AT7" i="17"/>
  <c r="AU4" i="17"/>
  <c r="AU6" i="17" s="1"/>
  <c r="AM33" i="10"/>
  <c r="V28" i="117"/>
  <c r="AB27" i="117"/>
  <c r="W164" i="117"/>
  <c r="W166" i="117"/>
  <c r="W167" i="117" s="1"/>
  <c r="W168" i="117" s="1"/>
  <c r="AP80" i="16"/>
  <c r="AP81" i="16" s="1"/>
  <c r="AP78" i="16"/>
  <c r="AP4" i="2"/>
  <c r="AP6" i="2" s="1"/>
  <c r="AO7" i="2"/>
  <c r="AO13" i="8"/>
  <c r="AO14" i="8" s="1"/>
  <c r="AO10" i="8"/>
  <c r="AO11" i="8" s="1"/>
  <c r="AO18" i="8"/>
  <c r="AQ11" i="117"/>
  <c r="AK18" i="117"/>
  <c r="AP48" i="17"/>
  <c r="AP46" i="17"/>
  <c r="AQ45" i="17"/>
  <c r="X65" i="117"/>
  <c r="X62" i="117"/>
  <c r="AO32" i="15"/>
  <c r="AO20" i="15"/>
  <c r="AO21" i="15" s="1"/>
  <c r="AO17" i="15"/>
  <c r="AO8" i="15"/>
  <c r="AQ7" i="15"/>
  <c r="T181" i="117"/>
  <c r="AJ33" i="21"/>
  <c r="AJ58" i="2"/>
  <c r="AJ47" i="2"/>
  <c r="AJ49" i="2"/>
  <c r="AJ50" i="2" s="1"/>
  <c r="AK46" i="2"/>
  <c r="S133" i="117"/>
  <c r="T132" i="117"/>
  <c r="AB145" i="117"/>
  <c r="Y148" i="117"/>
  <c r="Y149" i="117" s="1"/>
  <c r="Z147" i="117"/>
  <c r="Y146" i="117"/>
  <c r="Z146" i="117" s="1"/>
  <c r="AP18" i="117"/>
  <c r="AV11" i="117"/>
  <c r="AO25" i="8"/>
  <c r="BN113" i="3"/>
  <c r="BN162" i="3"/>
  <c r="AM34" i="9"/>
  <c r="AM35" i="9" s="1"/>
  <c r="AM45" i="9"/>
  <c r="S202" i="117"/>
  <c r="AS40" i="7"/>
  <c r="AS38" i="7"/>
  <c r="AU25" i="7"/>
  <c r="AW24" i="7"/>
  <c r="AW23" i="7" s="1"/>
  <c r="CX13" i="15"/>
  <c r="AW4" i="8"/>
  <c r="AS6" i="8"/>
  <c r="AS80" i="3"/>
  <c r="AS83" i="3" s="1"/>
  <c r="AS84" i="3" s="1"/>
  <c r="AS8" i="3"/>
  <c r="AS81" i="3" s="1"/>
  <c r="BU134" i="3"/>
  <c r="BU135" i="3" s="1"/>
  <c r="AC11" i="117"/>
  <c r="W12" i="117"/>
  <c r="BQ104" i="3"/>
  <c r="BQ17" i="3"/>
  <c r="BR16" i="3"/>
  <c r="BR104" i="3" s="1"/>
  <c r="BR109" i="3" s="1"/>
  <c r="W27" i="117"/>
  <c r="W38" i="117"/>
  <c r="W47" i="117" s="1"/>
  <c r="T206" i="117"/>
  <c r="T154" i="117"/>
  <c r="DC88" i="15"/>
  <c r="DC89" i="15" s="1"/>
  <c r="DI91" i="15"/>
  <c r="DI88" i="15" s="1"/>
  <c r="DH88" i="15"/>
  <c r="DH89" i="15" s="1"/>
  <c r="BM110" i="15"/>
  <c r="BO112" i="21"/>
  <c r="BO100" i="15"/>
  <c r="L200" i="11"/>
  <c r="BO98" i="15"/>
  <c r="BO95" i="15"/>
  <c r="BO88" i="15"/>
  <c r="BN134" i="21"/>
  <c r="BQ85" i="15"/>
  <c r="BR82" i="15"/>
  <c r="BR84" i="15" s="1"/>
  <c r="BN112" i="21"/>
  <c r="BN109" i="15"/>
  <c r="BN110" i="15" s="1"/>
  <c r="BO45" i="15"/>
  <c r="BO46" i="15" s="1"/>
  <c r="BL55" i="15"/>
  <c r="BN72" i="15"/>
  <c r="BN73" i="15" s="1"/>
  <c r="BL130" i="21"/>
  <c r="BQ7" i="15"/>
  <c r="BR4" i="15"/>
  <c r="BR6" i="15" s="1"/>
  <c r="BM41" i="15"/>
  <c r="BM86" i="21"/>
  <c r="BM69" i="15"/>
  <c r="BM70" i="15" s="1"/>
  <c r="BN29" i="15"/>
  <c r="BY102" i="3"/>
  <c r="BZ93" i="3"/>
  <c r="CA10" i="3"/>
  <c r="CA11" i="3" s="1"/>
  <c r="CC51" i="3"/>
  <c r="CD52" i="3"/>
  <c r="CC117" i="3"/>
  <c r="BT88" i="15" l="1"/>
  <c r="BT89" i="15" s="1"/>
  <c r="BZ91" i="15"/>
  <c r="BU91" i="15"/>
  <c r="BU92" i="15" s="1"/>
  <c r="CR140" i="3"/>
  <c r="CM140" i="3"/>
  <c r="CM141" i="3" s="1"/>
  <c r="BN163" i="3"/>
  <c r="BS15" i="15"/>
  <c r="CE10" i="15"/>
  <c r="BY17" i="15"/>
  <c r="BY18" i="15" s="1"/>
  <c r="CE13" i="15"/>
  <c r="CR15" i="15"/>
  <c r="CJ13" i="15"/>
  <c r="BX17" i="15"/>
  <c r="CD10" i="15"/>
  <c r="BR18" i="15"/>
  <c r="BR15" i="15"/>
  <c r="BR166" i="3"/>
  <c r="BR110" i="3"/>
  <c r="BR112" i="3"/>
  <c r="W48" i="117"/>
  <c r="W50" i="117"/>
  <c r="W51" i="117" s="1"/>
  <c r="W59" i="117"/>
  <c r="W187" i="117"/>
  <c r="W309" i="117" s="1"/>
  <c r="AV18" i="117"/>
  <c r="BB11" i="117"/>
  <c r="BB18" i="117" s="1"/>
  <c r="AO33" i="15"/>
  <c r="AQ32" i="15"/>
  <c r="AQ31" i="15" s="1"/>
  <c r="AM92" i="17"/>
  <c r="AT74" i="16"/>
  <c r="AT76" i="16" s="1"/>
  <c r="AS77" i="16"/>
  <c r="AN89" i="17"/>
  <c r="AN91" i="17"/>
  <c r="AN92" i="17" s="1"/>
  <c r="AN18" i="10"/>
  <c r="AN13" i="10"/>
  <c r="AN14" i="10" s="1"/>
  <c r="Z148" i="117"/>
  <c r="Z149" i="117" s="1"/>
  <c r="AM48" i="15"/>
  <c r="AM46" i="15"/>
  <c r="AR58" i="3"/>
  <c r="AQ61" i="3"/>
  <c r="W28" i="117"/>
  <c r="AC27" i="117"/>
  <c r="AT4" i="8"/>
  <c r="AT6" i="8" s="1"/>
  <c r="AS7" i="8"/>
  <c r="AM48" i="9"/>
  <c r="AM46" i="9"/>
  <c r="AQ24" i="8"/>
  <c r="AQ23" i="8" s="1"/>
  <c r="T184" i="117"/>
  <c r="T185" i="117" s="1"/>
  <c r="T182" i="117"/>
  <c r="X66" i="117"/>
  <c r="X205" i="117"/>
  <c r="AK19" i="117"/>
  <c r="AK16" i="117"/>
  <c r="AV4" i="17"/>
  <c r="AV6" i="17" s="1"/>
  <c r="AU7" i="17"/>
  <c r="AT80" i="3"/>
  <c r="AT83" i="3" s="1"/>
  <c r="AT84" i="3" s="1"/>
  <c r="AT8" i="3"/>
  <c r="AT81" i="3" s="1"/>
  <c r="AJ44" i="117"/>
  <c r="AU53" i="3"/>
  <c r="AT54" i="3"/>
  <c r="AT60" i="3"/>
  <c r="AO13" i="9"/>
  <c r="AO14" i="9" s="1"/>
  <c r="AO10" i="9"/>
  <c r="AO11" i="9" s="1"/>
  <c r="AO18" i="9"/>
  <c r="AO20" i="9"/>
  <c r="AO21" i="9" s="1"/>
  <c r="AQ18" i="8"/>
  <c r="AQ13" i="8"/>
  <c r="Y26" i="117"/>
  <c r="Y165" i="117"/>
  <c r="Z25" i="117"/>
  <c r="T85" i="117"/>
  <c r="T86" i="117"/>
  <c r="AG150" i="21"/>
  <c r="AQ27" i="117"/>
  <c r="V176" i="117"/>
  <c r="V179" i="117"/>
  <c r="AS33" i="17"/>
  <c r="BT165" i="3"/>
  <c r="BT120" i="3"/>
  <c r="BT121" i="3" s="1"/>
  <c r="BT144" i="3"/>
  <c r="CU91" i="15"/>
  <c r="CO88" i="15"/>
  <c r="CO89" i="15" s="1"/>
  <c r="AI14" i="117"/>
  <c r="AW30" i="3"/>
  <c r="AV31" i="3"/>
  <c r="X158" i="117"/>
  <c r="V132" i="117"/>
  <c r="V136" i="117"/>
  <c r="AO8" i="10"/>
  <c r="AO32" i="10"/>
  <c r="AO20" i="10"/>
  <c r="AO21" i="10" s="1"/>
  <c r="AO17" i="10"/>
  <c r="AP38" i="16"/>
  <c r="AP40" i="16"/>
  <c r="AQ37" i="16"/>
  <c r="AN43" i="8"/>
  <c r="AN44" i="8" s="1"/>
  <c r="AN41" i="8"/>
  <c r="AM41" i="8"/>
  <c r="AM43" i="8"/>
  <c r="AM44" i="8" s="1"/>
  <c r="AS4" i="9"/>
  <c r="AQ5" i="9"/>
  <c r="T155" i="117"/>
  <c r="T156" i="117"/>
  <c r="AC18" i="117"/>
  <c r="AC16" i="117" s="1"/>
  <c r="AI11" i="117"/>
  <c r="AS43" i="7"/>
  <c r="AS44" i="7" s="1"/>
  <c r="AS41" i="7"/>
  <c r="AQ20" i="15"/>
  <c r="AQ21" i="15" s="1"/>
  <c r="AQ8" i="15"/>
  <c r="AW11" i="117"/>
  <c r="AQ18" i="117"/>
  <c r="AT32" i="17"/>
  <c r="AT33" i="17" s="1"/>
  <c r="AT17" i="17"/>
  <c r="AT8" i="17"/>
  <c r="AT20" i="17"/>
  <c r="AT21" i="17" s="1"/>
  <c r="AP37" i="8"/>
  <c r="AP26" i="8"/>
  <c r="AP27" i="8" s="1"/>
  <c r="AS59" i="3"/>
  <c r="AS55" i="3"/>
  <c r="AS58" i="3"/>
  <c r="R155" i="117"/>
  <c r="R151" i="117"/>
  <c r="R152" i="117" s="1"/>
  <c r="AY7" i="7"/>
  <c r="AZ4" i="7"/>
  <c r="AZ6" i="7" s="1"/>
  <c r="AV27" i="117"/>
  <c r="AQ6" i="10"/>
  <c r="AP7" i="10"/>
  <c r="AV20" i="3"/>
  <c r="AU21" i="3"/>
  <c r="AP32" i="9"/>
  <c r="AP33" i="9" s="1"/>
  <c r="AP8" i="9"/>
  <c r="AP17" i="9"/>
  <c r="AQ7" i="9"/>
  <c r="AW18" i="7"/>
  <c r="AW13" i="7"/>
  <c r="AU37" i="7"/>
  <c r="AU26" i="7"/>
  <c r="AU27" i="7" s="1"/>
  <c r="AW25" i="7"/>
  <c r="AW26" i="7" s="1"/>
  <c r="AW27" i="7" s="1"/>
  <c r="S203" i="117"/>
  <c r="S208" i="117"/>
  <c r="T202" i="117"/>
  <c r="AP19" i="117"/>
  <c r="AP16" i="117"/>
  <c r="AF145" i="117"/>
  <c r="AB147" i="117"/>
  <c r="AJ59" i="2"/>
  <c r="AK58" i="2"/>
  <c r="AK59" i="2" s="1"/>
  <c r="AQ6" i="2"/>
  <c r="AP7" i="2"/>
  <c r="AM45" i="10"/>
  <c r="AM34" i="10"/>
  <c r="AM35" i="10" s="1"/>
  <c r="BW137" i="3"/>
  <c r="BX125" i="3"/>
  <c r="BW123" i="3"/>
  <c r="BW134" i="3" s="1"/>
  <c r="AQ5" i="15"/>
  <c r="AS4" i="15"/>
  <c r="AP18" i="8"/>
  <c r="AP13" i="8"/>
  <c r="AP14" i="8" s="1"/>
  <c r="AU10" i="7"/>
  <c r="AU11" i="7" s="1"/>
  <c r="AN18" i="2"/>
  <c r="AN13" i="2"/>
  <c r="AN14" i="2" s="1"/>
  <c r="BO162" i="3"/>
  <c r="BO163" i="3" s="1"/>
  <c r="AB19" i="117"/>
  <c r="AB16" i="117"/>
  <c r="AV37" i="7"/>
  <c r="AV26" i="7"/>
  <c r="V206" i="117"/>
  <c r="AB206" i="117"/>
  <c r="AO86" i="17"/>
  <c r="AO88" i="17"/>
  <c r="W159" i="117"/>
  <c r="W151" i="117"/>
  <c r="W152" i="117" s="1"/>
  <c r="W154" i="117"/>
  <c r="W155" i="117" s="1"/>
  <c r="AT43" i="7"/>
  <c r="AT44" i="7" s="1"/>
  <c r="AT41" i="7"/>
  <c r="BU143" i="3"/>
  <c r="AT7" i="16"/>
  <c r="AU4" i="16"/>
  <c r="AU6" i="16" s="1"/>
  <c r="Y91" i="117"/>
  <c r="Y89" i="117"/>
  <c r="X38" i="117"/>
  <c r="X30" i="117"/>
  <c r="Z26" i="117"/>
  <c r="AY25" i="3"/>
  <c r="AW26" i="3"/>
  <c r="W182" i="117"/>
  <c r="W184" i="117"/>
  <c r="W185" i="117" s="1"/>
  <c r="BR17" i="3"/>
  <c r="BS16" i="3"/>
  <c r="BS104" i="3" s="1"/>
  <c r="BS109" i="3" s="1"/>
  <c r="AO26" i="8"/>
  <c r="AO27" i="8" s="1"/>
  <c r="AO37" i="8"/>
  <c r="AQ25" i="8"/>
  <c r="AQ26" i="8" s="1"/>
  <c r="AQ27" i="8" s="1"/>
  <c r="AQ46" i="17"/>
  <c r="AQ43" i="17"/>
  <c r="AQ44" i="17" s="1"/>
  <c r="AO17" i="2"/>
  <c r="AO8" i="2"/>
  <c r="AO24" i="2"/>
  <c r="AO25" i="2" s="1"/>
  <c r="AH27" i="117"/>
  <c r="AP32" i="15"/>
  <c r="AP33" i="15" s="1"/>
  <c r="AP17" i="15"/>
  <c r="AP8" i="15"/>
  <c r="AP20" i="15"/>
  <c r="AP21" i="15" s="1"/>
  <c r="AO45" i="9"/>
  <c r="AO34" i="9"/>
  <c r="AO35" i="9" s="1"/>
  <c r="AN11" i="117"/>
  <c r="AH18" i="117"/>
  <c r="AS18" i="17"/>
  <c r="AS10" i="17"/>
  <c r="AS11" i="17" s="1"/>
  <c r="AS13" i="17"/>
  <c r="AS14" i="17" s="1"/>
  <c r="AE44" i="117"/>
  <c r="V85" i="117"/>
  <c r="V81" i="117"/>
  <c r="V82" i="117" s="1"/>
  <c r="W178" i="117"/>
  <c r="W39" i="117"/>
  <c r="BQ109" i="3"/>
  <c r="DD13" i="15"/>
  <c r="AQ33" i="9"/>
  <c r="AQ34" i="9" s="1"/>
  <c r="AQ35" i="9" s="1"/>
  <c r="T81" i="117"/>
  <c r="T82" i="117" s="1"/>
  <c r="T133" i="117"/>
  <c r="AK47" i="2"/>
  <c r="G3" i="11"/>
  <c r="G5" i="11" s="1"/>
  <c r="AK49" i="2"/>
  <c r="AK50" i="2" s="1"/>
  <c r="AJ31" i="21"/>
  <c r="AK33" i="21"/>
  <c r="AO18" i="15"/>
  <c r="AO13" i="15"/>
  <c r="AO14" i="15" s="1"/>
  <c r="AO10" i="15"/>
  <c r="AO11" i="15" s="1"/>
  <c r="X202" i="117"/>
  <c r="X63" i="117"/>
  <c r="AP49" i="17"/>
  <c r="AP51" i="17"/>
  <c r="AP52" i="17" s="1"/>
  <c r="AQ48" i="17"/>
  <c r="AV4" i="3"/>
  <c r="AV6" i="3" s="1"/>
  <c r="AU7" i="3"/>
  <c r="Y68" i="117"/>
  <c r="Y161" i="117"/>
  <c r="Y22" i="117"/>
  <c r="Z21" i="117"/>
  <c r="AS60" i="3"/>
  <c r="AQ32" i="9"/>
  <c r="AQ31" i="9" s="1"/>
  <c r="AN37" i="2"/>
  <c r="AN26" i="2"/>
  <c r="AN27" i="2" s="1"/>
  <c r="V42" i="117"/>
  <c r="V44" i="117"/>
  <c r="V181" i="117"/>
  <c r="AV18" i="7"/>
  <c r="AV10" i="7"/>
  <c r="AV11" i="7" s="1"/>
  <c r="AV13" i="7"/>
  <c r="AV14" i="7" s="1"/>
  <c r="AN48" i="9"/>
  <c r="AN46" i="9"/>
  <c r="V202" i="117"/>
  <c r="V63" i="117"/>
  <c r="AN45" i="10"/>
  <c r="AN34" i="10"/>
  <c r="AN35" i="10" s="1"/>
  <c r="AQ84" i="17"/>
  <c r="AP85" i="17"/>
  <c r="BF152" i="21"/>
  <c r="BG152" i="21" s="1"/>
  <c r="BH152" i="21" s="1"/>
  <c r="BI152" i="21" s="1"/>
  <c r="AN48" i="15"/>
  <c r="AN46" i="15"/>
  <c r="AS17" i="16"/>
  <c r="AS24" i="16"/>
  <c r="AS8" i="16"/>
  <c r="AM26" i="2"/>
  <c r="AM27" i="2" s="1"/>
  <c r="AM37" i="2"/>
  <c r="AO44" i="117"/>
  <c r="X166" i="117"/>
  <c r="X164" i="117"/>
  <c r="Z165" i="117"/>
  <c r="DD10" i="15"/>
  <c r="CX17" i="15"/>
  <c r="CX18" i="15" s="1"/>
  <c r="AB44" i="3"/>
  <c r="AA45" i="3"/>
  <c r="AA46" i="3" s="1"/>
  <c r="AM10" i="2"/>
  <c r="AM11" i="2" s="1"/>
  <c r="AB8" i="117"/>
  <c r="AC5" i="117"/>
  <c r="AC7" i="117" s="1"/>
  <c r="DI89" i="15"/>
  <c r="BQ86" i="15"/>
  <c r="BQ94" i="15"/>
  <c r="BO89" i="15"/>
  <c r="BO101" i="15"/>
  <c r="BR85" i="15"/>
  <c r="BS82" i="15"/>
  <c r="BS84" i="15" s="1"/>
  <c r="BO43" i="15"/>
  <c r="BO44" i="15" s="1"/>
  <c r="BL108" i="21"/>
  <c r="BL116" i="15"/>
  <c r="BL117" i="15" s="1"/>
  <c r="BL66" i="15"/>
  <c r="BL67" i="15" s="1"/>
  <c r="BN69" i="15"/>
  <c r="BN70" i="15" s="1"/>
  <c r="BM130" i="21"/>
  <c r="BS4" i="15"/>
  <c r="BS6" i="15" s="1"/>
  <c r="BR7" i="15"/>
  <c r="BQ32" i="15"/>
  <c r="BQ8" i="15"/>
  <c r="CC10" i="3"/>
  <c r="CC11" i="3" s="1"/>
  <c r="CD51" i="3"/>
  <c r="CC92" i="3"/>
  <c r="CC118" i="3"/>
  <c r="CD117" i="3"/>
  <c r="CD118" i="3" s="1"/>
  <c r="CE52" i="3"/>
  <c r="BZ88" i="15" l="1"/>
  <c r="BZ89" i="15" s="1"/>
  <c r="CF91" i="15"/>
  <c r="CA91" i="15"/>
  <c r="CA92" i="15" s="1"/>
  <c r="CX140" i="3"/>
  <c r="CS140" i="3"/>
  <c r="CS141" i="3" s="1"/>
  <c r="BY15" i="15"/>
  <c r="CK10" i="15"/>
  <c r="CE17" i="15"/>
  <c r="CE18" i="15" s="1"/>
  <c r="CK13" i="15"/>
  <c r="CX15" i="15"/>
  <c r="BX18" i="15"/>
  <c r="BX15" i="15"/>
  <c r="CD17" i="15"/>
  <c r="CJ10" i="15"/>
  <c r="CP13" i="15"/>
  <c r="W315" i="117"/>
  <c r="AN36" i="21"/>
  <c r="AU44" i="117"/>
  <c r="W176" i="117"/>
  <c r="W179" i="117"/>
  <c r="BS110" i="3"/>
  <c r="BS112" i="3"/>
  <c r="Y103" i="117"/>
  <c r="Y138" i="117"/>
  <c r="Y92" i="117"/>
  <c r="Z91" i="117"/>
  <c r="BW138" i="3"/>
  <c r="AT18" i="17"/>
  <c r="AT13" i="17"/>
  <c r="AT14" i="17" s="1"/>
  <c r="AY30" i="3"/>
  <c r="AW31" i="3"/>
  <c r="W60" i="117"/>
  <c r="W199" i="117"/>
  <c r="DD17" i="15"/>
  <c r="DD18" i="15" s="1"/>
  <c r="DJ10" i="15"/>
  <c r="AS13" i="16"/>
  <c r="AS14" i="16" s="1"/>
  <c r="AS18" i="16"/>
  <c r="AN49" i="15"/>
  <c r="AN51" i="15"/>
  <c r="AN52" i="15" s="1"/>
  <c r="AS82" i="17"/>
  <c r="AQ83" i="17"/>
  <c r="AN46" i="2"/>
  <c r="AN38" i="2"/>
  <c r="AW6" i="3"/>
  <c r="AV7" i="3"/>
  <c r="G6" i="11"/>
  <c r="I76" i="12" s="1"/>
  <c r="I78" i="12" s="1"/>
  <c r="AO48" i="9"/>
  <c r="AO46" i="9"/>
  <c r="AZ25" i="3"/>
  <c r="AY26" i="3"/>
  <c r="BU120" i="3"/>
  <c r="BU121" i="3" s="1"/>
  <c r="BU144" i="3"/>
  <c r="AO91" i="17"/>
  <c r="AO92" i="17" s="1"/>
  <c r="AO89" i="17"/>
  <c r="BX137" i="3"/>
  <c r="BX138" i="3" s="1"/>
  <c r="BY125" i="3"/>
  <c r="BX123" i="3"/>
  <c r="AM48" i="10"/>
  <c r="AM46" i="10"/>
  <c r="S156" i="117"/>
  <c r="S154" i="117" s="1"/>
  <c r="T208" i="117"/>
  <c r="AU38" i="7"/>
  <c r="AU40" i="7"/>
  <c r="AW37" i="7"/>
  <c r="AP45" i="9"/>
  <c r="AP34" i="9"/>
  <c r="AP35" i="9" s="1"/>
  <c r="AQ5" i="10"/>
  <c r="AS4" i="10"/>
  <c r="BB27" i="117"/>
  <c r="AY24" i="7"/>
  <c r="AY17" i="7"/>
  <c r="AY8" i="7"/>
  <c r="BC11" i="117"/>
  <c r="BC18" i="117" s="1"/>
  <c r="AW18" i="117"/>
  <c r="AO18" i="10"/>
  <c r="AO13" i="10"/>
  <c r="AO14" i="10" s="1"/>
  <c r="CU88" i="15"/>
  <c r="CU89" i="15" s="1"/>
  <c r="DA91" i="15"/>
  <c r="AS34" i="17"/>
  <c r="AS35" i="17" s="1"/>
  <c r="AS45" i="17"/>
  <c r="L67" i="11"/>
  <c r="L68" i="11" s="1"/>
  <c r="L71" i="11" s="1"/>
  <c r="AN10" i="10"/>
  <c r="AN11" i="10" s="1"/>
  <c r="AV16" i="117"/>
  <c r="AV19" i="117"/>
  <c r="AH19" i="117"/>
  <c r="AH16" i="117"/>
  <c r="AN27" i="117"/>
  <c r="AV27" i="7"/>
  <c r="BB27" i="7"/>
  <c r="AW4" i="15"/>
  <c r="AS6" i="15"/>
  <c r="AP24" i="2"/>
  <c r="AP25" i="2" s="1"/>
  <c r="AP17" i="2"/>
  <c r="AP8" i="2"/>
  <c r="AQ8" i="9"/>
  <c r="AQ17" i="9"/>
  <c r="AQ18" i="9" s="1"/>
  <c r="AQ20" i="9"/>
  <c r="AQ21" i="9" s="1"/>
  <c r="AQ13" i="9"/>
  <c r="AQ10" i="9"/>
  <c r="AQ11" i="9" s="1"/>
  <c r="AQ38" i="16"/>
  <c r="AQ35" i="16"/>
  <c r="AQ36" i="16" s="1"/>
  <c r="Y164" i="117"/>
  <c r="Z164" i="117" s="1"/>
  <c r="Y166" i="117"/>
  <c r="Z166" i="117" s="1"/>
  <c r="AU17" i="17"/>
  <c r="AU8" i="17"/>
  <c r="AU20" i="17"/>
  <c r="AU21" i="17" s="1"/>
  <c r="AU32" i="17"/>
  <c r="AM51" i="9"/>
  <c r="AM52" i="9" s="1"/>
  <c r="AM49" i="9"/>
  <c r="BR113" i="3"/>
  <c r="BR162" i="3"/>
  <c r="AC8" i="117"/>
  <c r="AD5" i="117"/>
  <c r="AD7" i="117" s="1"/>
  <c r="AC44" i="3"/>
  <c r="AB45" i="3"/>
  <c r="AB46" i="3" s="1"/>
  <c r="AN46" i="10"/>
  <c r="AN48" i="10"/>
  <c r="Y65" i="117"/>
  <c r="Z68" i="117"/>
  <c r="AQ51" i="17"/>
  <c r="AQ52" i="17" s="1"/>
  <c r="AQ49" i="17"/>
  <c r="AD203" i="117"/>
  <c r="X203" i="117"/>
  <c r="X208" i="117"/>
  <c r="AJ48" i="21"/>
  <c r="AJ30" i="21"/>
  <c r="AK31" i="21"/>
  <c r="DJ13" i="15"/>
  <c r="BQ110" i="3"/>
  <c r="BQ112" i="3"/>
  <c r="AN18" i="117"/>
  <c r="AT11" i="117"/>
  <c r="AP13" i="15"/>
  <c r="AP14" i="15" s="1"/>
  <c r="AP10" i="15"/>
  <c r="AP11" i="15" s="1"/>
  <c r="AP18" i="15"/>
  <c r="AQ7" i="2"/>
  <c r="BT16" i="3"/>
  <c r="BT104" i="3" s="1"/>
  <c r="BS17" i="3"/>
  <c r="X178" i="117"/>
  <c r="X39" i="117"/>
  <c r="Z38" i="117"/>
  <c r="AU7" i="16"/>
  <c r="AV4" i="16"/>
  <c r="AV6" i="16" s="1"/>
  <c r="BB38" i="7"/>
  <c r="AV40" i="7"/>
  <c r="AV38" i="7"/>
  <c r="AN10" i="2"/>
  <c r="AN11" i="2" s="1"/>
  <c r="AP10" i="8"/>
  <c r="AP11" i="8" s="1"/>
  <c r="AS4" i="2"/>
  <c r="AQ5" i="2"/>
  <c r="AP18" i="9"/>
  <c r="AP13" i="9"/>
  <c r="AP14" i="9" s="1"/>
  <c r="AP10" i="9"/>
  <c r="AP11" i="9" s="1"/>
  <c r="AP20" i="9"/>
  <c r="AP21" i="9" s="1"/>
  <c r="AW20" i="3"/>
  <c r="AV21" i="3"/>
  <c r="AS61" i="3"/>
  <c r="AP40" i="8"/>
  <c r="AP38" i="8"/>
  <c r="AT45" i="17"/>
  <c r="AT34" i="17"/>
  <c r="AT35" i="17" s="1"/>
  <c r="AI18" i="117"/>
  <c r="AO11" i="117"/>
  <c r="AP43" i="16"/>
  <c r="AP44" i="16" s="1"/>
  <c r="AP41" i="16"/>
  <c r="AQ40" i="16"/>
  <c r="AO33" i="10"/>
  <c r="BU165" i="3"/>
  <c r="BU166" i="3" s="1"/>
  <c r="BT166" i="3"/>
  <c r="Y38" i="117"/>
  <c r="Y30" i="117"/>
  <c r="AT58" i="3"/>
  <c r="AT61" i="3" s="1"/>
  <c r="AT59" i="3"/>
  <c r="AT55" i="3"/>
  <c r="AP44" i="117"/>
  <c r="AW6" i="17"/>
  <c r="AV7" i="17"/>
  <c r="X156" i="117"/>
  <c r="X206" i="117"/>
  <c r="AD206" i="117"/>
  <c r="AT7" i="8"/>
  <c r="AU4" i="8"/>
  <c r="AU6" i="8" s="1"/>
  <c r="AM51" i="15"/>
  <c r="AM52" i="15" s="1"/>
  <c r="AM49" i="15"/>
  <c r="AU74" i="16"/>
  <c r="AU76" i="16" s="1"/>
  <c r="AT77" i="16"/>
  <c r="AO45" i="15"/>
  <c r="AO34" i="15"/>
  <c r="AO35" i="15" s="1"/>
  <c r="AQ33" i="15"/>
  <c r="AQ34" i="15" s="1"/>
  <c r="AQ35" i="15" s="1"/>
  <c r="V203" i="117"/>
  <c r="AB203" i="117"/>
  <c r="V208" i="117"/>
  <c r="AB44" i="117"/>
  <c r="V45" i="117"/>
  <c r="Y158" i="117"/>
  <c r="AE162" i="117"/>
  <c r="Y162" i="117"/>
  <c r="Z161" i="117"/>
  <c r="AK44" i="117"/>
  <c r="AO18" i="2"/>
  <c r="AO10" i="2"/>
  <c r="AO11" i="2" s="1"/>
  <c r="AO13" i="2"/>
  <c r="AO14" i="2" s="1"/>
  <c r="X170" i="117"/>
  <c r="X33" i="117"/>
  <c r="Z30" i="117"/>
  <c r="X31" i="117"/>
  <c r="V133" i="117"/>
  <c r="AS17" i="8"/>
  <c r="AS8" i="8"/>
  <c r="AS24" i="8"/>
  <c r="AS80" i="16"/>
  <c r="AS81" i="16" s="1"/>
  <c r="AS78" i="16"/>
  <c r="AB9" i="117"/>
  <c r="AB25" i="117"/>
  <c r="AM46" i="2"/>
  <c r="AM38" i="2"/>
  <c r="AS25" i="16"/>
  <c r="AP86" i="17"/>
  <c r="AP88" i="17"/>
  <c r="AQ85" i="17"/>
  <c r="AN49" i="9"/>
  <c r="AN51" i="9"/>
  <c r="AN52" i="9" s="1"/>
  <c r="V184" i="117"/>
  <c r="V185" i="117" s="1"/>
  <c r="V182" i="117"/>
  <c r="Z22" i="117"/>
  <c r="Z18" i="117"/>
  <c r="Z19" i="117" s="1"/>
  <c r="AU80" i="3"/>
  <c r="AU83" i="3" s="1"/>
  <c r="AU84" i="3" s="1"/>
  <c r="AU8" i="3"/>
  <c r="AU81" i="3" s="1"/>
  <c r="AW7" i="3"/>
  <c r="AP45" i="15"/>
  <c r="AP34" i="15"/>
  <c r="AP35" i="15" s="1"/>
  <c r="AO26" i="2"/>
  <c r="AO27" i="2" s="1"/>
  <c r="AO37" i="2"/>
  <c r="AO40" i="8"/>
  <c r="AO38" i="8"/>
  <c r="AQ37" i="8"/>
  <c r="AT24" i="16"/>
  <c r="AT25" i="16" s="1"/>
  <c r="AT17" i="16"/>
  <c r="AT8" i="16"/>
  <c r="AW7" i="17"/>
  <c r="AB21" i="117"/>
  <c r="BW135" i="3"/>
  <c r="BW143" i="3"/>
  <c r="AB148" i="117"/>
  <c r="AC145" i="117"/>
  <c r="AC147" i="117" s="1"/>
  <c r="T151" i="117"/>
  <c r="T152" i="117" s="1"/>
  <c r="T203" i="117"/>
  <c r="AW14" i="7"/>
  <c r="AW15" i="7"/>
  <c r="AP32" i="10"/>
  <c r="AP33" i="10" s="1"/>
  <c r="AP17" i="10"/>
  <c r="AP20" i="10"/>
  <c r="AP21" i="10" s="1"/>
  <c r="AP8" i="10"/>
  <c r="AQ7" i="10"/>
  <c r="BA4" i="7"/>
  <c r="BA6" i="7" s="1"/>
  <c r="AZ7" i="7"/>
  <c r="AQ19" i="117"/>
  <c r="AQ16" i="117"/>
  <c r="AC19" i="117"/>
  <c r="AS6" i="9"/>
  <c r="AW4" i="9"/>
  <c r="X154" i="117"/>
  <c r="X155" i="117" s="1"/>
  <c r="X159" i="117"/>
  <c r="X151" i="117"/>
  <c r="X152" i="117" s="1"/>
  <c r="AO14" i="117"/>
  <c r="V177" i="117"/>
  <c r="AB176" i="117"/>
  <c r="AW27" i="117"/>
  <c r="AQ14" i="8"/>
  <c r="AQ15" i="8"/>
  <c r="AU60" i="3"/>
  <c r="AV53" i="3"/>
  <c r="AU54" i="3"/>
  <c r="AQ45" i="9"/>
  <c r="AI27" i="117"/>
  <c r="BB16" i="117"/>
  <c r="BB19" i="117"/>
  <c r="AC188" i="117"/>
  <c r="AC223" i="117" s="1"/>
  <c r="W188" i="117"/>
  <c r="W223" i="117" s="1"/>
  <c r="W190" i="117"/>
  <c r="W222" i="117"/>
  <c r="BL124" i="15"/>
  <c r="BL125" i="15" s="1"/>
  <c r="BT82" i="15"/>
  <c r="BT84" i="15" s="1"/>
  <c r="BS85" i="15"/>
  <c r="BQ97" i="15"/>
  <c r="BQ90" i="21"/>
  <c r="BQ95" i="15"/>
  <c r="BR86" i="15"/>
  <c r="BR94" i="15"/>
  <c r="BL119" i="15"/>
  <c r="BL120" i="15" s="1"/>
  <c r="BR8" i="15"/>
  <c r="BR32" i="15"/>
  <c r="BR33" i="15" s="1"/>
  <c r="BR25" i="15"/>
  <c r="BQ33" i="15"/>
  <c r="BS7" i="15"/>
  <c r="BT4" i="15"/>
  <c r="BT6" i="15" s="1"/>
  <c r="CC101" i="3"/>
  <c r="CC93" i="3"/>
  <c r="CD92" i="3"/>
  <c r="CE51" i="3"/>
  <c r="CD10" i="3"/>
  <c r="CD11" i="3" s="1"/>
  <c r="CE117" i="3"/>
  <c r="CF52" i="3"/>
  <c r="CL91" i="15" l="1"/>
  <c r="CF88" i="15"/>
  <c r="CF89" i="15" s="1"/>
  <c r="CG91" i="15"/>
  <c r="CG92" i="15" s="1"/>
  <c r="CY140" i="3"/>
  <c r="CY141" i="3" s="1"/>
  <c r="DD140" i="3"/>
  <c r="CE15" i="15"/>
  <c r="CK17" i="15"/>
  <c r="CK18" i="15" s="1"/>
  <c r="CQ10" i="15"/>
  <c r="CQ13" i="15"/>
  <c r="DD15" i="15"/>
  <c r="CJ17" i="15"/>
  <c r="CP10" i="15"/>
  <c r="CD18" i="15"/>
  <c r="CD15" i="15"/>
  <c r="CV13" i="15"/>
  <c r="BR163" i="3"/>
  <c r="W231" i="117"/>
  <c r="W258" i="117"/>
  <c r="W219" i="117"/>
  <c r="AP46" i="15"/>
  <c r="AP48" i="15"/>
  <c r="AS25" i="8"/>
  <c r="Z31" i="117"/>
  <c r="Z27" i="117"/>
  <c r="Z28" i="117" s="1"/>
  <c r="AQ43" i="16"/>
  <c r="AQ44" i="16" s="1"/>
  <c r="AQ41" i="16"/>
  <c r="AN19" i="117"/>
  <c r="AN16" i="117"/>
  <c r="Y135" i="117"/>
  <c r="Y132" i="117"/>
  <c r="Z138" i="117"/>
  <c r="AC191" i="117"/>
  <c r="AC226" i="117" s="1"/>
  <c r="W225" i="117"/>
  <c r="W191" i="117"/>
  <c r="W226" i="117" s="1"/>
  <c r="AH176" i="117"/>
  <c r="AC148" i="117"/>
  <c r="AD145" i="117"/>
  <c r="AD147" i="117" s="1"/>
  <c r="AQ24" i="2"/>
  <c r="AQ23" i="2" s="1"/>
  <c r="AO38" i="2"/>
  <c r="AO46" i="2"/>
  <c r="AM33" i="21"/>
  <c r="AM58" i="2"/>
  <c r="AM47" i="2"/>
  <c r="AM49" i="2"/>
  <c r="AM50" i="2" s="1"/>
  <c r="X34" i="117"/>
  <c r="X56" i="117"/>
  <c r="X57" i="117" s="1"/>
  <c r="Z33" i="117"/>
  <c r="X173" i="117"/>
  <c r="X41" i="117"/>
  <c r="Y159" i="117"/>
  <c r="V156" i="117"/>
  <c r="V154" i="117" s="1"/>
  <c r="AT24" i="8"/>
  <c r="AT25" i="8" s="1"/>
  <c r="AT17" i="8"/>
  <c r="AT8" i="8"/>
  <c r="AV20" i="17"/>
  <c r="AV21" i="17" s="1"/>
  <c r="AV32" i="17"/>
  <c r="AV33" i="17" s="1"/>
  <c r="AV17" i="17"/>
  <c r="AV8" i="17"/>
  <c r="Y33" i="117"/>
  <c r="Y31" i="117"/>
  <c r="Y170" i="117"/>
  <c r="AS6" i="2"/>
  <c r="AW4" i="2"/>
  <c r="AV41" i="7"/>
  <c r="AV43" i="7"/>
  <c r="BB41" i="7"/>
  <c r="AW6" i="16"/>
  <c r="AV7" i="16"/>
  <c r="X176" i="117"/>
  <c r="X179" i="117"/>
  <c r="AN49" i="10"/>
  <c r="AN51" i="10"/>
  <c r="AN52" i="10" s="1"/>
  <c r="AT4" i="15"/>
  <c r="AT6" i="15" s="1"/>
  <c r="AS7" i="15"/>
  <c r="AS46" i="17"/>
  <c r="AS48" i="17"/>
  <c r="DA88" i="15"/>
  <c r="DA89" i="15" s="1"/>
  <c r="DG91" i="15"/>
  <c r="AP48" i="9"/>
  <c r="AP46" i="9"/>
  <c r="AM49" i="10"/>
  <c r="AM51" i="10"/>
  <c r="AM52" i="10" s="1"/>
  <c r="AN58" i="2"/>
  <c r="AN59" i="2" s="1"/>
  <c r="AN47" i="2"/>
  <c r="AN49" i="2"/>
  <c r="AN50" i="2" s="1"/>
  <c r="AN33" i="21"/>
  <c r="AN31" i="21" s="1"/>
  <c r="DJ17" i="15"/>
  <c r="DJ18" i="15" s="1"/>
  <c r="AC200" i="117"/>
  <c r="W200" i="117"/>
  <c r="Y104" i="117"/>
  <c r="Y126" i="117"/>
  <c r="Y127" i="117" s="1"/>
  <c r="Y111" i="117"/>
  <c r="Y117" i="117" s="1"/>
  <c r="Z103" i="117"/>
  <c r="AC176" i="117"/>
  <c r="AI176" i="117" s="1"/>
  <c r="AO176" i="117" s="1"/>
  <c r="W177" i="117"/>
  <c r="BA44" i="117"/>
  <c r="BC27" i="117"/>
  <c r="AS7" i="9"/>
  <c r="AT4" i="9"/>
  <c r="AT6" i="9" s="1"/>
  <c r="AQ20" i="10"/>
  <c r="AQ21" i="10" s="1"/>
  <c r="AQ8" i="10"/>
  <c r="AQ17" i="10"/>
  <c r="AQ18" i="10" s="1"/>
  <c r="AQ13" i="10"/>
  <c r="AQ10" i="10"/>
  <c r="AQ11" i="10" s="1"/>
  <c r="BW120" i="3"/>
  <c r="BW121" i="3" s="1"/>
  <c r="BW165" i="3"/>
  <c r="BW144" i="3"/>
  <c r="AO43" i="8"/>
  <c r="AO44" i="8" s="1"/>
  <c r="AO41" i="8"/>
  <c r="AQ40" i="8"/>
  <c r="AW80" i="3"/>
  <c r="AW83" i="3" s="1"/>
  <c r="AW84" i="3" s="1"/>
  <c r="AW8" i="3"/>
  <c r="AW81" i="3" s="1"/>
  <c r="AV4" i="8"/>
  <c r="AV6" i="8" s="1"/>
  <c r="AU7" i="8"/>
  <c r="AI19" i="117"/>
  <c r="BU104" i="3"/>
  <c r="AJ144" i="21"/>
  <c r="AJ49" i="21"/>
  <c r="AJ51" i="21" s="1"/>
  <c r="AK48" i="21"/>
  <c r="Y205" i="117"/>
  <c r="Y66" i="117"/>
  <c r="Z65" i="117"/>
  <c r="AC25" i="117"/>
  <c r="AC9" i="117"/>
  <c r="AU33" i="17"/>
  <c r="AQ14" i="9"/>
  <c r="AQ15" i="9"/>
  <c r="AP26" i="2"/>
  <c r="AP27" i="2" s="1"/>
  <c r="AP37" i="2"/>
  <c r="AQ25" i="2"/>
  <c r="AQ26" i="2" s="1"/>
  <c r="AQ27" i="2" s="1"/>
  <c r="AT27" i="117"/>
  <c r="AO27" i="117"/>
  <c r="AU55" i="3"/>
  <c r="AU58" i="3"/>
  <c r="AU59" i="3"/>
  <c r="AI16" i="117"/>
  <c r="AC21" i="117"/>
  <c r="AZ24" i="7"/>
  <c r="AZ25" i="7" s="1"/>
  <c r="AZ17" i="7"/>
  <c r="AZ8" i="7"/>
  <c r="AB158" i="117"/>
  <c r="AB149" i="117"/>
  <c r="AB68" i="117"/>
  <c r="AB22" i="117"/>
  <c r="AQ35" i="8"/>
  <c r="AQ36" i="8" s="1"/>
  <c r="AQ38" i="8"/>
  <c r="AQ86" i="17"/>
  <c r="AQ88" i="17"/>
  <c r="AQ89" i="17" s="1"/>
  <c r="AS37" i="16"/>
  <c r="AS26" i="16"/>
  <c r="AS27" i="16" s="1"/>
  <c r="X167" i="117"/>
  <c r="X168" i="117" s="1"/>
  <c r="AD171" i="117"/>
  <c r="X171" i="117"/>
  <c r="Z170" i="117"/>
  <c r="AF162" i="117"/>
  <c r="Z162" i="117"/>
  <c r="Z158" i="117"/>
  <c r="Z159" i="117" s="1"/>
  <c r="AO48" i="15"/>
  <c r="AO46" i="15"/>
  <c r="AQ45" i="15"/>
  <c r="AY4" i="17"/>
  <c r="AW5" i="17"/>
  <c r="Y178" i="117"/>
  <c r="Y39" i="117"/>
  <c r="AQ32" i="10"/>
  <c r="AQ31" i="10" s="1"/>
  <c r="AT48" i="17"/>
  <c r="AT46" i="17"/>
  <c r="AU24" i="16"/>
  <c r="AU25" i="16" s="1"/>
  <c r="AU17" i="16"/>
  <c r="AU8" i="16"/>
  <c r="AW7" i="16"/>
  <c r="BT17" i="3"/>
  <c r="BU16" i="3"/>
  <c r="BQ113" i="3"/>
  <c r="BQ162" i="3"/>
  <c r="AL31" i="21"/>
  <c r="AK24" i="21"/>
  <c r="AK27" i="21"/>
  <c r="AL27" i="21" s="1"/>
  <c r="AK30" i="21"/>
  <c r="AD44" i="3"/>
  <c r="AC45" i="3"/>
  <c r="AC46" i="3" s="1"/>
  <c r="AW19" i="117"/>
  <c r="AW16" i="117"/>
  <c r="AY18" i="7"/>
  <c r="AY13" i="7"/>
  <c r="AY14" i="7" s="1"/>
  <c r="AW4" i="10"/>
  <c r="AS6" i="10"/>
  <c r="AW35" i="7"/>
  <c r="AW36" i="7" s="1"/>
  <c r="AW38" i="7"/>
  <c r="S155" i="117"/>
  <c r="S151" i="117"/>
  <c r="S152" i="117" s="1"/>
  <c r="BX134" i="3"/>
  <c r="AV80" i="3"/>
  <c r="AV83" i="3" s="1"/>
  <c r="AV84" i="3" s="1"/>
  <c r="AV8" i="3"/>
  <c r="AV81" i="3" s="1"/>
  <c r="AS10" i="16"/>
  <c r="AS11" i="16" s="1"/>
  <c r="AZ30" i="3"/>
  <c r="AY31" i="3"/>
  <c r="Z92" i="117"/>
  <c r="Z88" i="117"/>
  <c r="Z89" i="117" s="1"/>
  <c r="BS162" i="3"/>
  <c r="BS163" i="3" s="1"/>
  <c r="BS113" i="3"/>
  <c r="AP34" i="10"/>
  <c r="AP35" i="10" s="1"/>
  <c r="AP45" i="10"/>
  <c r="AT26" i="16"/>
  <c r="AT27" i="16" s="1"/>
  <c r="AT37" i="16"/>
  <c r="AV74" i="16"/>
  <c r="AV76" i="16" s="1"/>
  <c r="AU77" i="16"/>
  <c r="AV44" i="117"/>
  <c r="AP43" i="8"/>
  <c r="AP44" i="8" s="1"/>
  <c r="AP41" i="8"/>
  <c r="AQ46" i="9"/>
  <c r="AQ43" i="9"/>
  <c r="AQ44" i="9" s="1"/>
  <c r="AW53" i="3"/>
  <c r="AV54" i="3"/>
  <c r="AV60" i="3" s="1"/>
  <c r="AU14" i="117"/>
  <c r="BA7" i="7"/>
  <c r="BB4" i="7"/>
  <c r="BB6" i="7" s="1"/>
  <c r="AP18" i="10"/>
  <c r="AP13" i="10"/>
  <c r="AP14" i="10" s="1"/>
  <c r="AW8" i="17"/>
  <c r="AW20" i="17"/>
  <c r="AW21" i="17" s="1"/>
  <c r="AW17" i="17"/>
  <c r="AW18" i="17" s="1"/>
  <c r="AW10" i="17"/>
  <c r="AW11" i="17" s="1"/>
  <c r="AW13" i="17"/>
  <c r="AT18" i="16"/>
  <c r="AT13" i="16"/>
  <c r="AT14" i="16" s="1"/>
  <c r="AP89" i="17"/>
  <c r="AP91" i="17"/>
  <c r="AB165" i="117"/>
  <c r="AB26" i="117"/>
  <c r="AS13" i="8"/>
  <c r="AS14" i="8" s="1"/>
  <c r="AS18" i="8"/>
  <c r="AQ44" i="117"/>
  <c r="AH44" i="117"/>
  <c r="AT80" i="16"/>
  <c r="AT81" i="16" s="1"/>
  <c r="AT78" i="16"/>
  <c r="AO34" i="10"/>
  <c r="AO35" i="10" s="1"/>
  <c r="AO45" i="10"/>
  <c r="AQ33" i="10"/>
  <c r="AQ34" i="10" s="1"/>
  <c r="AQ35" i="10" s="1"/>
  <c r="AO18" i="117"/>
  <c r="AO16" i="117" s="1"/>
  <c r="AU11" i="117"/>
  <c r="AY20" i="3"/>
  <c r="AW21" i="3"/>
  <c r="Z39" i="117"/>
  <c r="Z36" i="117"/>
  <c r="Z37" i="117" s="1"/>
  <c r="AQ17" i="2"/>
  <c r="AQ8" i="2"/>
  <c r="AQ10" i="2"/>
  <c r="AQ11" i="2" s="1"/>
  <c r="AZ11" i="117"/>
  <c r="AZ18" i="117" s="1"/>
  <c r="AT18" i="117"/>
  <c r="Y62" i="117"/>
  <c r="AE5" i="117"/>
  <c r="AE7" i="117" s="1"/>
  <c r="AD8" i="117"/>
  <c r="AU10" i="17"/>
  <c r="AU11" i="17" s="1"/>
  <c r="AU18" i="17"/>
  <c r="AU13" i="17"/>
  <c r="AU14" i="17" s="1"/>
  <c r="AP18" i="2"/>
  <c r="AP13" i="2"/>
  <c r="AP14" i="2" s="1"/>
  <c r="AO10" i="10"/>
  <c r="AO11" i="10" s="1"/>
  <c r="BC19" i="117"/>
  <c r="BC16" i="117"/>
  <c r="AY25" i="7"/>
  <c r="AU43" i="7"/>
  <c r="AU44" i="7" s="1"/>
  <c r="AU41" i="7"/>
  <c r="AW40" i="7"/>
  <c r="BY137" i="3"/>
  <c r="BY138" i="3" s="1"/>
  <c r="BZ125" i="3"/>
  <c r="BZ137" i="3" s="1"/>
  <c r="BZ138" i="3" s="1"/>
  <c r="BY123" i="3"/>
  <c r="BY134" i="3" s="1"/>
  <c r="BA25" i="3"/>
  <c r="AZ26" i="3"/>
  <c r="AO51" i="9"/>
  <c r="AO52" i="9" s="1"/>
  <c r="AO49" i="9"/>
  <c r="AY4" i="3"/>
  <c r="AW5" i="3"/>
  <c r="AS84" i="17"/>
  <c r="AW82" i="17"/>
  <c r="AT10" i="17"/>
  <c r="AT11" i="17" s="1"/>
  <c r="BS86" i="15"/>
  <c r="BS94" i="15"/>
  <c r="BQ112" i="21"/>
  <c r="BQ98" i="15"/>
  <c r="BT85" i="15"/>
  <c r="BU84" i="15"/>
  <c r="BR90" i="21"/>
  <c r="BR103" i="15"/>
  <c r="BR97" i="15"/>
  <c r="BR95" i="15"/>
  <c r="BR45" i="15"/>
  <c r="BR46" i="15" s="1"/>
  <c r="BR37" i="15"/>
  <c r="BR38" i="15" s="1"/>
  <c r="BQ45" i="15"/>
  <c r="BQ37" i="15"/>
  <c r="BU6" i="15"/>
  <c r="BT7" i="15"/>
  <c r="BU7" i="15" s="1"/>
  <c r="BU8" i="15" s="1"/>
  <c r="BS32" i="15"/>
  <c r="BS8" i="15"/>
  <c r="BS25" i="15"/>
  <c r="BR26" i="15"/>
  <c r="BR28" i="15"/>
  <c r="BR75" i="15"/>
  <c r="CE10" i="3"/>
  <c r="CE11" i="3" s="1"/>
  <c r="CF51" i="3"/>
  <c r="CE92" i="3"/>
  <c r="CC102" i="3"/>
  <c r="CD93" i="3"/>
  <c r="CD101" i="3"/>
  <c r="CF117" i="3"/>
  <c r="CF118" i="3" s="1"/>
  <c r="CG52" i="3"/>
  <c r="CE118" i="3"/>
  <c r="CR91" i="15" l="1"/>
  <c r="CL88" i="15"/>
  <c r="CL89" i="15" s="1"/>
  <c r="CM91" i="15"/>
  <c r="CM92" i="15" s="1"/>
  <c r="DE140" i="3"/>
  <c r="DE141" i="3" s="1"/>
  <c r="DJ140" i="3"/>
  <c r="DK140" i="3" s="1"/>
  <c r="CK15" i="15"/>
  <c r="CW13" i="15"/>
  <c r="CQ17" i="15"/>
  <c r="CQ18" i="15" s="1"/>
  <c r="CW10" i="15"/>
  <c r="CV10" i="15"/>
  <c r="CP17" i="15"/>
  <c r="DB13" i="15"/>
  <c r="CJ18" i="15"/>
  <c r="CJ15" i="15"/>
  <c r="Y129" i="117"/>
  <c r="Y118" i="117"/>
  <c r="Y120" i="117"/>
  <c r="Y121" i="117" s="1"/>
  <c r="Z117" i="117"/>
  <c r="BA17" i="7"/>
  <c r="BA8" i="7"/>
  <c r="BA24" i="7"/>
  <c r="AU80" i="16"/>
  <c r="AU81" i="16" s="1"/>
  <c r="AU78" i="16"/>
  <c r="Z171" i="117"/>
  <c r="AF171" i="117"/>
  <c r="Z167" i="117"/>
  <c r="Z168" i="117" s="1"/>
  <c r="AZ26" i="7"/>
  <c r="AZ27" i="7" s="1"/>
  <c r="AZ37" i="7"/>
  <c r="AU27" i="117"/>
  <c r="AS7" i="2"/>
  <c r="AT4" i="2"/>
  <c r="AT6" i="2" s="1"/>
  <c r="Z34" i="117"/>
  <c r="Z56" i="117"/>
  <c r="Z57" i="117" s="1"/>
  <c r="AN176" i="117"/>
  <c r="AS85" i="17"/>
  <c r="AT82" i="17"/>
  <c r="AT84" i="17" s="1"/>
  <c r="CA125" i="3"/>
  <c r="BZ123" i="3"/>
  <c r="BZ134" i="3" s="1"/>
  <c r="CA134" i="3" s="1"/>
  <c r="CA135" i="3" s="1"/>
  <c r="AT19" i="117"/>
  <c r="AT16" i="117"/>
  <c r="AQ13" i="2"/>
  <c r="AQ18" i="2"/>
  <c r="BA11" i="117"/>
  <c r="AU18" i="117"/>
  <c r="AN44" i="117"/>
  <c r="AW15" i="17"/>
  <c r="AW14" i="17"/>
  <c r="BC6" i="7"/>
  <c r="BE4" i="7" s="1"/>
  <c r="BB7" i="7"/>
  <c r="BA30" i="3"/>
  <c r="AZ31" i="3"/>
  <c r="BQ163" i="3"/>
  <c r="AW8" i="16"/>
  <c r="AW17" i="16"/>
  <c r="AW18" i="16" s="1"/>
  <c r="AW13" i="16"/>
  <c r="AW14" i="16" s="1"/>
  <c r="AW10" i="16"/>
  <c r="AW11" i="16" s="1"/>
  <c r="Y179" i="117"/>
  <c r="Y176" i="117"/>
  <c r="Z178" i="117"/>
  <c r="AS38" i="16"/>
  <c r="AS40" i="16"/>
  <c r="AZ13" i="7"/>
  <c r="AZ14" i="7" s="1"/>
  <c r="AZ18" i="7"/>
  <c r="AZ10" i="7"/>
  <c r="AZ11" i="7" s="1"/>
  <c r="CA137" i="3"/>
  <c r="CA138" i="3" s="1"/>
  <c r="AP46" i="2"/>
  <c r="AP38" i="2"/>
  <c r="AQ37" i="2"/>
  <c r="AW32" i="17"/>
  <c r="AW31" i="17" s="1"/>
  <c r="Z14" i="117"/>
  <c r="Z66" i="117"/>
  <c r="AU176" i="117"/>
  <c r="AS51" i="17"/>
  <c r="AS52" i="17" s="1"/>
  <c r="AS49" i="17"/>
  <c r="AT7" i="15"/>
  <c r="AU4" i="15"/>
  <c r="AU6" i="15" s="1"/>
  <c r="DJ15" i="15"/>
  <c r="AY4" i="16"/>
  <c r="AW5" i="16"/>
  <c r="AE171" i="117"/>
  <c r="Y171" i="117"/>
  <c r="Y167" i="117"/>
  <c r="Y168" i="117" s="1"/>
  <c r="AV13" i="17"/>
  <c r="AV14" i="17" s="1"/>
  <c r="AV18" i="17"/>
  <c r="AT10" i="8"/>
  <c r="AT11" i="8" s="1"/>
  <c r="AT18" i="8"/>
  <c r="AT13" i="8"/>
  <c r="AT14" i="8" s="1"/>
  <c r="X174" i="117"/>
  <c r="X217" i="117" s="1"/>
  <c r="X196" i="117"/>
  <c r="AD174" i="117"/>
  <c r="AD217" i="117" s="1"/>
  <c r="X306" i="117"/>
  <c r="AO11" i="21" s="1"/>
  <c r="X216" i="117"/>
  <c r="Z173" i="117"/>
  <c r="AM31" i="21"/>
  <c r="AC158" i="117"/>
  <c r="AC149" i="117"/>
  <c r="AP51" i="15"/>
  <c r="AP52" i="15" s="1"/>
  <c r="AP49" i="15"/>
  <c r="AC220" i="117"/>
  <c r="W220" i="117"/>
  <c r="AD9" i="117"/>
  <c r="AD25" i="117"/>
  <c r="AD21" i="117"/>
  <c r="AW44" i="117"/>
  <c r="AV58" i="3"/>
  <c r="AV61" i="3" s="1"/>
  <c r="AV55" i="3"/>
  <c r="AV59" i="3"/>
  <c r="AW54" i="3"/>
  <c r="BY135" i="3"/>
  <c r="BY143" i="3"/>
  <c r="AS7" i="10"/>
  <c r="AT4" i="10"/>
  <c r="AT6" i="10" s="1"/>
  <c r="AO51" i="15"/>
  <c r="AO52" i="15" s="1"/>
  <c r="AO49" i="15"/>
  <c r="AQ48" i="15"/>
  <c r="Z104" i="117"/>
  <c r="Z126" i="117"/>
  <c r="Z127" i="117" s="1"/>
  <c r="DG88" i="15"/>
  <c r="DG89" i="15" s="1"/>
  <c r="AT26" i="8"/>
  <c r="AT27" i="8" s="1"/>
  <c r="AT37" i="8"/>
  <c r="W264" i="117"/>
  <c r="W259" i="117"/>
  <c r="AC259" i="117"/>
  <c r="AY6" i="3"/>
  <c r="BC4" i="3"/>
  <c r="BB25" i="3"/>
  <c r="BA26" i="3"/>
  <c r="AW43" i="7"/>
  <c r="AW44" i="7" s="1"/>
  <c r="AW41" i="7"/>
  <c r="AY37" i="7"/>
  <c r="AY26" i="7"/>
  <c r="AY27" i="7" s="1"/>
  <c r="AE8" i="117"/>
  <c r="AF8" i="117" s="1"/>
  <c r="AF9" i="117" s="1"/>
  <c r="AH5" i="117"/>
  <c r="AF7" i="117"/>
  <c r="AZ20" i="3"/>
  <c r="AY21" i="3"/>
  <c r="AB166" i="117"/>
  <c r="AT10" i="16"/>
  <c r="AT11" i="16" s="1"/>
  <c r="AP10" i="10"/>
  <c r="AP11" i="10" s="1"/>
  <c r="AW60" i="3"/>
  <c r="AY53" i="3"/>
  <c r="AV77" i="16"/>
  <c r="AW76" i="16"/>
  <c r="AY74" i="16" s="1"/>
  <c r="BX135" i="3"/>
  <c r="BX143" i="3"/>
  <c r="AE44" i="3"/>
  <c r="AD45" i="3"/>
  <c r="AD46" i="3" s="1"/>
  <c r="BU17" i="3"/>
  <c r="BW16" i="3"/>
  <c r="AU13" i="16"/>
  <c r="AU14" i="16" s="1"/>
  <c r="AU18" i="16"/>
  <c r="AU10" i="16"/>
  <c r="AU11" i="16" s="1"/>
  <c r="BC4" i="17"/>
  <c r="AY6" i="17"/>
  <c r="AB151" i="117"/>
  <c r="AB152" i="117" s="1"/>
  <c r="AB159" i="117"/>
  <c r="AB154" i="117"/>
  <c r="AB155" i="117" s="1"/>
  <c r="AC68" i="117"/>
  <c r="AC22" i="117"/>
  <c r="AU61" i="3"/>
  <c r="Y206" i="117"/>
  <c r="AE206" i="117"/>
  <c r="Z205" i="117"/>
  <c r="AU24" i="8"/>
  <c r="AU25" i="8" s="1"/>
  <c r="AU17" i="8"/>
  <c r="AU8" i="8"/>
  <c r="AQ43" i="8"/>
  <c r="AQ44" i="8"/>
  <c r="AQ41" i="8"/>
  <c r="AQ14" i="10"/>
  <c r="AQ15" i="10"/>
  <c r="AU4" i="9"/>
  <c r="AU6" i="9" s="1"/>
  <c r="AT7" i="9"/>
  <c r="Y112" i="117"/>
  <c r="Z111" i="117"/>
  <c r="AN30" i="21"/>
  <c r="AN48" i="21"/>
  <c r="AP51" i="9"/>
  <c r="AP52" i="9" s="1"/>
  <c r="AP49" i="9"/>
  <c r="AQ48" i="9"/>
  <c r="AD176" i="117"/>
  <c r="AJ176" i="117" s="1"/>
  <c r="AP176" i="117" s="1"/>
  <c r="X177" i="117"/>
  <c r="AV44" i="7"/>
  <c r="BB44" i="7"/>
  <c r="Y56" i="117"/>
  <c r="Y57" i="117" s="1"/>
  <c r="Y173" i="117"/>
  <c r="Y34" i="117"/>
  <c r="Y47" i="117"/>
  <c r="Y41" i="117"/>
  <c r="V155" i="117"/>
  <c r="V151" i="117"/>
  <c r="V152" i="117" s="1"/>
  <c r="AO47" i="2"/>
  <c r="AO49" i="2"/>
  <c r="AO50" i="2" s="1"/>
  <c r="AO33" i="21"/>
  <c r="AO31" i="21" s="1"/>
  <c r="AO58" i="2"/>
  <c r="AO59" i="2" s="1"/>
  <c r="Y133" i="117"/>
  <c r="Z132" i="117"/>
  <c r="AC232" i="117"/>
  <c r="W236" i="117"/>
  <c r="W232" i="117"/>
  <c r="AW77" i="16"/>
  <c r="AZ19" i="117"/>
  <c r="AZ16" i="117"/>
  <c r="AO19" i="117"/>
  <c r="AB38" i="117"/>
  <c r="AB30" i="117"/>
  <c r="AT38" i="16"/>
  <c r="AT40" i="16"/>
  <c r="AT51" i="17"/>
  <c r="AT52" i="17" s="1"/>
  <c r="AT49" i="17"/>
  <c r="BL152" i="21"/>
  <c r="BM152" i="21" s="1"/>
  <c r="BN152" i="21" s="1"/>
  <c r="AZ27" i="117"/>
  <c r="AU34" i="17"/>
  <c r="AU35" i="17" s="1"/>
  <c r="AU45" i="17"/>
  <c r="AW33" i="17"/>
  <c r="AW34" i="17" s="1"/>
  <c r="AW35" i="17" s="1"/>
  <c r="AJ150" i="21"/>
  <c r="AK150" i="21" s="1"/>
  <c r="AK144" i="21"/>
  <c r="AV34" i="17"/>
  <c r="AV35" i="17" s="1"/>
  <c r="AV45" i="17"/>
  <c r="AP10" i="2"/>
  <c r="AP11" i="2" s="1"/>
  <c r="Y202" i="117"/>
  <c r="Y63" i="117"/>
  <c r="Z62" i="117"/>
  <c r="AO46" i="10"/>
  <c r="AO48" i="10"/>
  <c r="AQ45" i="10"/>
  <c r="AS10" i="8"/>
  <c r="AS11" i="8" s="1"/>
  <c r="AP92" i="17"/>
  <c r="AQ91" i="17"/>
  <c r="AQ92" i="17" s="1"/>
  <c r="BA14" i="117"/>
  <c r="BB44" i="117"/>
  <c r="AP48" i="10"/>
  <c r="AP46" i="10"/>
  <c r="AY10" i="7"/>
  <c r="AY11" i="7" s="1"/>
  <c r="AU37" i="16"/>
  <c r="AU26" i="16"/>
  <c r="AU27" i="16" s="1"/>
  <c r="AQ46" i="15"/>
  <c r="AQ43" i="15"/>
  <c r="AQ44" i="15" s="1"/>
  <c r="AB65" i="117"/>
  <c r="AB62" i="117"/>
  <c r="AC165" i="117"/>
  <c r="AC166" i="117" s="1"/>
  <c r="AC167" i="117" s="1"/>
  <c r="AC168" i="117" s="1"/>
  <c r="AC26" i="117"/>
  <c r="G250" i="14"/>
  <c r="G15" i="14"/>
  <c r="G131" i="14" s="1"/>
  <c r="AK49" i="21"/>
  <c r="AK51" i="21" s="1"/>
  <c r="AV7" i="8"/>
  <c r="AW6" i="8"/>
  <c r="AY4" i="8" s="1"/>
  <c r="BW166" i="3"/>
  <c r="AS32" i="9"/>
  <c r="AS8" i="9"/>
  <c r="AS17" i="9"/>
  <c r="AS32" i="15"/>
  <c r="AS8" i="15"/>
  <c r="AS20" i="15"/>
  <c r="AY8" i="15"/>
  <c r="AV24" i="16"/>
  <c r="AV17" i="16"/>
  <c r="AV8" i="16"/>
  <c r="X181" i="117"/>
  <c r="X42" i="117"/>
  <c r="Z41" i="117"/>
  <c r="X47" i="117"/>
  <c r="AM59" i="2"/>
  <c r="AE145" i="117"/>
  <c r="AE147" i="117" s="1"/>
  <c r="AD148" i="117"/>
  <c r="Y136" i="117"/>
  <c r="Z135" i="117"/>
  <c r="AS37" i="8"/>
  <c r="AS26" i="8"/>
  <c r="AS27" i="8" s="1"/>
  <c r="BC7" i="7"/>
  <c r="BR109" i="15"/>
  <c r="BR110" i="15" s="1"/>
  <c r="BR112" i="21"/>
  <c r="BR98" i="15"/>
  <c r="BT86" i="15"/>
  <c r="BT94" i="15"/>
  <c r="BU94" i="15" s="1"/>
  <c r="BR134" i="21"/>
  <c r="BR104" i="15"/>
  <c r="BU85" i="15"/>
  <c r="BU86" i="15" s="1"/>
  <c r="BS90" i="21"/>
  <c r="BS103" i="15"/>
  <c r="BS97" i="15"/>
  <c r="BS95" i="15"/>
  <c r="BU83" i="15"/>
  <c r="BW82" i="15"/>
  <c r="BS26" i="15"/>
  <c r="BS75" i="15"/>
  <c r="BS28" i="15"/>
  <c r="BT32" i="15"/>
  <c r="BT33" i="15" s="1"/>
  <c r="BT8" i="15"/>
  <c r="BT25" i="15"/>
  <c r="BW4" i="15"/>
  <c r="BU5" i="15"/>
  <c r="BQ46" i="15"/>
  <c r="BR72" i="15"/>
  <c r="BR73" i="15" s="1"/>
  <c r="BS33" i="15"/>
  <c r="BR20" i="15"/>
  <c r="BR21" i="15" s="1"/>
  <c r="BR29" i="15"/>
  <c r="BR40" i="15"/>
  <c r="BQ38" i="15"/>
  <c r="CD102" i="3"/>
  <c r="CE101" i="3"/>
  <c r="CE93" i="3"/>
  <c r="CF10" i="3"/>
  <c r="CF11" i="3" s="1"/>
  <c r="CG51" i="3"/>
  <c r="CF92" i="3"/>
  <c r="CG92" i="3" s="1"/>
  <c r="CG93" i="3" s="1"/>
  <c r="CG117" i="3"/>
  <c r="CG118" i="3" s="1"/>
  <c r="CI52" i="3"/>
  <c r="CR88" i="15" l="1"/>
  <c r="CR89" i="15" s="1"/>
  <c r="CX91" i="15"/>
  <c r="CS91" i="15"/>
  <c r="CS92" i="15" s="1"/>
  <c r="DK141" i="3"/>
  <c r="CQ15" i="15"/>
  <c r="CW17" i="15"/>
  <c r="CW18" i="15" s="1"/>
  <c r="DC10" i="15"/>
  <c r="DC13" i="15"/>
  <c r="BU32" i="15"/>
  <c r="BU31" i="15" s="1"/>
  <c r="DH13" i="15"/>
  <c r="CP18" i="15"/>
  <c r="CP15" i="15"/>
  <c r="DB10" i="15"/>
  <c r="CV17" i="15"/>
  <c r="BC8" i="7"/>
  <c r="BC17" i="7"/>
  <c r="BC10" i="7"/>
  <c r="BC11" i="7" s="1"/>
  <c r="X187" i="117"/>
  <c r="X48" i="117"/>
  <c r="X59" i="117"/>
  <c r="X50" i="117"/>
  <c r="X51" i="117" s="1"/>
  <c r="Z47" i="117"/>
  <c r="AT17" i="9"/>
  <c r="AT8" i="9"/>
  <c r="AT32" i="9"/>
  <c r="AT33" i="9" s="1"/>
  <c r="AY7" i="3"/>
  <c r="AZ4" i="3"/>
  <c r="AZ6" i="3" s="1"/>
  <c r="AM48" i="21"/>
  <c r="AM30" i="21"/>
  <c r="AD197" i="117"/>
  <c r="X197" i="117"/>
  <c r="BC4" i="16"/>
  <c r="AY6" i="16"/>
  <c r="Z15" i="117"/>
  <c r="Z16" i="117"/>
  <c r="Z118" i="117"/>
  <c r="Z120" i="117"/>
  <c r="Z121" i="117" s="1"/>
  <c r="Z42" i="117"/>
  <c r="Z44" i="117"/>
  <c r="Z45" i="117" s="1"/>
  <c r="AV25" i="16"/>
  <c r="AW24" i="16"/>
  <c r="AW23" i="16" s="1"/>
  <c r="AY6" i="8"/>
  <c r="BC4" i="8"/>
  <c r="AC38" i="117"/>
  <c r="AC30" i="117"/>
  <c r="AB66" i="117"/>
  <c r="AV46" i="17"/>
  <c r="AV48" i="17"/>
  <c r="AB33" i="117"/>
  <c r="AB31" i="117"/>
  <c r="W243" i="117"/>
  <c r="AC237" i="117"/>
  <c r="W237" i="117"/>
  <c r="AV176" i="117"/>
  <c r="AV178" i="117" s="1"/>
  <c r="AQ49" i="9"/>
  <c r="AQ51" i="9"/>
  <c r="AQ52" i="9" s="1"/>
  <c r="AU7" i="9"/>
  <c r="AV4" i="9"/>
  <c r="AV6" i="9" s="1"/>
  <c r="AU18" i="8"/>
  <c r="AU10" i="8"/>
  <c r="AU11" i="8" s="1"/>
  <c r="AU13" i="8"/>
  <c r="AU14" i="8" s="1"/>
  <c r="AC62" i="117"/>
  <c r="AC63" i="117" s="1"/>
  <c r="AC65" i="117"/>
  <c r="AC66" i="117" s="1"/>
  <c r="AZ4" i="17"/>
  <c r="AZ6" i="17" s="1"/>
  <c r="AY7" i="17"/>
  <c r="AG44" i="3"/>
  <c r="AE45" i="3"/>
  <c r="AE46" i="3" s="1"/>
  <c r="AY76" i="16"/>
  <c r="BC74" i="16"/>
  <c r="W265" i="117"/>
  <c r="W272" i="117"/>
  <c r="AC265" i="117"/>
  <c r="AS32" i="10"/>
  <c r="AS17" i="10"/>
  <c r="AS8" i="10"/>
  <c r="AS20" i="10"/>
  <c r="AS21" i="10" s="1"/>
  <c r="BC44" i="117"/>
  <c r="AQ33" i="21"/>
  <c r="AV10" i="17"/>
  <c r="AV11" i="17" s="1"/>
  <c r="BE6" i="7"/>
  <c r="BI4" i="7"/>
  <c r="BA18" i="117"/>
  <c r="AU82" i="17"/>
  <c r="AU84" i="17" s="1"/>
  <c r="AT85" i="17"/>
  <c r="AT176" i="117"/>
  <c r="BA25" i="7"/>
  <c r="Y187" i="117"/>
  <c r="Y48" i="117"/>
  <c r="Y50" i="117"/>
  <c r="Y51" i="117" s="1"/>
  <c r="Y59" i="117"/>
  <c r="Z114" i="117"/>
  <c r="Z115" i="117" s="1"/>
  <c r="Z112" i="117"/>
  <c r="AB167" i="117"/>
  <c r="AB168" i="117" s="1"/>
  <c r="AB178" i="117"/>
  <c r="AT38" i="8"/>
  <c r="AT40" i="8"/>
  <c r="AW58" i="3"/>
  <c r="AW61" i="3" s="1"/>
  <c r="AW59" i="3"/>
  <c r="AD165" i="117"/>
  <c r="AD166" i="117" s="1"/>
  <c r="AD167" i="117" s="1"/>
  <c r="AD168" i="117" s="1"/>
  <c r="AD26" i="117"/>
  <c r="Z216" i="117"/>
  <c r="Z174" i="117"/>
  <c r="Z217" i="117" s="1"/>
  <c r="AF174" i="117"/>
  <c r="AF217" i="117" s="1"/>
  <c r="Z196" i="117"/>
  <c r="AP58" i="2"/>
  <c r="AP33" i="21"/>
  <c r="AP31" i="21" s="1"/>
  <c r="AP47" i="2"/>
  <c r="AP49" i="2"/>
  <c r="AP50" i="2" s="1"/>
  <c r="AQ46" i="2"/>
  <c r="AS43" i="16"/>
  <c r="AS44" i="16" s="1"/>
  <c r="AS41" i="16"/>
  <c r="BB24" i="7"/>
  <c r="BC24" i="7" s="1"/>
  <c r="BC23" i="7" s="1"/>
  <c r="BB8" i="7"/>
  <c r="BB17" i="7"/>
  <c r="AU19" i="117"/>
  <c r="CC125" i="3"/>
  <c r="CA123" i="3"/>
  <c r="AS24" i="2"/>
  <c r="AS17" i="2"/>
  <c r="AS8" i="2"/>
  <c r="Z136" i="117"/>
  <c r="Z84" i="117"/>
  <c r="AS33" i="15"/>
  <c r="AS33" i="9"/>
  <c r="AV17" i="8"/>
  <c r="AV8" i="8"/>
  <c r="AV24" i="8"/>
  <c r="AW24" i="8" s="1"/>
  <c r="AU40" i="16"/>
  <c r="AU38" i="16"/>
  <c r="AP49" i="10"/>
  <c r="AP51" i="10"/>
  <c r="AP52" i="10" s="1"/>
  <c r="AQ43" i="10"/>
  <c r="AQ44" i="10" s="1"/>
  <c r="AQ46" i="10"/>
  <c r="Y208" i="117"/>
  <c r="AE203" i="117"/>
  <c r="Y203" i="117"/>
  <c r="Z202" i="117"/>
  <c r="AW78" i="16"/>
  <c r="AW80" i="16"/>
  <c r="AW81" i="16" s="1"/>
  <c r="Y196" i="117"/>
  <c r="Y306" i="117"/>
  <c r="AP11" i="21" s="1"/>
  <c r="AP23" i="21" s="1"/>
  <c r="Y174" i="117"/>
  <c r="Y217" i="117" s="1"/>
  <c r="Y216" i="117"/>
  <c r="AE174" i="117"/>
  <c r="AE217" i="117" s="1"/>
  <c r="AN144" i="21"/>
  <c r="AN150" i="21" s="1"/>
  <c r="AN49" i="21"/>
  <c r="AN51" i="21" s="1"/>
  <c r="AV25" i="8"/>
  <c r="AU37" i="8"/>
  <c r="AU26" i="8"/>
  <c r="AU27" i="8" s="1"/>
  <c r="BW104" i="3"/>
  <c r="BW17" i="3"/>
  <c r="BX16" i="3"/>
  <c r="AV80" i="16"/>
  <c r="AV81" i="16" s="1"/>
  <c r="AV78" i="16"/>
  <c r="AH7" i="117"/>
  <c r="AL5" i="117"/>
  <c r="AY38" i="7"/>
  <c r="AY40" i="7"/>
  <c r="BC25" i="3"/>
  <c r="BB26" i="3"/>
  <c r="BY120" i="3"/>
  <c r="BY121" i="3" s="1"/>
  <c r="BY144" i="3"/>
  <c r="BY165" i="3"/>
  <c r="BY166" i="3" s="1"/>
  <c r="AO23" i="21"/>
  <c r="AV4" i="15"/>
  <c r="AV6" i="15" s="1"/>
  <c r="AU7" i="15"/>
  <c r="BA176" i="117"/>
  <c r="AQ35" i="2"/>
  <c r="AQ36" i="2" s="1"/>
  <c r="AQ38" i="2"/>
  <c r="Z176" i="117"/>
  <c r="Z177" i="117" s="1"/>
  <c r="Z179" i="117"/>
  <c r="AS88" i="17"/>
  <c r="AS86" i="17"/>
  <c r="AZ38" i="7"/>
  <c r="AZ40" i="7"/>
  <c r="AF147" i="117"/>
  <c r="AE148" i="117"/>
  <c r="AH145" i="117"/>
  <c r="AV13" i="16"/>
  <c r="AV14" i="16" s="1"/>
  <c r="AV10" i="16"/>
  <c r="AV11" i="16" s="1"/>
  <c r="AV18" i="16"/>
  <c r="BA16" i="117"/>
  <c r="Z63" i="117"/>
  <c r="Z11" i="117"/>
  <c r="Z12" i="117" s="1"/>
  <c r="AO30" i="21"/>
  <c r="AZ21" i="3"/>
  <c r="BA20" i="3"/>
  <c r="AU4" i="10"/>
  <c r="AU6" i="10" s="1"/>
  <c r="AT7" i="10"/>
  <c r="BA27" i="117"/>
  <c r="AS40" i="8"/>
  <c r="AS38" i="8"/>
  <c r="AD158" i="117"/>
  <c r="AD149" i="117"/>
  <c r="AF148" i="117"/>
  <c r="X184" i="117"/>
  <c r="X185" i="117" s="1"/>
  <c r="X182" i="117"/>
  <c r="AS21" i="15"/>
  <c r="AY21" i="15"/>
  <c r="AS20" i="9"/>
  <c r="AS21" i="9" s="1"/>
  <c r="AS13" i="9"/>
  <c r="AS14" i="9" s="1"/>
  <c r="AS18" i="9"/>
  <c r="G9" i="14"/>
  <c r="G18" i="14"/>
  <c r="G19" i="14" s="1"/>
  <c r="G205" i="14"/>
  <c r="G217" i="14" s="1"/>
  <c r="G221" i="14" s="1"/>
  <c r="G258" i="14" s="1"/>
  <c r="G24" i="14"/>
  <c r="G30" i="14" s="1"/>
  <c r="G16" i="14"/>
  <c r="AB63" i="117"/>
  <c r="AU16" i="117"/>
  <c r="AO51" i="10"/>
  <c r="AO52" i="10" s="1"/>
  <c r="AO49" i="10"/>
  <c r="AQ48" i="10"/>
  <c r="AU46" i="17"/>
  <c r="AU48" i="17"/>
  <c r="AW45" i="17"/>
  <c r="BO152" i="21"/>
  <c r="AT41" i="16"/>
  <c r="AT43" i="16"/>
  <c r="AT44" i="16" s="1"/>
  <c r="AB39" i="117"/>
  <c r="Z133" i="117"/>
  <c r="Z81" i="117"/>
  <c r="Z82" i="117" s="1"/>
  <c r="Y42" i="117"/>
  <c r="Y181" i="117"/>
  <c r="Z181" i="117" s="1"/>
  <c r="AW7" i="8"/>
  <c r="Z154" i="117"/>
  <c r="Z206" i="117"/>
  <c r="AF206" i="117"/>
  <c r="BX165" i="3"/>
  <c r="BX120" i="3"/>
  <c r="BX121" i="3" s="1"/>
  <c r="BX144" i="3"/>
  <c r="AZ53" i="3"/>
  <c r="AY60" i="3"/>
  <c r="AY54" i="3"/>
  <c r="AE9" i="117"/>
  <c r="AE25" i="117"/>
  <c r="AE21" i="117"/>
  <c r="AQ49" i="15"/>
  <c r="AQ51" i="15"/>
  <c r="AQ52" i="15" s="1"/>
  <c r="AD22" i="117"/>
  <c r="AD68" i="117"/>
  <c r="AF21" i="117"/>
  <c r="AC159" i="117"/>
  <c r="AC154" i="117"/>
  <c r="AC155" i="117" s="1"/>
  <c r="AT32" i="15"/>
  <c r="AT33" i="15" s="1"/>
  <c r="AT20" i="15"/>
  <c r="AT17" i="15"/>
  <c r="AT8" i="15"/>
  <c r="AZ8" i="15"/>
  <c r="Y177" i="117"/>
  <c r="AE176" i="117"/>
  <c r="AK176" i="117" s="1"/>
  <c r="AQ176" i="117" s="1"/>
  <c r="BA31" i="3"/>
  <c r="BB30" i="3"/>
  <c r="AT44" i="117"/>
  <c r="AQ14" i="2"/>
  <c r="AQ15" i="2"/>
  <c r="BZ143" i="3"/>
  <c r="BZ135" i="3"/>
  <c r="AT7" i="2"/>
  <c r="AU4" i="2"/>
  <c r="AU6" i="2" s="1"/>
  <c r="BA18" i="7"/>
  <c r="BA13" i="7"/>
  <c r="BA14" i="7" s="1"/>
  <c r="Y130" i="117"/>
  <c r="Z129" i="117"/>
  <c r="Z130" i="117" s="1"/>
  <c r="BS134" i="21"/>
  <c r="BS104" i="15"/>
  <c r="BU88" i="15"/>
  <c r="BU89" i="15" s="1"/>
  <c r="BU95" i="15"/>
  <c r="BT95" i="15"/>
  <c r="BT97" i="15"/>
  <c r="BU97" i="15" s="1"/>
  <c r="BT90" i="21"/>
  <c r="BU90" i="21" s="1"/>
  <c r="BT103" i="15"/>
  <c r="CA82" i="15"/>
  <c r="BW84" i="15"/>
  <c r="BS109" i="15"/>
  <c r="BS112" i="21"/>
  <c r="BS98" i="15"/>
  <c r="BW6" i="15"/>
  <c r="CA4" i="15"/>
  <c r="BS29" i="15"/>
  <c r="BS20" i="15"/>
  <c r="BS21" i="15" s="1"/>
  <c r="BT26" i="15"/>
  <c r="BT28" i="15"/>
  <c r="BT75" i="15"/>
  <c r="BS72" i="15"/>
  <c r="BS73" i="15" s="1"/>
  <c r="BR60" i="15"/>
  <c r="BR86" i="21"/>
  <c r="BR48" i="15"/>
  <c r="BR49" i="15" s="1"/>
  <c r="BR41" i="15"/>
  <c r="BS45" i="15"/>
  <c r="BS37" i="15"/>
  <c r="BU33" i="15"/>
  <c r="BR69" i="15"/>
  <c r="BR70" i="15" s="1"/>
  <c r="BT45" i="15"/>
  <c r="BT46" i="15" s="1"/>
  <c r="CF93" i="3"/>
  <c r="CE102" i="3"/>
  <c r="CI51" i="3"/>
  <c r="CG10" i="3"/>
  <c r="CG11" i="3" s="1"/>
  <c r="CI117" i="3"/>
  <c r="CJ52" i="3"/>
  <c r="CW15" i="15" l="1"/>
  <c r="DD91" i="15"/>
  <c r="CX88" i="15"/>
  <c r="CX89" i="15" s="1"/>
  <c r="CY91" i="15"/>
  <c r="CY92" i="15" s="1"/>
  <c r="AV181" i="117"/>
  <c r="AV179" i="117"/>
  <c r="DI13" i="15"/>
  <c r="DC17" i="15"/>
  <c r="DC18" i="15" s="1"/>
  <c r="DI10" i="15"/>
  <c r="CV18" i="15"/>
  <c r="CV15" i="15"/>
  <c r="DH10" i="15"/>
  <c r="DH17" i="15" s="1"/>
  <c r="DH15" i="15" s="1"/>
  <c r="DB17" i="15"/>
  <c r="Z182" i="117"/>
  <c r="Z184" i="117"/>
  <c r="Z185" i="117" s="1"/>
  <c r="AZ44" i="117"/>
  <c r="AF18" i="117"/>
  <c r="AF19" i="117" s="1"/>
  <c r="AF22" i="117"/>
  <c r="AW46" i="17"/>
  <c r="AW43" i="17"/>
  <c r="AW44" i="17" s="1"/>
  <c r="AT20" i="10"/>
  <c r="AT21" i="10" s="1"/>
  <c r="AT32" i="10"/>
  <c r="AT33" i="10" s="1"/>
  <c r="AT8" i="10"/>
  <c r="AT17" i="10"/>
  <c r="AW6" i="15"/>
  <c r="AW5" i="15" s="1"/>
  <c r="AV7" i="15"/>
  <c r="BX17" i="3"/>
  <c r="BY16" i="3"/>
  <c r="BY104" i="3" s="1"/>
  <c r="CC137" i="3"/>
  <c r="CD125" i="3"/>
  <c r="CC123" i="3"/>
  <c r="CC134" i="3" s="1"/>
  <c r="BA37" i="7"/>
  <c r="BA26" i="7"/>
  <c r="BA27" i="7" s="1"/>
  <c r="BC25" i="7"/>
  <c r="BC26" i="7" s="1"/>
  <c r="BC27" i="7" s="1"/>
  <c r="BA4" i="17"/>
  <c r="BA6" i="17" s="1"/>
  <c r="AZ7" i="17"/>
  <c r="BB176" i="117"/>
  <c r="AV51" i="17"/>
  <c r="AV49" i="17"/>
  <c r="AC31" i="117"/>
  <c r="AC33" i="117"/>
  <c r="AZ4" i="16"/>
  <c r="AZ6" i="16" s="1"/>
  <c r="AY7" i="16"/>
  <c r="AY8" i="3"/>
  <c r="AY81" i="3" s="1"/>
  <c r="AY80" i="3"/>
  <c r="AY83" i="3" s="1"/>
  <c r="AY84" i="3" s="1"/>
  <c r="AU7" i="2"/>
  <c r="AV4" i="2"/>
  <c r="AV6" i="2" s="1"/>
  <c r="BC30" i="3"/>
  <c r="BB31" i="3"/>
  <c r="AC151" i="117"/>
  <c r="AC152" i="117" s="1"/>
  <c r="AD65" i="117"/>
  <c r="AD66" i="117" s="1"/>
  <c r="AE68" i="117"/>
  <c r="AE22" i="117"/>
  <c r="AY55" i="3"/>
  <c r="AY58" i="3"/>
  <c r="AY61" i="3" s="1"/>
  <c r="AY59" i="3"/>
  <c r="AU49" i="17"/>
  <c r="AU51" i="17"/>
  <c r="AU52" i="17" s="1"/>
  <c r="AW48" i="17"/>
  <c r="AS10" i="9"/>
  <c r="AS11" i="9" s="1"/>
  <c r="AD154" i="117"/>
  <c r="AD155" i="117" s="1"/>
  <c r="AD159" i="117"/>
  <c r="AU7" i="10"/>
  <c r="AV4" i="10"/>
  <c r="AV6" i="10" s="1"/>
  <c r="AQ11" i="21"/>
  <c r="AY41" i="7"/>
  <c r="AY43" i="7"/>
  <c r="AY44" i="7" s="1"/>
  <c r="AV37" i="8"/>
  <c r="AV26" i="8"/>
  <c r="AV27" i="8" s="1"/>
  <c r="AW25" i="8"/>
  <c r="AW26" i="8" s="1"/>
  <c r="AW27" i="8" s="1"/>
  <c r="AU41" i="16"/>
  <c r="AU43" i="16"/>
  <c r="AU44" i="16" s="1"/>
  <c r="AS13" i="2"/>
  <c r="AS14" i="2" s="1"/>
  <c r="AS18" i="2"/>
  <c r="AS10" i="2"/>
  <c r="AS11" i="2" s="1"/>
  <c r="BB13" i="7"/>
  <c r="BB14" i="7" s="1"/>
  <c r="BB18" i="7"/>
  <c r="AP30" i="21"/>
  <c r="AZ176" i="117"/>
  <c r="BA19" i="117"/>
  <c r="AS18" i="10"/>
  <c r="AS13" i="10"/>
  <c r="AS14" i="10" s="1"/>
  <c r="W278" i="117"/>
  <c r="AC178" i="117"/>
  <c r="AC39" i="117"/>
  <c r="AV37" i="16"/>
  <c r="AV26" i="16"/>
  <c r="AV27" i="16" s="1"/>
  <c r="AW25" i="16"/>
  <c r="AW26" i="16" s="1"/>
  <c r="AW27" i="16" s="1"/>
  <c r="AQ31" i="21"/>
  <c r="AT45" i="9"/>
  <c r="AT34" i="9"/>
  <c r="AT35" i="9" s="1"/>
  <c r="AH8" i="117"/>
  <c r="AI5" i="117"/>
  <c r="AI7" i="117" s="1"/>
  <c r="AU40" i="8"/>
  <c r="AU38" i="8"/>
  <c r="Y197" i="117"/>
  <c r="AE197" i="117"/>
  <c r="AT41" i="8"/>
  <c r="AT43" i="8"/>
  <c r="AT44" i="8" s="1"/>
  <c r="AY77" i="16"/>
  <c r="AZ74" i="16"/>
  <c r="AZ76" i="16" s="1"/>
  <c r="X309" i="117"/>
  <c r="X190" i="117"/>
  <c r="AD188" i="117"/>
  <c r="AD223" i="117" s="1"/>
  <c r="X222" i="117"/>
  <c r="X188" i="117"/>
  <c r="X223" i="117" s="1"/>
  <c r="Z187" i="117"/>
  <c r="BA10" i="7"/>
  <c r="BA11" i="7" s="1"/>
  <c r="AT17" i="2"/>
  <c r="AT24" i="2"/>
  <c r="AT25" i="2" s="1"/>
  <c r="AT8" i="2"/>
  <c r="AW176" i="117"/>
  <c r="AT10" i="15"/>
  <c r="AT18" i="15"/>
  <c r="AT13" i="15"/>
  <c r="AZ18" i="15"/>
  <c r="AE165" i="117"/>
  <c r="AE26" i="117"/>
  <c r="Z156" i="117"/>
  <c r="Z155" i="117"/>
  <c r="AQ49" i="10"/>
  <c r="AQ51" i="10"/>
  <c r="AQ52" i="10" s="1"/>
  <c r="G246" i="14"/>
  <c r="G12" i="14"/>
  <c r="G13" i="14" s="1"/>
  <c r="G10" i="14"/>
  <c r="AW37" i="8"/>
  <c r="BB20" i="3"/>
  <c r="BA21" i="3"/>
  <c r="AH147" i="117"/>
  <c r="AL145" i="117"/>
  <c r="AZ41" i="7"/>
  <c r="AZ43" i="7"/>
  <c r="AZ44" i="7" s="1"/>
  <c r="AS91" i="17"/>
  <c r="AS89" i="17"/>
  <c r="BG176" i="117"/>
  <c r="AQ23" i="21"/>
  <c r="H6" i="14" s="1"/>
  <c r="BW109" i="3"/>
  <c r="AW23" i="8"/>
  <c r="AS45" i="9"/>
  <c r="AS34" i="9"/>
  <c r="AS35" i="9" s="1"/>
  <c r="AS45" i="15"/>
  <c r="AS34" i="15"/>
  <c r="AS25" i="2"/>
  <c r="AQ49" i="2"/>
  <c r="AQ50" i="2" s="1"/>
  <c r="AQ47" i="2"/>
  <c r="H3" i="11"/>
  <c r="H5" i="11" s="1"/>
  <c r="AP59" i="2"/>
  <c r="AQ58" i="2"/>
  <c r="AQ59" i="2" s="1"/>
  <c r="Z197" i="117"/>
  <c r="AF197" i="117"/>
  <c r="AF25" i="117"/>
  <c r="AB181" i="117"/>
  <c r="AB179" i="117"/>
  <c r="Y190" i="117"/>
  <c r="AE188" i="117"/>
  <c r="AE223" i="117" s="1"/>
  <c r="Y188" i="117"/>
  <c r="Y223" i="117" s="1"/>
  <c r="Y309" i="117"/>
  <c r="Y222" i="117"/>
  <c r="AS33" i="10"/>
  <c r="AH44" i="3"/>
  <c r="AG45" i="3"/>
  <c r="AG46" i="3" s="1"/>
  <c r="AV7" i="9"/>
  <c r="AW6" i="9"/>
  <c r="AB56" i="117"/>
  <c r="AB57" i="117" s="1"/>
  <c r="AB47" i="117"/>
  <c r="AB34" i="117"/>
  <c r="AB41" i="117"/>
  <c r="AM144" i="21"/>
  <c r="AM49" i="21"/>
  <c r="AM51" i="21" s="1"/>
  <c r="X60" i="117"/>
  <c r="X199" i="117"/>
  <c r="Z59" i="117"/>
  <c r="Z60" i="117" s="1"/>
  <c r="BC18" i="7"/>
  <c r="BC13" i="7"/>
  <c r="BZ144" i="3"/>
  <c r="BZ165" i="3"/>
  <c r="BZ166" i="3" s="1"/>
  <c r="BZ120" i="3"/>
  <c r="BZ121" i="3" s="1"/>
  <c r="AT34" i="15"/>
  <c r="AT45" i="15"/>
  <c r="CA143" i="3"/>
  <c r="AS43" i="8"/>
  <c r="AS44" i="8" s="1"/>
  <c r="AS41" i="8"/>
  <c r="AF203" i="117"/>
  <c r="Z203" i="117"/>
  <c r="Z151" i="117"/>
  <c r="Z152" i="117" s="1"/>
  <c r="AV13" i="8"/>
  <c r="AV14" i="8" s="1"/>
  <c r="AV18" i="8"/>
  <c r="AV82" i="17"/>
  <c r="AV84" i="17" s="1"/>
  <c r="AU85" i="17"/>
  <c r="Z50" i="117"/>
  <c r="Z51" i="117" s="1"/>
  <c r="Z48" i="117"/>
  <c r="AT21" i="15"/>
  <c r="AZ21" i="15"/>
  <c r="BA53" i="3"/>
  <c r="AZ54" i="3"/>
  <c r="AZ60" i="3"/>
  <c r="BX166" i="3"/>
  <c r="AW17" i="8"/>
  <c r="AW8" i="8"/>
  <c r="AW10" i="8"/>
  <c r="AW11" i="8" s="1"/>
  <c r="Y184" i="117"/>
  <c r="Y185" i="117" s="1"/>
  <c r="Y182" i="117"/>
  <c r="G37" i="14"/>
  <c r="G39" i="14" s="1"/>
  <c r="G35" i="14"/>
  <c r="AF154" i="117"/>
  <c r="AF149" i="117"/>
  <c r="AF158" i="117"/>
  <c r="AF159" i="117" s="1"/>
  <c r="AF151" i="117"/>
  <c r="AF152" i="117" s="1"/>
  <c r="AE158" i="117"/>
  <c r="AE149" i="117"/>
  <c r="AU32" i="15"/>
  <c r="AU33" i="15" s="1"/>
  <c r="AU20" i="15"/>
  <c r="AU8" i="15"/>
  <c r="AU17" i="15"/>
  <c r="BA8" i="15"/>
  <c r="BC26" i="3"/>
  <c r="BE25" i="3"/>
  <c r="BX104" i="3"/>
  <c r="BX109" i="3" s="1"/>
  <c r="Z208" i="117"/>
  <c r="Y156" i="117"/>
  <c r="Y154" i="117" s="1"/>
  <c r="Z85" i="117"/>
  <c r="Z86" i="117"/>
  <c r="AD38" i="117"/>
  <c r="AD30" i="117"/>
  <c r="Y60" i="117"/>
  <c r="Y199" i="117"/>
  <c r="AT86" i="17"/>
  <c r="AT88" i="17"/>
  <c r="BE7" i="7"/>
  <c r="BF4" i="7"/>
  <c r="BF6" i="7" s="1"/>
  <c r="AY32" i="17"/>
  <c r="AY20" i="17"/>
  <c r="AY21" i="17" s="1"/>
  <c r="AY8" i="17"/>
  <c r="AY17" i="17"/>
  <c r="AU32" i="9"/>
  <c r="AU17" i="9"/>
  <c r="AU8" i="9"/>
  <c r="AW7" i="9"/>
  <c r="W248" i="117"/>
  <c r="AC244" i="117"/>
  <c r="W244" i="117"/>
  <c r="AY7" i="8"/>
  <c r="AZ4" i="8"/>
  <c r="AZ6" i="8" s="1"/>
  <c r="BA4" i="3"/>
  <c r="BA6" i="3" s="1"/>
  <c r="AZ7" i="3"/>
  <c r="AT20" i="9"/>
  <c r="AT21" i="9" s="1"/>
  <c r="AT10" i="9"/>
  <c r="AT11" i="9" s="1"/>
  <c r="AT18" i="9"/>
  <c r="AT13" i="9"/>
  <c r="AT14" i="9" s="1"/>
  <c r="BS110" i="15"/>
  <c r="BU100" i="15"/>
  <c r="BU101" i="15" s="1"/>
  <c r="BU112" i="21"/>
  <c r="M200" i="11"/>
  <c r="BU98" i="15"/>
  <c r="BW85" i="15"/>
  <c r="BX82" i="15"/>
  <c r="BX84" i="15" s="1"/>
  <c r="BT112" i="21"/>
  <c r="BT98" i="15"/>
  <c r="BT109" i="15"/>
  <c r="BT110" i="15" s="1"/>
  <c r="BT134" i="21"/>
  <c r="BT104" i="15"/>
  <c r="BR54" i="15"/>
  <c r="BR66" i="15" s="1"/>
  <c r="BR67" i="15" s="1"/>
  <c r="BS46" i="15"/>
  <c r="BU45" i="15"/>
  <c r="BT72" i="15"/>
  <c r="BT73" i="15" s="1"/>
  <c r="BR130" i="21"/>
  <c r="BR61" i="15"/>
  <c r="BT29" i="15"/>
  <c r="BT20" i="15"/>
  <c r="BT21" i="15" s="1"/>
  <c r="BS38" i="15"/>
  <c r="BS69" i="15"/>
  <c r="BS70" i="15" s="1"/>
  <c r="BS40" i="15"/>
  <c r="BW7" i="15"/>
  <c r="BX4" i="15"/>
  <c r="BX6" i="15" s="1"/>
  <c r="CI92" i="3"/>
  <c r="CI10" i="3"/>
  <c r="CI11" i="3" s="1"/>
  <c r="CJ51" i="3"/>
  <c r="CJ117" i="3"/>
  <c r="CJ118" i="3" s="1"/>
  <c r="CK52" i="3"/>
  <c r="CI118" i="3"/>
  <c r="DD88" i="15" l="1"/>
  <c r="DD89" i="15" s="1"/>
  <c r="DJ91" i="15"/>
  <c r="DE91" i="15"/>
  <c r="DE92" i="15" s="1"/>
  <c r="AV182" i="117"/>
  <c r="AV184" i="117"/>
  <c r="AV185" i="117" s="1"/>
  <c r="DC15" i="15"/>
  <c r="DI17" i="15"/>
  <c r="DI18" i="15" s="1"/>
  <c r="DB18" i="15"/>
  <c r="DB15" i="15"/>
  <c r="DH18" i="15"/>
  <c r="CA165" i="3"/>
  <c r="CA166" i="3" s="1"/>
  <c r="BY109" i="3"/>
  <c r="BF7" i="7"/>
  <c r="BG4" i="7"/>
  <c r="BG6" i="7" s="1"/>
  <c r="AM150" i="21"/>
  <c r="AI44" i="3"/>
  <c r="AH45" i="3"/>
  <c r="AH46" i="3" s="1"/>
  <c r="AE191" i="117"/>
  <c r="AE226" i="117" s="1"/>
  <c r="Y225" i="117"/>
  <c r="Y191" i="117"/>
  <c r="Y226" i="117" s="1"/>
  <c r="AW38" i="8"/>
  <c r="AW35" i="8"/>
  <c r="AW36" i="8" s="1"/>
  <c r="AE166" i="117"/>
  <c r="AF165" i="117"/>
  <c r="AT26" i="2"/>
  <c r="AT27" i="2" s="1"/>
  <c r="AT37" i="2"/>
  <c r="AO36" i="21"/>
  <c r="X315" i="117"/>
  <c r="AU43" i="8"/>
  <c r="AU44" i="8" s="1"/>
  <c r="AU41" i="8"/>
  <c r="AW51" i="17"/>
  <c r="AW52" i="17" s="1"/>
  <c r="AW49" i="17"/>
  <c r="AE62" i="117"/>
  <c r="AE63" i="117" s="1"/>
  <c r="AE65" i="117"/>
  <c r="BC31" i="3"/>
  <c r="BE30" i="3"/>
  <c r="AY24" i="16"/>
  <c r="AY8" i="16"/>
  <c r="AY17" i="16"/>
  <c r="AZ32" i="17"/>
  <c r="AZ33" i="17" s="1"/>
  <c r="AZ8" i="17"/>
  <c r="AZ17" i="17"/>
  <c r="AZ20" i="17"/>
  <c r="AZ21" i="17" s="1"/>
  <c r="BA38" i="7"/>
  <c r="BA40" i="7"/>
  <c r="BC37" i="7"/>
  <c r="AV32" i="15"/>
  <c r="AV33" i="15" s="1"/>
  <c r="AV20" i="15"/>
  <c r="AV8" i="15"/>
  <c r="AV17" i="15"/>
  <c r="BB8" i="15"/>
  <c r="AU18" i="9"/>
  <c r="AU13" i="9"/>
  <c r="AU14" i="9" s="1"/>
  <c r="AU20" i="9"/>
  <c r="AU21" i="9" s="1"/>
  <c r="AU10" i="9"/>
  <c r="AU11" i="9" s="1"/>
  <c r="BE24" i="7"/>
  <c r="BE17" i="7"/>
  <c r="BE8" i="7"/>
  <c r="CC135" i="3"/>
  <c r="CC143" i="3"/>
  <c r="Y155" i="117"/>
  <c r="Y151" i="117"/>
  <c r="Y152" i="117" s="1"/>
  <c r="AE154" i="117"/>
  <c r="AE155" i="117" s="1"/>
  <c r="AE159" i="117"/>
  <c r="AW18" i="8"/>
  <c r="AW13" i="8"/>
  <c r="AZ55" i="3"/>
  <c r="AZ58" i="3"/>
  <c r="AZ59" i="3"/>
  <c r="AV85" i="17"/>
  <c r="AW84" i="17"/>
  <c r="CA120" i="3"/>
  <c r="CA121" i="3" s="1"/>
  <c r="CA144" i="3"/>
  <c r="AB48" i="117"/>
  <c r="AB59" i="117"/>
  <c r="AB50" i="117"/>
  <c r="AB51" i="117" s="1"/>
  <c r="AY4" i="9"/>
  <c r="AW5" i="9"/>
  <c r="AP36" i="21"/>
  <c r="AP48" i="21" s="1"/>
  <c r="Y315" i="117"/>
  <c r="H6" i="11"/>
  <c r="J76" i="12" s="1"/>
  <c r="J78" i="12" s="1"/>
  <c r="AS35" i="15"/>
  <c r="AY35" i="15"/>
  <c r="BW110" i="3"/>
  <c r="BW112" i="3"/>
  <c r="AT10" i="2"/>
  <c r="AT11" i="2" s="1"/>
  <c r="AT13" i="2"/>
  <c r="AT14" i="2" s="1"/>
  <c r="AT18" i="2"/>
  <c r="X258" i="117"/>
  <c r="X231" i="117"/>
  <c r="X219" i="117"/>
  <c r="AZ77" i="16"/>
  <c r="BA74" i="16"/>
  <c r="BA76" i="16" s="1"/>
  <c r="AI8" i="117"/>
  <c r="AJ5" i="117"/>
  <c r="AJ7" i="117" s="1"/>
  <c r="AC181" i="117"/>
  <c r="AC179" i="117"/>
  <c r="BB10" i="7"/>
  <c r="BB11" i="7" s="1"/>
  <c r="AV40" i="8"/>
  <c r="AV38" i="8"/>
  <c r="AF68" i="117"/>
  <c r="AV7" i="2"/>
  <c r="AW7" i="2" s="1"/>
  <c r="AW6" i="2"/>
  <c r="AZ7" i="16"/>
  <c r="BA4" i="16"/>
  <c r="BA6" i="16" s="1"/>
  <c r="AV52" i="17"/>
  <c r="BB51" i="17"/>
  <c r="BA7" i="17"/>
  <c r="BB4" i="17"/>
  <c r="BB6" i="17" s="1"/>
  <c r="Y200" i="117"/>
  <c r="AE200" i="117"/>
  <c r="BF25" i="3"/>
  <c r="BE26" i="3"/>
  <c r="Y258" i="117"/>
  <c r="Y231" i="117"/>
  <c r="BM176" i="117"/>
  <c r="AT11" i="15"/>
  <c r="AZ11" i="15"/>
  <c r="AQ30" i="21"/>
  <c r="AQ24" i="21"/>
  <c r="AQ27" i="21"/>
  <c r="AR31" i="21"/>
  <c r="AT45" i="10"/>
  <c r="AT34" i="10"/>
  <c r="AT35" i="10" s="1"/>
  <c r="AZ80" i="3"/>
  <c r="AZ83" i="3" s="1"/>
  <c r="AZ84" i="3" s="1"/>
  <c r="AZ8" i="3"/>
  <c r="AZ81" i="3" s="1"/>
  <c r="AZ7" i="8"/>
  <c r="BA4" i="8"/>
  <c r="BA6" i="8" s="1"/>
  <c r="AU33" i="9"/>
  <c r="AW32" i="9"/>
  <c r="AW31" i="9" s="1"/>
  <c r="AT91" i="17"/>
  <c r="AT92" i="17" s="1"/>
  <c r="AT89" i="17"/>
  <c r="AW7" i="15"/>
  <c r="AU21" i="15"/>
  <c r="BA21" i="15"/>
  <c r="AF155" i="117"/>
  <c r="AF156" i="117"/>
  <c r="BB53" i="3"/>
  <c r="BA54" i="3"/>
  <c r="BA60" i="3" s="1"/>
  <c r="AV10" i="8"/>
  <c r="AV11" i="8" s="1"/>
  <c r="AW40" i="8"/>
  <c r="AT46" i="15"/>
  <c r="AT48" i="15"/>
  <c r="AZ46" i="15"/>
  <c r="X200" i="117"/>
  <c r="AD200" i="117"/>
  <c r="Z199" i="117"/>
  <c r="AB42" i="117"/>
  <c r="AV32" i="9"/>
  <c r="AV33" i="9" s="1"/>
  <c r="AV8" i="9"/>
  <c r="AV17" i="9"/>
  <c r="AS45" i="10"/>
  <c r="AS34" i="10"/>
  <c r="AS35" i="10" s="1"/>
  <c r="AS37" i="2"/>
  <c r="AS26" i="2"/>
  <c r="AS27" i="2" s="1"/>
  <c r="AS46" i="9"/>
  <c r="AS48" i="9"/>
  <c r="H7" i="14"/>
  <c r="I7" i="14"/>
  <c r="AS92" i="17"/>
  <c r="AI145" i="117"/>
  <c r="AI147" i="117" s="1"/>
  <c r="AH148" i="117"/>
  <c r="AT14" i="15"/>
  <c r="AZ14" i="15"/>
  <c r="BC176" i="117"/>
  <c r="AY80" i="16"/>
  <c r="AY81" i="16" s="1"/>
  <c r="AY78" i="16"/>
  <c r="AH9" i="117"/>
  <c r="AH25" i="117"/>
  <c r="AH21" i="117"/>
  <c r="W282" i="117"/>
  <c r="Y219" i="117"/>
  <c r="AW6" i="10"/>
  <c r="AV7" i="10"/>
  <c r="AD151" i="117"/>
  <c r="AD152" i="117" s="1"/>
  <c r="AD62" i="117"/>
  <c r="AU8" i="2"/>
  <c r="AU17" i="2"/>
  <c r="AU24" i="2"/>
  <c r="AU25" i="2" s="1"/>
  <c r="AC34" i="117"/>
  <c r="AC56" i="117"/>
  <c r="AC57" i="117" s="1"/>
  <c r="AC47" i="117"/>
  <c r="AC41" i="117"/>
  <c r="AC42" i="117" s="1"/>
  <c r="CD137" i="3"/>
  <c r="CD138" i="3" s="1"/>
  <c r="CE125" i="3"/>
  <c r="CD123" i="3"/>
  <c r="AT13" i="10"/>
  <c r="AT14" i="10" s="1"/>
  <c r="AT18" i="10"/>
  <c r="AD178" i="117"/>
  <c r="AD39" i="117"/>
  <c r="AF38" i="117"/>
  <c r="AU18" i="15"/>
  <c r="AU13" i="15"/>
  <c r="AU10" i="15"/>
  <c r="BA18" i="15"/>
  <c r="AU88" i="17"/>
  <c r="AU86" i="17"/>
  <c r="AW85" i="17"/>
  <c r="BB4" i="3"/>
  <c r="BB6" i="3" s="1"/>
  <c r="BA7" i="3"/>
  <c r="AY8" i="8"/>
  <c r="AY17" i="8"/>
  <c r="AY24" i="8"/>
  <c r="W250" i="117"/>
  <c r="AW17" i="9"/>
  <c r="AW18" i="9" s="1"/>
  <c r="AW8" i="9"/>
  <c r="AW10" i="9"/>
  <c r="AW11" i="9" s="1"/>
  <c r="AW20" i="9"/>
  <c r="AW21" i="9" s="1"/>
  <c r="AW13" i="9"/>
  <c r="AY13" i="17"/>
  <c r="AY18" i="17"/>
  <c r="AY33" i="17"/>
  <c r="AD31" i="117"/>
  <c r="AD33" i="117"/>
  <c r="BX110" i="3"/>
  <c r="BX112" i="3"/>
  <c r="AU34" i="15"/>
  <c r="AU45" i="15"/>
  <c r="AT35" i="15"/>
  <c r="AZ35" i="15"/>
  <c r="BC15" i="7"/>
  <c r="BC14" i="7"/>
  <c r="AB184" i="117"/>
  <c r="AB185" i="117" s="1"/>
  <c r="AB182" i="117"/>
  <c r="AS46" i="15"/>
  <c r="AS48" i="15"/>
  <c r="AY46" i="15"/>
  <c r="BC20" i="3"/>
  <c r="BB21" i="3"/>
  <c r="AE38" i="117"/>
  <c r="AE30" i="117"/>
  <c r="AF26" i="117"/>
  <c r="AF188" i="117"/>
  <c r="AF223" i="117" s="1"/>
  <c r="Z188" i="117"/>
  <c r="Z223" i="117" s="1"/>
  <c r="Z222" i="117"/>
  <c r="Z190" i="117"/>
  <c r="X191" i="117"/>
  <c r="X226" i="117" s="1"/>
  <c r="AD191" i="117"/>
  <c r="AD226" i="117" s="1"/>
  <c r="X225" i="117"/>
  <c r="AT48" i="9"/>
  <c r="AT46" i="9"/>
  <c r="AV38" i="16"/>
  <c r="AW37" i="16"/>
  <c r="AS10" i="10"/>
  <c r="AS11" i="10" s="1"/>
  <c r="BF176" i="117"/>
  <c r="AU20" i="10"/>
  <c r="AU21" i="10" s="1"/>
  <c r="AU17" i="10"/>
  <c r="AU32" i="10"/>
  <c r="AU33" i="10" s="1"/>
  <c r="AU8" i="10"/>
  <c r="BH176" i="117"/>
  <c r="CC138" i="3"/>
  <c r="BY17" i="3"/>
  <c r="BZ16" i="3"/>
  <c r="BZ104" i="3" s="1"/>
  <c r="BY82" i="15"/>
  <c r="BY84" i="15" s="1"/>
  <c r="BX85" i="15"/>
  <c r="BW86" i="15"/>
  <c r="BW94" i="15"/>
  <c r="BR116" i="15"/>
  <c r="BR124" i="15" s="1"/>
  <c r="BR125" i="15" s="1"/>
  <c r="BR55" i="15"/>
  <c r="BR57" i="15"/>
  <c r="BR58" i="15" s="1"/>
  <c r="BR108" i="21"/>
  <c r="BX7" i="15"/>
  <c r="BY4" i="15"/>
  <c r="BY6" i="15" s="1"/>
  <c r="BT69" i="15"/>
  <c r="BT70" i="15" s="1"/>
  <c r="BW8" i="15"/>
  <c r="BW32" i="15"/>
  <c r="BS60" i="15"/>
  <c r="BS41" i="15"/>
  <c r="BS86" i="21"/>
  <c r="BU46" i="15"/>
  <c r="BU43" i="15"/>
  <c r="BU44" i="15" s="1"/>
  <c r="CJ10" i="3"/>
  <c r="CJ11" i="3" s="1"/>
  <c r="CJ92" i="3"/>
  <c r="CK51" i="3"/>
  <c r="CI101" i="3"/>
  <c r="CI93" i="3"/>
  <c r="CL52" i="3"/>
  <c r="CK117" i="3"/>
  <c r="DJ88" i="15" l="1"/>
  <c r="DJ89" i="15" s="1"/>
  <c r="DK91" i="15"/>
  <c r="DK92" i="15" s="1"/>
  <c r="DI15" i="15"/>
  <c r="AW17" i="2"/>
  <c r="AW8" i="2"/>
  <c r="AW10" i="2"/>
  <c r="AW11" i="2" s="1"/>
  <c r="BL176" i="117"/>
  <c r="AE31" i="117"/>
  <c r="AE33" i="117"/>
  <c r="AU46" i="15"/>
  <c r="AU48" i="15"/>
  <c r="BA46" i="15"/>
  <c r="AW14" i="9"/>
  <c r="AW15" i="9"/>
  <c r="BA80" i="3"/>
  <c r="BA83" i="3" s="1"/>
  <c r="BA84" i="3" s="1"/>
  <c r="BA8" i="3"/>
  <c r="BA81" i="3" s="1"/>
  <c r="AH68" i="117"/>
  <c r="AH22" i="117"/>
  <c r="BI176" i="117"/>
  <c r="AF200" i="117"/>
  <c r="Z200" i="117"/>
  <c r="BB4" i="16"/>
  <c r="BB6" i="16" s="1"/>
  <c r="BA7" i="16"/>
  <c r="AI9" i="117"/>
  <c r="AI25" i="117"/>
  <c r="AI21" i="117"/>
  <c r="AD232" i="117"/>
  <c r="X236" i="117"/>
  <c r="X232" i="117"/>
  <c r="Z231" i="117"/>
  <c r="AV45" i="15"/>
  <c r="AV34" i="15"/>
  <c r="AY13" i="16"/>
  <c r="AY14" i="16" s="1"/>
  <c r="AY18" i="16"/>
  <c r="BE31" i="3"/>
  <c r="BF30" i="3"/>
  <c r="BY110" i="3"/>
  <c r="BY112" i="3"/>
  <c r="CA16" i="3"/>
  <c r="BZ17" i="3"/>
  <c r="AU45" i="10"/>
  <c r="AU34" i="10"/>
  <c r="AU35" i="10" s="1"/>
  <c r="AE178" i="117"/>
  <c r="AF178" i="117" s="1"/>
  <c r="AE39" i="117"/>
  <c r="AW45" i="15"/>
  <c r="AU35" i="15"/>
  <c r="BA35" i="15"/>
  <c r="AY45" i="17"/>
  <c r="AY34" i="17"/>
  <c r="AY35" i="17" s="1"/>
  <c r="AY25" i="8"/>
  <c r="BC6" i="3"/>
  <c r="BB7" i="3"/>
  <c r="AU14" i="15"/>
  <c r="BA14" i="15"/>
  <c r="AD181" i="117"/>
  <c r="AD179" i="117"/>
  <c r="AV20" i="10"/>
  <c r="AV21" i="10" s="1"/>
  <c r="AV32" i="10"/>
  <c r="AV33" i="10" s="1"/>
  <c r="AW33" i="10" s="1"/>
  <c r="AW34" i="10" s="1"/>
  <c r="AW35" i="10" s="1"/>
  <c r="AV17" i="10"/>
  <c r="AV8" i="10"/>
  <c r="AW7" i="10"/>
  <c r="AE220" i="117"/>
  <c r="Y220" i="117"/>
  <c r="AH26" i="117"/>
  <c r="AV45" i="9"/>
  <c r="AV34" i="9"/>
  <c r="AV35" i="9" s="1"/>
  <c r="AW8" i="15"/>
  <c r="AW20" i="15"/>
  <c r="BC8" i="15"/>
  <c r="AU45" i="9"/>
  <c r="AU34" i="9"/>
  <c r="AU35" i="9" s="1"/>
  <c r="AW33" i="9"/>
  <c r="AW34" i="9" s="1"/>
  <c r="AW35" i="9" s="1"/>
  <c r="Y264" i="117"/>
  <c r="Y259" i="117"/>
  <c r="AE259" i="117"/>
  <c r="BA8" i="17"/>
  <c r="BA32" i="17"/>
  <c r="BA17" i="17"/>
  <c r="BA20" i="17"/>
  <c r="BA21" i="17" s="1"/>
  <c r="AZ24" i="16"/>
  <c r="AZ25" i="16" s="1"/>
  <c r="AZ17" i="16"/>
  <c r="AZ8" i="16"/>
  <c r="AV41" i="8"/>
  <c r="AV43" i="8"/>
  <c r="AV44" i="8" s="1"/>
  <c r="BB74" i="16"/>
  <c r="BB76" i="16" s="1"/>
  <c r="BA77" i="16"/>
  <c r="X259" i="117"/>
  <c r="X264" i="117"/>
  <c r="AD259" i="117"/>
  <c r="Z258" i="117"/>
  <c r="AY82" i="17"/>
  <c r="AW83" i="17"/>
  <c r="AZ61" i="3"/>
  <c r="AV10" i="15"/>
  <c r="AV18" i="15"/>
  <c r="AV13" i="15"/>
  <c r="BB18" i="15"/>
  <c r="BC38" i="7"/>
  <c r="BC35" i="7"/>
  <c r="BC36" i="7" s="1"/>
  <c r="AZ13" i="17"/>
  <c r="AZ14" i="17" s="1"/>
  <c r="AZ10" i="17"/>
  <c r="AZ11" i="17" s="1"/>
  <c r="AZ18" i="17"/>
  <c r="AQ36" i="21"/>
  <c r="H254" i="14" s="1"/>
  <c r="H256" i="14" s="1"/>
  <c r="AO48" i="21"/>
  <c r="AE167" i="117"/>
  <c r="AE168" i="117" s="1"/>
  <c r="AF166" i="117"/>
  <c r="AF167" i="117" s="1"/>
  <c r="AF168" i="117" s="1"/>
  <c r="BG7" i="7"/>
  <c r="BH4" i="7"/>
  <c r="BH6" i="7" s="1"/>
  <c r="AF30" i="117"/>
  <c r="AW38" i="16"/>
  <c r="AW35" i="16"/>
  <c r="AW36" i="16" s="1"/>
  <c r="AW86" i="17"/>
  <c r="AW88" i="17"/>
  <c r="AW89" i="17" s="1"/>
  <c r="AU11" i="15"/>
  <c r="BA11" i="15"/>
  <c r="AJ145" i="117"/>
  <c r="AJ147" i="117" s="1"/>
  <c r="AI148" i="117"/>
  <c r="AT49" i="15"/>
  <c r="AT51" i="15"/>
  <c r="AZ49" i="15"/>
  <c r="BC53" i="3"/>
  <c r="BB60" i="3"/>
  <c r="BB54" i="3"/>
  <c r="Y236" i="117"/>
  <c r="AE232" i="117"/>
  <c r="Y232" i="117"/>
  <c r="BB7" i="17"/>
  <c r="BC7" i="17" s="1"/>
  <c r="BC6" i="17"/>
  <c r="AC182" i="117"/>
  <c r="AC184" i="117"/>
  <c r="AC185" i="117" s="1"/>
  <c r="BC4" i="9"/>
  <c r="AY6" i="9"/>
  <c r="BN176" i="117"/>
  <c r="AU13" i="10"/>
  <c r="AU14" i="10" s="1"/>
  <c r="AU18" i="10"/>
  <c r="AU10" i="10"/>
  <c r="AU11" i="10" s="1"/>
  <c r="AW32" i="15"/>
  <c r="AW31" i="15" s="1"/>
  <c r="AS49" i="15"/>
  <c r="AS51" i="15"/>
  <c r="AY49" i="15"/>
  <c r="BX162" i="3"/>
  <c r="BX163" i="3" s="1"/>
  <c r="BX113" i="3"/>
  <c r="AD34" i="117"/>
  <c r="AD56" i="117"/>
  <c r="AD57" i="117" s="1"/>
  <c r="AD47" i="117"/>
  <c r="AD41" i="117"/>
  <c r="AF33" i="117"/>
  <c r="AY10" i="8"/>
  <c r="AY11" i="8" s="1"/>
  <c r="AY13" i="8"/>
  <c r="AY14" i="8" s="1"/>
  <c r="AY18" i="8"/>
  <c r="AU91" i="17"/>
  <c r="AU92" i="17" s="1"/>
  <c r="AU89" i="17"/>
  <c r="AC50" i="117"/>
  <c r="AC51" i="117" s="1"/>
  <c r="AC59" i="117"/>
  <c r="AC60" i="117" s="1"/>
  <c r="AC48" i="117"/>
  <c r="AU37" i="2"/>
  <c r="AU26" i="2"/>
  <c r="AU27" i="2" s="1"/>
  <c r="AY4" i="10"/>
  <c r="AW5" i="10"/>
  <c r="AS46" i="10"/>
  <c r="AS48" i="10"/>
  <c r="AW41" i="8"/>
  <c r="AW43" i="8"/>
  <c r="AW44" i="8"/>
  <c r="BB4" i="8"/>
  <c r="BB6" i="8" s="1"/>
  <c r="BA7" i="8"/>
  <c r="M67" i="11"/>
  <c r="M68" i="11" s="1"/>
  <c r="M71" i="11" s="1"/>
  <c r="BG25" i="3"/>
  <c r="BF26" i="3"/>
  <c r="AY4" i="2"/>
  <c r="AW5" i="2"/>
  <c r="AZ80" i="16"/>
  <c r="AZ81" i="16" s="1"/>
  <c r="AZ78" i="16"/>
  <c r="BW162" i="3"/>
  <c r="BW113" i="3"/>
  <c r="AP144" i="21"/>
  <c r="AP150" i="21" s="1"/>
  <c r="AP49" i="21"/>
  <c r="AP51" i="21" s="1"/>
  <c r="AW32" i="10"/>
  <c r="AV86" i="17"/>
  <c r="AV88" i="17"/>
  <c r="AE151" i="117"/>
  <c r="AE152" i="117" s="1"/>
  <c r="CC120" i="3"/>
  <c r="CC121" i="3" s="1"/>
  <c r="CC165" i="3"/>
  <c r="CC144" i="3"/>
  <c r="BE18" i="7"/>
  <c r="BE13" i="7"/>
  <c r="BE14" i="7" s="1"/>
  <c r="BA41" i="7"/>
  <c r="BA43" i="7"/>
  <c r="BA44" i="7" s="1"/>
  <c r="BC40" i="7"/>
  <c r="AE66" i="117"/>
  <c r="AF65" i="117"/>
  <c r="AT38" i="2"/>
  <c r="AT46" i="2"/>
  <c r="AJ44" i="3"/>
  <c r="AI45" i="3"/>
  <c r="AI46" i="3" s="1"/>
  <c r="BF17" i="7"/>
  <c r="BF24" i="7"/>
  <c r="BF25" i="7" s="1"/>
  <c r="BF8" i="7"/>
  <c r="H50" i="11"/>
  <c r="H52" i="11" s="1"/>
  <c r="H53" i="11" s="1"/>
  <c r="Z219" i="117"/>
  <c r="AT49" i="9"/>
  <c r="AT51" i="9"/>
  <c r="AT52" i="9" s="1"/>
  <c r="Z191" i="117"/>
  <c r="Z226" i="117" s="1"/>
  <c r="AF191" i="117"/>
  <c r="AF226" i="117" s="1"/>
  <c r="Z225" i="117"/>
  <c r="BC21" i="3"/>
  <c r="BE20" i="3"/>
  <c r="AY10" i="17"/>
  <c r="AY11" i="17" s="1"/>
  <c r="AY14" i="17"/>
  <c r="AF39" i="117"/>
  <c r="AF36" i="117"/>
  <c r="AF37" i="117" s="1"/>
  <c r="AT10" i="10"/>
  <c r="AT11" i="10" s="1"/>
  <c r="CE137" i="3"/>
  <c r="CE138" i="3" s="1"/>
  <c r="CF125" i="3"/>
  <c r="CE123" i="3"/>
  <c r="CE134" i="3" s="1"/>
  <c r="AU18" i="2"/>
  <c r="AU13" i="2"/>
  <c r="AU14" i="2" s="1"/>
  <c r="AD63" i="117"/>
  <c r="AF62" i="117"/>
  <c r="W286" i="117"/>
  <c r="AH165" i="117"/>
  <c r="AH149" i="117"/>
  <c r="AH158" i="117"/>
  <c r="AS51" i="9"/>
  <c r="AS52" i="9" s="1"/>
  <c r="AS49" i="9"/>
  <c r="AS38" i="2"/>
  <c r="AS46" i="2"/>
  <c r="AV20" i="9"/>
  <c r="AV21" i="9" s="1"/>
  <c r="AV18" i="9"/>
  <c r="AV13" i="9"/>
  <c r="AV14" i="9" s="1"/>
  <c r="BA59" i="3"/>
  <c r="BA55" i="3"/>
  <c r="BA58" i="3"/>
  <c r="AZ17" i="8"/>
  <c r="AZ24" i="8"/>
  <c r="AZ25" i="8" s="1"/>
  <c r="AZ8" i="8"/>
  <c r="AT46" i="10"/>
  <c r="AT48" i="10"/>
  <c r="BS176" i="117"/>
  <c r="BY176" i="117" s="1"/>
  <c r="CE176" i="117" s="1"/>
  <c r="CK176" i="117" s="1"/>
  <c r="CQ176" i="117" s="1"/>
  <c r="CD134" i="3"/>
  <c r="AV17" i="2"/>
  <c r="AV8" i="2"/>
  <c r="AV24" i="2"/>
  <c r="AV25" i="2" s="1"/>
  <c r="AW25" i="2" s="1"/>
  <c r="AW26" i="2" s="1"/>
  <c r="AW27" i="2" s="1"/>
  <c r="AJ8" i="117"/>
  <c r="AK5" i="117"/>
  <c r="AK7" i="117" s="1"/>
  <c r="X220" i="117"/>
  <c r="AD220" i="117"/>
  <c r="AB60" i="117"/>
  <c r="AW15" i="8"/>
  <c r="AW14" i="8"/>
  <c r="BE25" i="7"/>
  <c r="AV21" i="15"/>
  <c r="BB21" i="15"/>
  <c r="AZ34" i="17"/>
  <c r="AZ35" i="17" s="1"/>
  <c r="AZ45" i="17"/>
  <c r="AY25" i="16"/>
  <c r="CA104" i="3"/>
  <c r="AW33" i="15"/>
  <c r="AW34" i="15" s="1"/>
  <c r="BX86" i="15"/>
  <c r="BX94" i="15"/>
  <c r="BW95" i="15"/>
  <c r="BW97" i="15"/>
  <c r="BW90" i="21"/>
  <c r="BZ82" i="15"/>
  <c r="BZ84" i="15" s="1"/>
  <c r="BY85" i="15"/>
  <c r="BR119" i="15"/>
  <c r="BR120" i="15" s="1"/>
  <c r="BR117" i="15"/>
  <c r="BW33" i="15"/>
  <c r="BY7" i="15"/>
  <c r="BZ4" i="15"/>
  <c r="BZ6" i="15" s="1"/>
  <c r="BS130" i="21"/>
  <c r="BS61" i="15"/>
  <c r="BX32" i="15"/>
  <c r="BX33" i="15" s="1"/>
  <c r="BX8" i="15"/>
  <c r="BX25" i="15"/>
  <c r="CI102" i="3"/>
  <c r="CL51" i="3"/>
  <c r="CK92" i="3"/>
  <c r="CK10" i="3"/>
  <c r="CK11" i="3" s="1"/>
  <c r="CJ101" i="3"/>
  <c r="CJ93" i="3"/>
  <c r="CK118" i="3"/>
  <c r="CM52" i="3"/>
  <c r="CL117" i="3"/>
  <c r="CL118" i="3" s="1"/>
  <c r="BC20" i="17" l="1"/>
  <c r="BC21" i="17" s="1"/>
  <c r="BC8" i="17"/>
  <c r="BC17" i="17"/>
  <c r="BC18" i="17" s="1"/>
  <c r="BC13" i="17"/>
  <c r="BC10" i="17"/>
  <c r="BC11" i="17" s="1"/>
  <c r="CE135" i="3"/>
  <c r="CE143" i="3"/>
  <c r="AF176" i="117"/>
  <c r="AF177" i="117" s="1"/>
  <c r="AF179" i="117"/>
  <c r="AT51" i="10"/>
  <c r="AT52" i="10" s="1"/>
  <c r="AT49" i="10"/>
  <c r="AF11" i="117"/>
  <c r="AF12" i="117" s="1"/>
  <c r="AF63" i="117"/>
  <c r="BF26" i="7"/>
  <c r="BF37" i="7"/>
  <c r="AY6" i="2"/>
  <c r="BC4" i="2"/>
  <c r="BG26" i="3"/>
  <c r="BH25" i="3"/>
  <c r="AY6" i="10"/>
  <c r="BC4" i="10"/>
  <c r="AF56" i="117"/>
  <c r="AF57" i="117" s="1"/>
  <c r="AF34" i="117"/>
  <c r="AK145" i="117"/>
  <c r="AK147" i="117" s="1"/>
  <c r="AJ148" i="117"/>
  <c r="BI6" i="7"/>
  <c r="BK4" i="7" s="1"/>
  <c r="BH7" i="7"/>
  <c r="BC82" i="17"/>
  <c r="AY84" i="17"/>
  <c r="BA33" i="17"/>
  <c r="AU46" i="9"/>
  <c r="AU48" i="9"/>
  <c r="AW45" i="9"/>
  <c r="AW8" i="10"/>
  <c r="AW10" i="10"/>
  <c r="AW11" i="10" s="1"/>
  <c r="AW17" i="10"/>
  <c r="AW18" i="10" s="1"/>
  <c r="AW20" i="10"/>
  <c r="AW21" i="10" s="1"/>
  <c r="AW13" i="10"/>
  <c r="BB8" i="3"/>
  <c r="BB81" i="3" s="1"/>
  <c r="BB80" i="3"/>
  <c r="BB83" i="3" s="1"/>
  <c r="BB84" i="3" s="1"/>
  <c r="AV35" i="15"/>
  <c r="BB35" i="15"/>
  <c r="X243" i="117"/>
  <c r="AD237" i="117"/>
  <c r="X237" i="117"/>
  <c r="Z236" i="117"/>
  <c r="Z237" i="117" s="1"/>
  <c r="AH65" i="117"/>
  <c r="AH62" i="117" s="1"/>
  <c r="AW13" i="2"/>
  <c r="AW18" i="2"/>
  <c r="AW35" i="15"/>
  <c r="BC35" i="15"/>
  <c r="AZ46" i="17"/>
  <c r="AZ48" i="17"/>
  <c r="AN5" i="117"/>
  <c r="AL7" i="117"/>
  <c r="AK8" i="117"/>
  <c r="AV10" i="2"/>
  <c r="AV11" i="2" s="1"/>
  <c r="AV13" i="2"/>
  <c r="AV14" i="2" s="1"/>
  <c r="AV18" i="2"/>
  <c r="BA61" i="3"/>
  <c r="AV10" i="9"/>
  <c r="AV11" i="9" s="1"/>
  <c r="AS33" i="21"/>
  <c r="AS47" i="2"/>
  <c r="AS58" i="2"/>
  <c r="AS49" i="2"/>
  <c r="AS50" i="2" s="1"/>
  <c r="X285" i="117"/>
  <c r="W287" i="117"/>
  <c r="BE21" i="3"/>
  <c r="BF20" i="3"/>
  <c r="BF18" i="7"/>
  <c r="BF13" i="7"/>
  <c r="AW24" i="2"/>
  <c r="AW23" i="2" s="1"/>
  <c r="AD42" i="117"/>
  <c r="AS52" i="15"/>
  <c r="AY52" i="15"/>
  <c r="Y243" i="117"/>
  <c r="Y237" i="117"/>
  <c r="BB58" i="3"/>
  <c r="BB61" i="3" s="1"/>
  <c r="BB55" i="3"/>
  <c r="BB59" i="3"/>
  <c r="BC54" i="3"/>
  <c r="AT52" i="15"/>
  <c r="AZ52" i="15"/>
  <c r="BG24" i="7"/>
  <c r="BG25" i="7" s="1"/>
  <c r="BG8" i="7"/>
  <c r="BG17" i="7"/>
  <c r="BI7" i="7"/>
  <c r="AV14" i="15"/>
  <c r="BB14" i="15"/>
  <c r="BC76" i="16"/>
  <c r="BE74" i="16" s="1"/>
  <c r="BB77" i="16"/>
  <c r="AV46" i="9"/>
  <c r="AV48" i="9"/>
  <c r="AH38" i="117"/>
  <c r="AH30" i="117"/>
  <c r="BC5" i="3"/>
  <c r="BE4" i="3"/>
  <c r="AW46" i="15"/>
  <c r="AW43" i="15"/>
  <c r="BC46" i="15"/>
  <c r="AV48" i="15"/>
  <c r="AV46" i="15"/>
  <c r="BB46" i="15"/>
  <c r="BA24" i="16"/>
  <c r="BA25" i="16" s="1"/>
  <c r="BA17" i="16"/>
  <c r="BA8" i="16"/>
  <c r="AY37" i="16"/>
  <c r="AY26" i="16"/>
  <c r="AY27" i="16" s="1"/>
  <c r="AZ13" i="8"/>
  <c r="AZ14" i="8" s="1"/>
  <c r="AZ18" i="8"/>
  <c r="AZ10" i="8"/>
  <c r="AZ11" i="8" s="1"/>
  <c r="BC43" i="7"/>
  <c r="BC44" i="7" s="1"/>
  <c r="BC41" i="7"/>
  <c r="AV89" i="17"/>
  <c r="AV91" i="17"/>
  <c r="AV92" i="17" s="1"/>
  <c r="BW163" i="3"/>
  <c r="AS51" i="10"/>
  <c r="AS52" i="10" s="1"/>
  <c r="AS49" i="10"/>
  <c r="AO49" i="21"/>
  <c r="AO51" i="21" s="1"/>
  <c r="AO144" i="21"/>
  <c r="AQ48" i="21"/>
  <c r="BA80" i="16"/>
  <c r="BA81" i="16" s="1"/>
  <c r="BA78" i="16"/>
  <c r="BC77" i="16"/>
  <c r="AZ37" i="16"/>
  <c r="AZ26" i="16"/>
  <c r="AZ27" i="16" s="1"/>
  <c r="BE26" i="7"/>
  <c r="BE27" i="7" s="1"/>
  <c r="BE37" i="7"/>
  <c r="AJ9" i="117"/>
  <c r="AJ25" i="117"/>
  <c r="AJ21" i="117"/>
  <c r="CD135" i="3"/>
  <c r="CD143" i="3"/>
  <c r="AH166" i="117"/>
  <c r="AU10" i="2"/>
  <c r="AU11" i="2" s="1"/>
  <c r="CF137" i="3"/>
  <c r="CF138" i="3" s="1"/>
  <c r="CG125" i="3"/>
  <c r="CF123" i="3"/>
  <c r="CF134" i="3" s="1"/>
  <c r="BC7" i="3"/>
  <c r="AF14" i="117"/>
  <c r="AF66" i="117"/>
  <c r="AW31" i="10"/>
  <c r="BA17" i="8"/>
  <c r="BA24" i="8"/>
  <c r="BA25" i="8" s="1"/>
  <c r="BA8" i="8"/>
  <c r="AU38" i="2"/>
  <c r="AU46" i="2"/>
  <c r="AD59" i="117"/>
  <c r="AD60" i="117" s="1"/>
  <c r="AD50" i="117"/>
  <c r="AD51" i="117" s="1"/>
  <c r="AD48" i="117"/>
  <c r="AY7" i="9"/>
  <c r="AZ4" i="9"/>
  <c r="AZ6" i="9" s="1"/>
  <c r="BE4" i="17"/>
  <c r="BC5" i="17"/>
  <c r="X272" i="117"/>
  <c r="AD265" i="117"/>
  <c r="X265" i="117"/>
  <c r="Z264" i="117"/>
  <c r="AW21" i="15"/>
  <c r="BC21" i="15"/>
  <c r="AV13" i="10"/>
  <c r="AV14" i="10" s="1"/>
  <c r="AV18" i="10"/>
  <c r="AY46" i="17"/>
  <c r="AY48" i="17"/>
  <c r="AU48" i="10"/>
  <c r="AU46" i="10"/>
  <c r="CC16" i="3"/>
  <c r="CA17" i="3"/>
  <c r="AY10" i="16"/>
  <c r="AY11" i="16" s="1"/>
  <c r="Z232" i="117"/>
  <c r="AF232" i="117"/>
  <c r="AI68" i="117"/>
  <c r="AI22" i="117"/>
  <c r="BC6" i="16"/>
  <c r="BB7" i="16"/>
  <c r="BO176" i="117"/>
  <c r="BR176" i="117"/>
  <c r="AT58" i="2"/>
  <c r="AT59" i="2" s="1"/>
  <c r="AT49" i="2"/>
  <c r="AT50" i="2" s="1"/>
  <c r="AT47" i="2"/>
  <c r="AT33" i="21"/>
  <c r="AT31" i="21" s="1"/>
  <c r="CC166" i="3"/>
  <c r="Z259" i="117"/>
  <c r="AF259" i="117"/>
  <c r="AV26" i="2"/>
  <c r="AV27" i="2" s="1"/>
  <c r="AV37" i="2"/>
  <c r="AZ37" i="8"/>
  <c r="AZ26" i="8"/>
  <c r="AZ27" i="8" s="1"/>
  <c r="AH154" i="117"/>
  <c r="AH155" i="117" s="1"/>
  <c r="AH159" i="117"/>
  <c r="Z220" i="117"/>
  <c r="AF220" i="117"/>
  <c r="AK44" i="3"/>
  <c r="AJ45" i="3"/>
  <c r="AJ46" i="3" s="1"/>
  <c r="BE10" i="7"/>
  <c r="BE11" i="7" s="1"/>
  <c r="BC6" i="8"/>
  <c r="BE4" i="8" s="1"/>
  <c r="BB7" i="8"/>
  <c r="BT176" i="117"/>
  <c r="BZ176" i="117" s="1"/>
  <c r="CF176" i="117" s="1"/>
  <c r="CL176" i="117" s="1"/>
  <c r="CR176" i="117" s="1"/>
  <c r="BB20" i="17"/>
  <c r="BB21" i="17" s="1"/>
  <c r="BB17" i="17"/>
  <c r="BB32" i="17"/>
  <c r="BB33" i="17" s="1"/>
  <c r="BB8" i="17"/>
  <c r="BE53" i="3"/>
  <c r="AI158" i="117"/>
  <c r="AI149" i="117"/>
  <c r="AF31" i="117"/>
  <c r="AF27" i="117"/>
  <c r="AF28" i="117" s="1"/>
  <c r="AV11" i="15"/>
  <c r="BB11" i="15"/>
  <c r="AZ10" i="16"/>
  <c r="AZ11" i="16" s="1"/>
  <c r="AZ18" i="16"/>
  <c r="AZ13" i="16"/>
  <c r="AZ14" i="16" s="1"/>
  <c r="BA18" i="17"/>
  <c r="BA13" i="17"/>
  <c r="BA14" i="17" s="1"/>
  <c r="AE265" i="117"/>
  <c r="Y272" i="117"/>
  <c r="Y278" i="117" s="1"/>
  <c r="Y282" i="117" s="1"/>
  <c r="Y265" i="117"/>
  <c r="AW91" i="17"/>
  <c r="AW92" i="17" s="1"/>
  <c r="AV45" i="10"/>
  <c r="AV34" i="10"/>
  <c r="AV35" i="10" s="1"/>
  <c r="AD182" i="117"/>
  <c r="AD184" i="117"/>
  <c r="AD185" i="117" s="1"/>
  <c r="AY37" i="8"/>
  <c r="AY26" i="8"/>
  <c r="AY27" i="8" s="1"/>
  <c r="AE179" i="117"/>
  <c r="AE181" i="117"/>
  <c r="BY113" i="3"/>
  <c r="BY162" i="3"/>
  <c r="BY163" i="3" s="1"/>
  <c r="BG30" i="3"/>
  <c r="BF31" i="3"/>
  <c r="AI165" i="117"/>
  <c r="AI166" i="117" s="1"/>
  <c r="AI167" i="117" s="1"/>
  <c r="AI168" i="117" s="1"/>
  <c r="AI26" i="117"/>
  <c r="AU49" i="15"/>
  <c r="AU51" i="15"/>
  <c r="BA49" i="15"/>
  <c r="AE56" i="117"/>
  <c r="AE57" i="117" s="1"/>
  <c r="AE34" i="117"/>
  <c r="AE41" i="117"/>
  <c r="AE42" i="117" s="1"/>
  <c r="BR152" i="21"/>
  <c r="BS152" i="21" s="1"/>
  <c r="BT152" i="21" s="1"/>
  <c r="BU152" i="21" s="1"/>
  <c r="BX95" i="15"/>
  <c r="BX90" i="21"/>
  <c r="BX103" i="15"/>
  <c r="BX97" i="15"/>
  <c r="CA84" i="15"/>
  <c r="CA83" i="15" s="1"/>
  <c r="BZ85" i="15"/>
  <c r="BY86" i="15"/>
  <c r="BY94" i="15"/>
  <c r="BW112" i="21"/>
  <c r="BW98" i="15"/>
  <c r="BX45" i="15"/>
  <c r="BX46" i="15" s="1"/>
  <c r="BX37" i="15"/>
  <c r="BX38" i="15" s="1"/>
  <c r="CA6" i="15"/>
  <c r="BZ7" i="15"/>
  <c r="CA7" i="15" s="1"/>
  <c r="CA8" i="15" s="1"/>
  <c r="BY8" i="15"/>
  <c r="BY32" i="15"/>
  <c r="BY33" i="15" s="1"/>
  <c r="BY25" i="15"/>
  <c r="BW45" i="15"/>
  <c r="BW37" i="15"/>
  <c r="BX26" i="15"/>
  <c r="BX75" i="15"/>
  <c r="BX28" i="15"/>
  <c r="CK101" i="3"/>
  <c r="CK93" i="3"/>
  <c r="CJ102" i="3"/>
  <c r="CM51" i="3"/>
  <c r="CL10" i="3"/>
  <c r="CL11" i="3" s="1"/>
  <c r="CL92" i="3"/>
  <c r="CO52" i="3"/>
  <c r="CM117" i="3"/>
  <c r="CM118" i="3" s="1"/>
  <c r="BI25" i="7" l="1"/>
  <c r="BI26" i="7" s="1"/>
  <c r="BI27" i="7" s="1"/>
  <c r="AH63" i="117"/>
  <c r="CD16" i="3"/>
  <c r="CC17" i="3"/>
  <c r="BA13" i="8"/>
  <c r="BA14" i="8" s="1"/>
  <c r="BA18" i="8"/>
  <c r="CI125" i="3"/>
  <c r="CG123" i="3"/>
  <c r="BE38" i="7"/>
  <c r="BE40" i="7"/>
  <c r="BA37" i="16"/>
  <c r="BA26" i="16"/>
  <c r="BA27" i="16" s="1"/>
  <c r="AV49" i="9"/>
  <c r="AV51" i="9"/>
  <c r="AV52" i="9" s="1"/>
  <c r="AI38" i="117"/>
  <c r="AI30" i="117"/>
  <c r="BB10" i="17"/>
  <c r="BB11" i="17" s="1"/>
  <c r="BB18" i="17"/>
  <c r="BB13" i="17"/>
  <c r="BB14" i="17" s="1"/>
  <c r="BB24" i="8"/>
  <c r="BB25" i="8" s="1"/>
  <c r="BB17" i="8"/>
  <c r="BB8" i="8"/>
  <c r="AM44" i="3"/>
  <c r="AK45" i="3"/>
  <c r="AK46" i="3" s="1"/>
  <c r="AH151" i="117"/>
  <c r="AH152" i="117" s="1"/>
  <c r="AY51" i="17"/>
  <c r="AY52" i="17" s="1"/>
  <c r="AY49" i="17"/>
  <c r="Z265" i="117"/>
  <c r="AF265" i="117"/>
  <c r="AY32" i="9"/>
  <c r="AY8" i="9"/>
  <c r="AY17" i="9"/>
  <c r="AU58" i="2"/>
  <c r="AU59" i="2" s="1"/>
  <c r="AU33" i="21"/>
  <c r="AU31" i="21" s="1"/>
  <c r="AU49" i="2"/>
  <c r="AU50" i="2" s="1"/>
  <c r="AU47" i="2"/>
  <c r="BA37" i="8"/>
  <c r="BA26" i="8"/>
  <c r="BA27" i="8" s="1"/>
  <c r="CF135" i="3"/>
  <c r="CF143" i="3"/>
  <c r="CG143" i="3" s="1"/>
  <c r="H250" i="14"/>
  <c r="H15" i="14"/>
  <c r="AQ49" i="21"/>
  <c r="AQ51" i="21" s="1"/>
  <c r="BA18" i="16"/>
  <c r="BA13" i="16"/>
  <c r="BA14" i="16" s="1"/>
  <c r="BA10" i="16"/>
  <c r="BA11" i="16" s="1"/>
  <c r="AV49" i="15"/>
  <c r="AV51" i="15"/>
  <c r="BB49" i="15"/>
  <c r="AW48" i="15"/>
  <c r="BI4" i="3"/>
  <c r="BE6" i="3"/>
  <c r="BF14" i="7"/>
  <c r="AS59" i="2"/>
  <c r="AR5" i="117"/>
  <c r="AN7" i="117"/>
  <c r="AW15" i="2"/>
  <c r="AW14" i="2"/>
  <c r="BC32" i="17"/>
  <c r="BC31" i="17" s="1"/>
  <c r="BH17" i="7"/>
  <c r="BH24" i="7"/>
  <c r="BH25" i="7" s="1"/>
  <c r="BH8" i="7"/>
  <c r="BH26" i="3"/>
  <c r="BI25" i="3"/>
  <c r="BF40" i="7"/>
  <c r="BF38" i="7"/>
  <c r="CE120" i="3"/>
  <c r="CE121" i="3" s="1"/>
  <c r="CE144" i="3"/>
  <c r="CE165" i="3"/>
  <c r="CE166" i="3" s="1"/>
  <c r="BC14" i="17"/>
  <c r="BC15" i="17"/>
  <c r="AI154" i="117"/>
  <c r="AI155" i="117" s="1"/>
  <c r="AI159" i="117"/>
  <c r="BE6" i="8"/>
  <c r="BI4" i="8"/>
  <c r="AI65" i="117"/>
  <c r="AI66" i="117" s="1"/>
  <c r="AI62" i="117"/>
  <c r="AI63" i="117" s="1"/>
  <c r="AF15" i="117"/>
  <c r="AF16" i="117"/>
  <c r="AH167" i="117"/>
  <c r="AH168" i="117" s="1"/>
  <c r="AH178" i="117"/>
  <c r="BG26" i="7"/>
  <c r="BG37" i="7"/>
  <c r="BC59" i="3"/>
  <c r="BC58" i="3"/>
  <c r="BF27" i="7"/>
  <c r="AU52" i="15"/>
  <c r="BA52" i="15"/>
  <c r="AE184" i="117"/>
  <c r="AE185" i="117" s="1"/>
  <c r="AE182" i="117"/>
  <c r="AY40" i="8"/>
  <c r="AY38" i="8"/>
  <c r="BA10" i="17"/>
  <c r="BA11" i="17" s="1"/>
  <c r="BC60" i="3"/>
  <c r="AT48" i="21"/>
  <c r="AT30" i="21"/>
  <c r="BB24" i="16"/>
  <c r="BB8" i="16"/>
  <c r="BB17" i="16"/>
  <c r="BC7" i="16"/>
  <c r="AV10" i="10"/>
  <c r="AV11" i="10" s="1"/>
  <c r="BE6" i="17"/>
  <c r="BI4" i="17"/>
  <c r="BC7" i="8"/>
  <c r="BC80" i="3"/>
  <c r="BC83" i="3" s="1"/>
  <c r="BC84" i="3" s="1"/>
  <c r="BC8" i="3"/>
  <c r="BC81" i="3" s="1"/>
  <c r="CG134" i="3"/>
  <c r="CG135" i="3" s="1"/>
  <c r="AJ165" i="117"/>
  <c r="AJ166" i="117" s="1"/>
  <c r="AJ167" i="117" s="1"/>
  <c r="AJ168" i="117" s="1"/>
  <c r="AJ26" i="117"/>
  <c r="AZ40" i="16"/>
  <c r="AZ38" i="16"/>
  <c r="AW44" i="15"/>
  <c r="BC44" i="15"/>
  <c r="AH33" i="117"/>
  <c r="AH31" i="117"/>
  <c r="BB80" i="16"/>
  <c r="BB81" i="16" s="1"/>
  <c r="BB78" i="16"/>
  <c r="BI8" i="7"/>
  <c r="BI17" i="7"/>
  <c r="BI10" i="7"/>
  <c r="BI11" i="7" s="1"/>
  <c r="Y248" i="117"/>
  <c r="Y244" i="117"/>
  <c r="CG137" i="3"/>
  <c r="CG138" i="3" s="1"/>
  <c r="AS31" i="21"/>
  <c r="AK9" i="117"/>
  <c r="AK25" i="117"/>
  <c r="AL25" i="117" s="1"/>
  <c r="AK21" i="117"/>
  <c r="AL8" i="117"/>
  <c r="AL9" i="117" s="1"/>
  <c r="BI24" i="7"/>
  <c r="BI23" i="7" s="1"/>
  <c r="AW43" i="9"/>
  <c r="AW44" i="9" s="1"/>
  <c r="AW46" i="9"/>
  <c r="AZ82" i="17"/>
  <c r="AZ84" i="17" s="1"/>
  <c r="AY85" i="17"/>
  <c r="AJ149" i="117"/>
  <c r="AJ158" i="117"/>
  <c r="AL148" i="117"/>
  <c r="BU176" i="117"/>
  <c r="CA176" i="117" s="1"/>
  <c r="CG176" i="117" s="1"/>
  <c r="CM176" i="117" s="1"/>
  <c r="CS176" i="117" s="1"/>
  <c r="AJ22" i="117"/>
  <c r="AJ68" i="117"/>
  <c r="AO150" i="21"/>
  <c r="AQ150" i="21" s="1"/>
  <c r="AQ144" i="21"/>
  <c r="AY40" i="16"/>
  <c r="AY38" i="16"/>
  <c r="AF41" i="117"/>
  <c r="AW14" i="10"/>
  <c r="AW15" i="10"/>
  <c r="BA45" i="17"/>
  <c r="BA34" i="17"/>
  <c r="BA35" i="17" s="1"/>
  <c r="BC33" i="17"/>
  <c r="BC34" i="17" s="1"/>
  <c r="BC35" i="17" s="1"/>
  <c r="BK6" i="7"/>
  <c r="BO4" i="7"/>
  <c r="AE47" i="117"/>
  <c r="BH30" i="3"/>
  <c r="BG31" i="3"/>
  <c r="AF181" i="117"/>
  <c r="AV48" i="10"/>
  <c r="AV46" i="10"/>
  <c r="AW45" i="10"/>
  <c r="BE54" i="3"/>
  <c r="BF53" i="3"/>
  <c r="BB45" i="17"/>
  <c r="BB34" i="17"/>
  <c r="BB35" i="17" s="1"/>
  <c r="AZ38" i="8"/>
  <c r="AZ40" i="8"/>
  <c r="AV46" i="2"/>
  <c r="AV38" i="2"/>
  <c r="AW37" i="2"/>
  <c r="BX176" i="117"/>
  <c r="CD176" i="117" s="1"/>
  <c r="CJ176" i="117" s="1"/>
  <c r="CP176" i="117" s="1"/>
  <c r="BE4" i="16"/>
  <c r="BC5" i="16"/>
  <c r="CC104" i="3"/>
  <c r="AU49" i="10"/>
  <c r="AU51" i="10"/>
  <c r="AU52" i="10" s="1"/>
  <c r="BC24" i="8"/>
  <c r="BC23" i="8" s="1"/>
  <c r="X278" i="117"/>
  <c r="Z272" i="117"/>
  <c r="AZ7" i="9"/>
  <c r="BA4" i="9"/>
  <c r="BA6" i="9" s="1"/>
  <c r="CD120" i="3"/>
  <c r="CD121" i="3" s="1"/>
  <c r="CD165" i="3"/>
  <c r="CD144" i="3"/>
  <c r="BC78" i="16"/>
  <c r="BC80" i="16"/>
  <c r="BC81" i="16" s="1"/>
  <c r="AW48" i="10"/>
  <c r="AH39" i="117"/>
  <c r="BE76" i="16"/>
  <c r="BI74" i="16"/>
  <c r="BG13" i="7"/>
  <c r="BG10" i="7" s="1"/>
  <c r="BG18" i="7"/>
  <c r="BF10" i="7"/>
  <c r="BG20" i="3"/>
  <c r="BF21" i="3"/>
  <c r="AW46" i="2"/>
  <c r="AZ49" i="17"/>
  <c r="AZ51" i="17"/>
  <c r="AZ52" i="17" s="1"/>
  <c r="AH66" i="117"/>
  <c r="X248" i="117"/>
  <c r="AD244" i="117"/>
  <c r="X244" i="117"/>
  <c r="Z243" i="117"/>
  <c r="Z244" i="117" s="1"/>
  <c r="AU51" i="9"/>
  <c r="AU52" i="9" s="1"/>
  <c r="AU49" i="9"/>
  <c r="AW48" i="9"/>
  <c r="AK148" i="117"/>
  <c r="AN145" i="117"/>
  <c r="AL147" i="117"/>
  <c r="AZ4" i="10"/>
  <c r="AZ6" i="10" s="1"/>
  <c r="AY7" i="10"/>
  <c r="AZ4" i="2"/>
  <c r="AZ6" i="2" s="1"/>
  <c r="AY7" i="2"/>
  <c r="BX104" i="15"/>
  <c r="BX134" i="21"/>
  <c r="BZ86" i="15"/>
  <c r="BZ94" i="15"/>
  <c r="CA94" i="15" s="1"/>
  <c r="BY95" i="15"/>
  <c r="BY90" i="21"/>
  <c r="BY103" i="15"/>
  <c r="BY97" i="15"/>
  <c r="CA85" i="15"/>
  <c r="CA86" i="15" s="1"/>
  <c r="CC82" i="15"/>
  <c r="BX109" i="15"/>
  <c r="BX110" i="15" s="1"/>
  <c r="BX98" i="15"/>
  <c r="BX112" i="21"/>
  <c r="BW38" i="15"/>
  <c r="BY75" i="15"/>
  <c r="BY28" i="15"/>
  <c r="BY26" i="15"/>
  <c r="BZ8" i="15"/>
  <c r="BZ32" i="15"/>
  <c r="BZ25" i="15"/>
  <c r="BX20" i="15"/>
  <c r="BX21" i="15" s="1"/>
  <c r="BX29" i="15"/>
  <c r="BX40" i="15"/>
  <c r="BY45" i="15"/>
  <c r="BY46" i="15" s="1"/>
  <c r="BY37" i="15"/>
  <c r="BY38" i="15" s="1"/>
  <c r="CA5" i="15"/>
  <c r="CC4" i="15"/>
  <c r="BX72" i="15"/>
  <c r="BX73" i="15" s="1"/>
  <c r="BW46" i="15"/>
  <c r="CL93" i="3"/>
  <c r="CM92" i="3"/>
  <c r="CM93" i="3" s="1"/>
  <c r="CM10" i="3"/>
  <c r="CM11" i="3" s="1"/>
  <c r="CO51" i="3"/>
  <c r="CK102" i="3"/>
  <c r="CP52" i="3"/>
  <c r="CO117" i="3"/>
  <c r="BG11" i="7" l="1"/>
  <c r="AW49" i="9"/>
  <c r="AW51" i="9"/>
  <c r="AW52" i="9" s="1"/>
  <c r="AL149" i="117"/>
  <c r="AL158" i="117"/>
  <c r="AL159" i="117" s="1"/>
  <c r="AL154" i="117"/>
  <c r="AL151" i="117"/>
  <c r="AL152" i="117" s="1"/>
  <c r="AJ38" i="117"/>
  <c r="AJ30" i="117"/>
  <c r="BC17" i="16"/>
  <c r="BC18" i="16" s="1"/>
  <c r="BC8" i="16"/>
  <c r="BC13" i="16"/>
  <c r="BC14" i="16" s="1"/>
  <c r="BC10" i="16"/>
  <c r="BC11" i="16" s="1"/>
  <c r="AY41" i="8"/>
  <c r="AY43" i="8"/>
  <c r="AY44" i="8" s="1"/>
  <c r="AH181" i="117"/>
  <c r="AH179" i="117"/>
  <c r="AY33" i="9"/>
  <c r="BB13" i="8"/>
  <c r="BB14" i="8" s="1"/>
  <c r="BB18" i="8"/>
  <c r="AI178" i="117"/>
  <c r="AI39" i="117"/>
  <c r="AY32" i="10"/>
  <c r="AY20" i="10"/>
  <c r="AY21" i="10" s="1"/>
  <c r="AY8" i="10"/>
  <c r="AY17" i="10"/>
  <c r="AK158" i="117"/>
  <c r="AK149" i="117"/>
  <c r="AW47" i="2"/>
  <c r="AW49" i="2"/>
  <c r="AW50" i="2" s="1"/>
  <c r="I3" i="11"/>
  <c r="I5" i="11" s="1"/>
  <c r="CG120" i="3"/>
  <c r="CG121" i="3" s="1"/>
  <c r="CG144" i="3"/>
  <c r="BA7" i="9"/>
  <c r="BB4" i="9"/>
  <c r="BB6" i="9" s="1"/>
  <c r="CC109" i="3"/>
  <c r="AZ43" i="8"/>
  <c r="AZ44" i="8" s="1"/>
  <c r="AZ41" i="8"/>
  <c r="BG53" i="3"/>
  <c r="BF54" i="3"/>
  <c r="AV51" i="10"/>
  <c r="AV52" i="10" s="1"/>
  <c r="AV49" i="10"/>
  <c r="AE59" i="117"/>
  <c r="AE48" i="117"/>
  <c r="AE50" i="117"/>
  <c r="AE51" i="117" s="1"/>
  <c r="AF47" i="117"/>
  <c r="AF44" i="117"/>
  <c r="AF45" i="117" s="1"/>
  <c r="AF42" i="117"/>
  <c r="AJ65" i="117"/>
  <c r="AY88" i="17"/>
  <c r="AY86" i="17"/>
  <c r="AS30" i="21"/>
  <c r="AS48" i="21"/>
  <c r="BI18" i="7"/>
  <c r="BI13" i="7"/>
  <c r="BB25" i="16"/>
  <c r="BC24" i="16"/>
  <c r="BC23" i="16" s="1"/>
  <c r="BK25" i="3"/>
  <c r="BL25" i="3" s="1"/>
  <c r="BM25" i="3" s="1"/>
  <c r="BN25" i="3" s="1"/>
  <c r="BO25" i="3" s="1"/>
  <c r="BQ25" i="3" s="1"/>
  <c r="BR25" i="3" s="1"/>
  <c r="BS25" i="3" s="1"/>
  <c r="BT25" i="3" s="1"/>
  <c r="BU25" i="3" s="1"/>
  <c r="BW25" i="3" s="1"/>
  <c r="BX25" i="3" s="1"/>
  <c r="BY25" i="3" s="1"/>
  <c r="BZ25" i="3" s="1"/>
  <c r="CA25" i="3" s="1"/>
  <c r="CC25" i="3" s="1"/>
  <c r="CD25" i="3" s="1"/>
  <c r="CE25" i="3" s="1"/>
  <c r="CF25" i="3" s="1"/>
  <c r="CG25" i="3" s="1"/>
  <c r="CI25" i="3" s="1"/>
  <c r="CJ25" i="3" s="1"/>
  <c r="CK25" i="3" s="1"/>
  <c r="CL25" i="3" s="1"/>
  <c r="CM25" i="3" s="1"/>
  <c r="CO25" i="3" s="1"/>
  <c r="CP25" i="3" s="1"/>
  <c r="CQ25" i="3" s="1"/>
  <c r="CR25" i="3" s="1"/>
  <c r="CS25" i="3" s="1"/>
  <c r="CU25" i="3" s="1"/>
  <c r="CV25" i="3" s="1"/>
  <c r="CW25" i="3" s="1"/>
  <c r="CX25" i="3" s="1"/>
  <c r="CY25" i="3" s="1"/>
  <c r="DA25" i="3" s="1"/>
  <c r="DB25" i="3" s="1"/>
  <c r="DC25" i="3" s="1"/>
  <c r="DD25" i="3" s="1"/>
  <c r="DE25" i="3" s="1"/>
  <c r="DG25" i="3" s="1"/>
  <c r="DH25" i="3" s="1"/>
  <c r="DI25" i="3" s="1"/>
  <c r="DJ25" i="3" s="1"/>
  <c r="DK25" i="3" s="1"/>
  <c r="BI26" i="3"/>
  <c r="BH13" i="7"/>
  <c r="BH18" i="7"/>
  <c r="AU48" i="21"/>
  <c r="AU30" i="21"/>
  <c r="AI31" i="117"/>
  <c r="AI33" i="117"/>
  <c r="BA40" i="16"/>
  <c r="BA38" i="16"/>
  <c r="BA4" i="10"/>
  <c r="BA6" i="10" s="1"/>
  <c r="AZ7" i="10"/>
  <c r="BG14" i="7"/>
  <c r="BE60" i="3"/>
  <c r="BE59" i="3"/>
  <c r="BE58" i="3"/>
  <c r="BE55" i="3"/>
  <c r="BA46" i="17"/>
  <c r="BA48" i="17"/>
  <c r="BC45" i="17"/>
  <c r="AY43" i="16"/>
  <c r="AY44" i="16" s="1"/>
  <c r="AY41" i="16"/>
  <c r="AK22" i="117"/>
  <c r="AK68" i="117"/>
  <c r="AZ43" i="16"/>
  <c r="AZ44" i="16" s="1"/>
  <c r="AZ41" i="16"/>
  <c r="BC8" i="8"/>
  <c r="BC10" i="8"/>
  <c r="BC11" i="8" s="1"/>
  <c r="BC17" i="8"/>
  <c r="BG38" i="7"/>
  <c r="BG40" i="7"/>
  <c r="AW49" i="15"/>
  <c r="AW51" i="15"/>
  <c r="BC49" i="15"/>
  <c r="CI137" i="3"/>
  <c r="CJ125" i="3"/>
  <c r="CI123" i="3"/>
  <c r="CI134" i="3" s="1"/>
  <c r="AY17" i="2"/>
  <c r="AY24" i="2"/>
  <c r="AY8" i="2"/>
  <c r="BH20" i="3"/>
  <c r="BG21" i="3"/>
  <c r="CD166" i="3"/>
  <c r="BE6" i="16"/>
  <c r="BI4" i="16"/>
  <c r="AW46" i="10"/>
  <c r="AW43" i="10"/>
  <c r="AW44" i="10" s="1"/>
  <c r="BK7" i="7"/>
  <c r="BL4" i="7"/>
  <c r="BL6" i="7" s="1"/>
  <c r="AJ159" i="117"/>
  <c r="AJ154" i="117"/>
  <c r="AJ155" i="117" s="1"/>
  <c r="AK165" i="117"/>
  <c r="AK26" i="117"/>
  <c r="AH34" i="117"/>
  <c r="AH56" i="117"/>
  <c r="AH57" i="117" s="1"/>
  <c r="AH41" i="117"/>
  <c r="BB13" i="16"/>
  <c r="BB14" i="16" s="1"/>
  <c r="BB18" i="16"/>
  <c r="AT144" i="21"/>
  <c r="AT150" i="21" s="1"/>
  <c r="AT49" i="21"/>
  <c r="AT51" i="21" s="1"/>
  <c r="BC61" i="3"/>
  <c r="BG27" i="7"/>
  <c r="AI151" i="117"/>
  <c r="AI152" i="117" s="1"/>
  <c r="AO5" i="117"/>
  <c r="AO7" i="117" s="1"/>
  <c r="AN8" i="117"/>
  <c r="AL26" i="117"/>
  <c r="H16" i="14"/>
  <c r="H205" i="14"/>
  <c r="H217" i="14" s="1"/>
  <c r="H221" i="14" s="1"/>
  <c r="H18" i="14"/>
  <c r="H19" i="14" s="1"/>
  <c r="H24" i="14"/>
  <c r="H9" i="14"/>
  <c r="CF120" i="3"/>
  <c r="CF121" i="3" s="1"/>
  <c r="CF165" i="3"/>
  <c r="CF166" i="3" s="1"/>
  <c r="CF144" i="3"/>
  <c r="AY18" i="9"/>
  <c r="AY20" i="9"/>
  <c r="AY21" i="9" s="1"/>
  <c r="AY13" i="9"/>
  <c r="AY14" i="9" s="1"/>
  <c r="BB26" i="8"/>
  <c r="BB27" i="8" s="1"/>
  <c r="BB37" i="8"/>
  <c r="BC25" i="8"/>
  <c r="BC26" i="8" s="1"/>
  <c r="BC27" i="8" s="1"/>
  <c r="BE41" i="7"/>
  <c r="BE43" i="7"/>
  <c r="BE44" i="7" s="1"/>
  <c r="CD104" i="3"/>
  <c r="CD109" i="3" s="1"/>
  <c r="CD17" i="3"/>
  <c r="CE16" i="3"/>
  <c r="CE104" i="3" s="1"/>
  <c r="CE109" i="3" s="1"/>
  <c r="AW51" i="10"/>
  <c r="AW52" i="10" s="1"/>
  <c r="AW49" i="10"/>
  <c r="AZ32" i="9"/>
  <c r="AZ33" i="9" s="1"/>
  <c r="AZ8" i="9"/>
  <c r="AZ17" i="9"/>
  <c r="AW38" i="2"/>
  <c r="AW35" i="2"/>
  <c r="AW36" i="2" s="1"/>
  <c r="AF182" i="117"/>
  <c r="AF184" i="117"/>
  <c r="AF185" i="117" s="1"/>
  <c r="BA82" i="17"/>
  <c r="BA84" i="17" s="1"/>
  <c r="AZ85" i="17"/>
  <c r="BE7" i="8"/>
  <c r="BF4" i="8"/>
  <c r="BF6" i="8" s="1"/>
  <c r="BA40" i="8"/>
  <c r="BA38" i="8"/>
  <c r="BI37" i="7"/>
  <c r="BA4" i="2"/>
  <c r="BA6" i="2" s="1"/>
  <c r="AZ7" i="2"/>
  <c r="AN147" i="117"/>
  <c r="AR145" i="117"/>
  <c r="Z252" i="117"/>
  <c r="Z248" i="117"/>
  <c r="X250" i="117"/>
  <c r="Y250" i="117" s="1"/>
  <c r="Z250" i="117" s="1"/>
  <c r="AB250" i="117" s="1"/>
  <c r="AC250" i="117" s="1"/>
  <c r="AD250" i="117" s="1"/>
  <c r="BF11" i="7"/>
  <c r="BE77" i="16"/>
  <c r="BF74" i="16"/>
  <c r="BF76" i="16" s="1"/>
  <c r="X282" i="117"/>
  <c r="Z278" i="117"/>
  <c r="AV58" i="2"/>
  <c r="AV59" i="2" s="1"/>
  <c r="AV47" i="2"/>
  <c r="AV49" i="2"/>
  <c r="AV50" i="2" s="1"/>
  <c r="AV33" i="21"/>
  <c r="BB46" i="17"/>
  <c r="BB48" i="17"/>
  <c r="BB49" i="17" s="1"/>
  <c r="BH31" i="3"/>
  <c r="BI30" i="3"/>
  <c r="BE7" i="17"/>
  <c r="BF4" i="17"/>
  <c r="BF6" i="17" s="1"/>
  <c r="BC37" i="8"/>
  <c r="BR26" i="7"/>
  <c r="BF43" i="7"/>
  <c r="BF41" i="7"/>
  <c r="BH37" i="7"/>
  <c r="BH26" i="7"/>
  <c r="BE7" i="3"/>
  <c r="BF4" i="3"/>
  <c r="BF6" i="3" s="1"/>
  <c r="AV52" i="15"/>
  <c r="BB52" i="15"/>
  <c r="AN44" i="3"/>
  <c r="AM45" i="3"/>
  <c r="AM46" i="3" s="1"/>
  <c r="BA10" i="8"/>
  <c r="BA11" i="8" s="1"/>
  <c r="AL21" i="117"/>
  <c r="BY109" i="15"/>
  <c r="BY110" i="15" s="1"/>
  <c r="BY112" i="21"/>
  <c r="BY98" i="15"/>
  <c r="BZ95" i="15"/>
  <c r="BZ97" i="15"/>
  <c r="CA97" i="15" s="1"/>
  <c r="BZ90" i="21"/>
  <c r="CA90" i="21" s="1"/>
  <c r="BZ103" i="15"/>
  <c r="CG82" i="15"/>
  <c r="CC84" i="15"/>
  <c r="BY104" i="15"/>
  <c r="BY134" i="21"/>
  <c r="CA88" i="15"/>
  <c r="CA89" i="15" s="1"/>
  <c r="CA95" i="15"/>
  <c r="BZ28" i="15"/>
  <c r="BZ26" i="15"/>
  <c r="BZ75" i="15"/>
  <c r="BY20" i="15"/>
  <c r="BY21" i="15" s="1"/>
  <c r="BY29" i="15"/>
  <c r="BY40" i="15"/>
  <c r="CC6" i="15"/>
  <c r="CG4" i="15"/>
  <c r="BZ33" i="15"/>
  <c r="CA32" i="15"/>
  <c r="CA31" i="15" s="1"/>
  <c r="BY72" i="15"/>
  <c r="BY73" i="15" s="1"/>
  <c r="BX86" i="21"/>
  <c r="BX41" i="15"/>
  <c r="BX48" i="15"/>
  <c r="BX49" i="15" s="1"/>
  <c r="BX60" i="15"/>
  <c r="BX69" i="15"/>
  <c r="BX70" i="15" s="1"/>
  <c r="CP51" i="3"/>
  <c r="CO10" i="3"/>
  <c r="CO11" i="3" s="1"/>
  <c r="CO92" i="3"/>
  <c r="CQ52" i="3"/>
  <c r="CP117" i="3"/>
  <c r="CP118" i="3" s="1"/>
  <c r="CO118" i="3"/>
  <c r="BE8" i="3" l="1"/>
  <c r="BE81" i="3" s="1"/>
  <c r="BE80" i="3"/>
  <c r="BE83" i="3" s="1"/>
  <c r="BE84" i="3" s="1"/>
  <c r="BF7" i="17"/>
  <c r="BG4" i="17"/>
  <c r="BG6" i="17" s="1"/>
  <c r="BK30" i="3"/>
  <c r="BI31" i="3"/>
  <c r="BA41" i="8"/>
  <c r="BA43" i="8"/>
  <c r="BA44" i="8" s="1"/>
  <c r="H25" i="14"/>
  <c r="H30" i="14"/>
  <c r="BM4" i="7"/>
  <c r="BM6" i="7" s="1"/>
  <c r="BL7" i="7"/>
  <c r="BL17" i="7" s="1"/>
  <c r="CI138" i="3"/>
  <c r="BA51" i="17"/>
  <c r="BA52" i="17" s="1"/>
  <c r="BA49" i="17"/>
  <c r="BC48" i="17"/>
  <c r="AU49" i="21"/>
  <c r="AU51" i="21" s="1"/>
  <c r="AU144" i="21"/>
  <c r="AU150" i="21" s="1"/>
  <c r="AS144" i="21"/>
  <c r="AS49" i="21"/>
  <c r="AS51" i="21" s="1"/>
  <c r="AJ66" i="117"/>
  <c r="BC6" i="9"/>
  <c r="BB7" i="9"/>
  <c r="BC7" i="9" s="1"/>
  <c r="I6" i="11"/>
  <c r="K76" i="12" s="1"/>
  <c r="K78" i="12" s="1"/>
  <c r="AL22" i="117"/>
  <c r="AL18" i="117"/>
  <c r="AL19" i="117" s="1"/>
  <c r="AO44" i="3"/>
  <c r="AN45" i="3"/>
  <c r="AN46" i="3" s="1"/>
  <c r="BG4" i="3"/>
  <c r="BG6" i="3" s="1"/>
  <c r="BF7" i="3"/>
  <c r="BH38" i="7"/>
  <c r="BH40" i="7"/>
  <c r="BC35" i="8"/>
  <c r="BC36" i="8" s="1"/>
  <c r="BC38" i="8"/>
  <c r="BA7" i="2"/>
  <c r="BB4" i="2"/>
  <c r="BB6" i="2" s="1"/>
  <c r="AZ45" i="9"/>
  <c r="AZ34" i="9"/>
  <c r="AZ35" i="9" s="1"/>
  <c r="CF16" i="3"/>
  <c r="CF104" i="3" s="1"/>
  <c r="CE17" i="3"/>
  <c r="AY10" i="9"/>
  <c r="AY11" i="9" s="1"/>
  <c r="H246" i="14"/>
  <c r="AN9" i="117"/>
  <c r="AN25" i="117"/>
  <c r="AN21" i="117"/>
  <c r="CJ137" i="3"/>
  <c r="CJ138" i="3" s="1"/>
  <c r="CK125" i="3"/>
  <c r="CK137" i="3" s="1"/>
  <c r="CK138" i="3" s="1"/>
  <c r="CJ123" i="3"/>
  <c r="CJ134" i="3" s="1"/>
  <c r="AK65" i="117"/>
  <c r="AK66" i="117" s="1"/>
  <c r="AK62" i="117"/>
  <c r="AK63" i="117" s="1"/>
  <c r="AL68" i="117"/>
  <c r="BC46" i="17"/>
  <c r="BC43" i="17"/>
  <c r="BC44" i="17" s="1"/>
  <c r="BE61" i="3"/>
  <c r="AJ62" i="117"/>
  <c r="AF48" i="117"/>
  <c r="AF50" i="117"/>
  <c r="AF51" i="117" s="1"/>
  <c r="AJ178" i="117"/>
  <c r="AJ39" i="117"/>
  <c r="BF44" i="7"/>
  <c r="BE32" i="17"/>
  <c r="BE20" i="17"/>
  <c r="BE21" i="17" s="1"/>
  <c r="BE17" i="17"/>
  <c r="BE8" i="17"/>
  <c r="Z282" i="117"/>
  <c r="X286" i="117"/>
  <c r="BF77" i="16"/>
  <c r="BG74" i="16"/>
  <c r="BG76" i="16" s="1"/>
  <c r="AO145" i="117"/>
  <c r="AO147" i="117" s="1"/>
  <c r="AN148" i="117"/>
  <c r="BG4" i="8"/>
  <c r="BG6" i="8" s="1"/>
  <c r="BF7" i="8"/>
  <c r="AZ86" i="17"/>
  <c r="AZ88" i="17"/>
  <c r="AZ10" i="9"/>
  <c r="AZ11" i="9" s="1"/>
  <c r="AZ18" i="9"/>
  <c r="AZ20" i="9"/>
  <c r="AZ21" i="9" s="1"/>
  <c r="AZ13" i="9"/>
  <c r="AZ14" i="9" s="1"/>
  <c r="CD110" i="3"/>
  <c r="CD112" i="3"/>
  <c r="BB40" i="8"/>
  <c r="BB38" i="8"/>
  <c r="BB10" i="16"/>
  <c r="BB11" i="16" s="1"/>
  <c r="AK38" i="117"/>
  <c r="AK30" i="117"/>
  <c r="AJ151" i="117"/>
  <c r="AJ152" i="117" s="1"/>
  <c r="BK24" i="7"/>
  <c r="BK17" i="7"/>
  <c r="BK8" i="7"/>
  <c r="BF4" i="16"/>
  <c r="BF6" i="16" s="1"/>
  <c r="BE7" i="16"/>
  <c r="AZ32" i="10"/>
  <c r="AZ33" i="10" s="1"/>
  <c r="AZ20" i="10"/>
  <c r="AZ21" i="10" s="1"/>
  <c r="AZ17" i="10"/>
  <c r="AZ8" i="10"/>
  <c r="AI47" i="117"/>
  <c r="AI34" i="117"/>
  <c r="AI56" i="117"/>
  <c r="AI57" i="117" s="1"/>
  <c r="AI41" i="117"/>
  <c r="AI42" i="117" s="1"/>
  <c r="BF60" i="3"/>
  <c r="BF58" i="3"/>
  <c r="BF59" i="3"/>
  <c r="BF55" i="3"/>
  <c r="BA17" i="9"/>
  <c r="BA32" i="9"/>
  <c r="BA8" i="9"/>
  <c r="AY13" i="10"/>
  <c r="AY14" i="10" s="1"/>
  <c r="AY10" i="10"/>
  <c r="AY11" i="10" s="1"/>
  <c r="AY18" i="10"/>
  <c r="AY33" i="10"/>
  <c r="BB10" i="8"/>
  <c r="BB11" i="8" s="1"/>
  <c r="AY34" i="9"/>
  <c r="AY35" i="9" s="1"/>
  <c r="AY45" i="9"/>
  <c r="AL155" i="117"/>
  <c r="AL156" i="117"/>
  <c r="AV31" i="21"/>
  <c r="AW33" i="21"/>
  <c r="BI38" i="7"/>
  <c r="BI35" i="7"/>
  <c r="BI36" i="7" s="1"/>
  <c r="AP5" i="117"/>
  <c r="AP7" i="117" s="1"/>
  <c r="AO8" i="117"/>
  <c r="AH42" i="117"/>
  <c r="BH21" i="3"/>
  <c r="BI20" i="3"/>
  <c r="AY13" i="2"/>
  <c r="AY14" i="2" s="1"/>
  <c r="AY10" i="2"/>
  <c r="AY11" i="2" s="1"/>
  <c r="AY18" i="2"/>
  <c r="BG41" i="7"/>
  <c r="BG43" i="7"/>
  <c r="BA41" i="16"/>
  <c r="BA43" i="16"/>
  <c r="BA44" i="16" s="1"/>
  <c r="BH10" i="7"/>
  <c r="BH14" i="7"/>
  <c r="BB37" i="16"/>
  <c r="BB26" i="16"/>
  <c r="BB27" i="16" s="1"/>
  <c r="BC25" i="16"/>
  <c r="BC26" i="16" s="1"/>
  <c r="BC27" i="16" s="1"/>
  <c r="AK154" i="117"/>
  <c r="AK155" i="117" s="1"/>
  <c r="AK159" i="117"/>
  <c r="AI181" i="117"/>
  <c r="AI179" i="117"/>
  <c r="BH27" i="7"/>
  <c r="BX26" i="7"/>
  <c r="BE80" i="16"/>
  <c r="BE81" i="16" s="1"/>
  <c r="BE78" i="16"/>
  <c r="AZ24" i="2"/>
  <c r="AZ25" i="2" s="1"/>
  <c r="AZ8" i="2"/>
  <c r="AZ17" i="2"/>
  <c r="BE24" i="8"/>
  <c r="BE17" i="8"/>
  <c r="BE8" i="8"/>
  <c r="BB82" i="17"/>
  <c r="BB84" i="17" s="1"/>
  <c r="BA85" i="17"/>
  <c r="CE110" i="3"/>
  <c r="CE112" i="3"/>
  <c r="H12" i="14"/>
  <c r="H13" i="14" s="1"/>
  <c r="H10" i="14"/>
  <c r="H258" i="14"/>
  <c r="H222" i="14"/>
  <c r="AH47" i="117"/>
  <c r="AK166" i="117"/>
  <c r="AL165" i="117"/>
  <c r="CG165" i="3"/>
  <c r="CG166" i="3" s="1"/>
  <c r="AY25" i="2"/>
  <c r="CI143" i="3"/>
  <c r="CI135" i="3"/>
  <c r="AW52" i="15"/>
  <c r="BC52" i="15"/>
  <c r="BC18" i="8"/>
  <c r="BC13" i="8"/>
  <c r="BA7" i="10"/>
  <c r="BB4" i="10"/>
  <c r="BB6" i="10" s="1"/>
  <c r="AW58" i="2"/>
  <c r="AW59" i="2" s="1"/>
  <c r="BI14" i="7"/>
  <c r="BI15" i="7"/>
  <c r="AY89" i="17"/>
  <c r="AY91" i="17"/>
  <c r="AE60" i="117"/>
  <c r="AF59" i="117"/>
  <c r="AF60" i="117" s="1"/>
  <c r="BH53" i="3"/>
  <c r="BG54" i="3"/>
  <c r="CC110" i="3"/>
  <c r="CC112" i="3"/>
  <c r="AH184" i="117"/>
  <c r="AH185" i="117" s="1"/>
  <c r="AH182" i="117"/>
  <c r="AJ31" i="117"/>
  <c r="AJ33" i="117"/>
  <c r="AL30" i="117"/>
  <c r="CC85" i="15"/>
  <c r="CD82" i="15"/>
  <c r="CD84" i="15" s="1"/>
  <c r="BZ98" i="15"/>
  <c r="BZ112" i="21"/>
  <c r="BZ109" i="15"/>
  <c r="BZ104" i="15"/>
  <c r="BZ134" i="21"/>
  <c r="CA100" i="15"/>
  <c r="CA101" i="15" s="1"/>
  <c r="CA98" i="15"/>
  <c r="N200" i="11"/>
  <c r="CA112" i="21"/>
  <c r="BX54" i="15"/>
  <c r="BY69" i="15"/>
  <c r="BY70" i="15" s="1"/>
  <c r="CC7" i="15"/>
  <c r="CD4" i="15"/>
  <c r="CD6" i="15" s="1"/>
  <c r="BZ72" i="15"/>
  <c r="BZ73" i="15" s="1"/>
  <c r="BY86" i="21"/>
  <c r="BY41" i="15"/>
  <c r="BY60" i="15"/>
  <c r="BX61" i="15"/>
  <c r="BX130" i="21"/>
  <c r="BZ45" i="15"/>
  <c r="CA33" i="15"/>
  <c r="BZ29" i="15"/>
  <c r="BZ20" i="15"/>
  <c r="BZ21" i="15" s="1"/>
  <c r="CO101" i="3"/>
  <c r="CO93" i="3"/>
  <c r="CQ51" i="3"/>
  <c r="CP92" i="3"/>
  <c r="CP10" i="3"/>
  <c r="CP11" i="3" s="1"/>
  <c r="CR52" i="3"/>
  <c r="CQ117" i="3"/>
  <c r="BL18" i="7" l="1"/>
  <c r="BC8" i="9"/>
  <c r="BC17" i="9"/>
  <c r="BC18" i="9" s="1"/>
  <c r="BC20" i="9"/>
  <c r="BC21" i="9" s="1"/>
  <c r="BC10" i="9"/>
  <c r="BC11" i="9" s="1"/>
  <c r="BC13" i="9"/>
  <c r="CG104" i="3"/>
  <c r="BC7" i="2"/>
  <c r="CE162" i="3"/>
  <c r="CE163" i="3" s="1"/>
  <c r="CE113" i="3"/>
  <c r="AZ18" i="2"/>
  <c r="AZ13" i="2"/>
  <c r="AZ14" i="2" s="1"/>
  <c r="AI184" i="117"/>
  <c r="AI185" i="117" s="1"/>
  <c r="AI182" i="117"/>
  <c r="BG4" i="16"/>
  <c r="BG6" i="16" s="1"/>
  <c r="BF7" i="16"/>
  <c r="CC162" i="3"/>
  <c r="CC113" i="3"/>
  <c r="BI53" i="3"/>
  <c r="BH54" i="3"/>
  <c r="BC6" i="10"/>
  <c r="BB7" i="10"/>
  <c r="CI120" i="3"/>
  <c r="CI121" i="3" s="1"/>
  <c r="CI144" i="3"/>
  <c r="CI165" i="3"/>
  <c r="AH48" i="117"/>
  <c r="AH50" i="117"/>
  <c r="AH51" i="117" s="1"/>
  <c r="AH59" i="117"/>
  <c r="BG44" i="7"/>
  <c r="BA33" i="9"/>
  <c r="BC32" i="9"/>
  <c r="BC31" i="9" s="1"/>
  <c r="AZ91" i="17"/>
  <c r="AZ92" i="17" s="1"/>
  <c r="AZ89" i="17"/>
  <c r="BG77" i="16"/>
  <c r="BH74" i="16"/>
  <c r="BH76" i="16" s="1"/>
  <c r="BE33" i="17"/>
  <c r="AJ63" i="117"/>
  <c r="AL62" i="117"/>
  <c r="AP44" i="3"/>
  <c r="AO45" i="3"/>
  <c r="AO46" i="3" s="1"/>
  <c r="AL65" i="117"/>
  <c r="AS150" i="21"/>
  <c r="BF32" i="17"/>
  <c r="BF33" i="17" s="1"/>
  <c r="BF20" i="17"/>
  <c r="BF21" i="17" s="1"/>
  <c r="BF8" i="17"/>
  <c r="BF17" i="17"/>
  <c r="BG55" i="3"/>
  <c r="BG59" i="3"/>
  <c r="BG58" i="3"/>
  <c r="AL27" i="117"/>
  <c r="AL28" i="117" s="1"/>
  <c r="AL31" i="117"/>
  <c r="BA32" i="10"/>
  <c r="BA33" i="10" s="1"/>
  <c r="BA17" i="10"/>
  <c r="BA8" i="10"/>
  <c r="BA20" i="10"/>
  <c r="BA21" i="10" s="1"/>
  <c r="BA86" i="17"/>
  <c r="BA88" i="17"/>
  <c r="BE18" i="8"/>
  <c r="BE13" i="8"/>
  <c r="AZ37" i="2"/>
  <c r="AZ26" i="2"/>
  <c r="AZ27" i="2" s="1"/>
  <c r="CD26" i="7"/>
  <c r="BH11" i="7"/>
  <c r="BK20" i="3"/>
  <c r="BI21" i="3"/>
  <c r="AO9" i="117"/>
  <c r="AO25" i="117"/>
  <c r="AO21" i="117"/>
  <c r="AV48" i="21"/>
  <c r="AV30" i="21"/>
  <c r="AW31" i="21"/>
  <c r="BA10" i="9"/>
  <c r="BA11" i="9" s="1"/>
  <c r="BA18" i="9"/>
  <c r="BA13" i="9"/>
  <c r="BA14" i="9" s="1"/>
  <c r="BA20" i="9"/>
  <c r="BA21" i="9" s="1"/>
  <c r="BF61" i="3"/>
  <c r="AI59" i="117"/>
  <c r="AI60" i="117" s="1"/>
  <c r="AI48" i="117"/>
  <c r="AI50" i="117"/>
  <c r="AI51" i="117" s="1"/>
  <c r="AZ45" i="10"/>
  <c r="AZ34" i="10"/>
  <c r="AZ35" i="10" s="1"/>
  <c r="AK31" i="117"/>
  <c r="AK33" i="117"/>
  <c r="BB41" i="8"/>
  <c r="BB43" i="8"/>
  <c r="BB44" i="8" s="1"/>
  <c r="BF80" i="16"/>
  <c r="BF78" i="16"/>
  <c r="AJ179" i="117"/>
  <c r="AJ181" i="117"/>
  <c r="CJ143" i="3"/>
  <c r="CJ135" i="3"/>
  <c r="AN26" i="117"/>
  <c r="AZ48" i="9"/>
  <c r="AZ46" i="9"/>
  <c r="BC6" i="2"/>
  <c r="BB7" i="2"/>
  <c r="BF80" i="3"/>
  <c r="BF83" i="3" s="1"/>
  <c r="BF8" i="3"/>
  <c r="BF81" i="3" s="1"/>
  <c r="BL8" i="7"/>
  <c r="H37" i="14"/>
  <c r="H35" i="14"/>
  <c r="AK167" i="117"/>
  <c r="AK168" i="117" s="1"/>
  <c r="AL166" i="117"/>
  <c r="AL167" i="117" s="1"/>
  <c r="AL168" i="117" s="1"/>
  <c r="AJ34" i="117"/>
  <c r="AJ56" i="117"/>
  <c r="AJ57" i="117" s="1"/>
  <c r="AJ41" i="117"/>
  <c r="AJ47" i="117" s="1"/>
  <c r="BC7" i="10"/>
  <c r="BG60" i="3"/>
  <c r="BC14" i="8"/>
  <c r="BC15" i="8"/>
  <c r="AY37" i="2"/>
  <c r="AY26" i="2"/>
  <c r="AY27" i="2" s="1"/>
  <c r="BC84" i="17"/>
  <c r="BB85" i="17"/>
  <c r="BE25" i="8"/>
  <c r="AK151" i="117"/>
  <c r="AK152" i="117" s="1"/>
  <c r="BB38" i="16"/>
  <c r="BC37" i="16"/>
  <c r="AP8" i="117"/>
  <c r="AQ5" i="117"/>
  <c r="AQ7" i="117" s="1"/>
  <c r="BE17" i="16"/>
  <c r="BE24" i="16"/>
  <c r="BE8" i="16"/>
  <c r="BK18" i="7"/>
  <c r="BK13" i="7"/>
  <c r="AK178" i="117"/>
  <c r="AK39" i="117"/>
  <c r="AL38" i="117"/>
  <c r="CD113" i="3"/>
  <c r="CD162" i="3"/>
  <c r="CD163" i="3" s="1"/>
  <c r="BF24" i="8"/>
  <c r="BF25" i="8" s="1"/>
  <c r="BF17" i="8"/>
  <c r="BF8" i="8"/>
  <c r="AN158" i="117"/>
  <c r="AN165" i="117"/>
  <c r="AN149" i="117"/>
  <c r="Y285" i="117"/>
  <c r="X287" i="117"/>
  <c r="BE18" i="17"/>
  <c r="BE13" i="17"/>
  <c r="BE14" i="17" s="1"/>
  <c r="BE10" i="17"/>
  <c r="BE11" i="17" s="1"/>
  <c r="BC40" i="8"/>
  <c r="BA24" i="2"/>
  <c r="BA17" i="2"/>
  <c r="BA8" i="2"/>
  <c r="BG7" i="3"/>
  <c r="BH4" i="3"/>
  <c r="BH6" i="3" s="1"/>
  <c r="BB32" i="9"/>
  <c r="BB33" i="9" s="1"/>
  <c r="BB17" i="9"/>
  <c r="BB8" i="9"/>
  <c r="BM7" i="7"/>
  <c r="BM17" i="7" s="1"/>
  <c r="BM18" i="7" s="1"/>
  <c r="BN4" i="7"/>
  <c r="BN6" i="7" s="1"/>
  <c r="BL30" i="3"/>
  <c r="BK31" i="3"/>
  <c r="AY92" i="17"/>
  <c r="AY46" i="9"/>
  <c r="AY48" i="9"/>
  <c r="AY45" i="10"/>
  <c r="AY34" i="10"/>
  <c r="AY35" i="10" s="1"/>
  <c r="AZ13" i="10"/>
  <c r="AZ14" i="10" s="1"/>
  <c r="AZ18" i="10"/>
  <c r="BK25" i="7"/>
  <c r="BG7" i="8"/>
  <c r="BH4" i="8"/>
  <c r="BH6" i="8" s="1"/>
  <c r="AP145" i="117"/>
  <c r="AP147" i="117" s="1"/>
  <c r="AO148" i="117"/>
  <c r="CL125" i="3"/>
  <c r="CK123" i="3"/>
  <c r="AN68" i="117"/>
  <c r="AN22" i="117"/>
  <c r="CF17" i="3"/>
  <c r="CG16" i="3"/>
  <c r="BH43" i="7"/>
  <c r="BH41" i="7"/>
  <c r="BE4" i="9"/>
  <c r="BC5" i="9"/>
  <c r="BC49" i="17"/>
  <c r="BC51" i="17"/>
  <c r="BC52" i="17" s="1"/>
  <c r="BH4" i="17"/>
  <c r="BH6" i="17" s="1"/>
  <c r="BG7" i="17"/>
  <c r="N67" i="11"/>
  <c r="N68" i="11" s="1"/>
  <c r="N71" i="11" s="1"/>
  <c r="CD85" i="15"/>
  <c r="CE82" i="15"/>
  <c r="CE84" i="15" s="1"/>
  <c r="BZ110" i="15"/>
  <c r="CC86" i="15"/>
  <c r="CC94" i="15"/>
  <c r="BZ69" i="15"/>
  <c r="BZ70" i="15" s="1"/>
  <c r="CC8" i="15"/>
  <c r="CC32" i="15"/>
  <c r="CE4" i="15"/>
  <c r="CE6" i="15" s="1"/>
  <c r="CD7" i="15"/>
  <c r="BZ46" i="15"/>
  <c r="CA45" i="15"/>
  <c r="BY130" i="21"/>
  <c r="BY61" i="15"/>
  <c r="BX108" i="21"/>
  <c r="BX116" i="15"/>
  <c r="BX55" i="15"/>
  <c r="BX66" i="15"/>
  <c r="BX67" i="15" s="1"/>
  <c r="BX57" i="15"/>
  <c r="BX58" i="15" s="1"/>
  <c r="CQ92" i="3"/>
  <c r="CR51" i="3"/>
  <c r="CQ10" i="3"/>
  <c r="CQ11" i="3" s="1"/>
  <c r="CP101" i="3"/>
  <c r="CP93" i="3"/>
  <c r="CO102" i="3"/>
  <c r="CR117" i="3"/>
  <c r="CR118" i="3" s="1"/>
  <c r="CS52" i="3"/>
  <c r="CQ118" i="3"/>
  <c r="BR10" i="7" l="1"/>
  <c r="BR13" i="7"/>
  <c r="BX13" i="7" s="1"/>
  <c r="CD13" i="7" s="1"/>
  <c r="CJ13" i="7" s="1"/>
  <c r="AJ59" i="117"/>
  <c r="AJ60" i="117" s="1"/>
  <c r="AJ48" i="117"/>
  <c r="AJ50" i="117"/>
  <c r="AJ51" i="117" s="1"/>
  <c r="BH7" i="8"/>
  <c r="BI6" i="8"/>
  <c r="BK4" i="8" s="1"/>
  <c r="BK14" i="7"/>
  <c r="BQ13" i="7"/>
  <c r="AP25" i="117"/>
  <c r="AP9" i="117"/>
  <c r="AP21" i="117"/>
  <c r="BE6" i="9"/>
  <c r="BI4" i="9"/>
  <c r="CK134" i="3"/>
  <c r="AQ145" i="117"/>
  <c r="AQ147" i="117" s="1"/>
  <c r="AP148" i="117"/>
  <c r="BK37" i="7"/>
  <c r="BK26" i="7"/>
  <c r="AY49" i="9"/>
  <c r="AY51" i="9"/>
  <c r="AY52" i="9" s="1"/>
  <c r="BM8" i="7"/>
  <c r="BB45" i="9"/>
  <c r="BB34" i="9"/>
  <c r="BB35" i="9" s="1"/>
  <c r="BA13" i="2"/>
  <c r="BA14" i="2" s="1"/>
  <c r="BA18" i="2"/>
  <c r="BK10" i="7"/>
  <c r="AT5" i="117"/>
  <c r="AR7" i="117"/>
  <c r="AQ8" i="117"/>
  <c r="BE82" i="17"/>
  <c r="BC83" i="17"/>
  <c r="AZ48" i="10"/>
  <c r="AZ46" i="10"/>
  <c r="BA45" i="10"/>
  <c r="BA34" i="10"/>
  <c r="BA35" i="10" s="1"/>
  <c r="BG61" i="3"/>
  <c r="BF18" i="17"/>
  <c r="BF13" i="17"/>
  <c r="AQ44" i="3"/>
  <c r="AP45" i="3"/>
  <c r="AP46" i="3" s="1"/>
  <c r="BE34" i="17"/>
  <c r="BE35" i="17" s="1"/>
  <c r="BE45" i="17"/>
  <c r="BA34" i="9"/>
  <c r="BA35" i="9" s="1"/>
  <c r="BA45" i="9"/>
  <c r="BC33" i="9"/>
  <c r="BC34" i="9" s="1"/>
  <c r="BC35" i="9" s="1"/>
  <c r="AH60" i="117"/>
  <c r="BB32" i="10"/>
  <c r="BB20" i="10"/>
  <c r="BB21" i="10" s="1"/>
  <c r="BB8" i="10"/>
  <c r="BB17" i="10"/>
  <c r="BF24" i="16"/>
  <c r="BF25" i="16" s="1"/>
  <c r="BF17" i="16"/>
  <c r="BF8" i="16"/>
  <c r="AZ10" i="2"/>
  <c r="AZ11" i="2" s="1"/>
  <c r="AR8" i="117"/>
  <c r="AR9" i="117" s="1"/>
  <c r="BH44" i="7"/>
  <c r="BH7" i="3"/>
  <c r="BI6" i="3"/>
  <c r="AL39" i="117"/>
  <c r="AL36" i="117"/>
  <c r="AL37" i="117" s="1"/>
  <c r="AY38" i="2"/>
  <c r="AY46" i="2"/>
  <c r="H39" i="14"/>
  <c r="H48" i="14" s="1"/>
  <c r="H53" i="14" s="1"/>
  <c r="H137" i="14"/>
  <c r="H154" i="14" s="1"/>
  <c r="H158" i="14" s="1"/>
  <c r="BF84" i="3"/>
  <c r="CJ120" i="3"/>
  <c r="CJ121" i="3" s="1"/>
  <c r="CJ144" i="3"/>
  <c r="CJ165" i="3"/>
  <c r="CJ166" i="3" s="1"/>
  <c r="AK34" i="117"/>
  <c r="AK47" i="117"/>
  <c r="AL47" i="117" s="1"/>
  <c r="AK56" i="117"/>
  <c r="AK57" i="117" s="1"/>
  <c r="AK41" i="117"/>
  <c r="AK42" i="117" s="1"/>
  <c r="AV144" i="21"/>
  <c r="AV49" i="21"/>
  <c r="AV51" i="21" s="1"/>
  <c r="AW48" i="21"/>
  <c r="AL63" i="117"/>
  <c r="AL11" i="117"/>
  <c r="AL12" i="117" s="1"/>
  <c r="BI76" i="16"/>
  <c r="BK74" i="16" s="1"/>
  <c r="BH77" i="16"/>
  <c r="CI166" i="3"/>
  <c r="BC5" i="10"/>
  <c r="BE4" i="10"/>
  <c r="BH4" i="16"/>
  <c r="BH6" i="16" s="1"/>
  <c r="BG7" i="16"/>
  <c r="BG20" i="17"/>
  <c r="BG21" i="17" s="1"/>
  <c r="BG17" i="17"/>
  <c r="BG8" i="17"/>
  <c r="BG17" i="8"/>
  <c r="BG24" i="8"/>
  <c r="BG8" i="8"/>
  <c r="BI7" i="8"/>
  <c r="AZ10" i="10"/>
  <c r="AZ11" i="10" s="1"/>
  <c r="AY46" i="10"/>
  <c r="AY48" i="10"/>
  <c r="BL31" i="3"/>
  <c r="BM30" i="3"/>
  <c r="BG80" i="3"/>
  <c r="BG83" i="3" s="1"/>
  <c r="BG8" i="3"/>
  <c r="BG81" i="3" s="1"/>
  <c r="BC43" i="8"/>
  <c r="BC44" i="8"/>
  <c r="BC41" i="8"/>
  <c r="AN166" i="117"/>
  <c r="BF26" i="8"/>
  <c r="BF37" i="8"/>
  <c r="BE18" i="16"/>
  <c r="BE13" i="16"/>
  <c r="BE14" i="16" s="1"/>
  <c r="BC38" i="16"/>
  <c r="BC35" i="16"/>
  <c r="BC36" i="16" s="1"/>
  <c r="BE37" i="8"/>
  <c r="AL33" i="117"/>
  <c r="BB17" i="2"/>
  <c r="BB24" i="2"/>
  <c r="BB25" i="2" s="1"/>
  <c r="BB8" i="2"/>
  <c r="AJ182" i="117"/>
  <c r="AJ184" i="117"/>
  <c r="AJ185" i="117" s="1"/>
  <c r="AO22" i="117"/>
  <c r="AO68" i="117"/>
  <c r="BK21" i="3"/>
  <c r="BL20" i="3"/>
  <c r="CJ26" i="7"/>
  <c r="AZ38" i="2"/>
  <c r="AZ46" i="2"/>
  <c r="AL66" i="117"/>
  <c r="AL14" i="117"/>
  <c r="BG80" i="16"/>
  <c r="BG78" i="16"/>
  <c r="BI77" i="16"/>
  <c r="BS43" i="7"/>
  <c r="BH60" i="3"/>
  <c r="BH59" i="3"/>
  <c r="BH58" i="3"/>
  <c r="BI54" i="3"/>
  <c r="BH55" i="3"/>
  <c r="CC163" i="3"/>
  <c r="CL137" i="3"/>
  <c r="CM125" i="3"/>
  <c r="CL123" i="3"/>
  <c r="CL134" i="3" s="1"/>
  <c r="BA25" i="2"/>
  <c r="BC24" i="2"/>
  <c r="BC23" i="2" s="1"/>
  <c r="BF13" i="8"/>
  <c r="BF18" i="8"/>
  <c r="BF10" i="8"/>
  <c r="BE25" i="16"/>
  <c r="BC20" i="10"/>
  <c r="BC21" i="10" s="1"/>
  <c r="BC8" i="10"/>
  <c r="BC17" i="10"/>
  <c r="BC18" i="10" s="1"/>
  <c r="BC13" i="10"/>
  <c r="BC10" i="10"/>
  <c r="BC11" i="10" s="1"/>
  <c r="AZ51" i="9"/>
  <c r="AZ52" i="9" s="1"/>
  <c r="AZ49" i="9"/>
  <c r="BE10" i="8"/>
  <c r="BE11" i="8" s="1"/>
  <c r="BE14" i="8"/>
  <c r="BH7" i="17"/>
  <c r="BI7" i="17" s="1"/>
  <c r="BI6" i="17"/>
  <c r="BL67" i="7"/>
  <c r="BL21" i="7"/>
  <c r="CI16" i="3"/>
  <c r="CI104" i="3" s="1"/>
  <c r="CG17" i="3"/>
  <c r="AN65" i="117"/>
  <c r="AN62" i="117" s="1"/>
  <c r="AO158" i="117"/>
  <c r="AO149" i="117"/>
  <c r="BO6" i="7"/>
  <c r="BQ4" i="7" s="1"/>
  <c r="BN7" i="7"/>
  <c r="BB18" i="9"/>
  <c r="BB20" i="9"/>
  <c r="BB21" i="9" s="1"/>
  <c r="BB13" i="9"/>
  <c r="BB14" i="9" s="1"/>
  <c r="Y286" i="117"/>
  <c r="Z286" i="117" s="1"/>
  <c r="Y287" i="117"/>
  <c r="AN159" i="117"/>
  <c r="AN154" i="117"/>
  <c r="AN155" i="117" s="1"/>
  <c r="AK179" i="117"/>
  <c r="AK181" i="117"/>
  <c r="AL178" i="117"/>
  <c r="BB88" i="17"/>
  <c r="BB86" i="17"/>
  <c r="AJ42" i="117"/>
  <c r="AL41" i="117"/>
  <c r="BC5" i="2"/>
  <c r="BE4" i="2"/>
  <c r="AN38" i="117"/>
  <c r="AN30" i="117"/>
  <c r="BF81" i="16"/>
  <c r="AW30" i="21"/>
  <c r="AX31" i="21"/>
  <c r="AX6" i="21"/>
  <c r="AO165" i="117"/>
  <c r="AO166" i="117" s="1"/>
  <c r="AO26" i="117"/>
  <c r="BA91" i="17"/>
  <c r="BA89" i="17"/>
  <c r="BA18" i="10"/>
  <c r="BA13" i="10"/>
  <c r="BA14" i="10" s="1"/>
  <c r="BF34" i="17"/>
  <c r="BF45" i="17"/>
  <c r="BK53" i="3"/>
  <c r="BI60" i="3"/>
  <c r="BC8" i="2"/>
  <c r="BC17" i="2"/>
  <c r="BC10" i="2"/>
  <c r="BC11" i="2" s="1"/>
  <c r="BC85" i="17"/>
  <c r="BC14" i="9"/>
  <c r="BC15" i="9"/>
  <c r="CF82" i="15"/>
  <c r="CF84" i="15" s="1"/>
  <c r="CE85" i="15"/>
  <c r="CD86" i="15"/>
  <c r="CD94" i="15"/>
  <c r="CC95" i="15"/>
  <c r="CC97" i="15"/>
  <c r="CC90" i="21"/>
  <c r="CE7" i="15"/>
  <c r="CF4" i="15"/>
  <c r="CF6" i="15" s="1"/>
  <c r="BX124" i="15"/>
  <c r="BX125" i="15" s="1"/>
  <c r="BX119" i="15"/>
  <c r="BX120" i="15" s="1"/>
  <c r="BX117" i="15"/>
  <c r="CA46" i="15"/>
  <c r="CA43" i="15"/>
  <c r="CA44" i="15" s="1"/>
  <c r="CC33" i="15"/>
  <c r="CD8" i="15"/>
  <c r="CD32" i="15"/>
  <c r="CD33" i="15" s="1"/>
  <c r="CD25" i="15"/>
  <c r="CR10" i="3"/>
  <c r="CR11" i="3" s="1"/>
  <c r="CS51" i="3"/>
  <c r="CR92" i="3"/>
  <c r="CP102" i="3"/>
  <c r="CQ101" i="3"/>
  <c r="CQ93" i="3"/>
  <c r="CS117" i="3"/>
  <c r="CS118" i="3" s="1"/>
  <c r="CU52" i="3"/>
  <c r="BO7" i="7" l="1"/>
  <c r="BO8" i="7" s="1"/>
  <c r="BX10" i="7"/>
  <c r="BR17" i="7"/>
  <c r="BR18" i="7" s="1"/>
  <c r="AL50" i="117"/>
  <c r="AL51" i="117" s="1"/>
  <c r="AL48" i="117"/>
  <c r="BI8" i="17"/>
  <c r="BI20" i="17"/>
  <c r="BI21" i="17" s="1"/>
  <c r="AN63" i="117"/>
  <c r="AO167" i="117"/>
  <c r="AO178" i="117"/>
  <c r="AL176" i="117"/>
  <c r="AL177" i="117" s="1"/>
  <c r="AL179" i="117"/>
  <c r="CI109" i="3"/>
  <c r="BA37" i="2"/>
  <c r="BA26" i="2"/>
  <c r="BA27" i="2" s="1"/>
  <c r="BC25" i="2"/>
  <c r="BC26" i="2" s="1"/>
  <c r="BC27" i="2" s="1"/>
  <c r="AL15" i="117"/>
  <c r="AL16" i="117"/>
  <c r="AO65" i="117"/>
  <c r="AO66" i="117" s="1"/>
  <c r="AN167" i="117"/>
  <c r="AN168" i="117" s="1"/>
  <c r="AN178" i="117"/>
  <c r="BK27" i="7"/>
  <c r="BQ26" i="7"/>
  <c r="BF46" i="17"/>
  <c r="BF48" i="17"/>
  <c r="BA10" i="10"/>
  <c r="BA11" i="10" s="1"/>
  <c r="BA92" i="17"/>
  <c r="AO38" i="117"/>
  <c r="AO39" i="117" s="1"/>
  <c r="AO30" i="117"/>
  <c r="AN31" i="117"/>
  <c r="AN33" i="117"/>
  <c r="AN151" i="117"/>
  <c r="AN152" i="117" s="1"/>
  <c r="H262" i="14"/>
  <c r="H263" i="14" s="1"/>
  <c r="H260" i="14" s="1"/>
  <c r="AB285" i="117"/>
  <c r="BQ6" i="7"/>
  <c r="BU4" i="7"/>
  <c r="BK4" i="17"/>
  <c r="BI5" i="17"/>
  <c r="BE26" i="16"/>
  <c r="BE27" i="16" s="1"/>
  <c r="BE37" i="16"/>
  <c r="CL138" i="3"/>
  <c r="CM137" i="3"/>
  <c r="CM138" i="3" s="1"/>
  <c r="BI78" i="16"/>
  <c r="BI80" i="16"/>
  <c r="BI81" i="16" s="1"/>
  <c r="AL56" i="117"/>
  <c r="AL57" i="117" s="1"/>
  <c r="AL34" i="117"/>
  <c r="BE38" i="8"/>
  <c r="BE40" i="8"/>
  <c r="BE10" i="16"/>
  <c r="BE11" i="16" s="1"/>
  <c r="BG18" i="8"/>
  <c r="BG13" i="8"/>
  <c r="BG14" i="8" s="1"/>
  <c r="BG18" i="17"/>
  <c r="BG13" i="17"/>
  <c r="BG10" i="17" s="1"/>
  <c r="BE6" i="10"/>
  <c r="BI4" i="10"/>
  <c r="I15" i="14"/>
  <c r="I250" i="14"/>
  <c r="AW49" i="21"/>
  <c r="AW51" i="21" s="1"/>
  <c r="H189" i="14"/>
  <c r="H242" i="14"/>
  <c r="H193" i="14"/>
  <c r="BH8" i="3"/>
  <c r="BH81" i="3" s="1"/>
  <c r="BH80" i="3"/>
  <c r="BH83" i="3" s="1"/>
  <c r="BI7" i="3"/>
  <c r="BB13" i="10"/>
  <c r="BB14" i="10" s="1"/>
  <c r="BB18" i="10"/>
  <c r="AS44" i="3"/>
  <c r="AQ45" i="3"/>
  <c r="AQ46" i="3" s="1"/>
  <c r="AX5" i="117"/>
  <c r="AT7" i="117"/>
  <c r="BA10" i="2"/>
  <c r="BA11" i="2" s="1"/>
  <c r="AR147" i="117"/>
  <c r="AT145" i="117"/>
  <c r="AQ148" i="117"/>
  <c r="AR148" i="117" s="1"/>
  <c r="BF4" i="9"/>
  <c r="BF6" i="9" s="1"/>
  <c r="BE7" i="9"/>
  <c r="AP165" i="117"/>
  <c r="AP166" i="117" s="1"/>
  <c r="AP26" i="117"/>
  <c r="BC18" i="2"/>
  <c r="BC13" i="2"/>
  <c r="BF11" i="8"/>
  <c r="BI8" i="8"/>
  <c r="BI17" i="8"/>
  <c r="BI10" i="8"/>
  <c r="BI11" i="8" s="1"/>
  <c r="AK48" i="117"/>
  <c r="AK59" i="117"/>
  <c r="AK50" i="117"/>
  <c r="AK51" i="117" s="1"/>
  <c r="BE46" i="17"/>
  <c r="BE48" i="17"/>
  <c r="BM21" i="7"/>
  <c r="BM67" i="7"/>
  <c r="CL143" i="3"/>
  <c r="CL135" i="3"/>
  <c r="BW13" i="7"/>
  <c r="BO4" i="8"/>
  <c r="BK6" i="8"/>
  <c r="BL53" i="3"/>
  <c r="BK60" i="3"/>
  <c r="BK54" i="3"/>
  <c r="AN39" i="117"/>
  <c r="BB91" i="17"/>
  <c r="BB92" i="17" s="1"/>
  <c r="BB89" i="17"/>
  <c r="AK182" i="117"/>
  <c r="AK184" i="117"/>
  <c r="AK185" i="117" s="1"/>
  <c r="AL181" i="117"/>
  <c r="BB10" i="9"/>
  <c r="BB11" i="9" s="1"/>
  <c r="BI58" i="3"/>
  <c r="BI59" i="3"/>
  <c r="BG81" i="16"/>
  <c r="CP26" i="7"/>
  <c r="CV26" i="7" s="1"/>
  <c r="DB26" i="7" s="1"/>
  <c r="DH26" i="7" s="1"/>
  <c r="BB37" i="2"/>
  <c r="BB26" i="2"/>
  <c r="BB27" i="2" s="1"/>
  <c r="CP13" i="7"/>
  <c r="BF40" i="8"/>
  <c r="BF38" i="8"/>
  <c r="BS83" i="3"/>
  <c r="BY83" i="3" s="1"/>
  <c r="CE83" i="3" s="1"/>
  <c r="CK83" i="3" s="1"/>
  <c r="CQ83" i="3" s="1"/>
  <c r="CW83" i="3" s="1"/>
  <c r="DC83" i="3" s="1"/>
  <c r="DI83" i="3" s="1"/>
  <c r="BG84" i="3"/>
  <c r="AY51" i="10"/>
  <c r="AY52" i="10" s="1"/>
  <c r="AY49" i="10"/>
  <c r="BG45" i="17"/>
  <c r="BG17" i="16"/>
  <c r="BG24" i="16"/>
  <c r="BG8" i="16"/>
  <c r="BH80" i="16"/>
  <c r="BH78" i="16"/>
  <c r="AV150" i="21"/>
  <c r="AW150" i="21" s="1"/>
  <c r="AW144" i="21"/>
  <c r="BF18" i="16"/>
  <c r="BF13" i="16"/>
  <c r="BF10" i="17"/>
  <c r="BF14" i="17"/>
  <c r="BA48" i="10"/>
  <c r="BA46" i="10"/>
  <c r="AQ9" i="117"/>
  <c r="AQ25" i="117"/>
  <c r="AQ21" i="117"/>
  <c r="BK11" i="7"/>
  <c r="BQ10" i="7"/>
  <c r="BK38" i="7"/>
  <c r="BK40" i="7"/>
  <c r="CK143" i="3"/>
  <c r="CK135" i="3"/>
  <c r="CM134" i="3"/>
  <c r="CM135" i="3" s="1"/>
  <c r="AP68" i="117"/>
  <c r="AP22" i="117"/>
  <c r="AR21" i="117"/>
  <c r="BH24" i="8"/>
  <c r="BH25" i="8" s="1"/>
  <c r="BH17" i="8"/>
  <c r="BH8" i="8"/>
  <c r="BF35" i="17"/>
  <c r="AO159" i="117"/>
  <c r="AO154" i="117"/>
  <c r="AO151" i="117" s="1"/>
  <c r="AU152" i="117" s="1"/>
  <c r="BH32" i="17"/>
  <c r="BH20" i="17"/>
  <c r="BH21" i="17" s="1"/>
  <c r="BH8" i="17"/>
  <c r="BT43" i="7"/>
  <c r="BZ43" i="7" s="1"/>
  <c r="BC86" i="17"/>
  <c r="BC88" i="17"/>
  <c r="BC89" i="17" s="1"/>
  <c r="BE6" i="2"/>
  <c r="BI4" i="2"/>
  <c r="AL42" i="117"/>
  <c r="AL44" i="117"/>
  <c r="AL45" i="117" s="1"/>
  <c r="BN8" i="7"/>
  <c r="AN66" i="117"/>
  <c r="CJ16" i="3"/>
  <c r="CI17" i="3"/>
  <c r="BL64" i="7"/>
  <c r="BL61" i="7" s="1"/>
  <c r="BC15" i="10"/>
  <c r="BC14" i="10"/>
  <c r="BF14" i="8"/>
  <c r="CO125" i="3"/>
  <c r="CM123" i="3"/>
  <c r="BH61" i="3"/>
  <c r="BY43" i="7"/>
  <c r="AZ49" i="2"/>
  <c r="AZ50" i="2" s="1"/>
  <c r="AZ58" i="2"/>
  <c r="AZ59" i="2" s="1"/>
  <c r="AZ33" i="21"/>
  <c r="AZ31" i="21" s="1"/>
  <c r="AZ47" i="2"/>
  <c r="BM20" i="3"/>
  <c r="BL21" i="3"/>
  <c r="BB18" i="2"/>
  <c r="BB10" i="2"/>
  <c r="BB11" i="2" s="1"/>
  <c r="BB13" i="2"/>
  <c r="BB14" i="2" s="1"/>
  <c r="BF27" i="8"/>
  <c r="BM31" i="3"/>
  <c r="BN30" i="3"/>
  <c r="BG25" i="8"/>
  <c r="BI24" i="8"/>
  <c r="BI23" i="8" s="1"/>
  <c r="BI6" i="16"/>
  <c r="BH7" i="16"/>
  <c r="BK76" i="16"/>
  <c r="BO74" i="16"/>
  <c r="AY33" i="21"/>
  <c r="AY58" i="2"/>
  <c r="AY47" i="2"/>
  <c r="AY49" i="2"/>
  <c r="AY50" i="2" s="1"/>
  <c r="BI5" i="3"/>
  <c r="BK4" i="3"/>
  <c r="BF26" i="16"/>
  <c r="BF37" i="16"/>
  <c r="BB33" i="10"/>
  <c r="BC32" i="10"/>
  <c r="BC31" i="10" s="1"/>
  <c r="BA46" i="9"/>
  <c r="BA48" i="9"/>
  <c r="BC45" i="9"/>
  <c r="AZ51" i="10"/>
  <c r="AZ52" i="10" s="1"/>
  <c r="AZ49" i="10"/>
  <c r="BI82" i="17"/>
  <c r="BE84" i="17"/>
  <c r="BB48" i="9"/>
  <c r="BB46" i="9"/>
  <c r="AP162" i="117"/>
  <c r="AP158" i="117"/>
  <c r="AP149" i="117"/>
  <c r="CC98" i="15"/>
  <c r="CC112" i="21"/>
  <c r="CE86" i="15"/>
  <c r="CE94" i="15"/>
  <c r="CD95" i="15"/>
  <c r="CD103" i="15"/>
  <c r="CD90" i="21"/>
  <c r="CD97" i="15"/>
  <c r="CF85" i="15"/>
  <c r="CG85" i="15" s="1"/>
  <c r="CG86" i="15" s="1"/>
  <c r="CG84" i="15"/>
  <c r="CG83" i="15" s="1"/>
  <c r="CD45" i="15"/>
  <c r="CD46" i="15" s="1"/>
  <c r="CD37" i="15"/>
  <c r="CD38" i="15" s="1"/>
  <c r="CG6" i="15"/>
  <c r="CF7" i="15"/>
  <c r="CC45" i="15"/>
  <c r="CC37" i="15"/>
  <c r="CE8" i="15"/>
  <c r="CE32" i="15"/>
  <c r="CE33" i="15" s="1"/>
  <c r="CE25" i="15"/>
  <c r="CD75" i="15"/>
  <c r="CD26" i="15"/>
  <c r="CD28" i="15"/>
  <c r="CQ102" i="3"/>
  <c r="CR93" i="3"/>
  <c r="CU51" i="3"/>
  <c r="CS10" i="3"/>
  <c r="CS11" i="3" s="1"/>
  <c r="CS92" i="3"/>
  <c r="CS93" i="3" s="1"/>
  <c r="CV52" i="3"/>
  <c r="CU117" i="3"/>
  <c r="BO24" i="7" l="1"/>
  <c r="BO23" i="7" s="1"/>
  <c r="BX17" i="7"/>
  <c r="CD10" i="7"/>
  <c r="BR15" i="7"/>
  <c r="AR149" i="117"/>
  <c r="AR158" i="117"/>
  <c r="AR159" i="117" s="1"/>
  <c r="AR151" i="117"/>
  <c r="AR152" i="117" s="1"/>
  <c r="AR154" i="117"/>
  <c r="BG11" i="17"/>
  <c r="BK6" i="3"/>
  <c r="BO4" i="3"/>
  <c r="BK77" i="16"/>
  <c r="BL74" i="16"/>
  <c r="BL76" i="16" s="1"/>
  <c r="BL62" i="7"/>
  <c r="AP62" i="117"/>
  <c r="AP63" i="117" s="1"/>
  <c r="AP65" i="117"/>
  <c r="BF27" i="16"/>
  <c r="BR26" i="16"/>
  <c r="BX26" i="16" s="1"/>
  <c r="CD26" i="16" s="1"/>
  <c r="CJ26" i="16" s="1"/>
  <c r="CP26" i="16" s="1"/>
  <c r="CV26" i="16" s="1"/>
  <c r="DB26" i="16" s="1"/>
  <c r="DH26" i="16" s="1"/>
  <c r="BX152" i="21"/>
  <c r="BY152" i="21" s="1"/>
  <c r="BZ152" i="21" s="1"/>
  <c r="CA152" i="21" s="1"/>
  <c r="BR26" i="8"/>
  <c r="AZ48" i="21"/>
  <c r="AZ30" i="21"/>
  <c r="CP125" i="3"/>
  <c r="CP137" i="3" s="1"/>
  <c r="CP138" i="3" s="1"/>
  <c r="CO123" i="3"/>
  <c r="CO134" i="3" s="1"/>
  <c r="CJ104" i="3"/>
  <c r="CJ17" i="3"/>
  <c r="CK16" i="3"/>
  <c r="BF4" i="2"/>
  <c r="BF6" i="2" s="1"/>
  <c r="BE7" i="2"/>
  <c r="AO155" i="117"/>
  <c r="CK120" i="3"/>
  <c r="CK121" i="3" s="1"/>
  <c r="CK144" i="3"/>
  <c r="CK165" i="3"/>
  <c r="CM143" i="3"/>
  <c r="BW10" i="7"/>
  <c r="BQ17" i="7"/>
  <c r="BH81" i="16"/>
  <c r="BG25" i="16"/>
  <c r="CV13" i="7"/>
  <c r="BI61" i="3"/>
  <c r="BM53" i="3"/>
  <c r="BL54" i="3"/>
  <c r="BL60" i="3" s="1"/>
  <c r="CC13" i="7"/>
  <c r="BO25" i="7"/>
  <c r="AP167" i="117"/>
  <c r="AP178" i="117"/>
  <c r="AX145" i="117"/>
  <c r="AT147" i="117"/>
  <c r="H200" i="14"/>
  <c r="H194" i="14"/>
  <c r="BG10" i="8"/>
  <c r="BG11" i="8" s="1"/>
  <c r="BE43" i="8"/>
  <c r="BE44" i="8" s="1"/>
  <c r="BE41" i="8"/>
  <c r="AN34" i="117"/>
  <c r="AN56" i="117"/>
  <c r="AN57" i="117" s="1"/>
  <c r="AN47" i="117"/>
  <c r="AN41" i="117"/>
  <c r="BC91" i="17"/>
  <c r="BC92" i="17" s="1"/>
  <c r="AO62" i="117"/>
  <c r="BH13" i="8"/>
  <c r="BH18" i="8"/>
  <c r="BF11" i="17"/>
  <c r="BF10" i="16"/>
  <c r="BF14" i="16"/>
  <c r="BG18" i="16"/>
  <c r="BG13" i="16"/>
  <c r="BG10" i="16" s="1"/>
  <c r="BS80" i="16"/>
  <c r="AL182" i="117"/>
  <c r="AL184" i="117"/>
  <c r="AL185" i="117" s="1"/>
  <c r="BL4" i="8"/>
  <c r="BL6" i="8" s="1"/>
  <c r="BK7" i="8"/>
  <c r="BE49" i="17"/>
  <c r="BE51" i="17"/>
  <c r="BE52" i="17" s="1"/>
  <c r="BI18" i="8"/>
  <c r="BI13" i="8"/>
  <c r="BC14" i="2"/>
  <c r="BC15" i="2"/>
  <c r="BE32" i="9"/>
  <c r="BE17" i="9"/>
  <c r="BE8" i="9"/>
  <c r="BI80" i="3"/>
  <c r="BI83" i="3" s="1"/>
  <c r="BI84" i="3" s="1"/>
  <c r="BI8" i="3"/>
  <c r="BI81" i="3" s="1"/>
  <c r="I205" i="14"/>
  <c r="I217" i="14" s="1"/>
  <c r="I221" i="14" s="1"/>
  <c r="I24" i="14"/>
  <c r="I25" i="14" s="1"/>
  <c r="I16" i="14"/>
  <c r="I18" i="14"/>
  <c r="I19" i="14" s="1"/>
  <c r="I9" i="14"/>
  <c r="BG14" i="17"/>
  <c r="BQ7" i="7"/>
  <c r="BR4" i="7"/>
  <c r="BR6" i="7" s="1"/>
  <c r="AN179" i="117"/>
  <c r="AN181" i="117"/>
  <c r="CI110" i="3"/>
  <c r="CI112" i="3"/>
  <c r="BB51" i="9"/>
  <c r="BB52" i="9" s="1"/>
  <c r="BB49" i="9"/>
  <c r="BC43" i="9"/>
  <c r="BC44" i="9" s="1"/>
  <c r="BC46" i="9"/>
  <c r="BB45" i="10"/>
  <c r="BB34" i="10"/>
  <c r="BB35" i="10" s="1"/>
  <c r="BC33" i="10"/>
  <c r="BC34" i="10" s="1"/>
  <c r="BC35" i="10" s="1"/>
  <c r="AY59" i="2"/>
  <c r="BH17" i="16"/>
  <c r="BH24" i="16"/>
  <c r="BH25" i="16" s="1"/>
  <c r="BH8" i="16"/>
  <c r="BO30" i="3"/>
  <c r="BN31" i="3"/>
  <c r="BN20" i="3"/>
  <c r="BM21" i="3"/>
  <c r="CE43" i="7"/>
  <c r="CO137" i="3"/>
  <c r="BL65" i="7"/>
  <c r="BH33" i="17"/>
  <c r="BI32" i="17"/>
  <c r="BI31" i="17" s="1"/>
  <c r="BR34" i="17"/>
  <c r="BH37" i="8"/>
  <c r="BH26" i="8"/>
  <c r="BK43" i="7"/>
  <c r="BK41" i="7"/>
  <c r="AQ68" i="117"/>
  <c r="AQ22" i="117"/>
  <c r="BA51" i="10"/>
  <c r="BA52" i="10" s="1"/>
  <c r="BA49" i="10"/>
  <c r="BI7" i="16"/>
  <c r="BG46" i="17"/>
  <c r="BG48" i="17"/>
  <c r="BF41" i="8"/>
  <c r="BF43" i="8"/>
  <c r="BB38" i="2"/>
  <c r="BB46" i="2"/>
  <c r="BK59" i="3"/>
  <c r="BK58" i="3"/>
  <c r="BK61" i="3" s="1"/>
  <c r="BK55" i="3"/>
  <c r="CL144" i="3"/>
  <c r="CL120" i="3"/>
  <c r="CL121" i="3" s="1"/>
  <c r="CL165" i="3"/>
  <c r="CL166" i="3" s="1"/>
  <c r="AK60" i="117"/>
  <c r="AL59" i="117"/>
  <c r="AL60" i="117" s="1"/>
  <c r="BG4" i="9"/>
  <c r="BG6" i="9" s="1"/>
  <c r="BF7" i="9"/>
  <c r="AU5" i="117"/>
  <c r="AU7" i="117" s="1"/>
  <c r="AT8" i="117"/>
  <c r="BB10" i="10"/>
  <c r="BB11" i="10" s="1"/>
  <c r="BH84" i="3"/>
  <c r="BT83" i="3"/>
  <c r="BZ83" i="3" s="1"/>
  <c r="CF83" i="3" s="1"/>
  <c r="CL83" i="3" s="1"/>
  <c r="CR83" i="3" s="1"/>
  <c r="CX83" i="3" s="1"/>
  <c r="DD83" i="3" s="1"/>
  <c r="DJ83" i="3" s="1"/>
  <c r="BO4" i="17"/>
  <c r="BK6" i="17"/>
  <c r="AB286" i="117"/>
  <c r="AC285" i="117" s="1"/>
  <c r="AF285" i="117"/>
  <c r="AB287" i="117"/>
  <c r="AB289" i="117" s="1"/>
  <c r="AO33" i="117"/>
  <c r="AO31" i="117"/>
  <c r="BA38" i="2"/>
  <c r="BA46" i="2"/>
  <c r="BC37" i="2"/>
  <c r="AO179" i="117"/>
  <c r="AO181" i="117"/>
  <c r="AP159" i="117"/>
  <c r="AP154" i="117"/>
  <c r="AP151" i="117"/>
  <c r="BF82" i="17"/>
  <c r="BF84" i="17" s="1"/>
  <c r="BE85" i="17"/>
  <c r="BA49" i="9"/>
  <c r="BA51" i="9"/>
  <c r="BA52" i="9" s="1"/>
  <c r="BC48" i="9"/>
  <c r="BF38" i="16"/>
  <c r="BF40" i="16"/>
  <c r="AY31" i="21"/>
  <c r="BK4" i="16"/>
  <c r="BI5" i="16"/>
  <c r="BG26" i="8"/>
  <c r="BG37" i="8"/>
  <c r="BI25" i="8"/>
  <c r="BN21" i="7"/>
  <c r="BN67" i="7"/>
  <c r="BN64" i="7" s="1"/>
  <c r="CF43" i="7"/>
  <c r="AO152" i="117"/>
  <c r="AR18" i="117"/>
  <c r="AR19" i="117" s="1"/>
  <c r="AR22" i="117"/>
  <c r="AQ165" i="117"/>
  <c r="AQ26" i="117"/>
  <c r="AR25" i="117"/>
  <c r="AP38" i="117"/>
  <c r="AP30" i="117"/>
  <c r="AR26" i="117"/>
  <c r="AQ149" i="117"/>
  <c r="AQ158" i="117"/>
  <c r="AT44" i="3"/>
  <c r="AS45" i="3"/>
  <c r="AS46" i="3" s="1"/>
  <c r="BE7" i="10"/>
  <c r="BF4" i="10"/>
  <c r="BF6" i="10" s="1"/>
  <c r="BE38" i="16"/>
  <c r="BE40" i="16"/>
  <c r="AR68" i="117"/>
  <c r="BF51" i="17"/>
  <c r="BF49" i="17"/>
  <c r="BW26" i="7"/>
  <c r="BL33" i="7"/>
  <c r="BL83" i="21"/>
  <c r="AO168" i="117"/>
  <c r="BO20" i="7"/>
  <c r="CD98" i="15"/>
  <c r="CD109" i="15"/>
  <c r="CD110" i="15" s="1"/>
  <c r="CD112" i="21"/>
  <c r="CE95" i="15"/>
  <c r="CE103" i="15"/>
  <c r="CE90" i="21"/>
  <c r="CE97" i="15"/>
  <c r="CI82" i="15"/>
  <c r="CD134" i="21"/>
  <c r="CD104" i="15"/>
  <c r="CF86" i="15"/>
  <c r="CF94" i="15"/>
  <c r="CG94" i="15" s="1"/>
  <c r="CE28" i="15"/>
  <c r="CE26" i="15"/>
  <c r="CE75" i="15"/>
  <c r="CC46" i="15"/>
  <c r="CD40" i="15"/>
  <c r="CD20" i="15"/>
  <c r="CD21" i="15" s="1"/>
  <c r="CD29" i="15"/>
  <c r="CE45" i="15"/>
  <c r="CE46" i="15" s="1"/>
  <c r="CE37" i="15"/>
  <c r="CE38" i="15" s="1"/>
  <c r="CF8" i="15"/>
  <c r="CF32" i="15"/>
  <c r="CF33" i="15" s="1"/>
  <c r="CG33" i="15" s="1"/>
  <c r="CF25" i="15"/>
  <c r="CG7" i="15"/>
  <c r="CG8" i="15" s="1"/>
  <c r="CD72" i="15"/>
  <c r="CD73" i="15" s="1"/>
  <c r="CC38" i="15"/>
  <c r="CG5" i="15"/>
  <c r="CI4" i="15"/>
  <c r="CU10" i="3"/>
  <c r="CU11" i="3" s="1"/>
  <c r="CU92" i="3"/>
  <c r="CV51" i="3"/>
  <c r="CU118" i="3"/>
  <c r="CW52" i="3"/>
  <c r="CV117" i="3"/>
  <c r="CV118" i="3" s="1"/>
  <c r="BT10" i="7" l="1"/>
  <c r="BT13" i="7"/>
  <c r="BN33" i="7"/>
  <c r="CD17" i="7"/>
  <c r="CJ10" i="7"/>
  <c r="BX18" i="7"/>
  <c r="BX15" i="7"/>
  <c r="BG11" i="16"/>
  <c r="BN61" i="7"/>
  <c r="BN62" i="7" s="1"/>
  <c r="BN65" i="7"/>
  <c r="BO4" i="16"/>
  <c r="BK6" i="16"/>
  <c r="AP152" i="117"/>
  <c r="AO34" i="117"/>
  <c r="AO56" i="117"/>
  <c r="AO57" i="117" s="1"/>
  <c r="AO47" i="117"/>
  <c r="AO41" i="117"/>
  <c r="AO42" i="117" s="1"/>
  <c r="BH4" i="9"/>
  <c r="BH6" i="9" s="1"/>
  <c r="BG7" i="9"/>
  <c r="BX34" i="17"/>
  <c r="I10" i="14"/>
  <c r="I12" i="14"/>
  <c r="I13" i="14" s="1"/>
  <c r="BL7" i="8"/>
  <c r="BL17" i="8" s="1"/>
  <c r="BM4" i="8"/>
  <c r="BM6" i="8" s="1"/>
  <c r="AZ144" i="21"/>
  <c r="AZ150" i="21" s="1"/>
  <c r="AZ49" i="21"/>
  <c r="AZ51" i="21" s="1"/>
  <c r="BA167" i="117"/>
  <c r="BE32" i="10"/>
  <c r="BE8" i="10"/>
  <c r="BE17" i="10"/>
  <c r="BE20" i="10"/>
  <c r="BE21" i="10" s="1"/>
  <c r="AQ38" i="117"/>
  <c r="AQ39" i="117" s="1"/>
  <c r="AQ30" i="117"/>
  <c r="BA151" i="117"/>
  <c r="BC38" i="2"/>
  <c r="BC35" i="2"/>
  <c r="BC36" i="2" s="1"/>
  <c r="BF32" i="9"/>
  <c r="BF33" i="9" s="1"/>
  <c r="BF17" i="9"/>
  <c r="BF8" i="9"/>
  <c r="BF44" i="8"/>
  <c r="BI8" i="16"/>
  <c r="BI17" i="16"/>
  <c r="BI18" i="16" s="1"/>
  <c r="BI13" i="16"/>
  <c r="BI14" i="16" s="1"/>
  <c r="BI10" i="16"/>
  <c r="BI11" i="16" s="1"/>
  <c r="CK43" i="7"/>
  <c r="BQ30" i="3"/>
  <c r="BO31" i="3"/>
  <c r="BB46" i="10"/>
  <c r="BB48" i="10"/>
  <c r="BC45" i="10"/>
  <c r="BQ24" i="7"/>
  <c r="BQ8" i="7"/>
  <c r="BE33" i="9"/>
  <c r="BK17" i="8"/>
  <c r="BK24" i="8"/>
  <c r="BK8" i="8"/>
  <c r="BR13" i="16"/>
  <c r="AN42" i="117"/>
  <c r="CM144" i="3"/>
  <c r="CM120" i="3"/>
  <c r="CM121" i="3" s="1"/>
  <c r="BA154" i="117"/>
  <c r="CJ109" i="3"/>
  <c r="AR156" i="117"/>
  <c r="AR155" i="117"/>
  <c r="CC26" i="7"/>
  <c r="BE43" i="16"/>
  <c r="BE44" i="16" s="1"/>
  <c r="BE41" i="16"/>
  <c r="AQ166" i="117"/>
  <c r="AR165" i="117"/>
  <c r="BF41" i="16"/>
  <c r="BF43" i="16"/>
  <c r="AN182" i="117"/>
  <c r="AN184" i="117"/>
  <c r="BF11" i="16"/>
  <c r="BH10" i="8"/>
  <c r="BH14" i="8"/>
  <c r="AN48" i="117"/>
  <c r="AN59" i="117"/>
  <c r="AN50" i="117"/>
  <c r="AN51" i="117" s="1"/>
  <c r="AP179" i="117"/>
  <c r="AP181" i="117"/>
  <c r="BO37" i="7"/>
  <c r="BL59" i="3"/>
  <c r="BL55" i="3"/>
  <c r="BL58" i="3"/>
  <c r="DB13" i="7"/>
  <c r="CK166" i="3"/>
  <c r="CM165" i="3"/>
  <c r="CM166" i="3" s="1"/>
  <c r="BK7" i="3"/>
  <c r="BL4" i="3"/>
  <c r="BL6" i="3" s="1"/>
  <c r="BF52" i="17"/>
  <c r="AU44" i="3"/>
  <c r="AT45" i="3"/>
  <c r="AT46" i="3" s="1"/>
  <c r="AP31" i="117"/>
  <c r="AP33" i="117"/>
  <c r="AR30" i="117"/>
  <c r="BG38" i="8"/>
  <c r="BG40" i="8"/>
  <c r="BI37" i="8"/>
  <c r="BE88" i="17"/>
  <c r="BE86" i="17"/>
  <c r="AP155" i="117"/>
  <c r="AO182" i="117"/>
  <c r="AO184" i="117"/>
  <c r="AC286" i="117"/>
  <c r="AD285" i="117" s="1"/>
  <c r="AC287" i="117"/>
  <c r="AC289" i="117" s="1"/>
  <c r="AT9" i="117"/>
  <c r="AT25" i="117"/>
  <c r="AT21" i="117"/>
  <c r="BB49" i="2"/>
  <c r="BB50" i="2" s="1"/>
  <c r="BB33" i="21"/>
  <c r="BB31" i="21" s="1"/>
  <c r="BB58" i="2"/>
  <c r="BB59" i="2" s="1"/>
  <c r="BB47" i="2"/>
  <c r="BG49" i="17"/>
  <c r="BG51" i="17"/>
  <c r="AQ65" i="117"/>
  <c r="AQ66" i="117" s="1"/>
  <c r="BH27" i="8"/>
  <c r="CO138" i="3"/>
  <c r="BN21" i="3"/>
  <c r="BO20" i="3"/>
  <c r="BH26" i="16"/>
  <c r="BH37" i="16"/>
  <c r="BH38" i="16" s="1"/>
  <c r="CI113" i="3"/>
  <c r="CI162" i="3"/>
  <c r="I222" i="14"/>
  <c r="I258" i="14"/>
  <c r="AO63" i="117"/>
  <c r="AP168" i="117"/>
  <c r="BN53" i="3"/>
  <c r="BM54" i="3"/>
  <c r="BM60" i="3" s="1"/>
  <c r="BI24" i="16"/>
  <c r="BI23" i="16" s="1"/>
  <c r="BQ18" i="7"/>
  <c r="BQ20" i="7"/>
  <c r="BQ15" i="7"/>
  <c r="BE17" i="2"/>
  <c r="BE24" i="2"/>
  <c r="BE8" i="2"/>
  <c r="CK104" i="3"/>
  <c r="CK109" i="3" s="1"/>
  <c r="CK17" i="3"/>
  <c r="CL16" i="3"/>
  <c r="CL104" i="3" s="1"/>
  <c r="AP66" i="117"/>
  <c r="BL77" i="16"/>
  <c r="BL80" i="16" s="1"/>
  <c r="BM74" i="16"/>
  <c r="BM76" i="16" s="1"/>
  <c r="BS10" i="17"/>
  <c r="BL127" i="21"/>
  <c r="BA49" i="2"/>
  <c r="BA50" i="2" s="1"/>
  <c r="BA33" i="21"/>
  <c r="BA47" i="2"/>
  <c r="BA58" i="2"/>
  <c r="BC46" i="2"/>
  <c r="BK44" i="7"/>
  <c r="BQ43" i="7"/>
  <c r="BG14" i="16"/>
  <c r="CO135" i="3"/>
  <c r="CO143" i="3"/>
  <c r="BO67" i="7"/>
  <c r="BO17" i="7"/>
  <c r="BO21" i="7"/>
  <c r="BG4" i="10"/>
  <c r="BG6" i="10" s="1"/>
  <c r="BF7" i="10"/>
  <c r="AQ159" i="117"/>
  <c r="AQ154" i="117"/>
  <c r="AQ151" i="117" s="1"/>
  <c r="AP39" i="117"/>
  <c r="BS34" i="17"/>
  <c r="CL43" i="7"/>
  <c r="BG27" i="8"/>
  <c r="AY48" i="21"/>
  <c r="AY30" i="21"/>
  <c r="BC49" i="9"/>
  <c r="BC51" i="9"/>
  <c r="BC52" i="9" s="1"/>
  <c r="BF85" i="17"/>
  <c r="BG82" i="17"/>
  <c r="BG84" i="17" s="1"/>
  <c r="BK7" i="17"/>
  <c r="BL4" i="17"/>
  <c r="BL6" i="17" s="1"/>
  <c r="AV5" i="117"/>
  <c r="AV7" i="117" s="1"/>
  <c r="AU8" i="117"/>
  <c r="BH40" i="8"/>
  <c r="BH38" i="8"/>
  <c r="BH34" i="17"/>
  <c r="BH45" i="17"/>
  <c r="BI33" i="17"/>
  <c r="BI34" i="17" s="1"/>
  <c r="BI35" i="17" s="1"/>
  <c r="BH18" i="16"/>
  <c r="BH13" i="16"/>
  <c r="BS4" i="7"/>
  <c r="BS6" i="7" s="1"/>
  <c r="BR7" i="7"/>
  <c r="BS13" i="17"/>
  <c r="I246" i="14"/>
  <c r="BE18" i="9"/>
  <c r="BE13" i="9"/>
  <c r="BE14" i="9" s="1"/>
  <c r="BE10" i="9"/>
  <c r="BE11" i="9" s="1"/>
  <c r="BE20" i="9"/>
  <c r="BE21" i="9" s="1"/>
  <c r="BI15" i="8"/>
  <c r="BI14" i="8"/>
  <c r="BY80" i="16"/>
  <c r="AU145" i="117"/>
  <c r="AU147" i="117" s="1"/>
  <c r="AT148" i="117"/>
  <c r="CI13" i="7"/>
  <c r="BG26" i="16"/>
  <c r="BG37" i="16"/>
  <c r="BI25" i="16"/>
  <c r="BI26" i="16" s="1"/>
  <c r="BI27" i="16" s="1"/>
  <c r="CC10" i="7"/>
  <c r="BW17" i="7"/>
  <c r="BF7" i="2"/>
  <c r="BG4" i="2"/>
  <c r="BG6" i="2" s="1"/>
  <c r="CQ125" i="3"/>
  <c r="CQ137" i="3" s="1"/>
  <c r="CQ138" i="3" s="1"/>
  <c r="CP123" i="3"/>
  <c r="CP134" i="3" s="1"/>
  <c r="BX26" i="8"/>
  <c r="BK80" i="16"/>
  <c r="BK78" i="16"/>
  <c r="CG95" i="15"/>
  <c r="CG88" i="15"/>
  <c r="CG89" i="15" s="1"/>
  <c r="CE98" i="15"/>
  <c r="CE109" i="15"/>
  <c r="CE110" i="15" s="1"/>
  <c r="CE112" i="21"/>
  <c r="CF95" i="15"/>
  <c r="CF103" i="15"/>
  <c r="CF90" i="21"/>
  <c r="CG90" i="21" s="1"/>
  <c r="CF97" i="15"/>
  <c r="CI84" i="15"/>
  <c r="CM82" i="15"/>
  <c r="CE104" i="15"/>
  <c r="CE134" i="21"/>
  <c r="CD69" i="15"/>
  <c r="CD70" i="15" s="1"/>
  <c r="CF26" i="15"/>
  <c r="CF28" i="15"/>
  <c r="CF75" i="15"/>
  <c r="CD86" i="21"/>
  <c r="CD41" i="15"/>
  <c r="CD48" i="15"/>
  <c r="CD49" i="15" s="1"/>
  <c r="CD60" i="15"/>
  <c r="CE40" i="15"/>
  <c r="CE29" i="15"/>
  <c r="CE20" i="15"/>
  <c r="CE21" i="15" s="1"/>
  <c r="CM4" i="15"/>
  <c r="CI6" i="15"/>
  <c r="CF45" i="15"/>
  <c r="CG32" i="15"/>
  <c r="CG31" i="15" s="1"/>
  <c r="CE72" i="15"/>
  <c r="CE73" i="15" s="1"/>
  <c r="CV10" i="3"/>
  <c r="CV11" i="3" s="1"/>
  <c r="CW51" i="3"/>
  <c r="CV92" i="3"/>
  <c r="CU101" i="3"/>
  <c r="CU93" i="3"/>
  <c r="CX52" i="3"/>
  <c r="CW117" i="3"/>
  <c r="CW118" i="3" s="1"/>
  <c r="BZ13" i="7" l="1"/>
  <c r="BT17" i="7"/>
  <c r="BT18" i="7" s="1"/>
  <c r="BZ10" i="7"/>
  <c r="BL81" i="16"/>
  <c r="BR80" i="16"/>
  <c r="BX80" i="16" s="1"/>
  <c r="CD80" i="16" s="1"/>
  <c r="CJ80" i="16" s="1"/>
  <c r="BL61" i="3"/>
  <c r="CM104" i="3"/>
  <c r="BN83" i="21"/>
  <c r="CP10" i="7"/>
  <c r="CJ17" i="7"/>
  <c r="CD18" i="7"/>
  <c r="CD15" i="7"/>
  <c r="BL18" i="8"/>
  <c r="BL13" i="8"/>
  <c r="BL10" i="8"/>
  <c r="AQ152" i="117"/>
  <c r="BL67" i="8"/>
  <c r="BL21" i="8"/>
  <c r="BW18" i="7"/>
  <c r="BW15" i="7"/>
  <c r="AU148" i="117"/>
  <c r="AV145" i="117"/>
  <c r="AV147" i="117" s="1"/>
  <c r="BR24" i="7"/>
  <c r="BR25" i="7" s="1"/>
  <c r="BR8" i="7"/>
  <c r="BR20" i="7"/>
  <c r="BH41" i="8"/>
  <c r="BH43" i="8"/>
  <c r="BY34" i="17"/>
  <c r="BA31" i="21"/>
  <c r="BC33" i="21"/>
  <c r="BO53" i="3"/>
  <c r="BN54" i="3"/>
  <c r="BF17" i="2"/>
  <c r="BF24" i="2"/>
  <c r="BF25" i="2" s="1"/>
  <c r="BF8" i="2"/>
  <c r="BG38" i="16"/>
  <c r="BG40" i="16"/>
  <c r="BI37" i="16"/>
  <c r="AT158" i="117"/>
  <c r="AT165" i="117"/>
  <c r="AT149" i="117"/>
  <c r="BY13" i="17"/>
  <c r="AU9" i="117"/>
  <c r="AU25" i="117"/>
  <c r="AU26" i="117" s="1"/>
  <c r="AU21" i="117"/>
  <c r="AY144" i="21"/>
  <c r="AY49" i="21"/>
  <c r="AY51" i="21" s="1"/>
  <c r="BH4" i="10"/>
  <c r="BH6" i="10" s="1"/>
  <c r="BG7" i="10"/>
  <c r="CO120" i="3"/>
  <c r="CO121" i="3" s="1"/>
  <c r="CO144" i="3"/>
  <c r="CO165" i="3"/>
  <c r="BW43" i="7"/>
  <c r="BS17" i="17"/>
  <c r="BS15" i="17" s="1"/>
  <c r="BY10" i="17"/>
  <c r="BM77" i="16"/>
  <c r="BN74" i="16"/>
  <c r="BN76" i="16" s="1"/>
  <c r="CL17" i="3"/>
  <c r="CM16" i="3"/>
  <c r="BQ67" i="7"/>
  <c r="BQ64" i="7" s="1"/>
  <c r="BQ21" i="7"/>
  <c r="BM59" i="3"/>
  <c r="BM58" i="3"/>
  <c r="BM55" i="3"/>
  <c r="BE91" i="17"/>
  <c r="BE89" i="17"/>
  <c r="AR31" i="117"/>
  <c r="AR27" i="117"/>
  <c r="AR28" i="117" s="1"/>
  <c r="AV44" i="3"/>
  <c r="AU45" i="3"/>
  <c r="AU46" i="3" s="1"/>
  <c r="CI26" i="7"/>
  <c r="BG154" i="117"/>
  <c r="BQ25" i="7"/>
  <c r="BB51" i="10"/>
  <c r="BB52" i="10" s="1"/>
  <c r="BB49" i="10"/>
  <c r="BC48" i="10"/>
  <c r="AQ33" i="117"/>
  <c r="AQ31" i="117"/>
  <c r="BE33" i="10"/>
  <c r="BG27" i="16"/>
  <c r="BS26" i="16"/>
  <c r="BY26" i="16" s="1"/>
  <c r="CE26" i="16" s="1"/>
  <c r="CK26" i="16" s="1"/>
  <c r="CQ26" i="16" s="1"/>
  <c r="CW26" i="16" s="1"/>
  <c r="DC26" i="16" s="1"/>
  <c r="DI26" i="16" s="1"/>
  <c r="CE80" i="16"/>
  <c r="AV8" i="117"/>
  <c r="AW5" i="117"/>
  <c r="AW7" i="117" s="1"/>
  <c r="BS26" i="8"/>
  <c r="BL78" i="16"/>
  <c r="BE25" i="2"/>
  <c r="AP34" i="117"/>
  <c r="AP56" i="117"/>
  <c r="AP57" i="117" s="1"/>
  <c r="AP47" i="117"/>
  <c r="AP41" i="117"/>
  <c r="AP184" i="117"/>
  <c r="AP182" i="117"/>
  <c r="AN60" i="117"/>
  <c r="BH11" i="8"/>
  <c r="AN185" i="117"/>
  <c r="BE34" i="9"/>
  <c r="BE35" i="9" s="1"/>
  <c r="BE45" i="9"/>
  <c r="CQ43" i="7"/>
  <c r="CW43" i="7" s="1"/>
  <c r="DC43" i="7" s="1"/>
  <c r="DI43" i="7" s="1"/>
  <c r="AO48" i="117"/>
  <c r="AO50" i="117"/>
  <c r="AO51" i="117" s="1"/>
  <c r="AO59" i="117"/>
  <c r="AO60" i="117" s="1"/>
  <c r="CR125" i="3"/>
  <c r="CQ123" i="3"/>
  <c r="CQ134" i="3" s="1"/>
  <c r="CI10" i="7"/>
  <c r="CC17" i="7"/>
  <c r="BT4" i="7"/>
  <c r="BT6" i="7" s="1"/>
  <c r="BS7" i="7"/>
  <c r="BH46" i="17"/>
  <c r="BH48" i="17"/>
  <c r="BI45" i="17"/>
  <c r="BM4" i="17"/>
  <c r="BM6" i="17" s="1"/>
  <c r="BL7" i="17"/>
  <c r="BH82" i="17"/>
  <c r="BH84" i="17" s="1"/>
  <c r="BG85" i="17"/>
  <c r="AR38" i="117"/>
  <c r="BO18" i="7"/>
  <c r="J3" i="11"/>
  <c r="J5" i="11" s="1"/>
  <c r="BC47" i="2"/>
  <c r="BC49" i="2"/>
  <c r="BC50" i="2" s="1"/>
  <c r="AR65" i="117"/>
  <c r="CK110" i="3"/>
  <c r="CK112" i="3"/>
  <c r="BE18" i="2"/>
  <c r="BE13" i="2"/>
  <c r="BB167" i="117"/>
  <c r="AR33" i="117"/>
  <c r="BH27" i="16"/>
  <c r="BT26" i="16"/>
  <c r="BZ26" i="16" s="1"/>
  <c r="CF26" i="16" s="1"/>
  <c r="CL26" i="16" s="1"/>
  <c r="CR26" i="16" s="1"/>
  <c r="CX26" i="16" s="1"/>
  <c r="DD26" i="16" s="1"/>
  <c r="DJ26" i="16" s="1"/>
  <c r="AQ62" i="117"/>
  <c r="AT22" i="117"/>
  <c r="AT68" i="117"/>
  <c r="AD287" i="117"/>
  <c r="AD289" i="117" s="1"/>
  <c r="AD286" i="117"/>
  <c r="AE285" i="117" s="1"/>
  <c r="BI38" i="8"/>
  <c r="BI35" i="8"/>
  <c r="BI36" i="8" s="1"/>
  <c r="BM4" i="3"/>
  <c r="BM6" i="3" s="1"/>
  <c r="BL7" i="3"/>
  <c r="DH13" i="7"/>
  <c r="BR10" i="16"/>
  <c r="AQ167" i="117"/>
  <c r="AQ178" i="117"/>
  <c r="AR166" i="117"/>
  <c r="AR167" i="117" s="1"/>
  <c r="AR168" i="117" s="1"/>
  <c r="CJ110" i="3"/>
  <c r="CJ112" i="3"/>
  <c r="BK25" i="8"/>
  <c r="BF20" i="9"/>
  <c r="BF21" i="9" s="1"/>
  <c r="BF13" i="9"/>
  <c r="BF10" i="9" s="1"/>
  <c r="BF18" i="9"/>
  <c r="BE13" i="10"/>
  <c r="BE18" i="10"/>
  <c r="BG167" i="117"/>
  <c r="BN4" i="8"/>
  <c r="BN6" i="8" s="1"/>
  <c r="BM7" i="8"/>
  <c r="BG8" i="9"/>
  <c r="BG17" i="9"/>
  <c r="BG32" i="9"/>
  <c r="BG33" i="9" s="1"/>
  <c r="BL4" i="16"/>
  <c r="BL6" i="16" s="1"/>
  <c r="BK7" i="16"/>
  <c r="CP135" i="3"/>
  <c r="CP143" i="3"/>
  <c r="AQ155" i="117"/>
  <c r="BK81" i="16"/>
  <c r="BQ80" i="16"/>
  <c r="CD26" i="8"/>
  <c r="BH4" i="2"/>
  <c r="BH6" i="2" s="1"/>
  <c r="BG7" i="2"/>
  <c r="CO13" i="7"/>
  <c r="BH10" i="16"/>
  <c r="BH14" i="16"/>
  <c r="BH35" i="17"/>
  <c r="BK32" i="17"/>
  <c r="BK8" i="17"/>
  <c r="BF88" i="17"/>
  <c r="BF86" i="17"/>
  <c r="CR43" i="7"/>
  <c r="CX43" i="7" s="1"/>
  <c r="DD43" i="7" s="1"/>
  <c r="DJ43" i="7" s="1"/>
  <c r="BF32" i="10"/>
  <c r="BF33" i="10" s="1"/>
  <c r="BF20" i="10"/>
  <c r="BF21" i="10" s="1"/>
  <c r="BF17" i="10"/>
  <c r="BF8" i="10"/>
  <c r="BA59" i="2"/>
  <c r="BC58" i="2"/>
  <c r="BC59" i="2" s="1"/>
  <c r="CI163" i="3"/>
  <c r="BO21" i="3"/>
  <c r="BQ20" i="3"/>
  <c r="BT26" i="8"/>
  <c r="BG52" i="17"/>
  <c r="BB48" i="21"/>
  <c r="BB30" i="21"/>
  <c r="AT26" i="117"/>
  <c r="AO185" i="117"/>
  <c r="BG41" i="8"/>
  <c r="BG43" i="8"/>
  <c r="BI40" i="8"/>
  <c r="BK80" i="3"/>
  <c r="BK83" i="3" s="1"/>
  <c r="BK8" i="3"/>
  <c r="BK81" i="3" s="1"/>
  <c r="BO35" i="7"/>
  <c r="BO36" i="7" s="1"/>
  <c r="BO38" i="7"/>
  <c r="BT13" i="8"/>
  <c r="BF44" i="16"/>
  <c r="BR43" i="16"/>
  <c r="BX43" i="16" s="1"/>
  <c r="CD43" i="16" s="1"/>
  <c r="CJ43" i="16" s="1"/>
  <c r="CP43" i="16" s="1"/>
  <c r="CV43" i="16" s="1"/>
  <c r="DB43" i="16" s="1"/>
  <c r="DH43" i="16" s="1"/>
  <c r="BM83" i="21"/>
  <c r="BM33" i="7"/>
  <c r="BO32" i="7"/>
  <c r="BO33" i="7" s="1"/>
  <c r="BX13" i="16"/>
  <c r="BK18" i="8"/>
  <c r="BK13" i="8"/>
  <c r="BK10" i="8"/>
  <c r="BC46" i="10"/>
  <c r="BC43" i="10"/>
  <c r="BC44" i="10" s="1"/>
  <c r="BQ31" i="3"/>
  <c r="BR30" i="3"/>
  <c r="BF34" i="9"/>
  <c r="BF45" i="9"/>
  <c r="BA158" i="117"/>
  <c r="BG151" i="117"/>
  <c r="BL8" i="8"/>
  <c r="CD34" i="17"/>
  <c r="BI6" i="9"/>
  <c r="BH7" i="9"/>
  <c r="CI85" i="15"/>
  <c r="CJ82" i="15"/>
  <c r="CJ84" i="15" s="1"/>
  <c r="CF98" i="15"/>
  <c r="CF109" i="15"/>
  <c r="CF110" i="15" s="1"/>
  <c r="CF112" i="21"/>
  <c r="CG97" i="15"/>
  <c r="CF104" i="15"/>
  <c r="CF134" i="21"/>
  <c r="CE69" i="15"/>
  <c r="CE70" i="15" s="1"/>
  <c r="CF72" i="15"/>
  <c r="CF73" i="15" s="1"/>
  <c r="CF46" i="15"/>
  <c r="CG45" i="15"/>
  <c r="CF20" i="15"/>
  <c r="CF21" i="15" s="1"/>
  <c r="CF29" i="15"/>
  <c r="CI7" i="15"/>
  <c r="CJ4" i="15"/>
  <c r="CJ6" i="15" s="1"/>
  <c r="CE41" i="15"/>
  <c r="CE60" i="15"/>
  <c r="CE86" i="21"/>
  <c r="CD54" i="15"/>
  <c r="CD61" i="15"/>
  <c r="CD130" i="21"/>
  <c r="CV101" i="3"/>
  <c r="CV93" i="3"/>
  <c r="CU102" i="3"/>
  <c r="CX51" i="3"/>
  <c r="CW92" i="3"/>
  <c r="CW10" i="3"/>
  <c r="CW11" i="3" s="1"/>
  <c r="CY52" i="3"/>
  <c r="CX117" i="3"/>
  <c r="BZ17" i="7" l="1"/>
  <c r="BZ18" i="7" s="1"/>
  <c r="CF10" i="7"/>
  <c r="BT15" i="7"/>
  <c r="CF13" i="7"/>
  <c r="BL17" i="17"/>
  <c r="BL18" i="17" s="1"/>
  <c r="BL20" i="17"/>
  <c r="BL21" i="17" s="1"/>
  <c r="BM61" i="3"/>
  <c r="BO83" i="21"/>
  <c r="BN127" i="21"/>
  <c r="CJ18" i="7"/>
  <c r="CJ15" i="7"/>
  <c r="CP17" i="7"/>
  <c r="CV10" i="7"/>
  <c r="BL11" i="8"/>
  <c r="BR10" i="8"/>
  <c r="BL14" i="8"/>
  <c r="BR13" i="8"/>
  <c r="AU162" i="117"/>
  <c r="AU208" i="117"/>
  <c r="BF11" i="9"/>
  <c r="BH17" i="9"/>
  <c r="BH32" i="9"/>
  <c r="BH8" i="9"/>
  <c r="BQ83" i="3"/>
  <c r="BW83" i="3" s="1"/>
  <c r="CC83" i="3" s="1"/>
  <c r="CI83" i="3" s="1"/>
  <c r="CO83" i="3" s="1"/>
  <c r="CU83" i="3" s="1"/>
  <c r="DA83" i="3" s="1"/>
  <c r="DG83" i="3" s="1"/>
  <c r="BK84" i="3"/>
  <c r="J6" i="11"/>
  <c r="L76" i="12" s="1"/>
  <c r="L78" i="12" s="1"/>
  <c r="BS8" i="7"/>
  <c r="BS24" i="7"/>
  <c r="AP185" i="117"/>
  <c r="BY26" i="8"/>
  <c r="CO26" i="7"/>
  <c r="CE13" i="17"/>
  <c r="CJ34" i="17"/>
  <c r="BA159" i="117"/>
  <c r="BF35" i="9"/>
  <c r="BK14" i="8"/>
  <c r="BQ13" i="8"/>
  <c r="BA184" i="117"/>
  <c r="AT38" i="117"/>
  <c r="AT30" i="117"/>
  <c r="BS51" i="17"/>
  <c r="BQ21" i="3"/>
  <c r="BR20" i="3"/>
  <c r="BF34" i="10"/>
  <c r="BF45" i="10"/>
  <c r="BF89" i="17"/>
  <c r="BF91" i="17"/>
  <c r="BI6" i="2"/>
  <c r="BH7" i="2"/>
  <c r="BC154" i="117"/>
  <c r="BK24" i="16"/>
  <c r="BK8" i="16"/>
  <c r="BG18" i="9"/>
  <c r="BG20" i="9"/>
  <c r="BG21" i="9" s="1"/>
  <c r="BG13" i="9"/>
  <c r="BG10" i="9" s="1"/>
  <c r="AQ179" i="117"/>
  <c r="AQ181" i="117"/>
  <c r="AR178" i="117"/>
  <c r="AQ63" i="117"/>
  <c r="AR62" i="117"/>
  <c r="BL75" i="17"/>
  <c r="BL72" i="17" s="1"/>
  <c r="CK162" i="3"/>
  <c r="CK163" i="3" s="1"/>
  <c r="CK113" i="3"/>
  <c r="BL45" i="17"/>
  <c r="BL8" i="17"/>
  <c r="CO10" i="7"/>
  <c r="CI17" i="7"/>
  <c r="BE46" i="9"/>
  <c r="BE48" i="9"/>
  <c r="BT10" i="8"/>
  <c r="BE34" i="10"/>
  <c r="BE35" i="10" s="1"/>
  <c r="BE45" i="10"/>
  <c r="BC49" i="10"/>
  <c r="BC51" i="10"/>
  <c r="BC52" i="10" s="1"/>
  <c r="BQ37" i="7"/>
  <c r="BQ29" i="7"/>
  <c r="CO16" i="3"/>
  <c r="CM17" i="3"/>
  <c r="BM78" i="16"/>
  <c r="BG32" i="10"/>
  <c r="BG33" i="10" s="1"/>
  <c r="BG45" i="10" s="1"/>
  <c r="BG20" i="10"/>
  <c r="BG21" i="10" s="1"/>
  <c r="BG17" i="10"/>
  <c r="BG8" i="10"/>
  <c r="AT154" i="117"/>
  <c r="AT159" i="117"/>
  <c r="BA48" i="21"/>
  <c r="BA30" i="21"/>
  <c r="BC31" i="21"/>
  <c r="AV148" i="117"/>
  <c r="AV158" i="117" s="1"/>
  <c r="AW145" i="117"/>
  <c r="AW147" i="117" s="1"/>
  <c r="BI44" i="8"/>
  <c r="BI43" i="8"/>
  <c r="BI41" i="8"/>
  <c r="BM167" i="117"/>
  <c r="BK37" i="8"/>
  <c r="BK26" i="8"/>
  <c r="AQ168" i="117"/>
  <c r="CQ135" i="3"/>
  <c r="CQ143" i="3"/>
  <c r="CK80" i="16"/>
  <c r="BI6" i="10"/>
  <c r="BH7" i="10"/>
  <c r="BF26" i="2"/>
  <c r="BF37" i="2"/>
  <c r="BL64" i="8"/>
  <c r="BL65" i="8" s="1"/>
  <c r="BK4" i="9"/>
  <c r="BI5" i="9"/>
  <c r="BZ13" i="8"/>
  <c r="BG44" i="8"/>
  <c r="BS43" i="8"/>
  <c r="BY43" i="8" s="1"/>
  <c r="CE43" i="8" s="1"/>
  <c r="CK43" i="8" s="1"/>
  <c r="CQ43" i="8" s="1"/>
  <c r="CW43" i="8" s="1"/>
  <c r="DC43" i="8" s="1"/>
  <c r="DI43" i="8" s="1"/>
  <c r="BF18" i="10"/>
  <c r="BF13" i="10"/>
  <c r="BK33" i="17"/>
  <c r="CP80" i="16"/>
  <c r="CU13" i="7"/>
  <c r="CJ26" i="8"/>
  <c r="CP120" i="3"/>
  <c r="CP121" i="3" s="1"/>
  <c r="CP144" i="3"/>
  <c r="CP165" i="3"/>
  <c r="CP166" i="3" s="1"/>
  <c r="BI7" i="9"/>
  <c r="BM8" i="8"/>
  <c r="BX10" i="16"/>
  <c r="BR17" i="16"/>
  <c r="BL8" i="3"/>
  <c r="BL81" i="3" s="1"/>
  <c r="BL80" i="3"/>
  <c r="BL83" i="3" s="1"/>
  <c r="AE286" i="117"/>
  <c r="AF286" i="117" s="1"/>
  <c r="AE287" i="117"/>
  <c r="AT65" i="117"/>
  <c r="AT62" i="117"/>
  <c r="BE10" i="2"/>
  <c r="BE11" i="2" s="1"/>
  <c r="BE14" i="2"/>
  <c r="AR14" i="117"/>
  <c r="AR66" i="117"/>
  <c r="AR39" i="117"/>
  <c r="AR36" i="117"/>
  <c r="AR37" i="117" s="1"/>
  <c r="BG88" i="17"/>
  <c r="BG86" i="17"/>
  <c r="BI43" i="17"/>
  <c r="BI44" i="17" s="1"/>
  <c r="BI46" i="17"/>
  <c r="BU6" i="7"/>
  <c r="BW4" i="7" s="1"/>
  <c r="BT7" i="7"/>
  <c r="BU7" i="7" s="1"/>
  <c r="BU8" i="7" s="1"/>
  <c r="CR137" i="3"/>
  <c r="CS125" i="3"/>
  <c r="CR123" i="3"/>
  <c r="CR134" i="3" s="1"/>
  <c r="AZ184" i="117"/>
  <c r="AP42" i="117"/>
  <c r="AR41" i="117"/>
  <c r="BL84" i="16"/>
  <c r="BL91" i="21"/>
  <c r="AW8" i="117"/>
  <c r="AZ5" i="117"/>
  <c r="AX7" i="117"/>
  <c r="AQ34" i="117"/>
  <c r="AQ56" i="117"/>
  <c r="AQ57" i="117" s="1"/>
  <c r="AQ47" i="117"/>
  <c r="AQ41" i="117"/>
  <c r="AQ42" i="117" s="1"/>
  <c r="BA156" i="117"/>
  <c r="BS20" i="17"/>
  <c r="AY150" i="21"/>
  <c r="AU38" i="117"/>
  <c r="AU39" i="117" s="1"/>
  <c r="AU30" i="117"/>
  <c r="BG41" i="16"/>
  <c r="BG43" i="16"/>
  <c r="BF13" i="2"/>
  <c r="BF18" i="2"/>
  <c r="BN60" i="3"/>
  <c r="BN58" i="3"/>
  <c r="BO54" i="3"/>
  <c r="BO60" i="3" s="1"/>
  <c r="BN55" i="3"/>
  <c r="BN59" i="3"/>
  <c r="CE34" i="17"/>
  <c r="BC151" i="117"/>
  <c r="BM47" i="7"/>
  <c r="BM49" i="7"/>
  <c r="BM50" i="7" s="1"/>
  <c r="BM105" i="21"/>
  <c r="BM58" i="7"/>
  <c r="BM4" i="16"/>
  <c r="BM6" i="16" s="1"/>
  <c r="BL7" i="16"/>
  <c r="CJ162" i="3"/>
  <c r="CJ113" i="3"/>
  <c r="BH167" i="117"/>
  <c r="BM7" i="17"/>
  <c r="BN4" i="17"/>
  <c r="BN6" i="17" s="1"/>
  <c r="BE26" i="2"/>
  <c r="BE27" i="2" s="1"/>
  <c r="BE37" i="2"/>
  <c r="BY17" i="17"/>
  <c r="CE10" i="17"/>
  <c r="CO166" i="3"/>
  <c r="AU68" i="117"/>
  <c r="AU22" i="117"/>
  <c r="BI38" i="16"/>
  <c r="BI35" i="16"/>
  <c r="BI36" i="16" s="1"/>
  <c r="BR21" i="7"/>
  <c r="BR67" i="7"/>
  <c r="AU149" i="117"/>
  <c r="BG158" i="117"/>
  <c r="BG156" i="117" s="1"/>
  <c r="BM151" i="117"/>
  <c r="BF46" i="9"/>
  <c r="BF48" i="9"/>
  <c r="BR31" i="3"/>
  <c r="BS30" i="3"/>
  <c r="BK11" i="8"/>
  <c r="BQ10" i="8"/>
  <c r="CD13" i="16"/>
  <c r="BM127" i="21"/>
  <c r="BO52" i="7"/>
  <c r="BB144" i="21"/>
  <c r="BB150" i="21" s="1"/>
  <c r="BB49" i="21"/>
  <c r="BB51" i="21" s="1"/>
  <c r="BZ26" i="8"/>
  <c r="BT34" i="17"/>
  <c r="BH11" i="16"/>
  <c r="BG24" i="2"/>
  <c r="BG25" i="2" s="1"/>
  <c r="BG17" i="2"/>
  <c r="BG8" i="2"/>
  <c r="BW80" i="16"/>
  <c r="BG34" i="9"/>
  <c r="BG35" i="9" s="1"/>
  <c r="BG45" i="9"/>
  <c r="BN7" i="8"/>
  <c r="BO7" i="8" s="1"/>
  <c r="BO8" i="8" s="1"/>
  <c r="BO6" i="8"/>
  <c r="BQ4" i="8" s="1"/>
  <c r="BE10" i="10"/>
  <c r="BE11" i="10" s="1"/>
  <c r="BE14" i="10"/>
  <c r="BF14" i="9"/>
  <c r="BN4" i="3"/>
  <c r="BN6" i="3" s="1"/>
  <c r="BM7" i="3"/>
  <c r="AR34" i="117"/>
  <c r="AR56" i="117"/>
  <c r="AR57" i="117" s="1"/>
  <c r="BH85" i="17"/>
  <c r="BI84" i="17"/>
  <c r="BH51" i="17"/>
  <c r="BH49" i="17"/>
  <c r="BI48" i="17"/>
  <c r="CC18" i="7"/>
  <c r="CC15" i="7"/>
  <c r="AP59" i="117"/>
  <c r="AP60" i="117" s="1"/>
  <c r="AP50" i="117"/>
  <c r="AP51" i="117" s="1"/>
  <c r="AP48" i="117"/>
  <c r="AV25" i="117"/>
  <c r="AV9" i="117"/>
  <c r="AV21" i="117"/>
  <c r="AX8" i="117"/>
  <c r="AX9" i="117" s="1"/>
  <c r="BM154" i="117"/>
  <c r="AW44" i="3"/>
  <c r="AV45" i="3"/>
  <c r="AV46" i="3" s="1"/>
  <c r="BE92" i="17"/>
  <c r="BQ61" i="7"/>
  <c r="BQ62" i="7" s="1"/>
  <c r="BQ65" i="7"/>
  <c r="BO76" i="16"/>
  <c r="BQ74" i="16" s="1"/>
  <c r="BN77" i="16"/>
  <c r="BO77" i="16" s="1"/>
  <c r="BO78" i="16" s="1"/>
  <c r="CC43" i="7"/>
  <c r="AT166" i="117"/>
  <c r="BQ53" i="3"/>
  <c r="BH44" i="8"/>
  <c r="BR37" i="7"/>
  <c r="BR38" i="7" s="1"/>
  <c r="BR29" i="7"/>
  <c r="BR30" i="7" s="1"/>
  <c r="CG98" i="15"/>
  <c r="CG112" i="21"/>
  <c r="CG100" i="15"/>
  <c r="CG101" i="15" s="1"/>
  <c r="O200" i="11"/>
  <c r="CK82" i="15"/>
  <c r="CK84" i="15" s="1"/>
  <c r="CJ85" i="15"/>
  <c r="CI86" i="15"/>
  <c r="CI94" i="15"/>
  <c r="CF69" i="15"/>
  <c r="CF70" i="15" s="1"/>
  <c r="CI8" i="15"/>
  <c r="CI32" i="15"/>
  <c r="CG46" i="15"/>
  <c r="CG43" i="15"/>
  <c r="CG44" i="15" s="1"/>
  <c r="CD57" i="15"/>
  <c r="CD58" i="15" s="1"/>
  <c r="CD55" i="15"/>
  <c r="CD66" i="15"/>
  <c r="CD67" i="15" s="1"/>
  <c r="CD108" i="21"/>
  <c r="CD116" i="15"/>
  <c r="CE130" i="21"/>
  <c r="CE61" i="15"/>
  <c r="CK4" i="15"/>
  <c r="CK6" i="15" s="1"/>
  <c r="CJ7" i="15"/>
  <c r="CW101" i="3"/>
  <c r="CW93" i="3"/>
  <c r="CY51" i="3"/>
  <c r="CX10" i="3"/>
  <c r="CX11" i="3" s="1"/>
  <c r="CX92" i="3"/>
  <c r="CV102" i="3"/>
  <c r="DA52" i="3"/>
  <c r="CX118" i="3"/>
  <c r="CY117" i="3"/>
  <c r="CY118" i="3" s="1"/>
  <c r="BZ15" i="7" l="1"/>
  <c r="CL13" i="7"/>
  <c r="CF17" i="7"/>
  <c r="CF18" i="7" s="1"/>
  <c r="CL10" i="7"/>
  <c r="AV159" i="117"/>
  <c r="AV154" i="117"/>
  <c r="AV151" i="117" s="1"/>
  <c r="BS21" i="17"/>
  <c r="BM20" i="17"/>
  <c r="BM21" i="17" s="1"/>
  <c r="BM17" i="17"/>
  <c r="BL46" i="17"/>
  <c r="BL48" i="17"/>
  <c r="BL84" i="3"/>
  <c r="BR83" i="3"/>
  <c r="BX83" i="3" s="1"/>
  <c r="CD83" i="3" s="1"/>
  <c r="CJ83" i="3" s="1"/>
  <c r="CP83" i="3" s="1"/>
  <c r="CV83" i="3" s="1"/>
  <c r="DB83" i="3" s="1"/>
  <c r="DH83" i="3" s="1"/>
  <c r="BN58" i="7"/>
  <c r="BN59" i="7" s="1"/>
  <c r="BN105" i="21"/>
  <c r="CV17" i="7"/>
  <c r="DB10" i="7"/>
  <c r="CP18" i="7"/>
  <c r="CP15" i="7"/>
  <c r="BX13" i="8"/>
  <c r="BX10" i="8"/>
  <c r="BR17" i="8"/>
  <c r="BR18" i="8" s="1"/>
  <c r="BL61" i="8"/>
  <c r="BL62" i="8" s="1"/>
  <c r="BG11" i="9"/>
  <c r="AY44" i="3"/>
  <c r="AW45" i="3"/>
  <c r="AW46" i="3" s="1"/>
  <c r="BL67" i="16"/>
  <c r="BL21" i="16"/>
  <c r="BM59" i="7"/>
  <c r="BG89" i="17"/>
  <c r="BG91" i="17"/>
  <c r="AT63" i="117"/>
  <c r="BI8" i="9"/>
  <c r="BI17" i="9"/>
  <c r="BI18" i="9" s="1"/>
  <c r="BI20" i="9"/>
  <c r="BI21" i="9" s="1"/>
  <c r="BI13" i="9"/>
  <c r="BI10" i="9"/>
  <c r="BI11" i="9" s="1"/>
  <c r="CP16" i="3"/>
  <c r="CO17" i="3"/>
  <c r="BT43" i="8"/>
  <c r="CI43" i="7"/>
  <c r="AV68" i="117"/>
  <c r="AV22" i="117"/>
  <c r="BH52" i="17"/>
  <c r="BT51" i="17"/>
  <c r="BZ51" i="17" s="1"/>
  <c r="CF51" i="17" s="1"/>
  <c r="CL51" i="17" s="1"/>
  <c r="CR51" i="17" s="1"/>
  <c r="CX51" i="17" s="1"/>
  <c r="DD51" i="17" s="1"/>
  <c r="DJ51" i="17" s="1"/>
  <c r="BG46" i="9"/>
  <c r="BG48" i="9"/>
  <c r="BG18" i="2"/>
  <c r="BG13" i="2"/>
  <c r="BG10" i="2"/>
  <c r="CF26" i="8"/>
  <c r="BQ17" i="8"/>
  <c r="BW10" i="8"/>
  <c r="BF51" i="9"/>
  <c r="BF49" i="9"/>
  <c r="AU65" i="117"/>
  <c r="AU66" i="117" s="1"/>
  <c r="BY18" i="17"/>
  <c r="BY20" i="17"/>
  <c r="BY21" i="17" s="1"/>
  <c r="BO6" i="17"/>
  <c r="BN7" i="17"/>
  <c r="BO59" i="3"/>
  <c r="BO58" i="3"/>
  <c r="AU31" i="117"/>
  <c r="AU33" i="117"/>
  <c r="AR44" i="117"/>
  <c r="AR45" i="117" s="1"/>
  <c r="AR42" i="117"/>
  <c r="BT24" i="7"/>
  <c r="BT25" i="7" s="1"/>
  <c r="BT8" i="7"/>
  <c r="BT20" i="7"/>
  <c r="AF304" i="117"/>
  <c r="AF305" i="117" s="1"/>
  <c r="I262" i="14"/>
  <c r="I263" i="14" s="1"/>
  <c r="I260" i="14" s="1"/>
  <c r="AH285" i="117"/>
  <c r="CD10" i="16"/>
  <c r="BX17" i="16"/>
  <c r="BM37" i="8"/>
  <c r="BM38" i="8" s="1"/>
  <c r="CP26" i="8"/>
  <c r="CV80" i="16"/>
  <c r="BO4" i="9"/>
  <c r="BK6" i="9"/>
  <c r="BF27" i="2"/>
  <c r="CQ120" i="3"/>
  <c r="CQ121" i="3" s="1"/>
  <c r="CQ144" i="3"/>
  <c r="CQ165" i="3"/>
  <c r="BS167" i="117"/>
  <c r="BC30" i="21"/>
  <c r="BD31" i="21"/>
  <c r="BD6" i="21"/>
  <c r="BQ30" i="7"/>
  <c r="BQ32" i="7"/>
  <c r="CI18" i="7"/>
  <c r="CI15" i="7"/>
  <c r="BL69" i="17"/>
  <c r="BL70" i="17" s="1"/>
  <c r="BL73" i="17"/>
  <c r="AQ182" i="117"/>
  <c r="AQ184" i="117"/>
  <c r="AR181" i="117"/>
  <c r="BI154" i="117"/>
  <c r="BF92" i="17"/>
  <c r="BR21" i="3"/>
  <c r="BS20" i="3"/>
  <c r="AT31" i="117"/>
  <c r="AT33" i="117"/>
  <c r="BG184" i="117"/>
  <c r="BY15" i="17"/>
  <c r="BB184" i="117"/>
  <c r="BH20" i="9"/>
  <c r="BH21" i="9" s="1"/>
  <c r="BH18" i="9"/>
  <c r="BG26" i="2"/>
  <c r="BG37" i="2"/>
  <c r="BM8" i="17"/>
  <c r="CK34" i="17"/>
  <c r="BF10" i="2"/>
  <c r="BF14" i="2"/>
  <c r="BD5" i="117"/>
  <c r="AZ7" i="117"/>
  <c r="CA4" i="7"/>
  <c r="BW6" i="7"/>
  <c r="BL87" i="3"/>
  <c r="BL159" i="3"/>
  <c r="BH32" i="10"/>
  <c r="BH33" i="10" s="1"/>
  <c r="BH8" i="10"/>
  <c r="BH20" i="10"/>
  <c r="BH21" i="10" s="1"/>
  <c r="BH17" i="10"/>
  <c r="BG46" i="10"/>
  <c r="BG48" i="10"/>
  <c r="AV208" i="117"/>
  <c r="AV162" i="117"/>
  <c r="CO17" i="7"/>
  <c r="CU10" i="7"/>
  <c r="AR11" i="117"/>
  <c r="AR12" i="117" s="1"/>
  <c r="AR63" i="117"/>
  <c r="BK13" i="16"/>
  <c r="BK10" i="16" s="1"/>
  <c r="BH17" i="2"/>
  <c r="BH24" i="2"/>
  <c r="BH25" i="2" s="1"/>
  <c r="BH8" i="2"/>
  <c r="BQ10" i="17"/>
  <c r="BR34" i="9"/>
  <c r="CK13" i="17"/>
  <c r="AU205" i="117"/>
  <c r="BU74" i="16"/>
  <c r="BQ76" i="16"/>
  <c r="AV26" i="117"/>
  <c r="BI49" i="17"/>
  <c r="BI51" i="17"/>
  <c r="BI52" i="17" s="1"/>
  <c r="BI85" i="17"/>
  <c r="BH88" i="17"/>
  <c r="BH86" i="17"/>
  <c r="BM80" i="3"/>
  <c r="BM8" i="3"/>
  <c r="BM81" i="3" s="1"/>
  <c r="BU4" i="8"/>
  <c r="BQ6" i="8"/>
  <c r="BI7" i="2"/>
  <c r="BZ34" i="17"/>
  <c r="BS31" i="3"/>
  <c r="BT30" i="3"/>
  <c r="BS151" i="117"/>
  <c r="BM158" i="117"/>
  <c r="BM156" i="117" s="1"/>
  <c r="BR32" i="7"/>
  <c r="BE38" i="2"/>
  <c r="BL8" i="16"/>
  <c r="BI151" i="117"/>
  <c r="BC158" i="117"/>
  <c r="BN61" i="3"/>
  <c r="BG44" i="16"/>
  <c r="BS43" i="16"/>
  <c r="BY43" i="16" s="1"/>
  <c r="CE43" i="16" s="1"/>
  <c r="CK43" i="16" s="1"/>
  <c r="CQ43" i="16" s="1"/>
  <c r="CW43" i="16" s="1"/>
  <c r="DC43" i="16" s="1"/>
  <c r="DI43" i="16" s="1"/>
  <c r="AW25" i="117"/>
  <c r="AW26" i="117" s="1"/>
  <c r="AW9" i="117"/>
  <c r="AW21" i="117"/>
  <c r="BL135" i="21"/>
  <c r="CU125" i="3"/>
  <c r="CU137" i="3" s="1"/>
  <c r="CS123" i="3"/>
  <c r="AT66" i="117"/>
  <c r="DA13" i="7"/>
  <c r="BK34" i="17"/>
  <c r="BK45" i="17"/>
  <c r="O67" i="11"/>
  <c r="O68" i="11" s="1"/>
  <c r="O71" i="11" s="1"/>
  <c r="CF13" i="8"/>
  <c r="BI5" i="10"/>
  <c r="BK4" i="10"/>
  <c r="BC167" i="117"/>
  <c r="BK38" i="8"/>
  <c r="BK40" i="8"/>
  <c r="AX147" i="117"/>
  <c r="AZ145" i="117"/>
  <c r="AW148" i="117"/>
  <c r="BA49" i="21"/>
  <c r="BA51" i="21" s="1"/>
  <c r="BA144" i="21"/>
  <c r="BC48" i="21"/>
  <c r="BQ38" i="7"/>
  <c r="BE48" i="10"/>
  <c r="BE46" i="10"/>
  <c r="BE49" i="9"/>
  <c r="BE51" i="9"/>
  <c r="BE52" i="9" s="1"/>
  <c r="BL29" i="17"/>
  <c r="BK25" i="16"/>
  <c r="BK4" i="2"/>
  <c r="BI5" i="2"/>
  <c r="BQ13" i="17"/>
  <c r="BF46" i="10"/>
  <c r="BF48" i="10"/>
  <c r="AT39" i="117"/>
  <c r="CP34" i="17"/>
  <c r="CV34" i="17" s="1"/>
  <c r="DB34" i="17" s="1"/>
  <c r="DH34" i="17" s="1"/>
  <c r="AT167" i="117"/>
  <c r="AT178" i="117"/>
  <c r="BN78" i="16"/>
  <c r="BK82" i="17"/>
  <c r="BI83" i="17"/>
  <c r="CC80" i="16"/>
  <c r="BI25" i="2"/>
  <c r="CJ163" i="3"/>
  <c r="CS134" i="3"/>
  <c r="CS135" i="3" s="1"/>
  <c r="CR135" i="3"/>
  <c r="CR143" i="3"/>
  <c r="CS143" i="3" s="1"/>
  <c r="AR15" i="117"/>
  <c r="AR16" i="117"/>
  <c r="AT155" i="117"/>
  <c r="AZ154" i="117"/>
  <c r="BR53" i="3"/>
  <c r="BQ54" i="3"/>
  <c r="BQ60" i="3" s="1"/>
  <c r="BS154" i="117"/>
  <c r="BN7" i="3"/>
  <c r="BO6" i="3"/>
  <c r="BN8" i="8"/>
  <c r="BO25" i="8"/>
  <c r="BO127" i="21"/>
  <c r="BO53" i="7"/>
  <c r="BO55" i="7"/>
  <c r="BO56" i="7" s="1"/>
  <c r="L96" i="11"/>
  <c r="CJ13" i="16"/>
  <c r="BG159" i="117"/>
  <c r="BR64" i="7"/>
  <c r="BR61" i="7" s="1"/>
  <c r="BR62" i="7" s="1"/>
  <c r="CE17" i="17"/>
  <c r="CE15" i="17" s="1"/>
  <c r="CK10" i="17"/>
  <c r="BN167" i="117"/>
  <c r="BM7" i="16"/>
  <c r="BN4" i="16"/>
  <c r="BN6" i="16" s="1"/>
  <c r="BI7" i="10"/>
  <c r="AQ59" i="117"/>
  <c r="AQ60" i="117" s="1"/>
  <c r="AQ50" i="117"/>
  <c r="AQ51" i="117" s="1"/>
  <c r="AQ48" i="117"/>
  <c r="AR47" i="117"/>
  <c r="BL113" i="21"/>
  <c r="BL98" i="16"/>
  <c r="BF184" i="117"/>
  <c r="CR138" i="3"/>
  <c r="CS137" i="3"/>
  <c r="CS138" i="3" s="1"/>
  <c r="BR18" i="16"/>
  <c r="BR15" i="16"/>
  <c r="BF10" i="10"/>
  <c r="BF14" i="10"/>
  <c r="BF38" i="2"/>
  <c r="BF46" i="2"/>
  <c r="CQ80" i="16"/>
  <c r="AV149" i="117"/>
  <c r="AT151" i="117"/>
  <c r="BG18" i="10"/>
  <c r="BG13" i="10"/>
  <c r="BM91" i="21"/>
  <c r="BM84" i="16"/>
  <c r="CO104" i="3"/>
  <c r="BT17" i="8"/>
  <c r="BZ10" i="8"/>
  <c r="AR176" i="117"/>
  <c r="AR177" i="117" s="1"/>
  <c r="AR179" i="117"/>
  <c r="BG14" i="9"/>
  <c r="BF35" i="10"/>
  <c r="BY51" i="17"/>
  <c r="BW13" i="8"/>
  <c r="BQ15" i="8"/>
  <c r="CU26" i="7"/>
  <c r="DA26" i="7" s="1"/>
  <c r="DG26" i="7" s="1"/>
  <c r="CE26" i="8"/>
  <c r="BS25" i="7"/>
  <c r="BH33" i="9"/>
  <c r="BI32" i="9"/>
  <c r="BI31" i="9" s="1"/>
  <c r="CJ86" i="15"/>
  <c r="CJ94" i="15"/>
  <c r="CI90" i="21"/>
  <c r="CI97" i="15"/>
  <c r="CI95" i="15"/>
  <c r="CL82" i="15"/>
  <c r="CL84" i="15" s="1"/>
  <c r="CK85" i="15"/>
  <c r="CI33" i="15"/>
  <c r="CJ32" i="15"/>
  <c r="CJ33" i="15" s="1"/>
  <c r="CJ8" i="15"/>
  <c r="CJ25" i="15"/>
  <c r="CD117" i="15"/>
  <c r="CD124" i="15"/>
  <c r="CD125" i="15" s="1"/>
  <c r="CD119" i="15"/>
  <c r="CD120" i="15" s="1"/>
  <c r="CK7" i="15"/>
  <c r="CL4" i="15"/>
  <c r="CL6" i="15" s="1"/>
  <c r="DA51" i="3"/>
  <c r="CY10" i="3"/>
  <c r="CY11" i="3" s="1"/>
  <c r="CX93" i="3"/>
  <c r="CY92" i="3"/>
  <c r="CY93" i="3" s="1"/>
  <c r="CW102" i="3"/>
  <c r="DA117" i="3"/>
  <c r="DB52" i="3"/>
  <c r="BN20" i="17" l="1"/>
  <c r="BN21" i="17" s="1"/>
  <c r="BN17" i="17"/>
  <c r="BN13" i="17" s="1"/>
  <c r="CF15" i="7"/>
  <c r="CL17" i="7"/>
  <c r="CL18" i="7" s="1"/>
  <c r="CR10" i="7"/>
  <c r="CR13" i="7"/>
  <c r="AV152" i="117"/>
  <c r="BB151" i="117"/>
  <c r="AV155" i="117"/>
  <c r="BB154" i="117"/>
  <c r="BH154" i="117" s="1"/>
  <c r="BN154" i="117" s="1"/>
  <c r="BT154" i="117" s="1"/>
  <c r="BM13" i="16"/>
  <c r="BM10" i="16" s="1"/>
  <c r="BM18" i="17"/>
  <c r="BS18" i="17"/>
  <c r="BL51" i="17"/>
  <c r="BL52" i="17" s="1"/>
  <c r="BL49" i="17"/>
  <c r="DH10" i="7"/>
  <c r="DH17" i="7" s="1"/>
  <c r="DB17" i="7"/>
  <c r="BU24" i="7"/>
  <c r="BU23" i="7" s="1"/>
  <c r="CV15" i="7"/>
  <c r="CV18" i="7"/>
  <c r="CD10" i="8"/>
  <c r="BX17" i="8"/>
  <c r="BX18" i="8" s="1"/>
  <c r="BR15" i="8"/>
  <c r="CD13" i="8"/>
  <c r="CS120" i="3"/>
  <c r="CS121" i="3" s="1"/>
  <c r="CS144" i="3"/>
  <c r="BL41" i="17"/>
  <c r="BL88" i="21"/>
  <c r="AW162" i="117"/>
  <c r="AW208" i="117"/>
  <c r="AX161" i="117"/>
  <c r="BS37" i="7"/>
  <c r="BU25" i="7"/>
  <c r="CE51" i="17"/>
  <c r="BZ17" i="8"/>
  <c r="CF10" i="8"/>
  <c r="CQ10" i="17"/>
  <c r="CK17" i="17"/>
  <c r="CK15" i="17" s="1"/>
  <c r="BW13" i="17"/>
  <c r="BE49" i="10"/>
  <c r="BE51" i="10"/>
  <c r="BE52" i="10" s="1"/>
  <c r="BK43" i="8"/>
  <c r="BK41" i="8"/>
  <c r="BK6" i="10"/>
  <c r="BO4" i="10"/>
  <c r="AW22" i="117"/>
  <c r="AW68" i="117"/>
  <c r="BC159" i="117"/>
  <c r="BR52" i="7"/>
  <c r="BR83" i="21"/>
  <c r="BR33" i="7"/>
  <c r="BH18" i="10"/>
  <c r="BH13" i="10"/>
  <c r="BW7" i="7"/>
  <c r="BX4" i="7"/>
  <c r="BX6" i="7" s="1"/>
  <c r="BL64" i="16"/>
  <c r="BL61" i="16" s="1"/>
  <c r="BG14" i="10"/>
  <c r="BF186" i="3"/>
  <c r="BF58" i="2"/>
  <c r="BF59" i="2" s="1"/>
  <c r="BF47" i="2"/>
  <c r="BF33" i="21"/>
  <c r="BF31" i="21" s="1"/>
  <c r="BF49" i="2"/>
  <c r="BF50" i="2" s="1"/>
  <c r="BF11" i="10"/>
  <c r="BL184" i="117"/>
  <c r="BM8" i="16"/>
  <c r="BT167" i="117"/>
  <c r="BR65" i="7"/>
  <c r="CP13" i="16"/>
  <c r="BN8" i="3"/>
  <c r="BN81" i="3" s="1"/>
  <c r="BN80" i="3"/>
  <c r="BQ59" i="3"/>
  <c r="BQ55" i="3"/>
  <c r="BQ58" i="3"/>
  <c r="BF154" i="117"/>
  <c r="CI80" i="16"/>
  <c r="BO82" i="17"/>
  <c r="BK84" i="17"/>
  <c r="BO4" i="2"/>
  <c r="BK6" i="2"/>
  <c r="J313" i="14"/>
  <c r="J315" i="14" s="1"/>
  <c r="J250" i="14"/>
  <c r="BC49" i="21"/>
  <c r="BC51" i="21" s="1"/>
  <c r="J15" i="14"/>
  <c r="AZ147" i="117"/>
  <c r="BD145" i="117"/>
  <c r="BI167" i="117"/>
  <c r="BQ34" i="17"/>
  <c r="BK35" i="17"/>
  <c r="DG13" i="7"/>
  <c r="BU30" i="3"/>
  <c r="BT31" i="3"/>
  <c r="CF34" i="17"/>
  <c r="BM159" i="3"/>
  <c r="BW10" i="17"/>
  <c r="BQ17" i="17"/>
  <c r="BQ15" i="17" s="1"/>
  <c r="BH13" i="2"/>
  <c r="BH18" i="2"/>
  <c r="BH34" i="10"/>
  <c r="BH45" i="10"/>
  <c r="BM75" i="17"/>
  <c r="BC156" i="117"/>
  <c r="AQ185" i="117"/>
  <c r="BQ33" i="7"/>
  <c r="BQ52" i="7"/>
  <c r="BQ83" i="21"/>
  <c r="BQ40" i="7"/>
  <c r="BY167" i="117"/>
  <c r="BX18" i="16"/>
  <c r="BX15" i="16"/>
  <c r="BT37" i="7"/>
  <c r="BT38" i="7" s="1"/>
  <c r="BO61" i="3"/>
  <c r="AU62" i="117"/>
  <c r="BQ18" i="8"/>
  <c r="BG14" i="2"/>
  <c r="AR59" i="117"/>
  <c r="AR60" i="117" s="1"/>
  <c r="BI32" i="10"/>
  <c r="BI31" i="10" s="1"/>
  <c r="BZ43" i="8"/>
  <c r="CQ16" i="3"/>
  <c r="CP17" i="3"/>
  <c r="CQ13" i="17"/>
  <c r="AV205" i="117"/>
  <c r="AV206" i="117" s="1"/>
  <c r="BG38" i="2"/>
  <c r="BG46" i="2"/>
  <c r="BH184" i="117"/>
  <c r="CV26" i="8"/>
  <c r="CJ10" i="16"/>
  <c r="CD17" i="16"/>
  <c r="AX21" i="117"/>
  <c r="BI15" i="9"/>
  <c r="BI14" i="9"/>
  <c r="BH45" i="9"/>
  <c r="BH34" i="9"/>
  <c r="BI33" i="9"/>
  <c r="BR34" i="10"/>
  <c r="BT18" i="8"/>
  <c r="BT15" i="8"/>
  <c r="BM135" i="21"/>
  <c r="BM93" i="16"/>
  <c r="BG10" i="10"/>
  <c r="AR50" i="117"/>
  <c r="AR51" i="117" s="1"/>
  <c r="AR48" i="117"/>
  <c r="BI8" i="10"/>
  <c r="BI17" i="10"/>
  <c r="BI18" i="10" s="1"/>
  <c r="BI20" i="10"/>
  <c r="BI21" i="10" s="1"/>
  <c r="BI10" i="10"/>
  <c r="BI11" i="10" s="1"/>
  <c r="BI13" i="10"/>
  <c r="CE18" i="17"/>
  <c r="CE20" i="17"/>
  <c r="CE21" i="17" s="1"/>
  <c r="BY154" i="117"/>
  <c r="BK26" i="16"/>
  <c r="BK37" i="16"/>
  <c r="BI24" i="2"/>
  <c r="BI23" i="2" s="1"/>
  <c r="CL13" i="8"/>
  <c r="BO151" i="117"/>
  <c r="BI158" i="117"/>
  <c r="BI156" i="117" s="1"/>
  <c r="BM159" i="117"/>
  <c r="BQ7" i="8"/>
  <c r="BQ20" i="8" s="1"/>
  <c r="BR4" i="8"/>
  <c r="BR6" i="8" s="1"/>
  <c r="BO7" i="3"/>
  <c r="BH91" i="17"/>
  <c r="BH89" i="17"/>
  <c r="AX25" i="117"/>
  <c r="BQ77" i="16"/>
  <c r="BR74" i="16"/>
  <c r="BR76" i="16" s="1"/>
  <c r="BK14" i="16"/>
  <c r="BQ13" i="16"/>
  <c r="CU17" i="7"/>
  <c r="DA10" i="7"/>
  <c r="BI33" i="10"/>
  <c r="BG27" i="2"/>
  <c r="BM184" i="117"/>
  <c r="BS21" i="3"/>
  <c r="BT20" i="3"/>
  <c r="BO24" i="8"/>
  <c r="BO23" i="8" s="1"/>
  <c r="BN67" i="8"/>
  <c r="BN21" i="8"/>
  <c r="CQ166" i="3"/>
  <c r="AH286" i="117"/>
  <c r="AI285" i="117" s="1"/>
  <c r="AL285" i="117"/>
  <c r="BT21" i="7"/>
  <c r="BT67" i="7"/>
  <c r="AU34" i="117"/>
  <c r="AU56" i="117"/>
  <c r="AU57" i="117" s="1"/>
  <c r="AU41" i="117"/>
  <c r="AU42" i="117" s="1"/>
  <c r="BO7" i="17"/>
  <c r="BO8" i="17" s="1"/>
  <c r="BN8" i="17"/>
  <c r="BF52" i="9"/>
  <c r="CL26" i="8"/>
  <c r="BG51" i="9"/>
  <c r="BG49" i="9"/>
  <c r="CO43" i="7"/>
  <c r="CP104" i="3"/>
  <c r="CP109" i="3" s="1"/>
  <c r="BL99" i="16"/>
  <c r="BS53" i="3"/>
  <c r="BR54" i="3"/>
  <c r="BR60" i="3" s="1"/>
  <c r="AT179" i="117"/>
  <c r="BA150" i="21"/>
  <c r="BC150" i="21" s="1"/>
  <c r="BC144" i="21"/>
  <c r="CU138" i="3"/>
  <c r="BI8" i="2"/>
  <c r="BI17" i="2"/>
  <c r="BI10" i="2"/>
  <c r="BI11" i="2" s="1"/>
  <c r="AU202" i="117"/>
  <c r="AU206" i="117"/>
  <c r="BK11" i="16"/>
  <c r="BQ10" i="16"/>
  <c r="BL172" i="21"/>
  <c r="BL33" i="8"/>
  <c r="CQ34" i="17"/>
  <c r="CW34" i="17" s="1"/>
  <c r="DC34" i="17" s="1"/>
  <c r="DI34" i="17" s="1"/>
  <c r="BO154" i="117"/>
  <c r="CK26" i="8"/>
  <c r="CC13" i="8"/>
  <c r="CO109" i="3"/>
  <c r="BM87" i="16"/>
  <c r="BM98" i="16"/>
  <c r="BM99" i="16" s="1"/>
  <c r="BM113" i="21"/>
  <c r="AT152" i="117"/>
  <c r="AZ151" i="117"/>
  <c r="CW80" i="16"/>
  <c r="BO6" i="16"/>
  <c r="BN7" i="16"/>
  <c r="BQ4" i="3"/>
  <c r="BO5" i="3"/>
  <c r="CR165" i="3"/>
  <c r="CR166" i="3" s="1"/>
  <c r="CR144" i="3"/>
  <c r="CR120" i="3"/>
  <c r="CR121" i="3" s="1"/>
  <c r="AT168" i="117"/>
  <c r="AZ167" i="117"/>
  <c r="BF49" i="10"/>
  <c r="BF51" i="10"/>
  <c r="AX148" i="117"/>
  <c r="AX149" i="117" s="1"/>
  <c r="AW149" i="117"/>
  <c r="AX166" i="117"/>
  <c r="BK48" i="17"/>
  <c r="BK46" i="17"/>
  <c r="CV125" i="3"/>
  <c r="CU123" i="3"/>
  <c r="AW38" i="117"/>
  <c r="AW39" i="117" s="1"/>
  <c r="AW30" i="117"/>
  <c r="BS158" i="117"/>
  <c r="BS156" i="117" s="1"/>
  <c r="BY151" i="117"/>
  <c r="BI86" i="17"/>
  <c r="BI88" i="17"/>
  <c r="BI89" i="17" s="1"/>
  <c r="AV38" i="117"/>
  <c r="AV30" i="117"/>
  <c r="AX26" i="117"/>
  <c r="BX34" i="9"/>
  <c r="BH26" i="2"/>
  <c r="BH37" i="2"/>
  <c r="CO18" i="7"/>
  <c r="CO15" i="7"/>
  <c r="BG49" i="10"/>
  <c r="BG51" i="10"/>
  <c r="BL176" i="3"/>
  <c r="BL160" i="3"/>
  <c r="BA5" i="117"/>
  <c r="BA7" i="117" s="1"/>
  <c r="AZ8" i="117"/>
  <c r="BF11" i="2"/>
  <c r="AT56" i="117"/>
  <c r="AT57" i="117" s="1"/>
  <c r="AT34" i="117"/>
  <c r="AT41" i="117"/>
  <c r="AR182" i="117"/>
  <c r="AR184" i="117"/>
  <c r="AR185" i="117" s="1"/>
  <c r="BL4" i="9"/>
  <c r="BL6" i="9" s="1"/>
  <c r="BK7" i="9"/>
  <c r="DB80" i="16"/>
  <c r="DH80" i="16" s="1"/>
  <c r="BQ4" i="17"/>
  <c r="BO5" i="17"/>
  <c r="CC10" i="8"/>
  <c r="BW17" i="8"/>
  <c r="BW15" i="8" s="1"/>
  <c r="BG11" i="2"/>
  <c r="AV65" i="117"/>
  <c r="AV62" i="117" s="1"/>
  <c r="AV63" i="117" s="1"/>
  <c r="BG92" i="17"/>
  <c r="BI91" i="17"/>
  <c r="BI92" i="17" s="1"/>
  <c r="AZ44" i="3"/>
  <c r="AY45" i="3"/>
  <c r="AY46" i="3" s="1"/>
  <c r="CI112" i="21"/>
  <c r="CI98" i="15"/>
  <c r="CL85" i="15"/>
  <c r="CM85" i="15" s="1"/>
  <c r="CM86" i="15" s="1"/>
  <c r="CM84" i="15"/>
  <c r="CM83" i="15" s="1"/>
  <c r="CK86" i="15"/>
  <c r="CK94" i="15"/>
  <c r="CJ90" i="21"/>
  <c r="CJ97" i="15"/>
  <c r="CJ103" i="15"/>
  <c r="CJ95" i="15"/>
  <c r="CM6" i="15"/>
  <c r="CL7" i="15"/>
  <c r="CK32" i="15"/>
  <c r="CK33" i="15" s="1"/>
  <c r="CK8" i="15"/>
  <c r="CK25" i="15"/>
  <c r="CI45" i="15"/>
  <c r="CI37" i="15"/>
  <c r="CJ45" i="15"/>
  <c r="CJ46" i="15" s="1"/>
  <c r="CJ37" i="15"/>
  <c r="CJ38" i="15" s="1"/>
  <c r="CJ75" i="15"/>
  <c r="CJ28" i="15"/>
  <c r="CJ26" i="15"/>
  <c r="DA92" i="3"/>
  <c r="DB51" i="3"/>
  <c r="DA10" i="3"/>
  <c r="DA11" i="3" s="1"/>
  <c r="DC52" i="3"/>
  <c r="DB117" i="3"/>
  <c r="DB118" i="3" s="1"/>
  <c r="DA118" i="3"/>
  <c r="BN13" i="16" l="1"/>
  <c r="BN10" i="16"/>
  <c r="BN10" i="17"/>
  <c r="BN11" i="17" s="1"/>
  <c r="BN14" i="17"/>
  <c r="BN18" i="17"/>
  <c r="CL15" i="7"/>
  <c r="CX13" i="7"/>
  <c r="CX10" i="7"/>
  <c r="CR17" i="7"/>
  <c r="CR18" i="7" s="1"/>
  <c r="BB158" i="117"/>
  <c r="BH151" i="117"/>
  <c r="BM11" i="16"/>
  <c r="BS10" i="16"/>
  <c r="BM14" i="16"/>
  <c r="BS13" i="16"/>
  <c r="BY13" i="16" s="1"/>
  <c r="BO32" i="17"/>
  <c r="BO31" i="17" s="1"/>
  <c r="CS165" i="3"/>
  <c r="CS166" i="3" s="1"/>
  <c r="BQ61" i="3"/>
  <c r="DB18" i="7"/>
  <c r="DB15" i="7"/>
  <c r="DH15" i="7"/>
  <c r="DH18" i="7"/>
  <c r="BX15" i="8"/>
  <c r="CJ13" i="8"/>
  <c r="CP13" i="8" s="1"/>
  <c r="CJ10" i="8"/>
  <c r="CD17" i="8"/>
  <c r="CD18" i="8" s="1"/>
  <c r="AX165" i="117"/>
  <c r="BQ67" i="8"/>
  <c r="BQ21" i="8"/>
  <c r="CI10" i="8"/>
  <c r="CC17" i="8"/>
  <c r="CC15" i="8" s="1"/>
  <c r="BK17" i="9"/>
  <c r="BK32" i="9"/>
  <c r="BK8" i="9"/>
  <c r="AT42" i="117"/>
  <c r="AV31" i="117"/>
  <c r="AV33" i="117"/>
  <c r="AX30" i="117"/>
  <c r="BF52" i="10"/>
  <c r="BO86" i="16"/>
  <c r="BN113" i="21"/>
  <c r="BN98" i="16"/>
  <c r="BN87" i="16"/>
  <c r="BL173" i="21"/>
  <c r="BO8" i="3"/>
  <c r="BO81" i="3" s="1"/>
  <c r="BO80" i="3"/>
  <c r="BK38" i="16"/>
  <c r="BK40" i="16"/>
  <c r="CE154" i="117"/>
  <c r="AX18" i="117"/>
  <c r="AX19" i="117" s="1"/>
  <c r="AX22" i="117"/>
  <c r="AW205" i="117"/>
  <c r="AW202" i="117" s="1"/>
  <c r="BA44" i="3"/>
  <c r="AZ45" i="3"/>
  <c r="AZ46" i="3" s="1"/>
  <c r="BW18" i="8"/>
  <c r="AT47" i="117"/>
  <c r="BZ154" i="117"/>
  <c r="BA8" i="117"/>
  <c r="BB5" i="117"/>
  <c r="BB7" i="117" s="1"/>
  <c r="BH38" i="2"/>
  <c r="BH46" i="2"/>
  <c r="BI37" i="2"/>
  <c r="BQ6" i="3"/>
  <c r="BU4" i="3"/>
  <c r="BN67" i="16"/>
  <c r="BN21" i="16"/>
  <c r="BF151" i="117"/>
  <c r="AZ158" i="117"/>
  <c r="CQ26" i="8"/>
  <c r="BL198" i="21"/>
  <c r="BI18" i="2"/>
  <c r="BI13" i="2"/>
  <c r="CP110" i="3"/>
  <c r="CP112" i="3"/>
  <c r="BR51" i="9"/>
  <c r="AU47" i="117"/>
  <c r="BT64" i="7"/>
  <c r="BT61" i="7" s="1"/>
  <c r="AI286" i="117"/>
  <c r="AJ285" i="117" s="1"/>
  <c r="AI287" i="117"/>
  <c r="AI289" i="117" s="1"/>
  <c r="BS184" i="117"/>
  <c r="BW13" i="16"/>
  <c r="BS74" i="16"/>
  <c r="BS76" i="16" s="1"/>
  <c r="BR77" i="16"/>
  <c r="BH92" i="17"/>
  <c r="CU134" i="3"/>
  <c r="CR13" i="8"/>
  <c r="BI15" i="10"/>
  <c r="BI14" i="10"/>
  <c r="BX34" i="10"/>
  <c r="BH35" i="9"/>
  <c r="DB26" i="8"/>
  <c r="DH26" i="8" s="1"/>
  <c r="BN184" i="117"/>
  <c r="BS13" i="2"/>
  <c r="BY13" i="2" s="1"/>
  <c r="AU63" i="117"/>
  <c r="CE167" i="117"/>
  <c r="BM29" i="17"/>
  <c r="CO80" i="16"/>
  <c r="BH14" i="10"/>
  <c r="BK7" i="10"/>
  <c r="BL4" i="10"/>
  <c r="BL6" i="10" s="1"/>
  <c r="CF17" i="8"/>
  <c r="CL10" i="8"/>
  <c r="AX158" i="117"/>
  <c r="AX159" i="117" s="1"/>
  <c r="AX162" i="117"/>
  <c r="AV66" i="117"/>
  <c r="BH27" i="2"/>
  <c r="BN26" i="2"/>
  <c r="BR59" i="3"/>
  <c r="BR58" i="3"/>
  <c r="BR55" i="3"/>
  <c r="BU20" i="3"/>
  <c r="BT21" i="3"/>
  <c r="BQ78" i="16"/>
  <c r="BQ83" i="16"/>
  <c r="BI159" i="117"/>
  <c r="BG186" i="3"/>
  <c r="BG47" i="2"/>
  <c r="BG33" i="21"/>
  <c r="BG31" i="21" s="1"/>
  <c r="BG49" i="2"/>
  <c r="BG50" i="2" s="1"/>
  <c r="BG58" i="2"/>
  <c r="BG59" i="2" s="1"/>
  <c r="BQ53" i="7"/>
  <c r="BQ127" i="21"/>
  <c r="BH14" i="2"/>
  <c r="CL34" i="17"/>
  <c r="BW30" i="3"/>
  <c r="BU31" i="3"/>
  <c r="BW34" i="17"/>
  <c r="AZ148" i="117"/>
  <c r="BA145" i="117"/>
  <c r="BA147" i="117" s="1"/>
  <c r="BL82" i="17"/>
  <c r="BL84" i="17" s="1"/>
  <c r="BK85" i="17"/>
  <c r="BL62" i="16"/>
  <c r="BZ18" i="8"/>
  <c r="BZ15" i="8"/>
  <c r="BS10" i="2"/>
  <c r="BL7" i="9"/>
  <c r="BL17" i="9" s="1"/>
  <c r="BM4" i="9"/>
  <c r="BM6" i="9" s="1"/>
  <c r="BL194" i="3"/>
  <c r="BL177" i="3"/>
  <c r="BL7" i="21"/>
  <c r="BL181" i="3"/>
  <c r="AV39" i="117"/>
  <c r="AX38" i="117"/>
  <c r="BS159" i="117"/>
  <c r="CV137" i="3"/>
  <c r="CW125" i="3"/>
  <c r="CV123" i="3"/>
  <c r="CV134" i="3" s="1"/>
  <c r="BN135" i="21"/>
  <c r="BO37" i="8"/>
  <c r="BN8" i="16"/>
  <c r="BO7" i="16"/>
  <c r="BO8" i="16" s="1"/>
  <c r="CO110" i="3"/>
  <c r="CO112" i="3"/>
  <c r="CI13" i="8"/>
  <c r="BU154" i="117"/>
  <c r="BQ17" i="16"/>
  <c r="BW10" i="16"/>
  <c r="AU203" i="117"/>
  <c r="AX178" i="117"/>
  <c r="BT53" i="3"/>
  <c r="BS54" i="3"/>
  <c r="BS60" i="3" s="1"/>
  <c r="AH287" i="117"/>
  <c r="BO33" i="17"/>
  <c r="DA17" i="7"/>
  <c r="DG10" i="7"/>
  <c r="DG17" i="7" s="1"/>
  <c r="DG15" i="7" s="1"/>
  <c r="BR7" i="8"/>
  <c r="BS4" i="8"/>
  <c r="BS6" i="8" s="1"/>
  <c r="BU151" i="117"/>
  <c r="BO158" i="117"/>
  <c r="BK27" i="16"/>
  <c r="BQ26" i="16"/>
  <c r="BW26" i="16" s="1"/>
  <c r="CC26" i="16" s="1"/>
  <c r="CI26" i="16" s="1"/>
  <c r="CO26" i="16" s="1"/>
  <c r="CU26" i="16" s="1"/>
  <c r="DA26" i="16" s="1"/>
  <c r="DG26" i="16" s="1"/>
  <c r="CJ17" i="16"/>
  <c r="CP10" i="16"/>
  <c r="CW13" i="17"/>
  <c r="BH35" i="10"/>
  <c r="BQ20" i="17"/>
  <c r="BQ21" i="17" s="1"/>
  <c r="BQ18" i="17"/>
  <c r="J16" i="14"/>
  <c r="J9" i="14"/>
  <c r="J18" i="14"/>
  <c r="J19" i="14" s="1"/>
  <c r="J24" i="14"/>
  <c r="J205" i="14"/>
  <c r="BL154" i="117"/>
  <c r="CV13" i="16"/>
  <c r="BZ167" i="117"/>
  <c r="BL65" i="16"/>
  <c r="BW24" i="7"/>
  <c r="BW8" i="7"/>
  <c r="BW20" i="7"/>
  <c r="BR53" i="7"/>
  <c r="BR127" i="21"/>
  <c r="BK44" i="8"/>
  <c r="BQ43" i="8"/>
  <c r="BW43" i="8" s="1"/>
  <c r="CC43" i="8" s="1"/>
  <c r="CI43" i="8" s="1"/>
  <c r="CO43" i="8" s="1"/>
  <c r="CU43" i="8" s="1"/>
  <c r="DA43" i="8" s="1"/>
  <c r="DG43" i="8" s="1"/>
  <c r="CK20" i="17"/>
  <c r="CK21" i="17" s="1"/>
  <c r="CK18" i="17"/>
  <c r="BS38" i="7"/>
  <c r="BU37" i="7"/>
  <c r="BL132" i="21"/>
  <c r="CE151" i="117"/>
  <c r="BY158" i="117"/>
  <c r="BK49" i="17"/>
  <c r="BK51" i="17"/>
  <c r="BG52" i="9"/>
  <c r="BS51" i="9"/>
  <c r="BY51" i="9" s="1"/>
  <c r="CE51" i="9" s="1"/>
  <c r="CK51" i="9" s="1"/>
  <c r="CQ51" i="9" s="1"/>
  <c r="CW51" i="9" s="1"/>
  <c r="DC51" i="9" s="1"/>
  <c r="DI51" i="9" s="1"/>
  <c r="BH46" i="9"/>
  <c r="BH48" i="9"/>
  <c r="BI45" i="9"/>
  <c r="CD18" i="16"/>
  <c r="CD15" i="16"/>
  <c r="CQ104" i="3"/>
  <c r="CQ17" i="3"/>
  <c r="CR16" i="3"/>
  <c r="CR104" i="3" s="1"/>
  <c r="BQ41" i="7"/>
  <c r="BH46" i="10"/>
  <c r="BH48" i="10"/>
  <c r="BI45" i="10"/>
  <c r="BM160" i="3"/>
  <c r="BM176" i="3"/>
  <c r="BR184" i="117"/>
  <c r="BX7" i="7"/>
  <c r="BY4" i="7"/>
  <c r="BY6" i="7" s="1"/>
  <c r="AW62" i="117"/>
  <c r="AW63" i="117" s="1"/>
  <c r="AW65" i="117"/>
  <c r="AW66" i="117" s="1"/>
  <c r="AX68" i="117"/>
  <c r="CC13" i="17"/>
  <c r="BQ6" i="17"/>
  <c r="BU4" i="17"/>
  <c r="AZ9" i="117"/>
  <c r="AZ25" i="117"/>
  <c r="AZ21" i="117"/>
  <c r="BG52" i="10"/>
  <c r="CD34" i="9"/>
  <c r="AW31" i="117"/>
  <c r="AW33" i="117"/>
  <c r="BF167" i="117"/>
  <c r="BQ4" i="16"/>
  <c r="BO5" i="16"/>
  <c r="DC80" i="16"/>
  <c r="DI80" i="16" s="1"/>
  <c r="AU216" i="117"/>
  <c r="AU306" i="117"/>
  <c r="AU174" i="117"/>
  <c r="AU217" i="117" s="1"/>
  <c r="CU43" i="7"/>
  <c r="DA43" i="7" s="1"/>
  <c r="DG43" i="7" s="1"/>
  <c r="CR26" i="8"/>
  <c r="BN64" i="8"/>
  <c r="BN65" i="8" s="1"/>
  <c r="BS26" i="2"/>
  <c r="CU18" i="7"/>
  <c r="CU15" i="7"/>
  <c r="BQ24" i="8"/>
  <c r="BQ8" i="8"/>
  <c r="BO92" i="16"/>
  <c r="BG11" i="10"/>
  <c r="AV202" i="117"/>
  <c r="AV203" i="117" s="1"/>
  <c r="CF43" i="8"/>
  <c r="BQ46" i="7"/>
  <c r="BC184" i="117"/>
  <c r="BM72" i="17"/>
  <c r="BM73" i="17" s="1"/>
  <c r="BH10" i="2"/>
  <c r="BW17" i="17"/>
  <c r="BW15" i="17" s="1"/>
  <c r="CC10" i="17"/>
  <c r="CD152" i="21"/>
  <c r="CE152" i="21" s="1"/>
  <c r="CF152" i="21" s="1"/>
  <c r="CG152" i="21" s="1"/>
  <c r="BO167" i="117"/>
  <c r="BL4" i="2"/>
  <c r="BL6" i="2" s="1"/>
  <c r="BK7" i="2"/>
  <c r="BO86" i="3"/>
  <c r="BO87" i="3" s="1"/>
  <c r="BN87" i="3"/>
  <c r="BN159" i="3"/>
  <c r="BN176" i="3" s="1"/>
  <c r="BM21" i="16"/>
  <c r="BM67" i="16"/>
  <c r="BO20" i="16"/>
  <c r="BH10" i="10"/>
  <c r="CQ17" i="17"/>
  <c r="CW10" i="17"/>
  <c r="CK51" i="17"/>
  <c r="AX208" i="117"/>
  <c r="CJ134" i="21"/>
  <c r="CJ104" i="15"/>
  <c r="CK103" i="15"/>
  <c r="CK95" i="15"/>
  <c r="CK90" i="21"/>
  <c r="CK97" i="15"/>
  <c r="CJ109" i="15"/>
  <c r="CJ110" i="15" s="1"/>
  <c r="CJ112" i="21"/>
  <c r="CJ98" i="15"/>
  <c r="CO82" i="15"/>
  <c r="CL86" i="15"/>
  <c r="CL94" i="15"/>
  <c r="CK28" i="15"/>
  <c r="CK75" i="15"/>
  <c r="CK26" i="15"/>
  <c r="CO4" i="15"/>
  <c r="CM5" i="15"/>
  <c r="CJ20" i="15"/>
  <c r="CJ21" i="15" s="1"/>
  <c r="CJ40" i="15"/>
  <c r="CJ29" i="15"/>
  <c r="CI38" i="15"/>
  <c r="CJ72" i="15"/>
  <c r="CJ73" i="15" s="1"/>
  <c r="CI46" i="15"/>
  <c r="CK45" i="15"/>
  <c r="CK46" i="15" s="1"/>
  <c r="CK37" i="15"/>
  <c r="CK38" i="15" s="1"/>
  <c r="CL8" i="15"/>
  <c r="CL32" i="15"/>
  <c r="CL33" i="15" s="1"/>
  <c r="CL25" i="15"/>
  <c r="CM7" i="15"/>
  <c r="CM8" i="15" s="1"/>
  <c r="DB92" i="3"/>
  <c r="DC51" i="3"/>
  <c r="DB10" i="3"/>
  <c r="DB11" i="3" s="1"/>
  <c r="DA101" i="3"/>
  <c r="DA93" i="3"/>
  <c r="DC117" i="3"/>
  <c r="DC118" i="3" s="1"/>
  <c r="DD52" i="3"/>
  <c r="BN11" i="16" l="1"/>
  <c r="BT10" i="16"/>
  <c r="BN14" i="16"/>
  <c r="BT13" i="16"/>
  <c r="CX17" i="7"/>
  <c r="CX18" i="7" s="1"/>
  <c r="DD10" i="7"/>
  <c r="CR15" i="7"/>
  <c r="DD13" i="7"/>
  <c r="CX15" i="7"/>
  <c r="BN151" i="117"/>
  <c r="BH158" i="117"/>
  <c r="BB156" i="117"/>
  <c r="BB159" i="117"/>
  <c r="CE13" i="16"/>
  <c r="CK13" i="16" s="1"/>
  <c r="CQ13" i="16" s="1"/>
  <c r="BS17" i="16"/>
  <c r="BY10" i="16"/>
  <c r="BL18" i="9"/>
  <c r="BL13" i="9"/>
  <c r="BL20" i="9"/>
  <c r="BL21" i="9" s="1"/>
  <c r="CP10" i="8"/>
  <c r="CJ17" i="8"/>
  <c r="CD15" i="8"/>
  <c r="CV13" i="8"/>
  <c r="DB13" i="8" s="1"/>
  <c r="BL187" i="3"/>
  <c r="BL188" i="3" s="1"/>
  <c r="AW203" i="117"/>
  <c r="AX202" i="117"/>
  <c r="CW17" i="17"/>
  <c r="CW15" i="17" s="1"/>
  <c r="DC10" i="17"/>
  <c r="BO159" i="3"/>
  <c r="BO160" i="3" s="1"/>
  <c r="BN160" i="3"/>
  <c r="BN172" i="21"/>
  <c r="BN33" i="8"/>
  <c r="DB13" i="16"/>
  <c r="BR24" i="8"/>
  <c r="BR25" i="8" s="1"/>
  <c r="BR8" i="8"/>
  <c r="BR20" i="8"/>
  <c r="BY10" i="2"/>
  <c r="BS17" i="2"/>
  <c r="BK41" i="16"/>
  <c r="BK43" i="16"/>
  <c r="CQ51" i="17"/>
  <c r="CW51" i="17" s="1"/>
  <c r="DC51" i="17" s="1"/>
  <c r="DI51" i="17" s="1"/>
  <c r="BK17" i="2"/>
  <c r="BK8" i="2"/>
  <c r="BK24" i="2"/>
  <c r="BW20" i="17"/>
  <c r="BW21" i="17" s="1"/>
  <c r="BW18" i="17"/>
  <c r="BQ49" i="7"/>
  <c r="BQ50" i="7" s="1"/>
  <c r="BQ105" i="21"/>
  <c r="BQ58" i="7"/>
  <c r="BQ47" i="7"/>
  <c r="BQ25" i="8"/>
  <c r="CX26" i="8"/>
  <c r="BL167" i="117"/>
  <c r="BQ7" i="17"/>
  <c r="BR4" i="17"/>
  <c r="BR6" i="17" s="1"/>
  <c r="BI43" i="10"/>
  <c r="BI44" i="10" s="1"/>
  <c r="BI46" i="10"/>
  <c r="CS16" i="3"/>
  <c r="CR17" i="3"/>
  <c r="BY159" i="117"/>
  <c r="BO159" i="117"/>
  <c r="BT4" i="8"/>
  <c r="BT6" i="8" s="1"/>
  <c r="BS7" i="8"/>
  <c r="DG18" i="7"/>
  <c r="BO45" i="17"/>
  <c r="AX179" i="117"/>
  <c r="AX176" i="117"/>
  <c r="AX177" i="117" s="1"/>
  <c r="BQ18" i="16"/>
  <c r="BO38" i="8"/>
  <c r="BO35" i="8"/>
  <c r="BO36" i="8" s="1"/>
  <c r="CV138" i="3"/>
  <c r="AZ149" i="117"/>
  <c r="AZ165" i="117"/>
  <c r="CC34" i="17"/>
  <c r="CR34" i="17"/>
  <c r="CX34" i="17" s="1"/>
  <c r="DD34" i="17" s="1"/>
  <c r="DJ34" i="17" s="1"/>
  <c r="CW13" i="16"/>
  <c r="BQ91" i="21"/>
  <c r="BQ84" i="16"/>
  <c r="BQ92" i="16"/>
  <c r="BQ86" i="16"/>
  <c r="CL17" i="8"/>
  <c r="CR10" i="8"/>
  <c r="BL87" i="21"/>
  <c r="BL33" i="16"/>
  <c r="CC13" i="16"/>
  <c r="BY184" i="117"/>
  <c r="BT65" i="7"/>
  <c r="CP113" i="3"/>
  <c r="CP162" i="3"/>
  <c r="CP163" i="3" s="1"/>
  <c r="AZ159" i="117"/>
  <c r="AZ161" i="117"/>
  <c r="AZ156" i="117"/>
  <c r="BC5" i="117"/>
  <c r="BC7" i="117" s="1"/>
  <c r="BB8" i="117"/>
  <c r="AT48" i="117"/>
  <c r="AT59" i="117"/>
  <c r="AT50" i="117"/>
  <c r="AT51" i="117" s="1"/>
  <c r="BN99" i="16"/>
  <c r="BO98" i="16"/>
  <c r="BO99" i="16" s="1"/>
  <c r="CC18" i="8"/>
  <c r="BM4" i="2"/>
  <c r="BM6" i="2" s="1"/>
  <c r="BL7" i="2"/>
  <c r="BH11" i="2"/>
  <c r="BY26" i="2"/>
  <c r="AZ68" i="117"/>
  <c r="AZ22" i="117"/>
  <c r="CE158" i="117"/>
  <c r="CE156" i="117" s="1"/>
  <c r="CK151" i="117"/>
  <c r="J30" i="14"/>
  <c r="J25" i="14"/>
  <c r="BU158" i="117"/>
  <c r="BU156" i="117" s="1"/>
  <c r="CA151" i="117"/>
  <c r="BK88" i="17"/>
  <c r="BK86" i="17"/>
  <c r="BT26" i="2"/>
  <c r="CF18" i="8"/>
  <c r="CF15" i="8"/>
  <c r="CU80" i="16"/>
  <c r="AV306" i="117"/>
  <c r="AV174" i="117"/>
  <c r="AV217" i="117" s="1"/>
  <c r="AV216" i="117"/>
  <c r="AV196" i="117"/>
  <c r="AV197" i="117" s="1"/>
  <c r="BR78" i="16"/>
  <c r="BR83" i="16"/>
  <c r="AU48" i="117"/>
  <c r="AU50" i="117"/>
  <c r="AU51" i="117" s="1"/>
  <c r="AU59" i="117"/>
  <c r="AU60" i="117" s="1"/>
  <c r="BL199" i="21"/>
  <c r="BF158" i="117"/>
  <c r="BL151" i="117"/>
  <c r="BI35" i="2"/>
  <c r="BI36" i="2" s="1"/>
  <c r="BI38" i="2"/>
  <c r="BA9" i="117"/>
  <c r="BA25" i="117"/>
  <c r="BA26" i="117" s="1"/>
  <c r="BA21" i="117"/>
  <c r="BB44" i="3"/>
  <c r="BA45" i="3"/>
  <c r="BA46" i="3" s="1"/>
  <c r="CV143" i="3"/>
  <c r="CV135" i="3"/>
  <c r="CO10" i="8"/>
  <c r="CI17" i="8"/>
  <c r="CQ18" i="17"/>
  <c r="CQ20" i="17"/>
  <c r="CQ21" i="17" s="1"/>
  <c r="BO21" i="16"/>
  <c r="BO17" i="16"/>
  <c r="BO18" i="16" s="1"/>
  <c r="BM69" i="17"/>
  <c r="BM70" i="17" s="1"/>
  <c r="CL43" i="8"/>
  <c r="BO93" i="16"/>
  <c r="BO135" i="21"/>
  <c r="L216" i="11"/>
  <c r="BN61" i="8"/>
  <c r="BN62" i="8" s="1"/>
  <c r="BQ6" i="16"/>
  <c r="BU4" i="16"/>
  <c r="CJ34" i="9"/>
  <c r="AZ26" i="117"/>
  <c r="CI13" i="17"/>
  <c r="BZ4" i="7"/>
  <c r="BZ6" i="7" s="1"/>
  <c r="BY7" i="7"/>
  <c r="BX184" i="117"/>
  <c r="BM7" i="21"/>
  <c r="BM177" i="3"/>
  <c r="CQ109" i="3"/>
  <c r="CS104" i="3"/>
  <c r="BI46" i="9"/>
  <c r="BI43" i="9"/>
  <c r="BI44" i="9" s="1"/>
  <c r="BK52" i="17"/>
  <c r="BQ51" i="17"/>
  <c r="BU35" i="7"/>
  <c r="BU36" i="7" s="1"/>
  <c r="BU38" i="7"/>
  <c r="BR154" i="117"/>
  <c r="CQ15" i="17"/>
  <c r="CV10" i="16"/>
  <c r="CP17" i="16"/>
  <c r="BS59" i="3"/>
  <c r="BS55" i="3"/>
  <c r="BS58" i="3"/>
  <c r="BO156" i="117"/>
  <c r="BM7" i="9"/>
  <c r="BM17" i="9" s="1"/>
  <c r="BN4" i="9"/>
  <c r="BN6" i="9" s="1"/>
  <c r="BM82" i="17"/>
  <c r="BM84" i="17" s="1"/>
  <c r="BL85" i="17"/>
  <c r="BL88" i="17" s="1"/>
  <c r="BW31" i="3"/>
  <c r="BX30" i="3"/>
  <c r="BR61" i="3"/>
  <c r="BM4" i="10"/>
  <c r="BM6" i="10" s="1"/>
  <c r="BL7" i="10"/>
  <c r="BO24" i="16"/>
  <c r="BO23" i="16" s="1"/>
  <c r="CK167" i="117"/>
  <c r="CQ167" i="117" s="1"/>
  <c r="CE13" i="2"/>
  <c r="CK13" i="2" s="1"/>
  <c r="BT184" i="117"/>
  <c r="CD34" i="10"/>
  <c r="CX13" i="8"/>
  <c r="BS77" i="16"/>
  <c r="BT74" i="16"/>
  <c r="BT76" i="16" s="1"/>
  <c r="AJ286" i="117"/>
  <c r="AK285" i="117" s="1"/>
  <c r="BI15" i="2"/>
  <c r="BI14" i="2"/>
  <c r="BH186" i="3"/>
  <c r="BH33" i="21"/>
  <c r="BH31" i="21" s="1"/>
  <c r="BH58" i="2"/>
  <c r="BH59" i="2" s="1"/>
  <c r="BH47" i="2"/>
  <c r="BH49" i="2"/>
  <c r="BH50" i="2" s="1"/>
  <c r="DH13" i="8"/>
  <c r="BY156" i="117"/>
  <c r="BO113" i="21"/>
  <c r="BO87" i="16"/>
  <c r="L215" i="11"/>
  <c r="AX31" i="117"/>
  <c r="AX27" i="117"/>
  <c r="AX28" i="117" s="1"/>
  <c r="BK33" i="9"/>
  <c r="BH49" i="10"/>
  <c r="BH51" i="10"/>
  <c r="BI48" i="10"/>
  <c r="BW25" i="7"/>
  <c r="DA18" i="7"/>
  <c r="DA15" i="7"/>
  <c r="CO13" i="8"/>
  <c r="BL56" i="21"/>
  <c r="BL195" i="3"/>
  <c r="BQ7" i="3"/>
  <c r="BR4" i="3"/>
  <c r="BR6" i="3" s="1"/>
  <c r="BH11" i="10"/>
  <c r="BM64" i="16"/>
  <c r="BO67" i="16"/>
  <c r="BU167" i="117"/>
  <c r="CC17" i="17"/>
  <c r="CI10" i="17"/>
  <c r="BI184" i="117"/>
  <c r="AW56" i="117"/>
  <c r="AW57" i="117" s="1"/>
  <c r="AW47" i="117"/>
  <c r="AW34" i="117"/>
  <c r="AW41" i="117"/>
  <c r="AW42" i="117" s="1"/>
  <c r="BX24" i="7"/>
  <c r="BX25" i="7" s="1"/>
  <c r="BX8" i="7"/>
  <c r="BX20" i="7"/>
  <c r="BH49" i="9"/>
  <c r="BH51" i="9"/>
  <c r="BI48" i="9"/>
  <c r="BW21" i="7"/>
  <c r="BW67" i="7"/>
  <c r="BW64" i="7" s="1"/>
  <c r="CF167" i="117"/>
  <c r="J246" i="14"/>
  <c r="J12" i="14"/>
  <c r="J13" i="14" s="1"/>
  <c r="J10" i="14"/>
  <c r="DC13" i="17"/>
  <c r="CJ18" i="16"/>
  <c r="CJ15" i="16"/>
  <c r="BO37" i="17"/>
  <c r="BU53" i="3"/>
  <c r="BT54" i="3"/>
  <c r="BT60" i="3" s="1"/>
  <c r="CC10" i="16"/>
  <c r="BW17" i="16"/>
  <c r="CA154" i="117"/>
  <c r="CO113" i="3"/>
  <c r="CO162" i="3"/>
  <c r="CW137" i="3"/>
  <c r="CW138" i="3" s="1"/>
  <c r="CX125" i="3"/>
  <c r="CW123" i="3"/>
  <c r="CW134" i="3" s="1"/>
  <c r="AX39" i="117"/>
  <c r="AX36" i="117"/>
  <c r="AX37" i="117" s="1"/>
  <c r="BL8" i="9"/>
  <c r="BA148" i="117"/>
  <c r="BB145" i="117"/>
  <c r="BB147" i="117" s="1"/>
  <c r="BU21" i="3"/>
  <c r="BW20" i="3"/>
  <c r="AX65" i="117"/>
  <c r="BK20" i="10"/>
  <c r="BK21" i="10" s="1"/>
  <c r="BK32" i="10"/>
  <c r="BK17" i="10"/>
  <c r="BK8" i="10"/>
  <c r="BO25" i="16"/>
  <c r="AX62" i="117"/>
  <c r="CU135" i="3"/>
  <c r="CU143" i="3"/>
  <c r="BT91" i="17"/>
  <c r="BQ15" i="16"/>
  <c r="BT62" i="7"/>
  <c r="BX51" i="9"/>
  <c r="CW26" i="8"/>
  <c r="BN64" i="16"/>
  <c r="BN65" i="16" s="1"/>
  <c r="AX173" i="117"/>
  <c r="AX170" i="117"/>
  <c r="CF154" i="117"/>
  <c r="AW206" i="117"/>
  <c r="AX205" i="117"/>
  <c r="CK154" i="117"/>
  <c r="BO83" i="3"/>
  <c r="BO84" i="3" s="1"/>
  <c r="BR51" i="10"/>
  <c r="AV34" i="117"/>
  <c r="AV47" i="117"/>
  <c r="AV56" i="117"/>
  <c r="AV57" i="117" s="1"/>
  <c r="AV41" i="117"/>
  <c r="AX33" i="117"/>
  <c r="BK13" i="9"/>
  <c r="BK18" i="9"/>
  <c r="BK20" i="9"/>
  <c r="BK21" i="9" s="1"/>
  <c r="BQ64" i="8"/>
  <c r="BQ65" i="8" s="1"/>
  <c r="CL95" i="15"/>
  <c r="CL90" i="21"/>
  <c r="CM90" i="21" s="1"/>
  <c r="CL97" i="15"/>
  <c r="CL103" i="15"/>
  <c r="CS82" i="15"/>
  <c r="CO84" i="15"/>
  <c r="CM94" i="15"/>
  <c r="CK104" i="15"/>
  <c r="CK134" i="21"/>
  <c r="CK109" i="15"/>
  <c r="CK98" i="15"/>
  <c r="CK112" i="21"/>
  <c r="CL45" i="15"/>
  <c r="CO6" i="15"/>
  <c r="CS4" i="15"/>
  <c r="CJ69" i="15"/>
  <c r="CJ70" i="15" s="1"/>
  <c r="CJ48" i="15"/>
  <c r="CJ49" i="15" s="1"/>
  <c r="CJ41" i="15"/>
  <c r="CJ86" i="21"/>
  <c r="CJ60" i="15"/>
  <c r="CM33" i="15"/>
  <c r="CK72" i="15"/>
  <c r="CK73" i="15" s="1"/>
  <c r="CL28" i="15"/>
  <c r="CL26" i="15"/>
  <c r="CL75" i="15"/>
  <c r="CM32" i="15"/>
  <c r="CM31" i="15" s="1"/>
  <c r="CK20" i="15"/>
  <c r="CK21" i="15" s="1"/>
  <c r="CK29" i="15"/>
  <c r="CK40" i="15"/>
  <c r="DC10" i="3"/>
  <c r="DC11" i="3" s="1"/>
  <c r="DC92" i="3"/>
  <c r="DD51" i="3"/>
  <c r="DA102" i="3"/>
  <c r="DB93" i="3"/>
  <c r="DB101" i="3"/>
  <c r="DB102" i="3" s="1"/>
  <c r="DD117" i="3"/>
  <c r="DD118" i="3" s="1"/>
  <c r="DE52" i="3"/>
  <c r="DG52" i="3" s="1"/>
  <c r="BZ13" i="16" l="1"/>
  <c r="BT17" i="16"/>
  <c r="BT18" i="16" s="1"/>
  <c r="BZ10" i="16"/>
  <c r="DJ13" i="7"/>
  <c r="DD17" i="7"/>
  <c r="DD18" i="7" s="1"/>
  <c r="DJ10" i="7"/>
  <c r="BH156" i="117"/>
  <c r="BH159" i="117"/>
  <c r="BN158" i="117"/>
  <c r="BT151" i="117"/>
  <c r="BY17" i="16"/>
  <c r="CE10" i="16"/>
  <c r="BS15" i="16"/>
  <c r="BS18" i="16"/>
  <c r="BM18" i="9"/>
  <c r="BM20" i="9"/>
  <c r="BM21" i="9" s="1"/>
  <c r="BM13" i="9"/>
  <c r="L217" i="11"/>
  <c r="L218" i="11" s="1"/>
  <c r="L226" i="11" s="1"/>
  <c r="BL89" i="17"/>
  <c r="BL91" i="17"/>
  <c r="BL32" i="21"/>
  <c r="BL17" i="2"/>
  <c r="BL24" i="2"/>
  <c r="BL25" i="2" s="1"/>
  <c r="BL10" i="9"/>
  <c r="BL14" i="9"/>
  <c r="BR13" i="9"/>
  <c r="BX13" i="9" s="1"/>
  <c r="BL20" i="10"/>
  <c r="BL21" i="10" s="1"/>
  <c r="BL17" i="10"/>
  <c r="CJ15" i="8"/>
  <c r="CJ18" i="8"/>
  <c r="CV10" i="8"/>
  <c r="CP17" i="8"/>
  <c r="AV188" i="117"/>
  <c r="AV223" i="117" s="1"/>
  <c r="BL200" i="3"/>
  <c r="BL201" i="3" s="1"/>
  <c r="BL190" i="3"/>
  <c r="BL191" i="3" s="1"/>
  <c r="AV50" i="117"/>
  <c r="AV51" i="117" s="1"/>
  <c r="AV48" i="117"/>
  <c r="AV59" i="117"/>
  <c r="AV60" i="117" s="1"/>
  <c r="BZ91" i="17"/>
  <c r="BT88" i="17"/>
  <c r="BK13" i="10"/>
  <c r="BK10" i="10"/>
  <c r="BK18" i="10"/>
  <c r="CX137" i="3"/>
  <c r="CX138" i="3" s="1"/>
  <c r="CY125" i="3"/>
  <c r="CX123" i="3"/>
  <c r="CX134" i="3" s="1"/>
  <c r="CY134" i="3" s="1"/>
  <c r="CY135" i="3" s="1"/>
  <c r="BH52" i="9"/>
  <c r="AW59" i="117"/>
  <c r="AW60" i="117" s="1"/>
  <c r="AW48" i="117"/>
  <c r="AW50" i="117"/>
  <c r="AW51" i="117" s="1"/>
  <c r="BI51" i="10"/>
  <c r="BI52" i="10" s="1"/>
  <c r="BI49" i="10"/>
  <c r="BM7" i="10"/>
  <c r="BN4" i="10"/>
  <c r="BN6" i="10" s="1"/>
  <c r="CQ110" i="3"/>
  <c r="CQ112" i="3"/>
  <c r="BR86" i="16"/>
  <c r="BR91" i="21"/>
  <c r="BR92" i="16"/>
  <c r="BR84" i="16"/>
  <c r="BB9" i="117"/>
  <c r="BB25" i="117"/>
  <c r="BB21" i="117"/>
  <c r="CI13" i="16"/>
  <c r="BQ113" i="21"/>
  <c r="BQ98" i="16"/>
  <c r="BQ87" i="16"/>
  <c r="AZ166" i="117"/>
  <c r="BO43" i="17"/>
  <c r="BO44" i="17" s="1"/>
  <c r="BO46" i="17"/>
  <c r="BR167" i="117"/>
  <c r="BN177" i="3"/>
  <c r="BN7" i="21"/>
  <c r="BN194" i="3"/>
  <c r="BQ61" i="8"/>
  <c r="BQ62" i="8" s="1"/>
  <c r="BX51" i="10"/>
  <c r="AX206" i="117"/>
  <c r="AX154" i="117"/>
  <c r="CL154" i="117"/>
  <c r="BN61" i="16"/>
  <c r="BN62" i="16" s="1"/>
  <c r="CU120" i="3"/>
  <c r="CU121" i="3" s="1"/>
  <c r="CU144" i="3"/>
  <c r="CU165" i="3"/>
  <c r="AX14" i="117"/>
  <c r="AX66" i="117"/>
  <c r="BA149" i="117"/>
  <c r="BA165" i="117"/>
  <c r="BA166" i="117" s="1"/>
  <c r="BA161" i="117"/>
  <c r="CW143" i="3"/>
  <c r="CW135" i="3"/>
  <c r="CO163" i="3"/>
  <c r="BW18" i="16"/>
  <c r="BW53" i="3"/>
  <c r="BL75" i="10"/>
  <c r="BI51" i="9"/>
  <c r="BI52" i="9" s="1"/>
  <c r="BI49" i="9"/>
  <c r="CC20" i="17"/>
  <c r="CC21" i="17" s="1"/>
  <c r="CC18" i="17"/>
  <c r="CA167" i="117"/>
  <c r="BQ8" i="3"/>
  <c r="BQ81" i="3" s="1"/>
  <c r="BQ80" i="3"/>
  <c r="BQ86" i="3" s="1"/>
  <c r="CU13" i="8"/>
  <c r="BW37" i="7"/>
  <c r="BW29" i="7"/>
  <c r="BL21" i="2"/>
  <c r="BL67" i="2"/>
  <c r="AK286" i="117"/>
  <c r="AL286" i="117" s="1"/>
  <c r="BS78" i="16"/>
  <c r="BS83" i="16"/>
  <c r="CJ34" i="10"/>
  <c r="CQ13" i="2"/>
  <c r="BL8" i="10"/>
  <c r="BW51" i="17"/>
  <c r="BY8" i="7"/>
  <c r="BY24" i="7"/>
  <c r="BY25" i="7" s="1"/>
  <c r="CP34" i="9"/>
  <c r="AU190" i="117"/>
  <c r="AU188" i="117"/>
  <c r="AU223" i="117" s="1"/>
  <c r="AU309" i="117"/>
  <c r="AU199" i="117"/>
  <c r="AU222" i="117"/>
  <c r="BA68" i="117"/>
  <c r="BA22" i="117"/>
  <c r="BZ26" i="2"/>
  <c r="CQ151" i="117"/>
  <c r="CK158" i="117"/>
  <c r="CK156" i="117" s="1"/>
  <c r="CE26" i="2"/>
  <c r="BN4" i="2"/>
  <c r="BN6" i="2" s="1"/>
  <c r="BM7" i="2"/>
  <c r="AZ162" i="117"/>
  <c r="AZ208" i="117"/>
  <c r="AZ205" i="117" s="1"/>
  <c r="BW15" i="16"/>
  <c r="DC13" i="16"/>
  <c r="CI34" i="17"/>
  <c r="BS8" i="8"/>
  <c r="BS24" i="8"/>
  <c r="BS25" i="8" s="1"/>
  <c r="BQ59" i="7"/>
  <c r="BN198" i="21"/>
  <c r="BK14" i="9"/>
  <c r="BQ13" i="9"/>
  <c r="AX167" i="117"/>
  <c r="AX168" i="117" s="1"/>
  <c r="AX171" i="117"/>
  <c r="CD51" i="9"/>
  <c r="BO38" i="17"/>
  <c r="BO34" i="17"/>
  <c r="BO35" i="17" s="1"/>
  <c r="BX67" i="7"/>
  <c r="BX21" i="7"/>
  <c r="BL86" i="17"/>
  <c r="CA6" i="7"/>
  <c r="CC4" i="7" s="1"/>
  <c r="BZ7" i="7"/>
  <c r="CI18" i="8"/>
  <c r="BA38" i="117"/>
  <c r="BA39" i="117" s="1"/>
  <c r="BA30" i="117"/>
  <c r="BK91" i="17"/>
  <c r="BK89" i="17"/>
  <c r="BT7" i="8"/>
  <c r="BU6" i="8"/>
  <c r="BW4" i="8" s="1"/>
  <c r="BQ37" i="8"/>
  <c r="BS15" i="2"/>
  <c r="BS18" i="2"/>
  <c r="DH13" i="16"/>
  <c r="BN173" i="21"/>
  <c r="BK10" i="9"/>
  <c r="AX34" i="117"/>
  <c r="AX56" i="117"/>
  <c r="AX57" i="117" s="1"/>
  <c r="AW174" i="117"/>
  <c r="AW217" i="117" s="1"/>
  <c r="AW216" i="117"/>
  <c r="AW306" i="117"/>
  <c r="AX11" i="117"/>
  <c r="AX12" i="117" s="1"/>
  <c r="AX63" i="117"/>
  <c r="BO37" i="16"/>
  <c r="BK33" i="10"/>
  <c r="BL75" i="9"/>
  <c r="BW61" i="7"/>
  <c r="BW65" i="7"/>
  <c r="BD8" i="117"/>
  <c r="BD9" i="117" s="1"/>
  <c r="BO184" i="117"/>
  <c r="BM61" i="16"/>
  <c r="BM65" i="16"/>
  <c r="BO64" i="16"/>
  <c r="BH52" i="10"/>
  <c r="BK34" i="9"/>
  <c r="BK45" i="9"/>
  <c r="DD13" i="8"/>
  <c r="BZ184" i="117"/>
  <c r="BN82" i="17"/>
  <c r="BN84" i="17" s="1"/>
  <c r="BM85" i="17"/>
  <c r="BM8" i="9"/>
  <c r="BS61" i="3"/>
  <c r="CP18" i="16"/>
  <c r="CP15" i="16"/>
  <c r="BX154" i="117"/>
  <c r="CC15" i="17"/>
  <c r="AZ38" i="117"/>
  <c r="AZ30" i="117"/>
  <c r="BR4" i="16"/>
  <c r="BR6" i="16" s="1"/>
  <c r="BQ7" i="16"/>
  <c r="CR43" i="8"/>
  <c r="CU10" i="8"/>
  <c r="CO17" i="8"/>
  <c r="CV120" i="3"/>
  <c r="CV121" i="3" s="1"/>
  <c r="CV165" i="3"/>
  <c r="CV166" i="3" s="1"/>
  <c r="CV144" i="3"/>
  <c r="BF159" i="117"/>
  <c r="BF156" i="117"/>
  <c r="CG151" i="117"/>
  <c r="CA158" i="117"/>
  <c r="CA156" i="117" s="1"/>
  <c r="AZ65" i="117"/>
  <c r="AX59" i="117"/>
  <c r="AX60" i="117" s="1"/>
  <c r="AT60" i="117"/>
  <c r="BD7" i="117"/>
  <c r="BC8" i="117"/>
  <c r="CX10" i="8"/>
  <c r="CR17" i="8"/>
  <c r="BQ93" i="16"/>
  <c r="BQ135" i="21"/>
  <c r="CU16" i="3"/>
  <c r="CU104" i="3" s="1"/>
  <c r="CS17" i="3"/>
  <c r="BR7" i="17"/>
  <c r="BS4" i="17"/>
  <c r="BS6" i="17" s="1"/>
  <c r="CE10" i="2"/>
  <c r="BY17" i="2"/>
  <c r="CW18" i="17"/>
  <c r="CW20" i="17"/>
  <c r="CW21" i="17" s="1"/>
  <c r="BX20" i="3"/>
  <c r="BW21" i="3"/>
  <c r="CC17" i="16"/>
  <c r="CC15" i="16" s="1"/>
  <c r="CI10" i="16"/>
  <c r="BO6" i="9"/>
  <c r="BN7" i="9"/>
  <c r="BM187" i="3"/>
  <c r="BM181" i="3"/>
  <c r="BR151" i="117"/>
  <c r="BL158" i="117"/>
  <c r="AX216" i="117"/>
  <c r="AX174" i="117"/>
  <c r="AX217" i="117" s="1"/>
  <c r="AX196" i="117"/>
  <c r="AX197" i="117" s="1"/>
  <c r="CE159" i="117"/>
  <c r="BL131" i="21"/>
  <c r="BK25" i="2"/>
  <c r="BR37" i="8"/>
  <c r="BR38" i="8" s="1"/>
  <c r="BR29" i="8"/>
  <c r="BR30" i="8" s="1"/>
  <c r="DI10" i="17"/>
  <c r="DC17" i="17"/>
  <c r="DC15" i="17" s="1"/>
  <c r="AV42" i="117"/>
  <c r="AX41" i="117"/>
  <c r="CQ154" i="117"/>
  <c r="DC26" i="8"/>
  <c r="DI26" i="8" s="1"/>
  <c r="BM88" i="21"/>
  <c r="BM41" i="17"/>
  <c r="BC145" i="117"/>
  <c r="BC147" i="117" s="1"/>
  <c r="BB148" i="117"/>
  <c r="CG154" i="117"/>
  <c r="BT59" i="3"/>
  <c r="BT58" i="3"/>
  <c r="BT55" i="3"/>
  <c r="BU54" i="3"/>
  <c r="DI13" i="17"/>
  <c r="CL167" i="117"/>
  <c r="CR167" i="117" s="1"/>
  <c r="BX37" i="7"/>
  <c r="BX38" i="7" s="1"/>
  <c r="BX29" i="7"/>
  <c r="BX30" i="7" s="1"/>
  <c r="CI17" i="17"/>
  <c r="CO10" i="17"/>
  <c r="BS4" i="3"/>
  <c r="BS6" i="3" s="1"/>
  <c r="BR7" i="3"/>
  <c r="CI15" i="8"/>
  <c r="AJ287" i="117"/>
  <c r="AJ289" i="117" s="1"/>
  <c r="BT77" i="16"/>
  <c r="BU76" i="16"/>
  <c r="BW74" i="16" s="1"/>
  <c r="BX31" i="3"/>
  <c r="BY30" i="3"/>
  <c r="BO29" i="16"/>
  <c r="CV17" i="16"/>
  <c r="DB10" i="16"/>
  <c r="BM56" i="21"/>
  <c r="CD184" i="117"/>
  <c r="CO13" i="17"/>
  <c r="BC44" i="3"/>
  <c r="BB45" i="3"/>
  <c r="BB46" i="3" s="1"/>
  <c r="DA80" i="16"/>
  <c r="BU159" i="117"/>
  <c r="J37" i="14"/>
  <c r="J154" i="14" s="1"/>
  <c r="J158" i="14" s="1"/>
  <c r="J35" i="14"/>
  <c r="BL8" i="2"/>
  <c r="AX47" i="117"/>
  <c r="CE184" i="117"/>
  <c r="CL18" i="8"/>
  <c r="CL15" i="8"/>
  <c r="BQ32" i="17"/>
  <c r="BQ8" i="17"/>
  <c r="BQ25" i="17"/>
  <c r="DD26" i="8"/>
  <c r="DJ26" i="8" s="1"/>
  <c r="BK18" i="2"/>
  <c r="BK13" i="2"/>
  <c r="BK44" i="16"/>
  <c r="BQ43" i="16"/>
  <c r="BW43" i="16" s="1"/>
  <c r="CC43" i="16" s="1"/>
  <c r="CI43" i="16" s="1"/>
  <c r="CO43" i="16" s="1"/>
  <c r="CU43" i="16" s="1"/>
  <c r="DA43" i="16" s="1"/>
  <c r="DG43" i="16" s="1"/>
  <c r="BR67" i="8"/>
  <c r="BR21" i="8"/>
  <c r="AX203" i="117"/>
  <c r="AX151" i="117"/>
  <c r="AX152" i="117" s="1"/>
  <c r="CJ54" i="15"/>
  <c r="CJ66" i="15" s="1"/>
  <c r="CJ67" i="15" s="1"/>
  <c r="CM88" i="15"/>
  <c r="CM89" i="15" s="1"/>
  <c r="CM95" i="15"/>
  <c r="CL98" i="15"/>
  <c r="CL112" i="21"/>
  <c r="CL109" i="15"/>
  <c r="CL110" i="15" s="1"/>
  <c r="CM97" i="15"/>
  <c r="CK110" i="15"/>
  <c r="CP82" i="15"/>
  <c r="CP84" i="15" s="1"/>
  <c r="CO85" i="15"/>
  <c r="CL134" i="21"/>
  <c r="CL104" i="15"/>
  <c r="CL72" i="15"/>
  <c r="CL73" i="15" s="1"/>
  <c r="CO7" i="15"/>
  <c r="CP4" i="15"/>
  <c r="CP6" i="15" s="1"/>
  <c r="CL29" i="15"/>
  <c r="CL20" i="15"/>
  <c r="CL21" i="15" s="1"/>
  <c r="CK41" i="15"/>
  <c r="CK60" i="15"/>
  <c r="CK86" i="21"/>
  <c r="CK69" i="15"/>
  <c r="CK70" i="15" s="1"/>
  <c r="CJ130" i="21"/>
  <c r="CJ61" i="15"/>
  <c r="CL46" i="15"/>
  <c r="CM45" i="15"/>
  <c r="DC93" i="3"/>
  <c r="DC101" i="3"/>
  <c r="DE51" i="3"/>
  <c r="DD10" i="3"/>
  <c r="DD11" i="3" s="1"/>
  <c r="DD92" i="3"/>
  <c r="DE92" i="3" s="1"/>
  <c r="DE93" i="3" s="1"/>
  <c r="DE117" i="3"/>
  <c r="DE118" i="3" s="1"/>
  <c r="DH52" i="3"/>
  <c r="DG117" i="3"/>
  <c r="BT15" i="16" l="1"/>
  <c r="CF10" i="16"/>
  <c r="BZ17" i="16"/>
  <c r="BZ18" i="16" s="1"/>
  <c r="CF13" i="16"/>
  <c r="DJ17" i="7"/>
  <c r="DJ18" i="7" s="1"/>
  <c r="DD15" i="7"/>
  <c r="BT158" i="117"/>
  <c r="BZ151" i="117"/>
  <c r="BN156" i="117"/>
  <c r="BN159" i="117"/>
  <c r="CK10" i="16"/>
  <c r="CE17" i="16"/>
  <c r="BY18" i="16"/>
  <c r="BY15" i="16"/>
  <c r="BM10" i="9"/>
  <c r="BM14" i="9"/>
  <c r="BS13" i="9"/>
  <c r="BY13" i="9" s="1"/>
  <c r="CE13" i="9" s="1"/>
  <c r="BO11" i="21"/>
  <c r="BL92" i="17"/>
  <c r="BR91" i="17"/>
  <c r="BT61" i="3"/>
  <c r="CY137" i="3"/>
  <c r="CY138" i="3" s="1"/>
  <c r="BL26" i="2"/>
  <c r="BL37" i="2"/>
  <c r="BL38" i="2" s="1"/>
  <c r="BL13" i="2"/>
  <c r="BL18" i="2"/>
  <c r="CD13" i="9"/>
  <c r="CJ13" i="9" s="1"/>
  <c r="BL11" i="9"/>
  <c r="BR10" i="9"/>
  <c r="BL13" i="10"/>
  <c r="BL14" i="10" s="1"/>
  <c r="BL18" i="10"/>
  <c r="CP18" i="8"/>
  <c r="CP15" i="8"/>
  <c r="CV17" i="8"/>
  <c r="DB10" i="8"/>
  <c r="CQ158" i="117"/>
  <c r="CQ159" i="117" s="1"/>
  <c r="AV199" i="117"/>
  <c r="AV200" i="117" s="1"/>
  <c r="AV190" i="117"/>
  <c r="AV191" i="117" s="1"/>
  <c r="AV226" i="117" s="1"/>
  <c r="AV222" i="117"/>
  <c r="AV219" i="117" s="1"/>
  <c r="AV220" i="117" s="1"/>
  <c r="AV309" i="117"/>
  <c r="CI20" i="17"/>
  <c r="CI21" i="17" s="1"/>
  <c r="CI18" i="17"/>
  <c r="CM154" i="117"/>
  <c r="BL159" i="117"/>
  <c r="BL156" i="117"/>
  <c r="CO10" i="16"/>
  <c r="CI17" i="16"/>
  <c r="CI15" i="16" s="1"/>
  <c r="DJ13" i="8"/>
  <c r="BN199" i="21"/>
  <c r="BA208" i="117"/>
  <c r="BA162" i="117"/>
  <c r="BL47" i="16"/>
  <c r="BL105" i="16"/>
  <c r="BL58" i="16"/>
  <c r="BL59" i="16" s="1"/>
  <c r="BL109" i="21"/>
  <c r="DH10" i="16"/>
  <c r="DH17" i="16" s="1"/>
  <c r="DH15" i="16" s="1"/>
  <c r="DB17" i="16"/>
  <c r="BO26" i="16"/>
  <c r="BO27" i="16" s="1"/>
  <c r="BO30" i="16"/>
  <c r="BU77" i="16"/>
  <c r="BU78" i="16" s="1"/>
  <c r="BT78" i="16"/>
  <c r="CO17" i="17"/>
  <c r="CO15" i="17" s="1"/>
  <c r="CU10" i="17"/>
  <c r="BU59" i="3"/>
  <c r="BU58" i="3"/>
  <c r="BB149" i="117"/>
  <c r="BB165" i="117"/>
  <c r="BB161" i="117"/>
  <c r="DI17" i="17"/>
  <c r="BK26" i="2"/>
  <c r="BK27" i="2" s="1"/>
  <c r="BK37" i="2"/>
  <c r="BM200" i="3"/>
  <c r="BM201" i="3" s="1"/>
  <c r="BM32" i="21"/>
  <c r="BM188" i="3"/>
  <c r="CU109" i="3"/>
  <c r="BC25" i="117"/>
  <c r="BC26" i="117" s="1"/>
  <c r="BC9" i="117"/>
  <c r="BC21" i="117"/>
  <c r="AZ66" i="117"/>
  <c r="CG158" i="117"/>
  <c r="CG156" i="117" s="1"/>
  <c r="CM151" i="117"/>
  <c r="AZ31" i="117"/>
  <c r="AZ33" i="117"/>
  <c r="BM86" i="17"/>
  <c r="BO15" i="16"/>
  <c r="BO13" i="16"/>
  <c r="BO14" i="16" s="1"/>
  <c r="BO65" i="16"/>
  <c r="BU184" i="117"/>
  <c r="BW62" i="7"/>
  <c r="BN17" i="21"/>
  <c r="BQ38" i="8"/>
  <c r="BU7" i="8"/>
  <c r="BU8" i="8" s="1"/>
  <c r="BT8" i="8"/>
  <c r="BT24" i="8"/>
  <c r="BT25" i="8" s="1"/>
  <c r="BU25" i="8" s="1"/>
  <c r="BT20" i="8"/>
  <c r="BK92" i="17"/>
  <c r="BQ91" i="17"/>
  <c r="BX32" i="7"/>
  <c r="DI13" i="16"/>
  <c r="BN7" i="2"/>
  <c r="BN17" i="2" s="1"/>
  <c r="BO6" i="2"/>
  <c r="CK159" i="117"/>
  <c r="BA65" i="117"/>
  <c r="BA66" i="117" s="1"/>
  <c r="AU258" i="117"/>
  <c r="AU231" i="117"/>
  <c r="AU219" i="117"/>
  <c r="AU220" i="117" s="1"/>
  <c r="AU191" i="117"/>
  <c r="AU226" i="117" s="1"/>
  <c r="AU225" i="117"/>
  <c r="AK287" i="117"/>
  <c r="AK289" i="117" s="1"/>
  <c r="BW38" i="7"/>
  <c r="DA13" i="8"/>
  <c r="CG167" i="117"/>
  <c r="BL29" i="10"/>
  <c r="BX53" i="3"/>
  <c r="BW54" i="3"/>
  <c r="BW60" i="3" s="1"/>
  <c r="CR154" i="117"/>
  <c r="CD51" i="10"/>
  <c r="BN195" i="3"/>
  <c r="BN56" i="21"/>
  <c r="BB26" i="117"/>
  <c r="BR87" i="16"/>
  <c r="BR98" i="16"/>
  <c r="BR99" i="16" s="1"/>
  <c r="BR113" i="21"/>
  <c r="CJ184" i="117"/>
  <c r="CP184" i="117" s="1"/>
  <c r="BY31" i="3"/>
  <c r="BZ30" i="3"/>
  <c r="AX42" i="117"/>
  <c r="AX44" i="117"/>
  <c r="AX45" i="117" s="1"/>
  <c r="BM29" i="9"/>
  <c r="BM75" i="9"/>
  <c r="BK34" i="10"/>
  <c r="BK45" i="10"/>
  <c r="BA31" i="117"/>
  <c r="BA33" i="117"/>
  <c r="BS37" i="8"/>
  <c r="BS38" i="8" s="1"/>
  <c r="BS29" i="8"/>
  <c r="BS30" i="8" s="1"/>
  <c r="CF26" i="2"/>
  <c r="CP34" i="10"/>
  <c r="BQ87" i="3"/>
  <c r="BQ159" i="3"/>
  <c r="BQ160" i="3" s="1"/>
  <c r="AZ178" i="117"/>
  <c r="AZ170" i="117"/>
  <c r="BN7" i="10"/>
  <c r="BO6" i="10"/>
  <c r="BM87" i="21"/>
  <c r="BM33" i="16"/>
  <c r="BO32" i="16"/>
  <c r="BO33" i="16" s="1"/>
  <c r="BK10" i="2"/>
  <c r="BQ13" i="2"/>
  <c r="BK14" i="2"/>
  <c r="BQ28" i="17"/>
  <c r="BQ29" i="17" s="1"/>
  <c r="BQ75" i="17"/>
  <c r="BQ26" i="17"/>
  <c r="CK184" i="117"/>
  <c r="CQ184" i="117" s="1"/>
  <c r="J193" i="14"/>
  <c r="J242" i="14"/>
  <c r="CI15" i="17"/>
  <c r="BN87" i="21"/>
  <c r="BN33" i="16"/>
  <c r="BR80" i="3"/>
  <c r="BR86" i="3" s="1"/>
  <c r="BR8" i="3"/>
  <c r="BR81" i="3" s="1"/>
  <c r="BR158" i="117"/>
  <c r="BX151" i="117"/>
  <c r="BQ4" i="9"/>
  <c r="BO5" i="9"/>
  <c r="CC18" i="16"/>
  <c r="BY20" i="3"/>
  <c r="BX21" i="3"/>
  <c r="BN185" i="21"/>
  <c r="BN58" i="8"/>
  <c r="BN59" i="8" s="1"/>
  <c r="CK10" i="2"/>
  <c r="CE17" i="2"/>
  <c r="BS7" i="17"/>
  <c r="BT4" i="17"/>
  <c r="BT6" i="17" s="1"/>
  <c r="CU17" i="3"/>
  <c r="CV16" i="3"/>
  <c r="CV104" i="3" s="1"/>
  <c r="CR18" i="8"/>
  <c r="CR15" i="8"/>
  <c r="CO18" i="8"/>
  <c r="BQ8" i="16"/>
  <c r="BQ24" i="16"/>
  <c r="BQ20" i="16"/>
  <c r="AZ39" i="117"/>
  <c r="BK46" i="9"/>
  <c r="BK48" i="9"/>
  <c r="BM62" i="16"/>
  <c r="BO61" i="16"/>
  <c r="BO38" i="16"/>
  <c r="BO35" i="16"/>
  <c r="BO36" i="16" s="1"/>
  <c r="CC6" i="7"/>
  <c r="CG4" i="7"/>
  <c r="P67" i="11"/>
  <c r="P68" i="11" s="1"/>
  <c r="P71" i="11" s="1"/>
  <c r="BX64" i="7"/>
  <c r="BX61" i="7" s="1"/>
  <c r="BX62" i="7" s="1"/>
  <c r="CJ51" i="9"/>
  <c r="CO34" i="17"/>
  <c r="CK26" i="2"/>
  <c r="AU315" i="117"/>
  <c r="CV34" i="9"/>
  <c r="BS91" i="21"/>
  <c r="BS86" i="16"/>
  <c r="BS84" i="16"/>
  <c r="BS92" i="16"/>
  <c r="BL64" i="2"/>
  <c r="BL61" i="2" s="1"/>
  <c r="BW30" i="7"/>
  <c r="BW32" i="7"/>
  <c r="BL72" i="10"/>
  <c r="BL69" i="10" s="1"/>
  <c r="CW120" i="3"/>
  <c r="CW121" i="3" s="1"/>
  <c r="CW165" i="3"/>
  <c r="CW166" i="3" s="1"/>
  <c r="CW144" i="3"/>
  <c r="BA178" i="117"/>
  <c r="BA179" i="117" s="1"/>
  <c r="BA170" i="117"/>
  <c r="CO13" i="16"/>
  <c r="BR93" i="16"/>
  <c r="BR135" i="21"/>
  <c r="BM8" i="10"/>
  <c r="CX143" i="3"/>
  <c r="CX135" i="3"/>
  <c r="BK11" i="10"/>
  <c r="BQ10" i="10"/>
  <c r="BT89" i="17"/>
  <c r="BR64" i="8"/>
  <c r="BR65" i="8" s="1"/>
  <c r="BQ33" i="17"/>
  <c r="BE44" i="3"/>
  <c r="BC45" i="3"/>
  <c r="BC46" i="3" s="1"/>
  <c r="CV18" i="16"/>
  <c r="CV15" i="16"/>
  <c r="BD147" i="117"/>
  <c r="BF145" i="117"/>
  <c r="BC148" i="117"/>
  <c r="BO7" i="9"/>
  <c r="BO8" i="9" s="1"/>
  <c r="BN8" i="9"/>
  <c r="BY18" i="2"/>
  <c r="BY15" i="2"/>
  <c r="CX43" i="8"/>
  <c r="CD154" i="117"/>
  <c r="BN85" i="17"/>
  <c r="BO84" i="17"/>
  <c r="BL29" i="9"/>
  <c r="CA7" i="7"/>
  <c r="CA8" i="7" s="1"/>
  <c r="BZ8" i="7"/>
  <c r="BZ24" i="7"/>
  <c r="BZ20" i="7"/>
  <c r="BW13" i="9"/>
  <c r="AU200" i="117"/>
  <c r="AN285" i="117"/>
  <c r="AR285" i="117" s="1"/>
  <c r="J262" i="14"/>
  <c r="J263" i="14" s="1"/>
  <c r="J260" i="14" s="1"/>
  <c r="AX15" i="117"/>
  <c r="AX16" i="117"/>
  <c r="AX155" i="117"/>
  <c r="AX156" i="117"/>
  <c r="BX167" i="117"/>
  <c r="BR32" i="8"/>
  <c r="AX50" i="117"/>
  <c r="AX51" i="117" s="1"/>
  <c r="AX48" i="117"/>
  <c r="DG80" i="16"/>
  <c r="CU13" i="17"/>
  <c r="BW76" i="16"/>
  <c r="CA74" i="16"/>
  <c r="BT4" i="3"/>
  <c r="BT6" i="3" s="1"/>
  <c r="BS7" i="3"/>
  <c r="DC18" i="17"/>
  <c r="DC20" i="17"/>
  <c r="DC21" i="17" s="1"/>
  <c r="BR8" i="17"/>
  <c r="BR32" i="17"/>
  <c r="BR33" i="17" s="1"/>
  <c r="DD10" i="8"/>
  <c r="CX17" i="8"/>
  <c r="AZ62" i="117"/>
  <c r="CA159" i="117"/>
  <c r="DA10" i="8"/>
  <c r="CU17" i="8"/>
  <c r="CU15" i="8" s="1"/>
  <c r="BM29" i="10"/>
  <c r="BM75" i="10"/>
  <c r="BR7" i="16"/>
  <c r="BS4" i="16"/>
  <c r="BS6" i="16" s="1"/>
  <c r="CF184" i="117"/>
  <c r="BK35" i="9"/>
  <c r="BQ34" i="9"/>
  <c r="BL72" i="9"/>
  <c r="BL73" i="9" s="1"/>
  <c r="BK11" i="9"/>
  <c r="BQ10" i="9"/>
  <c r="BW6" i="8"/>
  <c r="CA4" i="8"/>
  <c r="BL92" i="21"/>
  <c r="BL95" i="17"/>
  <c r="AX181" i="117"/>
  <c r="AZ202" i="117"/>
  <c r="AZ206" i="117"/>
  <c r="BM8" i="2"/>
  <c r="BY37" i="7"/>
  <c r="BY38" i="7" s="1"/>
  <c r="CC51" i="17"/>
  <c r="CW13" i="2"/>
  <c r="CO15" i="8"/>
  <c r="BU60" i="3"/>
  <c r="CU166" i="3"/>
  <c r="BN187" i="3"/>
  <c r="BQ99" i="16"/>
  <c r="BB68" i="117"/>
  <c r="BB22" i="117"/>
  <c r="CQ162" i="3"/>
  <c r="CQ113" i="3"/>
  <c r="DA125" i="3"/>
  <c r="CY123" i="3"/>
  <c r="BK14" i="10"/>
  <c r="BQ13" i="10"/>
  <c r="BZ88" i="17"/>
  <c r="CF91" i="17"/>
  <c r="CJ108" i="21"/>
  <c r="CJ57" i="15"/>
  <c r="CJ58" i="15" s="1"/>
  <c r="CJ116" i="15"/>
  <c r="CJ119" i="15" s="1"/>
  <c r="CJ120" i="15" s="1"/>
  <c r="CJ55" i="15"/>
  <c r="CL69" i="15"/>
  <c r="CL70" i="15" s="1"/>
  <c r="CO86" i="15"/>
  <c r="CO94" i="15"/>
  <c r="CM112" i="21"/>
  <c r="CM100" i="15"/>
  <c r="CM101" i="15" s="1"/>
  <c r="P200" i="11"/>
  <c r="CM98" i="15"/>
  <c r="CP85" i="15"/>
  <c r="CQ82" i="15"/>
  <c r="CQ84" i="15" s="1"/>
  <c r="CM43" i="15"/>
  <c r="CM44" i="15" s="1"/>
  <c r="CM46" i="15"/>
  <c r="CQ4" i="15"/>
  <c r="CQ6" i="15" s="1"/>
  <c r="CP7" i="15"/>
  <c r="CO32" i="15"/>
  <c r="CO8" i="15"/>
  <c r="CK61" i="15"/>
  <c r="CK130" i="21"/>
  <c r="DD93" i="3"/>
  <c r="DC102" i="3"/>
  <c r="DG51" i="3"/>
  <c r="DE10" i="3"/>
  <c r="DE11" i="3" s="1"/>
  <c r="DI52" i="3"/>
  <c r="DH117" i="3"/>
  <c r="DH118" i="3" s="1"/>
  <c r="DG118" i="3"/>
  <c r="BZ15" i="16" l="1"/>
  <c r="CL13" i="16"/>
  <c r="CL10" i="16"/>
  <c r="CF17" i="16"/>
  <c r="CF18" i="16" s="1"/>
  <c r="BT34" i="9"/>
  <c r="BZ34" i="9" s="1"/>
  <c r="CF34" i="9" s="1"/>
  <c r="DJ15" i="7"/>
  <c r="BN32" i="10"/>
  <c r="BN33" i="10" s="1"/>
  <c r="BN45" i="10" s="1"/>
  <c r="BN20" i="10"/>
  <c r="BN21" i="10" s="1"/>
  <c r="BN17" i="10"/>
  <c r="BN18" i="2"/>
  <c r="CF151" i="117"/>
  <c r="BZ158" i="117"/>
  <c r="BT156" i="117"/>
  <c r="BT159" i="117"/>
  <c r="AV315" i="117"/>
  <c r="CE15" i="16"/>
  <c r="CE18" i="16"/>
  <c r="CQ10" i="16"/>
  <c r="CK17" i="16"/>
  <c r="CK13" i="9"/>
  <c r="CQ13" i="9" s="1"/>
  <c r="CW13" i="9" s="1"/>
  <c r="BM11" i="9"/>
  <c r="BS10" i="9"/>
  <c r="BM13" i="10"/>
  <c r="BM10" i="10" s="1"/>
  <c r="BM105" i="16"/>
  <c r="BM110" i="21"/>
  <c r="BX91" i="17"/>
  <c r="BR88" i="17"/>
  <c r="BR89" i="17" s="1"/>
  <c r="BL14" i="2"/>
  <c r="BR13" i="2"/>
  <c r="BL10" i="2"/>
  <c r="BL27" i="2"/>
  <c r="BR26" i="2"/>
  <c r="BX26" i="2" s="1"/>
  <c r="CD26" i="2" s="1"/>
  <c r="CJ26" i="2" s="1"/>
  <c r="CP26" i="2" s="1"/>
  <c r="CV26" i="2" s="1"/>
  <c r="DB26" i="2" s="1"/>
  <c r="DH26" i="2" s="1"/>
  <c r="BO32" i="9"/>
  <c r="BO31" i="9" s="1"/>
  <c r="BX10" i="9"/>
  <c r="BR17" i="9"/>
  <c r="CP13" i="9"/>
  <c r="CV13" i="9" s="1"/>
  <c r="DB13" i="9" s="1"/>
  <c r="BL69" i="9"/>
  <c r="BL70" i="9" s="1"/>
  <c r="BO7" i="10"/>
  <c r="BO8" i="10" s="1"/>
  <c r="BL10" i="10"/>
  <c r="BL11" i="10" s="1"/>
  <c r="BR13" i="10"/>
  <c r="DH10" i="8"/>
  <c r="DH17" i="8" s="1"/>
  <c r="DB17" i="8"/>
  <c r="CV15" i="8"/>
  <c r="CV18" i="8"/>
  <c r="BR61" i="8"/>
  <c r="BR62" i="8" s="1"/>
  <c r="AV225" i="117"/>
  <c r="CQ156" i="117"/>
  <c r="AV258" i="117"/>
  <c r="AV264" i="117" s="1"/>
  <c r="AV231" i="117"/>
  <c r="AV232" i="117" s="1"/>
  <c r="BN75" i="10"/>
  <c r="BN72" i="10" s="1"/>
  <c r="BO25" i="10"/>
  <c r="BL70" i="10"/>
  <c r="CV109" i="3"/>
  <c r="DA137" i="3"/>
  <c r="DB125" i="3"/>
  <c r="DA123" i="3"/>
  <c r="DA134" i="3" s="1"/>
  <c r="BM21" i="2"/>
  <c r="BM67" i="2"/>
  <c r="BO20" i="2"/>
  <c r="DD17" i="8"/>
  <c r="DJ10" i="8"/>
  <c r="DJ17" i="8" s="1"/>
  <c r="BT7" i="17"/>
  <c r="BU6" i="17"/>
  <c r="CD151" i="117"/>
  <c r="BX158" i="117"/>
  <c r="BK48" i="10"/>
  <c r="BK46" i="10"/>
  <c r="CM167" i="117"/>
  <c r="CF88" i="17"/>
  <c r="CL91" i="17"/>
  <c r="CQ163" i="3"/>
  <c r="BB65" i="117"/>
  <c r="BB66" i="117" s="1"/>
  <c r="BL109" i="17"/>
  <c r="BL114" i="21"/>
  <c r="BX4" i="8"/>
  <c r="BX6" i="8" s="1"/>
  <c r="BW7" i="8"/>
  <c r="CL184" i="117"/>
  <c r="CR184" i="117" s="1"/>
  <c r="BM72" i="10"/>
  <c r="BM73" i="10" s="1"/>
  <c r="DG10" i="8"/>
  <c r="DA17" i="8"/>
  <c r="DA15" i="8" s="1"/>
  <c r="CX18" i="8"/>
  <c r="CX15" i="8"/>
  <c r="BS8" i="3"/>
  <c r="BS81" i="3" s="1"/>
  <c r="BS80" i="3"/>
  <c r="BS86" i="3" s="1"/>
  <c r="BO83" i="17"/>
  <c r="BQ82" i="17"/>
  <c r="BF44" i="3"/>
  <c r="BE45" i="3"/>
  <c r="BE46" i="3" s="1"/>
  <c r="CQ26" i="2"/>
  <c r="CU34" i="17"/>
  <c r="DA34" i="17" s="1"/>
  <c r="DG34" i="17" s="1"/>
  <c r="BX65" i="7"/>
  <c r="CQ10" i="2"/>
  <c r="CK17" i="2"/>
  <c r="BO87" i="21"/>
  <c r="BM109" i="21"/>
  <c r="BM49" i="16"/>
  <c r="BM50" i="16" s="1"/>
  <c r="AZ179" i="117"/>
  <c r="CL26" i="2"/>
  <c r="BM72" i="9"/>
  <c r="BM73" i="9" s="1"/>
  <c r="BB38" i="117"/>
  <c r="BB30" i="117"/>
  <c r="BD26" i="117"/>
  <c r="CJ51" i="10"/>
  <c r="BA62" i="117"/>
  <c r="BA63" i="117" s="1"/>
  <c r="BO7" i="2"/>
  <c r="BO8" i="2" s="1"/>
  <c r="BN24" i="2"/>
  <c r="BN8" i="2"/>
  <c r="BW91" i="17"/>
  <c r="BQ88" i="17"/>
  <c r="BT21" i="8"/>
  <c r="BT67" i="8"/>
  <c r="BT64" i="8" s="1"/>
  <c r="CS151" i="117"/>
  <c r="CM158" i="117"/>
  <c r="BA205" i="117"/>
  <c r="BA202" i="117" s="1"/>
  <c r="CU10" i="16"/>
  <c r="CO17" i="16"/>
  <c r="BN21" i="2"/>
  <c r="BN67" i="2"/>
  <c r="BT7" i="3"/>
  <c r="BU6" i="3"/>
  <c r="CC13" i="9"/>
  <c r="BN86" i="17"/>
  <c r="BO94" i="17"/>
  <c r="BO85" i="17"/>
  <c r="BO86" i="17" s="1"/>
  <c r="BM45" i="10"/>
  <c r="CU13" i="16"/>
  <c r="BL62" i="2"/>
  <c r="CJ152" i="21"/>
  <c r="CK152" i="21" s="1"/>
  <c r="CL152" i="21" s="1"/>
  <c r="CM152" i="21" s="1"/>
  <c r="BR159" i="3"/>
  <c r="BR176" i="3" s="1"/>
  <c r="BR87" i="3"/>
  <c r="BO5" i="10"/>
  <c r="BQ4" i="10"/>
  <c r="BT37" i="8"/>
  <c r="BT38" i="8" s="1"/>
  <c r="BT29" i="8"/>
  <c r="CA184" i="117"/>
  <c r="BC38" i="117"/>
  <c r="BC39" i="117" s="1"/>
  <c r="BC30" i="117"/>
  <c r="DI18" i="17"/>
  <c r="DI20" i="17"/>
  <c r="DI21" i="17" s="1"/>
  <c r="BU61" i="3"/>
  <c r="DB18" i="16"/>
  <c r="DB15" i="16"/>
  <c r="BW13" i="10"/>
  <c r="DC13" i="2"/>
  <c r="CI51" i="17"/>
  <c r="BM37" i="2"/>
  <c r="BM38" i="2" s="1"/>
  <c r="AZ203" i="117"/>
  <c r="AX182" i="117"/>
  <c r="AX184" i="117"/>
  <c r="AX185" i="117" s="1"/>
  <c r="BO33" i="9"/>
  <c r="BT4" i="16"/>
  <c r="BT6" i="16" s="1"/>
  <c r="BS7" i="16"/>
  <c r="DA13" i="17"/>
  <c r="BZ21" i="7"/>
  <c r="BZ67" i="7"/>
  <c r="BD148" i="117"/>
  <c r="BD149" i="117" s="1"/>
  <c r="BC165" i="117"/>
  <c r="BC166" i="117" s="1"/>
  <c r="BC149" i="117"/>
  <c r="BC161" i="117"/>
  <c r="BQ45" i="17"/>
  <c r="BQ37" i="17"/>
  <c r="CX165" i="3"/>
  <c r="CX144" i="3"/>
  <c r="CX120" i="3"/>
  <c r="CX121" i="3" s="1"/>
  <c r="CY143" i="3"/>
  <c r="BW52" i="7"/>
  <c r="BW83" i="21"/>
  <c r="BW33" i="7"/>
  <c r="BW40" i="7"/>
  <c r="BL65" i="2"/>
  <c r="CP51" i="9"/>
  <c r="BO62" i="16"/>
  <c r="BO10" i="16"/>
  <c r="BO11" i="16" s="1"/>
  <c r="BS8" i="17"/>
  <c r="BS32" i="17"/>
  <c r="BS25" i="17"/>
  <c r="BU7" i="17"/>
  <c r="BU8" i="17" s="1"/>
  <c r="BY21" i="3"/>
  <c r="BZ20" i="3"/>
  <c r="BQ6" i="9"/>
  <c r="BU4" i="9"/>
  <c r="BR159" i="117"/>
  <c r="BR156" i="117"/>
  <c r="BN131" i="21"/>
  <c r="BW13" i="2"/>
  <c r="BN8" i="10"/>
  <c r="CV34" i="10"/>
  <c r="DB34" i="10" s="1"/>
  <c r="DH34" i="10" s="1"/>
  <c r="BK35" i="10"/>
  <c r="BQ34" i="10"/>
  <c r="BW58" i="3"/>
  <c r="BW59" i="3"/>
  <c r="BW55" i="3"/>
  <c r="AU232" i="117"/>
  <c r="BX33" i="7"/>
  <c r="BX83" i="21"/>
  <c r="BX52" i="7"/>
  <c r="AZ34" i="117"/>
  <c r="AZ56" i="117"/>
  <c r="AZ57" i="117" s="1"/>
  <c r="AZ47" i="117"/>
  <c r="AZ41" i="117"/>
  <c r="BB208" i="117"/>
  <c r="BB162" i="117"/>
  <c r="CU17" i="17"/>
  <c r="DA10" i="17"/>
  <c r="DH18" i="16"/>
  <c r="BL106" i="16"/>
  <c r="BL113" i="16"/>
  <c r="BL114" i="16" s="1"/>
  <c r="BL108" i="16"/>
  <c r="BL109" i="16" s="1"/>
  <c r="BZ89" i="17"/>
  <c r="BL136" i="21"/>
  <c r="DD43" i="8"/>
  <c r="DJ43" i="8" s="1"/>
  <c r="BS98" i="16"/>
  <c r="BS113" i="21"/>
  <c r="BS87" i="16"/>
  <c r="BQ25" i="16"/>
  <c r="BM92" i="21"/>
  <c r="BM95" i="17"/>
  <c r="CG159" i="117"/>
  <c r="CL34" i="9"/>
  <c r="BN32" i="21"/>
  <c r="BN200" i="3"/>
  <c r="BN201" i="3" s="1"/>
  <c r="BW10" i="9"/>
  <c r="BQ17" i="9"/>
  <c r="BW34" i="9"/>
  <c r="BR24" i="16"/>
  <c r="BR25" i="16" s="1"/>
  <c r="BR8" i="16"/>
  <c r="BR20" i="16"/>
  <c r="CU18" i="8"/>
  <c r="AZ63" i="117"/>
  <c r="BR45" i="17"/>
  <c r="BR46" i="17" s="1"/>
  <c r="BR37" i="17"/>
  <c r="BR38" i="17" s="1"/>
  <c r="BX74" i="16"/>
  <c r="BX76" i="16" s="1"/>
  <c r="BW77" i="16"/>
  <c r="BR172" i="21"/>
  <c r="BR173" i="21" s="1"/>
  <c r="BR33" i="8"/>
  <c r="BR52" i="8"/>
  <c r="CD167" i="117"/>
  <c r="BU24" i="8"/>
  <c r="BU23" i="8" s="1"/>
  <c r="BZ25" i="7"/>
  <c r="CA24" i="7"/>
  <c r="CA23" i="7" s="1"/>
  <c r="BL84" i="21"/>
  <c r="BL41" i="9"/>
  <c r="CJ154" i="117"/>
  <c r="BJ145" i="117"/>
  <c r="BF147" i="117"/>
  <c r="BW10" i="10"/>
  <c r="BQ17" i="10"/>
  <c r="BQ15" i="10" s="1"/>
  <c r="BA171" i="117"/>
  <c r="BA173" i="117"/>
  <c r="BL73" i="10"/>
  <c r="BS135" i="21"/>
  <c r="BS93" i="16"/>
  <c r="DB34" i="9"/>
  <c r="DH34" i="9" s="1"/>
  <c r="CC7" i="7"/>
  <c r="CD4" i="7"/>
  <c r="CD6" i="7" s="1"/>
  <c r="AW309" i="117"/>
  <c r="AW190" i="117"/>
  <c r="AW222" i="117"/>
  <c r="AW199" i="117"/>
  <c r="AW188" i="117"/>
  <c r="AW223" i="117" s="1"/>
  <c r="AX187" i="117"/>
  <c r="BK51" i="9"/>
  <c r="BK49" i="9"/>
  <c r="BQ67" i="16"/>
  <c r="BQ21" i="16"/>
  <c r="CW16" i="3"/>
  <c r="CW104" i="3" s="1"/>
  <c r="CW109" i="3" s="1"/>
  <c r="CV17" i="3"/>
  <c r="CE15" i="2"/>
  <c r="CE18" i="2"/>
  <c r="BN186" i="21"/>
  <c r="BN213" i="21"/>
  <c r="DI15" i="17"/>
  <c r="BQ72" i="17"/>
  <c r="BQ73" i="17" s="1"/>
  <c r="BQ10" i="2"/>
  <c r="BK11" i="2"/>
  <c r="AZ173" i="117"/>
  <c r="AZ171" i="117"/>
  <c r="BA34" i="117"/>
  <c r="BA56" i="117"/>
  <c r="BA57" i="117" s="1"/>
  <c r="BA47" i="117"/>
  <c r="BA41" i="117"/>
  <c r="BA42" i="117" s="1"/>
  <c r="CA30" i="3"/>
  <c r="BZ31" i="3"/>
  <c r="BD25" i="117"/>
  <c r="BY53" i="3"/>
  <c r="BX54" i="3"/>
  <c r="DG13" i="8"/>
  <c r="AU264" i="117"/>
  <c r="AU259" i="117"/>
  <c r="BQ4" i="2"/>
  <c r="BO5" i="2"/>
  <c r="BC68" i="117"/>
  <c r="BC22" i="117"/>
  <c r="BD21" i="117"/>
  <c r="CU110" i="3"/>
  <c r="CU112" i="3"/>
  <c r="BK38" i="2"/>
  <c r="BB166" i="117"/>
  <c r="CO18" i="17"/>
  <c r="CO20" i="17"/>
  <c r="CO21" i="17" s="1"/>
  <c r="CI18" i="16"/>
  <c r="CS154" i="117"/>
  <c r="CJ124" i="15"/>
  <c r="CJ125" i="15" s="1"/>
  <c r="CJ117" i="15"/>
  <c r="CO95" i="15"/>
  <c r="CO97" i="15"/>
  <c r="CO90" i="21"/>
  <c r="CP86" i="15"/>
  <c r="CP94" i="15"/>
  <c r="CR82" i="15"/>
  <c r="CR84" i="15" s="1"/>
  <c r="CQ85" i="15"/>
  <c r="CP32" i="15"/>
  <c r="CP33" i="15" s="1"/>
  <c r="CP8" i="15"/>
  <c r="CP25" i="15"/>
  <c r="CQ7" i="15"/>
  <c r="CR4" i="15"/>
  <c r="CR6" i="15" s="1"/>
  <c r="CO33" i="15"/>
  <c r="DG10" i="3"/>
  <c r="DG11" i="3" s="1"/>
  <c r="DG92" i="3"/>
  <c r="DH51" i="3"/>
  <c r="DI117" i="3"/>
  <c r="DJ52" i="3"/>
  <c r="CR10" i="16" l="1"/>
  <c r="CL17" i="16"/>
  <c r="CL18" i="16" s="1"/>
  <c r="CF15" i="16"/>
  <c r="CR13" i="16"/>
  <c r="CL15" i="16"/>
  <c r="BN18" i="10"/>
  <c r="BN13" i="10"/>
  <c r="BN10" i="10" s="1"/>
  <c r="BO72" i="10"/>
  <c r="BN48" i="10"/>
  <c r="BN46" i="10"/>
  <c r="BT10" i="2"/>
  <c r="BT13" i="2"/>
  <c r="BZ156" i="117"/>
  <c r="BZ159" i="117"/>
  <c r="CL151" i="117"/>
  <c r="CF158" i="117"/>
  <c r="CK18" i="16"/>
  <c r="CK15" i="16"/>
  <c r="CW10" i="16"/>
  <c r="CQ17" i="16"/>
  <c r="BM47" i="16"/>
  <c r="BY10" i="9"/>
  <c r="BS17" i="9"/>
  <c r="BM46" i="10"/>
  <c r="BM48" i="10"/>
  <c r="BM11" i="10"/>
  <c r="BS10" i="10"/>
  <c r="BM14" i="10"/>
  <c r="BS13" i="10"/>
  <c r="CD91" i="17"/>
  <c r="BX88" i="17"/>
  <c r="BX89" i="17" s="1"/>
  <c r="BL11" i="2"/>
  <c r="BR10" i="2"/>
  <c r="BX13" i="2"/>
  <c r="BR15" i="9"/>
  <c r="BR20" i="9"/>
  <c r="BR21" i="9" s="1"/>
  <c r="BR18" i="9"/>
  <c r="CD10" i="9"/>
  <c r="BX17" i="9"/>
  <c r="BR10" i="10"/>
  <c r="BX10" i="10" s="1"/>
  <c r="BX13" i="10"/>
  <c r="DJ18" i="8"/>
  <c r="BU37" i="8"/>
  <c r="BU38" i="8" s="1"/>
  <c r="DB18" i="8"/>
  <c r="DB15" i="8"/>
  <c r="DH18" i="8"/>
  <c r="DH15" i="8"/>
  <c r="AV259" i="117"/>
  <c r="BD165" i="117"/>
  <c r="BA203" i="117"/>
  <c r="CU162" i="3"/>
  <c r="CU113" i="3"/>
  <c r="BX59" i="3"/>
  <c r="BX58" i="3"/>
  <c r="BX55" i="3"/>
  <c r="BO13" i="10"/>
  <c r="BO73" i="10"/>
  <c r="BL128" i="21"/>
  <c r="BZ37" i="7"/>
  <c r="CA25" i="7"/>
  <c r="BO95" i="17"/>
  <c r="BO88" i="17"/>
  <c r="BO89" i="17" s="1"/>
  <c r="BW127" i="21"/>
  <c r="BW53" i="7"/>
  <c r="DG13" i="17"/>
  <c r="DI13" i="2"/>
  <c r="BT32" i="8"/>
  <c r="BT30" i="8"/>
  <c r="BM108" i="16"/>
  <c r="BM109" i="16" s="1"/>
  <c r="BM106" i="16"/>
  <c r="BS87" i="3"/>
  <c r="BS159" i="3"/>
  <c r="CD158" i="117"/>
  <c r="CJ151" i="117"/>
  <c r="DA138" i="3"/>
  <c r="BB178" i="117"/>
  <c r="BB170" i="117"/>
  <c r="BD166" i="117"/>
  <c r="BA59" i="117"/>
  <c r="BA60" i="117" s="1"/>
  <c r="BA48" i="117"/>
  <c r="BA50" i="117"/>
  <c r="BA51" i="117" s="1"/>
  <c r="BQ69" i="17"/>
  <c r="BQ70" i="17" s="1"/>
  <c r="BN214" i="21"/>
  <c r="AX188" i="117"/>
  <c r="AX223" i="117" s="1"/>
  <c r="AX190" i="117"/>
  <c r="AX222" i="117"/>
  <c r="AW225" i="117"/>
  <c r="AW191" i="117"/>
  <c r="AW226" i="117" s="1"/>
  <c r="CE4" i="7"/>
  <c r="CE6" i="7" s="1"/>
  <c r="CD7" i="7"/>
  <c r="CJ167" i="117"/>
  <c r="BR67" i="16"/>
  <c r="BR21" i="16"/>
  <c r="CC10" i="9"/>
  <c r="BW17" i="9"/>
  <c r="CR34" i="9"/>
  <c r="CU20" i="17"/>
  <c r="CU21" i="17" s="1"/>
  <c r="CU18" i="17"/>
  <c r="AZ42" i="117"/>
  <c r="BW34" i="10"/>
  <c r="BQ46" i="17"/>
  <c r="CU15" i="17"/>
  <c r="BO45" i="9"/>
  <c r="CG184" i="117"/>
  <c r="BR160" i="3"/>
  <c r="DA13" i="16"/>
  <c r="BN92" i="21"/>
  <c r="BO92" i="21" s="1"/>
  <c r="BQ89" i="17"/>
  <c r="BN25" i="2"/>
  <c r="BO24" i="2"/>
  <c r="BO23" i="2" s="1"/>
  <c r="CP51" i="10"/>
  <c r="BM69" i="9"/>
  <c r="BM70" i="9" s="1"/>
  <c r="CW10" i="2"/>
  <c r="CQ17" i="2"/>
  <c r="BQ84" i="17"/>
  <c r="BU82" i="17"/>
  <c r="BM69" i="10"/>
  <c r="BL110" i="17"/>
  <c r="BB62" i="117"/>
  <c r="DA143" i="3"/>
  <c r="DA135" i="3"/>
  <c r="BX159" i="117"/>
  <c r="BX156" i="117"/>
  <c r="BM64" i="2"/>
  <c r="DC125" i="3"/>
  <c r="DC137" i="3" s="1"/>
  <c r="DC138" i="3" s="1"/>
  <c r="DB123" i="3"/>
  <c r="BO26" i="10"/>
  <c r="BO75" i="10"/>
  <c r="BO17" i="10"/>
  <c r="BO18" i="10" s="1"/>
  <c r="BC62" i="117"/>
  <c r="BC63" i="117" s="1"/>
  <c r="BC65" i="117"/>
  <c r="BC66" i="117" s="1"/>
  <c r="AZ196" i="117"/>
  <c r="AZ197" i="117" s="1"/>
  <c r="AZ306" i="117"/>
  <c r="BQ11" i="21" s="1"/>
  <c r="AZ174" i="117"/>
  <c r="AZ217" i="117" s="1"/>
  <c r="AZ216" i="117"/>
  <c r="AZ181" i="117"/>
  <c r="BO36" i="21"/>
  <c r="L254" i="14" s="1"/>
  <c r="L256" i="14" s="1"/>
  <c r="AW315" i="117"/>
  <c r="BO33" i="10"/>
  <c r="CX166" i="3"/>
  <c r="CY165" i="3"/>
  <c r="CY166" i="3" s="1"/>
  <c r="BO32" i="10"/>
  <c r="BO31" i="10" s="1"/>
  <c r="CM159" i="117"/>
  <c r="CR91" i="17"/>
  <c r="CL88" i="17"/>
  <c r="CM156" i="117"/>
  <c r="BD65" i="117"/>
  <c r="AU272" i="117"/>
  <c r="AU265" i="117"/>
  <c r="BX60" i="3"/>
  <c r="CC30" i="3"/>
  <c r="CA31" i="3"/>
  <c r="AW200" i="117"/>
  <c r="AX199" i="117"/>
  <c r="AX200" i="117" s="1"/>
  <c r="BW17" i="10"/>
  <c r="BW15" i="10" s="1"/>
  <c r="CC10" i="10"/>
  <c r="BW78" i="16"/>
  <c r="BW83" i="16"/>
  <c r="BR37" i="16"/>
  <c r="BR38" i="16" s="1"/>
  <c r="BR29" i="16"/>
  <c r="CC34" i="9"/>
  <c r="BM114" i="21"/>
  <c r="BM98" i="17"/>
  <c r="BM109" i="17"/>
  <c r="BM110" i="17" s="1"/>
  <c r="BM116" i="17"/>
  <c r="BS99" i="16"/>
  <c r="DH13" i="9"/>
  <c r="DJ15" i="8"/>
  <c r="BB205" i="117"/>
  <c r="BB206" i="117" s="1"/>
  <c r="BX53" i="7"/>
  <c r="BX127" i="21"/>
  <c r="BL41" i="10"/>
  <c r="BL85" i="21"/>
  <c r="BW61" i="3"/>
  <c r="BR4" i="9"/>
  <c r="BR6" i="9" s="1"/>
  <c r="BQ7" i="9"/>
  <c r="BQ25" i="9" s="1"/>
  <c r="BS26" i="17"/>
  <c r="BS75" i="17"/>
  <c r="BS28" i="17"/>
  <c r="CV51" i="9"/>
  <c r="CY144" i="3"/>
  <c r="CY120" i="3"/>
  <c r="CY121" i="3" s="1"/>
  <c r="BQ40" i="17"/>
  <c r="BQ38" i="17"/>
  <c r="BZ64" i="7"/>
  <c r="BZ61" i="7" s="1"/>
  <c r="BZ62" i="7" s="1"/>
  <c r="BU6" i="16"/>
  <c r="BT7" i="16"/>
  <c r="BU7" i="16" s="1"/>
  <c r="BU8" i="16" s="1"/>
  <c r="DC13" i="9"/>
  <c r="BU5" i="3"/>
  <c r="BW4" i="3"/>
  <c r="CU17" i="16"/>
  <c r="DA10" i="16"/>
  <c r="CS158" i="117"/>
  <c r="CS159" i="117" s="1"/>
  <c r="BT61" i="8"/>
  <c r="BT62" i="8" s="1"/>
  <c r="BT65" i="8"/>
  <c r="BW88" i="17"/>
  <c r="CC91" i="17"/>
  <c r="BB31" i="117"/>
  <c r="BB33" i="117"/>
  <c r="BD30" i="117"/>
  <c r="CW26" i="2"/>
  <c r="DC26" i="2" s="1"/>
  <c r="DI26" i="2" s="1"/>
  <c r="DA18" i="8"/>
  <c r="BW8" i="8"/>
  <c r="BW24" i="8"/>
  <c r="BW20" i="8"/>
  <c r="CF89" i="17"/>
  <c r="BW4" i="17"/>
  <c r="BU5" i="17"/>
  <c r="DD18" i="8"/>
  <c r="DD15" i="8"/>
  <c r="BO17" i="2"/>
  <c r="BO21" i="2"/>
  <c r="BO67" i="2"/>
  <c r="CW110" i="3"/>
  <c r="CW112" i="3"/>
  <c r="BQ64" i="16"/>
  <c r="BQ61" i="16" s="1"/>
  <c r="CC24" i="7"/>
  <c r="CC8" i="7"/>
  <c r="CC20" i="7"/>
  <c r="BQ20" i="10"/>
  <c r="BQ21" i="10" s="1"/>
  <c r="BQ18" i="10"/>
  <c r="AZ48" i="117"/>
  <c r="AZ59" i="117"/>
  <c r="AZ50" i="117"/>
  <c r="AZ51" i="117" s="1"/>
  <c r="BW46" i="7"/>
  <c r="BW41" i="7"/>
  <c r="BD161" i="117"/>
  <c r="BC162" i="117"/>
  <c r="BC208" i="117"/>
  <c r="BS8" i="16"/>
  <c r="BS24" i="16"/>
  <c r="BS25" i="16" s="1"/>
  <c r="BS20" i="16"/>
  <c r="CC13" i="10"/>
  <c r="BC31" i="117"/>
  <c r="BC33" i="117"/>
  <c r="CO18" i="16"/>
  <c r="BA206" i="117"/>
  <c r="BG44" i="3"/>
  <c r="BF45" i="3"/>
  <c r="BF46" i="3" s="1"/>
  <c r="BN69" i="10"/>
  <c r="BN70" i="10" s="1"/>
  <c r="BN73" i="10"/>
  <c r="BD22" i="117"/>
  <c r="BD18" i="117"/>
  <c r="BD19" i="117" s="1"/>
  <c r="BU4" i="2"/>
  <c r="BQ6" i="2"/>
  <c r="BZ53" i="3"/>
  <c r="BY54" i="3"/>
  <c r="BY60" i="3" s="1"/>
  <c r="BW10" i="2"/>
  <c r="BQ17" i="2"/>
  <c r="BN192" i="21"/>
  <c r="BN42" i="21"/>
  <c r="CX16" i="3"/>
  <c r="CW17" i="3"/>
  <c r="BK52" i="9"/>
  <c r="BQ51" i="9"/>
  <c r="AW219" i="117"/>
  <c r="AW220" i="117" s="1"/>
  <c r="AW258" i="117"/>
  <c r="AW231" i="117"/>
  <c r="BA306" i="117"/>
  <c r="BR11" i="21" s="1"/>
  <c r="BA216" i="117"/>
  <c r="BA196" i="117"/>
  <c r="BA197" i="117" s="1"/>
  <c r="BA174" i="117"/>
  <c r="BA217" i="117" s="1"/>
  <c r="BA181" i="117"/>
  <c r="BA182" i="117" s="1"/>
  <c r="BG145" i="117"/>
  <c r="BG147" i="117" s="1"/>
  <c r="BF148" i="117"/>
  <c r="CP154" i="117"/>
  <c r="BL13" i="21"/>
  <c r="BR198" i="21"/>
  <c r="BR53" i="8"/>
  <c r="BY74" i="16"/>
  <c r="BY76" i="16" s="1"/>
  <c r="BX77" i="16"/>
  <c r="BQ20" i="9"/>
  <c r="BQ21" i="9" s="1"/>
  <c r="BQ18" i="9"/>
  <c r="BQ15" i="9"/>
  <c r="BM104" i="17"/>
  <c r="BM136" i="21"/>
  <c r="BQ29" i="16"/>
  <c r="BQ37" i="16"/>
  <c r="AV265" i="117"/>
  <c r="AV272" i="117"/>
  <c r="DA17" i="17"/>
  <c r="DA15" i="17" s="1"/>
  <c r="DG10" i="17"/>
  <c r="CC13" i="2"/>
  <c r="BZ21" i="3"/>
  <c r="CA20" i="3"/>
  <c r="BS33" i="17"/>
  <c r="BC178" i="117"/>
  <c r="BC179" i="117" s="1"/>
  <c r="BC170" i="117"/>
  <c r="CO51" i="17"/>
  <c r="BQ6" i="10"/>
  <c r="BU4" i="10"/>
  <c r="CO15" i="16"/>
  <c r="CI13" i="9"/>
  <c r="BU7" i="3"/>
  <c r="BT80" i="3"/>
  <c r="BT86" i="3" s="1"/>
  <c r="BT8" i="3"/>
  <c r="BT81" i="3" s="1"/>
  <c r="BN64" i="2"/>
  <c r="BN65" i="2" s="1"/>
  <c r="BB39" i="117"/>
  <c r="BD38" i="117"/>
  <c r="CR26" i="2"/>
  <c r="CK18" i="2"/>
  <c r="CK15" i="2"/>
  <c r="DG17" i="8"/>
  <c r="BY4" i="8"/>
  <c r="BY6" i="8" s="1"/>
  <c r="BX7" i="8"/>
  <c r="BD68" i="117"/>
  <c r="CS167" i="117"/>
  <c r="BK49" i="10"/>
  <c r="BK51" i="10"/>
  <c r="BT32" i="17"/>
  <c r="BT33" i="17" s="1"/>
  <c r="BT8" i="17"/>
  <c r="BL8" i="21"/>
  <c r="BL6" i="21" s="1"/>
  <c r="BL5" i="21" s="1"/>
  <c r="BL52" i="2"/>
  <c r="BL33" i="2"/>
  <c r="BL40" i="2"/>
  <c r="BL41" i="2" s="1"/>
  <c r="DB137" i="3"/>
  <c r="DB138" i="3" s="1"/>
  <c r="CV110" i="3"/>
  <c r="CV112" i="3"/>
  <c r="BO28" i="10"/>
  <c r="BN29" i="10"/>
  <c r="CQ86" i="15"/>
  <c r="CQ94" i="15"/>
  <c r="CP95" i="15"/>
  <c r="CP90" i="21"/>
  <c r="CP103" i="15"/>
  <c r="CP97" i="15"/>
  <c r="CS84" i="15"/>
  <c r="CS83" i="15" s="1"/>
  <c r="CR85" i="15"/>
  <c r="CS85" i="15" s="1"/>
  <c r="CS86" i="15" s="1"/>
  <c r="CO112" i="21"/>
  <c r="CO98" i="15"/>
  <c r="CO45" i="15"/>
  <c r="CO37" i="15"/>
  <c r="CP28" i="15"/>
  <c r="CP26" i="15"/>
  <c r="CP75" i="15"/>
  <c r="CS6" i="15"/>
  <c r="CR7" i="15"/>
  <c r="CS7" i="15" s="1"/>
  <c r="CS8" i="15" s="1"/>
  <c r="CQ32" i="15"/>
  <c r="CQ33" i="15" s="1"/>
  <c r="CQ8" i="15"/>
  <c r="CQ25" i="15"/>
  <c r="CP45" i="15"/>
  <c r="CP46" i="15" s="1"/>
  <c r="CP37" i="15"/>
  <c r="CP38" i="15" s="1"/>
  <c r="DI51" i="3"/>
  <c r="DH10" i="3"/>
  <c r="DH11" i="3" s="1"/>
  <c r="DH92" i="3"/>
  <c r="DG93" i="3"/>
  <c r="DG101" i="3"/>
  <c r="DI118" i="3"/>
  <c r="DK52" i="3"/>
  <c r="DJ117" i="3"/>
  <c r="DJ118" i="3" s="1"/>
  <c r="CX13" i="16" l="1"/>
  <c r="CR17" i="16"/>
  <c r="CR18" i="16" s="1"/>
  <c r="CX10" i="16"/>
  <c r="BN11" i="10"/>
  <c r="BT10" i="10"/>
  <c r="BN14" i="10"/>
  <c r="BT13" i="10"/>
  <c r="BN49" i="10"/>
  <c r="BN51" i="10"/>
  <c r="BZ13" i="2"/>
  <c r="BZ10" i="2"/>
  <c r="BT17" i="2"/>
  <c r="BT18" i="2" s="1"/>
  <c r="CF159" i="117"/>
  <c r="CF156" i="117"/>
  <c r="CR151" i="117"/>
  <c r="CR158" i="117" s="1"/>
  <c r="CL158" i="117"/>
  <c r="CQ18" i="16"/>
  <c r="CQ15" i="16"/>
  <c r="DC10" i="16"/>
  <c r="CW17" i="16"/>
  <c r="DG17" i="17"/>
  <c r="BS15" i="9"/>
  <c r="BS18" i="9"/>
  <c r="BS20" i="9"/>
  <c r="BS21" i="9" s="1"/>
  <c r="BY17" i="9"/>
  <c r="CE10" i="9"/>
  <c r="BS17" i="10"/>
  <c r="BS15" i="10" s="1"/>
  <c r="BY10" i="10"/>
  <c r="BY13" i="10"/>
  <c r="BM51" i="10"/>
  <c r="BM52" i="10" s="1"/>
  <c r="BM49" i="10"/>
  <c r="BU35" i="8"/>
  <c r="BU36" i="8" s="1"/>
  <c r="CD88" i="17"/>
  <c r="CD89" i="17" s="1"/>
  <c r="CJ91" i="17"/>
  <c r="CD13" i="2"/>
  <c r="BX10" i="2"/>
  <c r="BR17" i="2"/>
  <c r="BL46" i="2"/>
  <c r="BL58" i="2" s="1"/>
  <c r="BL59" i="2" s="1"/>
  <c r="BX18" i="9"/>
  <c r="BX20" i="9"/>
  <c r="BX21" i="9" s="1"/>
  <c r="BX15" i="9"/>
  <c r="CD17" i="9"/>
  <c r="CJ10" i="9"/>
  <c r="BR17" i="10"/>
  <c r="BR18" i="10" s="1"/>
  <c r="CD10" i="10"/>
  <c r="BX17" i="10"/>
  <c r="BX15" i="10" s="1"/>
  <c r="CD13" i="10"/>
  <c r="BA187" i="117"/>
  <c r="BA188" i="117" s="1"/>
  <c r="BA223" i="117" s="1"/>
  <c r="BY7" i="8"/>
  <c r="BZ4" i="8"/>
  <c r="BZ6" i="8" s="1"/>
  <c r="CU51" i="17"/>
  <c r="DA51" i="17" s="1"/>
  <c r="DG51" i="17" s="1"/>
  <c r="CY16" i="3"/>
  <c r="CX17" i="3"/>
  <c r="BS67" i="16"/>
  <c r="BS21" i="16"/>
  <c r="CW162" i="3"/>
  <c r="CW163" i="3" s="1"/>
  <c r="CW113" i="3"/>
  <c r="CU18" i="16"/>
  <c r="BL129" i="21"/>
  <c r="CX91" i="17"/>
  <c r="CR88" i="17"/>
  <c r="BM65" i="2"/>
  <c r="BO64" i="2"/>
  <c r="BO65" i="2" s="1"/>
  <c r="BM8" i="21"/>
  <c r="BM6" i="21" s="1"/>
  <c r="BM5" i="21" s="1"/>
  <c r="BM40" i="2"/>
  <c r="BM52" i="2"/>
  <c r="BX24" i="8"/>
  <c r="BX25" i="8" s="1"/>
  <c r="BX8" i="8"/>
  <c r="BX20" i="8"/>
  <c r="BN61" i="2"/>
  <c r="BN62" i="2" s="1"/>
  <c r="BU8" i="3"/>
  <c r="BU81" i="3" s="1"/>
  <c r="BU80" i="3"/>
  <c r="BC171" i="117"/>
  <c r="BC173" i="117"/>
  <c r="CA21" i="3"/>
  <c r="CC20" i="3"/>
  <c r="BR199" i="21"/>
  <c r="BF149" i="117"/>
  <c r="BF165" i="117"/>
  <c r="BF161" i="117"/>
  <c r="BQ18" i="2"/>
  <c r="BQ15" i="2"/>
  <c r="CA53" i="3"/>
  <c r="BZ54" i="3"/>
  <c r="BZ60" i="3" s="1"/>
  <c r="BH44" i="3"/>
  <c r="BG45" i="3"/>
  <c r="BG46" i="3" s="1"/>
  <c r="CI13" i="10"/>
  <c r="BD208" i="117"/>
  <c r="BC205" i="117"/>
  <c r="BC202" i="117" s="1"/>
  <c r="BC203" i="117" s="1"/>
  <c r="AZ60" i="117"/>
  <c r="BQ65" i="16"/>
  <c r="BW89" i="17"/>
  <c r="DA17" i="16"/>
  <c r="DA18" i="16" s="1"/>
  <c r="DG10" i="16"/>
  <c r="BQ32" i="9"/>
  <c r="BQ8" i="9"/>
  <c r="BB202" i="117"/>
  <c r="BR32" i="16"/>
  <c r="BR30" i="16"/>
  <c r="BD66" i="117"/>
  <c r="BD14" i="117"/>
  <c r="CL89" i="17"/>
  <c r="BO45" i="10"/>
  <c r="AZ187" i="117"/>
  <c r="AZ182" i="117"/>
  <c r="BM61" i="2"/>
  <c r="DA120" i="3"/>
  <c r="DA121" i="3" s="1"/>
  <c r="DA165" i="3"/>
  <c r="DA144" i="3"/>
  <c r="BO103" i="17"/>
  <c r="BN136" i="21"/>
  <c r="CU15" i="16"/>
  <c r="CM184" i="117"/>
  <c r="CF4" i="7"/>
  <c r="CF6" i="7" s="1"/>
  <c r="CE7" i="7"/>
  <c r="BB173" i="117"/>
  <c r="BB171" i="117"/>
  <c r="BD170" i="117"/>
  <c r="BS160" i="3"/>
  <c r="BS176" i="3"/>
  <c r="BX61" i="3"/>
  <c r="CU163" i="3"/>
  <c r="CV162" i="3"/>
  <c r="CV163" i="3" s="1"/>
  <c r="CV113" i="3"/>
  <c r="DG15" i="8"/>
  <c r="DG18" i="8"/>
  <c r="BX78" i="16"/>
  <c r="BX83" i="16"/>
  <c r="BW51" i="9"/>
  <c r="BR4" i="2"/>
  <c r="BR6" i="2" s="1"/>
  <c r="BQ7" i="2"/>
  <c r="BW58" i="7"/>
  <c r="BW105" i="21"/>
  <c r="BW49" i="7"/>
  <c r="BW50" i="7" s="1"/>
  <c r="BW47" i="7"/>
  <c r="CC25" i="7"/>
  <c r="BQ88" i="21"/>
  <c r="BQ41" i="17"/>
  <c r="BQ60" i="17"/>
  <c r="BQ48" i="17"/>
  <c r="BQ49" i="17" s="1"/>
  <c r="BR7" i="9"/>
  <c r="BS4" i="9"/>
  <c r="BS6" i="9" s="1"/>
  <c r="DG13" i="16"/>
  <c r="BO43" i="9"/>
  <c r="BO44" i="9" s="1"/>
  <c r="BO46" i="9"/>
  <c r="CX34" i="9"/>
  <c r="BL66" i="9"/>
  <c r="BL67" i="9" s="1"/>
  <c r="BL106" i="21"/>
  <c r="BB179" i="117"/>
  <c r="BD178" i="117"/>
  <c r="BO15" i="10"/>
  <c r="BO14" i="10"/>
  <c r="BT45" i="17"/>
  <c r="BT46" i="17" s="1"/>
  <c r="BT37" i="17"/>
  <c r="BT38" i="17" s="1"/>
  <c r="CX26" i="2"/>
  <c r="DD26" i="2" s="1"/>
  <c r="DJ26" i="2" s="1"/>
  <c r="CO13" i="9"/>
  <c r="BU32" i="17"/>
  <c r="BU31" i="17" s="1"/>
  <c r="DA18" i="17"/>
  <c r="DA20" i="17"/>
  <c r="DA21" i="17" s="1"/>
  <c r="BQ32" i="16"/>
  <c r="BQ30" i="16"/>
  <c r="BQ75" i="9"/>
  <c r="BQ26" i="9"/>
  <c r="BQ28" i="9"/>
  <c r="BQ29" i="9" s="1"/>
  <c r="BZ74" i="16"/>
  <c r="BZ76" i="16" s="1"/>
  <c r="BY77" i="16"/>
  <c r="AW232" i="117"/>
  <c r="AX231" i="117"/>
  <c r="AX232" i="117" s="1"/>
  <c r="CS156" i="117"/>
  <c r="BS37" i="16"/>
  <c r="BS38" i="16" s="1"/>
  <c r="BS29" i="16"/>
  <c r="BD158" i="117"/>
  <c r="BD159" i="117" s="1"/>
  <c r="BD162" i="117"/>
  <c r="BO18" i="2"/>
  <c r="CA4" i="17"/>
  <c r="BW6" i="17"/>
  <c r="BB34" i="117"/>
  <c r="BB56" i="117"/>
  <c r="BB57" i="117" s="1"/>
  <c r="BB41" i="117"/>
  <c r="BB47" i="117" s="1"/>
  <c r="BD33" i="117"/>
  <c r="CI91" i="17"/>
  <c r="CC88" i="17"/>
  <c r="BW6" i="3"/>
  <c r="CA4" i="3"/>
  <c r="BU5" i="16"/>
  <c r="BW4" i="16"/>
  <c r="BZ65" i="7"/>
  <c r="DB51" i="9"/>
  <c r="DH51" i="9" s="1"/>
  <c r="BS72" i="17"/>
  <c r="BS73" i="17" s="1"/>
  <c r="BM119" i="17"/>
  <c r="BM120" i="17" s="1"/>
  <c r="BM117" i="17"/>
  <c r="BW91" i="21"/>
  <c r="BW86" i="16"/>
  <c r="BW84" i="16"/>
  <c r="BW92" i="16"/>
  <c r="CC17" i="10"/>
  <c r="CC15" i="10" s="1"/>
  <c r="CI10" i="10"/>
  <c r="DB134" i="3"/>
  <c r="DC10" i="2"/>
  <c r="CW17" i="2"/>
  <c r="CV51" i="10"/>
  <c r="DB51" i="10" s="1"/>
  <c r="DH51" i="10" s="1"/>
  <c r="BN37" i="2"/>
  <c r="BO25" i="2"/>
  <c r="BN114" i="21"/>
  <c r="BN98" i="17"/>
  <c r="BN109" i="17"/>
  <c r="BN110" i="17" s="1"/>
  <c r="BO97" i="17"/>
  <c r="BR177" i="3"/>
  <c r="BR180" i="3"/>
  <c r="BR181" i="3" s="1"/>
  <c r="BR7" i="21"/>
  <c r="BR194" i="3"/>
  <c r="CC34" i="10"/>
  <c r="BW20" i="9"/>
  <c r="BW21" i="9" s="1"/>
  <c r="BW18" i="9"/>
  <c r="BW15" i="9"/>
  <c r="AX225" i="117"/>
  <c r="AX191" i="117"/>
  <c r="AX226" i="117" s="1"/>
  <c r="CP151" i="117"/>
  <c r="CP158" i="117" s="1"/>
  <c r="CP156" i="117" s="1"/>
  <c r="CJ158" i="117"/>
  <c r="BT172" i="21"/>
  <c r="BT33" i="8"/>
  <c r="BT52" i="8"/>
  <c r="BT40" i="8"/>
  <c r="BT41" i="8" s="1"/>
  <c r="DG15" i="17"/>
  <c r="BL62" i="21"/>
  <c r="DG18" i="17"/>
  <c r="DG20" i="17"/>
  <c r="BQ38" i="16"/>
  <c r="BH145" i="117"/>
  <c r="BH147" i="117" s="1"/>
  <c r="BG148" i="117"/>
  <c r="CC10" i="2"/>
  <c r="BW17" i="2"/>
  <c r="BC34" i="117"/>
  <c r="BC56" i="117"/>
  <c r="BC57" i="117" s="1"/>
  <c r="BC41" i="117"/>
  <c r="BC42" i="117" s="1"/>
  <c r="BW21" i="8"/>
  <c r="BW67" i="8"/>
  <c r="BD27" i="117"/>
  <c r="BD28" i="117" s="1"/>
  <c r="BD31" i="117"/>
  <c r="BT24" i="16"/>
  <c r="BT8" i="16"/>
  <c r="BT20" i="16"/>
  <c r="BS29" i="17"/>
  <c r="BB63" i="117"/>
  <c r="BD62" i="117"/>
  <c r="BM70" i="10"/>
  <c r="BO69" i="10"/>
  <c r="CQ18" i="2"/>
  <c r="CQ15" i="2"/>
  <c r="BZ38" i="7"/>
  <c r="CA37" i="7"/>
  <c r="BO20" i="10"/>
  <c r="BO21" i="10" s="1"/>
  <c r="BO29" i="10"/>
  <c r="BL57" i="21"/>
  <c r="BL55" i="21" s="1"/>
  <c r="BL54" i="21" s="1"/>
  <c r="BL53" i="2"/>
  <c r="BQ51" i="10"/>
  <c r="BK52" i="10"/>
  <c r="BD39" i="117"/>
  <c r="BD36" i="117"/>
  <c r="BD37" i="117" s="1"/>
  <c r="BU86" i="3"/>
  <c r="BT159" i="3"/>
  <c r="BT87" i="3"/>
  <c r="BQ7" i="10"/>
  <c r="BR4" i="10"/>
  <c r="BR6" i="10" s="1"/>
  <c r="BS45" i="17"/>
  <c r="BS37" i="17"/>
  <c r="BU33" i="17"/>
  <c r="CI13" i="2"/>
  <c r="AW259" i="117"/>
  <c r="AW264" i="117"/>
  <c r="AX258" i="117"/>
  <c r="AX259" i="117" s="1"/>
  <c r="CX104" i="3"/>
  <c r="BY59" i="3"/>
  <c r="BY58" i="3"/>
  <c r="BY55" i="3"/>
  <c r="CC21" i="7"/>
  <c r="CC67" i="7"/>
  <c r="CC64" i="7" s="1"/>
  <c r="BQ62" i="16"/>
  <c r="BW25" i="8"/>
  <c r="DI13" i="9"/>
  <c r="CI34" i="9"/>
  <c r="BW18" i="10"/>
  <c r="BW20" i="10"/>
  <c r="BW21" i="10" s="1"/>
  <c r="CC31" i="3"/>
  <c r="CD30" i="3"/>
  <c r="DD125" i="3"/>
  <c r="DD137" i="3" s="1"/>
  <c r="DC123" i="3"/>
  <c r="DC134" i="3" s="1"/>
  <c r="BR82" i="17"/>
  <c r="BR84" i="17" s="1"/>
  <c r="BQ85" i="17"/>
  <c r="CI10" i="9"/>
  <c r="CC17" i="9"/>
  <c r="BR64" i="16"/>
  <c r="BR65" i="16" s="1"/>
  <c r="CP167" i="117"/>
  <c r="CD24" i="7"/>
  <c r="CD25" i="7" s="1"/>
  <c r="CD8" i="7"/>
  <c r="CD20" i="7"/>
  <c r="L50" i="11"/>
  <c r="L52" i="11" s="1"/>
  <c r="L53" i="11" s="1"/>
  <c r="AX219" i="117"/>
  <c r="AX220" i="117" s="1"/>
  <c r="CD159" i="117"/>
  <c r="CD156" i="117"/>
  <c r="CP98" i="15"/>
  <c r="CP109" i="15"/>
  <c r="CP110" i="15" s="1"/>
  <c r="CP112" i="21"/>
  <c r="CQ95" i="15"/>
  <c r="CQ103" i="15"/>
  <c r="CQ90" i="21"/>
  <c r="CQ97" i="15"/>
  <c r="CR86" i="15"/>
  <c r="CR94" i="15"/>
  <c r="CP134" i="21"/>
  <c r="CP104" i="15"/>
  <c r="CU82" i="15"/>
  <c r="CQ26" i="15"/>
  <c r="CQ75" i="15"/>
  <c r="CQ28" i="15"/>
  <c r="CS5" i="15"/>
  <c r="CU4" i="15"/>
  <c r="CO38" i="15"/>
  <c r="CP72" i="15"/>
  <c r="CP73" i="15" s="1"/>
  <c r="CQ45" i="15"/>
  <c r="CQ46" i="15" s="1"/>
  <c r="CQ37" i="15"/>
  <c r="CQ38" i="15" s="1"/>
  <c r="CO46" i="15"/>
  <c r="CR8" i="15"/>
  <c r="CR32" i="15"/>
  <c r="CR33" i="15" s="1"/>
  <c r="CR25" i="15"/>
  <c r="CP40" i="15"/>
  <c r="CP20" i="15"/>
  <c r="CP21" i="15" s="1"/>
  <c r="CP29" i="15"/>
  <c r="DG102" i="3"/>
  <c r="DH93" i="3"/>
  <c r="DH101" i="3"/>
  <c r="DI10" i="3"/>
  <c r="DI11" i="3" s="1"/>
  <c r="DI92" i="3"/>
  <c r="DJ51" i="3"/>
  <c r="DK117" i="3"/>
  <c r="DK118" i="3" s="1"/>
  <c r="DD10" i="16" l="1"/>
  <c r="CX17" i="16"/>
  <c r="CX18" i="16" s="1"/>
  <c r="CR15" i="16"/>
  <c r="DD13" i="16"/>
  <c r="BZ13" i="10"/>
  <c r="BZ10" i="10"/>
  <c r="BT17" i="10"/>
  <c r="BT15" i="10" s="1"/>
  <c r="BN52" i="10"/>
  <c r="BT51" i="10"/>
  <c r="BZ51" i="10" s="1"/>
  <c r="CF51" i="10" s="1"/>
  <c r="CL51" i="10" s="1"/>
  <c r="BT15" i="2"/>
  <c r="BZ17" i="2"/>
  <c r="BZ18" i="2" s="1"/>
  <c r="CF10" i="2"/>
  <c r="CF13" i="2"/>
  <c r="BA190" i="117"/>
  <c r="BA191" i="117" s="1"/>
  <c r="BA226" i="117" s="1"/>
  <c r="CL156" i="117"/>
  <c r="CL159" i="117"/>
  <c r="CR159" i="117"/>
  <c r="CR156" i="117"/>
  <c r="CW18" i="16"/>
  <c r="CW15" i="16"/>
  <c r="DC17" i="16"/>
  <c r="DI10" i="16"/>
  <c r="DI17" i="16" s="1"/>
  <c r="BY15" i="9"/>
  <c r="BY20" i="9"/>
  <c r="BY21" i="9" s="1"/>
  <c r="BY18" i="9"/>
  <c r="CE17" i="9"/>
  <c r="CK10" i="9"/>
  <c r="BN41" i="10"/>
  <c r="BN85" i="21"/>
  <c r="BR15" i="10"/>
  <c r="BR20" i="10"/>
  <c r="BR21" i="10" s="1"/>
  <c r="CE13" i="10"/>
  <c r="BY17" i="10"/>
  <c r="BY15" i="10" s="1"/>
  <c r="CE10" i="10"/>
  <c r="BS20" i="10"/>
  <c r="BS21" i="10" s="1"/>
  <c r="BS18" i="10"/>
  <c r="DA15" i="16"/>
  <c r="CJ88" i="17"/>
  <c r="CJ89" i="17" s="1"/>
  <c r="CP91" i="17"/>
  <c r="BQ54" i="17"/>
  <c r="BQ66" i="17" s="1"/>
  <c r="BQ67" i="17" s="1"/>
  <c r="DG21" i="17"/>
  <c r="BY61" i="3"/>
  <c r="BL33" i="21"/>
  <c r="BL31" i="21" s="1"/>
  <c r="BL30" i="21" s="1"/>
  <c r="CD10" i="2"/>
  <c r="BX17" i="2"/>
  <c r="BR18" i="2"/>
  <c r="BR15" i="2"/>
  <c r="CJ13" i="2"/>
  <c r="BL47" i="2"/>
  <c r="BL49" i="2"/>
  <c r="BL50" i="2" s="1"/>
  <c r="CD15" i="9"/>
  <c r="CD20" i="9"/>
  <c r="CD21" i="9" s="1"/>
  <c r="CD18" i="9"/>
  <c r="CP10" i="9"/>
  <c r="CJ17" i="9"/>
  <c r="BX20" i="10"/>
  <c r="BX18" i="10"/>
  <c r="CJ10" i="10"/>
  <c r="CD17" i="10"/>
  <c r="CJ13" i="10"/>
  <c r="BA309" i="117"/>
  <c r="BR36" i="21" s="1"/>
  <c r="BA222" i="117"/>
  <c r="BA231" i="117" s="1"/>
  <c r="BA232" i="117" s="1"/>
  <c r="BA199" i="117"/>
  <c r="BA200" i="117" s="1"/>
  <c r="BR187" i="3"/>
  <c r="BR200" i="3" s="1"/>
  <c r="BR201" i="3" s="1"/>
  <c r="BB48" i="117"/>
  <c r="BB59" i="117"/>
  <c r="BB50" i="117"/>
  <c r="BB51" i="117" s="1"/>
  <c r="BD47" i="117"/>
  <c r="DD138" i="3"/>
  <c r="DE137" i="3"/>
  <c r="DE138" i="3" s="1"/>
  <c r="CD21" i="7"/>
  <c r="CD67" i="7"/>
  <c r="CO10" i="9"/>
  <c r="CI17" i="9"/>
  <c r="BT198" i="21"/>
  <c r="BT53" i="8"/>
  <c r="CO91" i="17"/>
  <c r="CI88" i="17"/>
  <c r="BW59" i="7"/>
  <c r="BF166" i="117"/>
  <c r="CC20" i="9"/>
  <c r="CC21" i="9" s="1"/>
  <c r="CC18" i="9"/>
  <c r="CC15" i="9"/>
  <c r="BR85" i="17"/>
  <c r="BS82" i="17"/>
  <c r="BS84" i="17" s="1"/>
  <c r="CD31" i="3"/>
  <c r="CE30" i="3"/>
  <c r="BS38" i="17"/>
  <c r="BU37" i="17"/>
  <c r="BR7" i="10"/>
  <c r="BS4" i="10"/>
  <c r="BS6" i="10" s="1"/>
  <c r="BU87" i="3"/>
  <c r="BU83" i="3"/>
  <c r="BU84" i="3" s="1"/>
  <c r="BD11" i="117"/>
  <c r="BD12" i="117" s="1"/>
  <c r="BD63" i="117"/>
  <c r="BU20" i="16"/>
  <c r="BT21" i="16"/>
  <c r="BT67" i="16"/>
  <c r="BU67" i="16" s="1"/>
  <c r="BC47" i="117"/>
  <c r="CI10" i="2"/>
  <c r="CC17" i="2"/>
  <c r="BH148" i="117"/>
  <c r="BI145" i="117"/>
  <c r="BI147" i="117" s="1"/>
  <c r="BT46" i="8"/>
  <c r="CJ159" i="117"/>
  <c r="CJ156" i="117"/>
  <c r="CI34" i="10"/>
  <c r="BN38" i="2"/>
  <c r="BO37" i="2"/>
  <c r="DI10" i="2"/>
  <c r="DI17" i="2" s="1"/>
  <c r="DC17" i="2"/>
  <c r="BW93" i="16"/>
  <c r="BW135" i="21"/>
  <c r="BS69" i="17"/>
  <c r="BS70" i="17" s="1"/>
  <c r="CC89" i="17"/>
  <c r="BS32" i="16"/>
  <c r="BS30" i="16"/>
  <c r="BN79" i="10"/>
  <c r="CC37" i="7"/>
  <c r="CC29" i="7"/>
  <c r="BM62" i="2"/>
  <c r="BO61" i="2"/>
  <c r="AZ188" i="117"/>
  <c r="AZ223" i="117" s="1"/>
  <c r="AZ199" i="117"/>
  <c r="AZ190" i="117"/>
  <c r="AZ309" i="117"/>
  <c r="BQ36" i="21" s="1"/>
  <c r="AZ222" i="117"/>
  <c r="BL55" i="10"/>
  <c r="BL66" i="10"/>
  <c r="BL67" i="10" s="1"/>
  <c r="BL107" i="21"/>
  <c r="BC206" i="117"/>
  <c r="BD205" i="117"/>
  <c r="CC53" i="3"/>
  <c r="BF208" i="117"/>
  <c r="BF205" i="117" s="1"/>
  <c r="BF162" i="117"/>
  <c r="BM46" i="2"/>
  <c r="BM41" i="2"/>
  <c r="BS64" i="16"/>
  <c r="BS65" i="16" s="1"/>
  <c r="BW37" i="8"/>
  <c r="AW272" i="117"/>
  <c r="AX272" i="117" s="1"/>
  <c r="AW265" i="117"/>
  <c r="AX264" i="117"/>
  <c r="AX265" i="117" s="1"/>
  <c r="BS46" i="17"/>
  <c r="BU45" i="17"/>
  <c r="BQ8" i="10"/>
  <c r="BQ32" i="10"/>
  <c r="BQ25" i="10"/>
  <c r="DC135" i="3"/>
  <c r="DC143" i="3"/>
  <c r="BQ33" i="16"/>
  <c r="BQ52" i="16"/>
  <c r="BQ87" i="21"/>
  <c r="BQ40" i="16"/>
  <c r="BQ41" i="16" s="1"/>
  <c r="DD34" i="9"/>
  <c r="DJ34" i="9" s="1"/>
  <c r="BB196" i="117"/>
  <c r="BB197" i="117" s="1"/>
  <c r="BB216" i="117"/>
  <c r="BB306" i="117"/>
  <c r="BS11" i="21" s="1"/>
  <c r="BB174" i="117"/>
  <c r="BB217" i="117" s="1"/>
  <c r="BB181" i="117"/>
  <c r="BD173" i="117"/>
  <c r="CE8" i="7"/>
  <c r="CE24" i="7"/>
  <c r="CE25" i="7" s="1"/>
  <c r="BR87" i="21"/>
  <c r="BR33" i="16"/>
  <c r="BR52" i="16"/>
  <c r="BR40" i="16"/>
  <c r="BR41" i="16" s="1"/>
  <c r="CC21" i="3"/>
  <c r="CD20" i="3"/>
  <c r="BX37" i="8"/>
  <c r="BX38" i="8" s="1"/>
  <c r="BX29" i="8"/>
  <c r="BX30" i="8" s="1"/>
  <c r="CR89" i="17"/>
  <c r="BR61" i="16"/>
  <c r="CO13" i="2"/>
  <c r="CA38" i="7"/>
  <c r="CA35" i="7"/>
  <c r="CA36" i="7" s="1"/>
  <c r="BO10" i="10"/>
  <c r="BO11" i="10" s="1"/>
  <c r="BO70" i="10"/>
  <c r="BS40" i="17"/>
  <c r="BT25" i="16"/>
  <c r="BU24" i="16"/>
  <c r="BU23" i="16" s="1"/>
  <c r="BR56" i="21"/>
  <c r="BR195" i="3"/>
  <c r="BO98" i="17"/>
  <c r="BO100" i="17"/>
  <c r="BO101" i="17" s="1"/>
  <c r="BO114" i="21"/>
  <c r="L230" i="11"/>
  <c r="DB135" i="3"/>
  <c r="DB143" i="3"/>
  <c r="CI17" i="10"/>
  <c r="CI15" i="10" s="1"/>
  <c r="CO10" i="10"/>
  <c r="BW98" i="16"/>
  <c r="BW87" i="16"/>
  <c r="BW113" i="21"/>
  <c r="BW6" i="16"/>
  <c r="CA4" i="16"/>
  <c r="BX4" i="3"/>
  <c r="BX6" i="3" s="1"/>
  <c r="BW7" i="3"/>
  <c r="BD34" i="117"/>
  <c r="BD56" i="117"/>
  <c r="BD57" i="117" s="1"/>
  <c r="BW7" i="17"/>
  <c r="BX4" i="17"/>
  <c r="BX6" i="17" s="1"/>
  <c r="BY78" i="16"/>
  <c r="BY83" i="16"/>
  <c r="BQ72" i="9"/>
  <c r="BQ73" i="9" s="1"/>
  <c r="CU13" i="9"/>
  <c r="BD176" i="117"/>
  <c r="BD177" i="117" s="1"/>
  <c r="BD179" i="117"/>
  <c r="BS7" i="9"/>
  <c r="BT4" i="9"/>
  <c r="BT6" i="9" s="1"/>
  <c r="BQ61" i="17"/>
  <c r="BQ132" i="21"/>
  <c r="BQ8" i="2"/>
  <c r="BQ24" i="2"/>
  <c r="BX91" i="21"/>
  <c r="BX84" i="16"/>
  <c r="BX86" i="16"/>
  <c r="BX92" i="16"/>
  <c r="CG6" i="7"/>
  <c r="CI4" i="7" s="1"/>
  <c r="CF7" i="7"/>
  <c r="DA166" i="3"/>
  <c r="BO46" i="10"/>
  <c r="BO43" i="10"/>
  <c r="BO44" i="10" s="1"/>
  <c r="BD15" i="117"/>
  <c r="BD16" i="117"/>
  <c r="BB203" i="117"/>
  <c r="BD202" i="117"/>
  <c r="BQ33" i="9"/>
  <c r="BQ20" i="2"/>
  <c r="CX88" i="17"/>
  <c r="DD91" i="17"/>
  <c r="DA16" i="3"/>
  <c r="CY17" i="3"/>
  <c r="CA6" i="8"/>
  <c r="CC4" i="8" s="1"/>
  <c r="BZ7" i="8"/>
  <c r="DE125" i="3"/>
  <c r="DD123" i="3"/>
  <c r="DD134" i="3" s="1"/>
  <c r="BW64" i="8"/>
  <c r="BW65" i="8" s="1"/>
  <c r="CP159" i="117"/>
  <c r="CC51" i="9"/>
  <c r="BI44" i="3"/>
  <c r="BH45" i="3"/>
  <c r="BH46" i="3" s="1"/>
  <c r="CD37" i="7"/>
  <c r="CD38" i="7" s="1"/>
  <c r="CD29" i="7"/>
  <c r="CD30" i="7" s="1"/>
  <c r="BQ86" i="17"/>
  <c r="BQ94" i="17"/>
  <c r="CR51" i="10"/>
  <c r="CO34" i="9"/>
  <c r="CC61" i="7"/>
  <c r="CC65" i="7"/>
  <c r="CY104" i="3"/>
  <c r="BU159" i="3"/>
  <c r="BU160" i="3" s="1"/>
  <c r="BT160" i="3"/>
  <c r="BW51" i="10"/>
  <c r="BW18" i="2"/>
  <c r="BW15" i="2"/>
  <c r="BG149" i="117"/>
  <c r="BG165" i="117"/>
  <c r="BG166" i="117" s="1"/>
  <c r="BG161" i="117"/>
  <c r="BT173" i="21"/>
  <c r="BT178" i="21"/>
  <c r="CW18" i="2"/>
  <c r="CW15" i="2"/>
  <c r="CC20" i="10"/>
  <c r="CC21" i="10" s="1"/>
  <c r="CC18" i="10"/>
  <c r="BB42" i="117"/>
  <c r="BD41" i="117"/>
  <c r="CA76" i="16"/>
  <c r="CC74" i="16" s="1"/>
  <c r="BZ77" i="16"/>
  <c r="BN129" i="21"/>
  <c r="BR8" i="9"/>
  <c r="BR32" i="9"/>
  <c r="BR33" i="9" s="1"/>
  <c r="BR25" i="9"/>
  <c r="BS4" i="2"/>
  <c r="BS6" i="2" s="1"/>
  <c r="BR7" i="2"/>
  <c r="BS180" i="3"/>
  <c r="BS181" i="3" s="1"/>
  <c r="BS177" i="3"/>
  <c r="BS194" i="3"/>
  <c r="BS7" i="21"/>
  <c r="BD167" i="117"/>
  <c r="BD168" i="117" s="1"/>
  <c r="BD171" i="117"/>
  <c r="CS184" i="117"/>
  <c r="BO106" i="17"/>
  <c r="BO107" i="17" s="1"/>
  <c r="L231" i="11"/>
  <c r="BO104" i="17"/>
  <c r="BO136" i="21"/>
  <c r="BO109" i="17"/>
  <c r="BO110" i="17" s="1"/>
  <c r="DG17" i="16"/>
  <c r="DG18" i="16" s="1"/>
  <c r="CO13" i="10"/>
  <c r="BZ59" i="3"/>
  <c r="BZ58" i="3"/>
  <c r="CA54" i="3"/>
  <c r="BZ55" i="3"/>
  <c r="BC306" i="117"/>
  <c r="BT11" i="21" s="1"/>
  <c r="BC216" i="117"/>
  <c r="BC174" i="117"/>
  <c r="BC217" i="117" s="1"/>
  <c r="BC196" i="117"/>
  <c r="BC197" i="117" s="1"/>
  <c r="BC181" i="117"/>
  <c r="BC182" i="117" s="1"/>
  <c r="BX67" i="8"/>
  <c r="BX21" i="8"/>
  <c r="BM53" i="2"/>
  <c r="BM57" i="21"/>
  <c r="BM55" i="21" s="1"/>
  <c r="BM54" i="21" s="1"/>
  <c r="BY8" i="8"/>
  <c r="BY24" i="8"/>
  <c r="BY25" i="8" s="1"/>
  <c r="CQ98" i="15"/>
  <c r="CQ112" i="21"/>
  <c r="CQ109" i="15"/>
  <c r="CY82" i="15"/>
  <c r="CU84" i="15"/>
  <c r="CR97" i="15"/>
  <c r="CR95" i="15"/>
  <c r="CR103" i="15"/>
  <c r="CR90" i="21"/>
  <c r="CS90" i="21" s="1"/>
  <c r="CS94" i="15"/>
  <c r="CQ134" i="21"/>
  <c r="CQ104" i="15"/>
  <c r="CP41" i="15"/>
  <c r="CP60" i="15"/>
  <c r="CP48" i="15"/>
  <c r="CP49" i="15" s="1"/>
  <c r="CP86" i="21"/>
  <c r="CQ72" i="15"/>
  <c r="CQ73" i="15" s="1"/>
  <c r="CR26" i="15"/>
  <c r="CR75" i="15"/>
  <c r="CR28" i="15"/>
  <c r="CP69" i="15"/>
  <c r="CP70" i="15" s="1"/>
  <c r="CY4" i="15"/>
  <c r="CU6" i="15"/>
  <c r="CR45" i="15"/>
  <c r="CS32" i="15"/>
  <c r="CS31" i="15" s="1"/>
  <c r="CQ20" i="15"/>
  <c r="CQ21" i="15" s="1"/>
  <c r="CQ29" i="15"/>
  <c r="CQ40" i="15"/>
  <c r="CS33" i="15"/>
  <c r="DH102" i="3"/>
  <c r="DJ10" i="3"/>
  <c r="DJ11" i="3" s="1"/>
  <c r="DK51" i="3"/>
  <c r="DK10" i="3" s="1"/>
  <c r="DK11" i="3" s="1"/>
  <c r="DJ92" i="3"/>
  <c r="DK92" i="3" s="1"/>
  <c r="DK93" i="3" s="1"/>
  <c r="DI93" i="3"/>
  <c r="DI101" i="3"/>
  <c r="DJ13" i="16" l="1"/>
  <c r="CX15" i="16"/>
  <c r="DD17" i="16"/>
  <c r="DD18" i="16" s="1"/>
  <c r="DJ10" i="16"/>
  <c r="BA225" i="117"/>
  <c r="BX21" i="10"/>
  <c r="BZ17" i="10"/>
  <c r="BZ15" i="10" s="1"/>
  <c r="CF10" i="10"/>
  <c r="BT20" i="10"/>
  <c r="BT21" i="10" s="1"/>
  <c r="BT18" i="10"/>
  <c r="CF13" i="10"/>
  <c r="BN80" i="10"/>
  <c r="BZ15" i="2"/>
  <c r="CL13" i="2"/>
  <c r="CF17" i="2"/>
  <c r="CF18" i="2" s="1"/>
  <c r="CL10" i="2"/>
  <c r="DI18" i="16"/>
  <c r="DI15" i="16"/>
  <c r="BQ46" i="16"/>
  <c r="BQ105" i="16" s="1"/>
  <c r="DC18" i="16"/>
  <c r="DC15" i="16"/>
  <c r="BQ57" i="17"/>
  <c r="BQ58" i="17" s="1"/>
  <c r="BQ55" i="17"/>
  <c r="BQ110" i="21"/>
  <c r="CE18" i="9"/>
  <c r="CE20" i="9"/>
  <c r="CE21" i="9" s="1"/>
  <c r="CE15" i="9"/>
  <c r="CK17" i="9"/>
  <c r="CQ10" i="9"/>
  <c r="CK10" i="10"/>
  <c r="CE17" i="10"/>
  <c r="BY20" i="10"/>
  <c r="BY21" i="10" s="1"/>
  <c r="BY18" i="10"/>
  <c r="CK13" i="10"/>
  <c r="CE15" i="10"/>
  <c r="BS61" i="16"/>
  <c r="BS62" i="16" s="1"/>
  <c r="DG15" i="16"/>
  <c r="BR46" i="16"/>
  <c r="BR58" i="16" s="1"/>
  <c r="BR59" i="16" s="1"/>
  <c r="CV91" i="17"/>
  <c r="CP88" i="17"/>
  <c r="CP89" i="17" s="1"/>
  <c r="L232" i="11"/>
  <c r="L233" i="11" s="1"/>
  <c r="L241" i="11" s="1"/>
  <c r="BZ61" i="3"/>
  <c r="BR188" i="3"/>
  <c r="BS187" i="3"/>
  <c r="BS200" i="3" s="1"/>
  <c r="BS201" i="3" s="1"/>
  <c r="BX18" i="2"/>
  <c r="BX15" i="2"/>
  <c r="CP13" i="2"/>
  <c r="CD17" i="2"/>
  <c r="CJ10" i="2"/>
  <c r="CV10" i="9"/>
  <c r="CP17" i="9"/>
  <c r="CJ20" i="9"/>
  <c r="CJ21" i="9" s="1"/>
  <c r="CJ18" i="9"/>
  <c r="CJ15" i="9"/>
  <c r="CD20" i="10"/>
  <c r="CD21" i="10" s="1"/>
  <c r="CD18" i="10"/>
  <c r="CJ17" i="10"/>
  <c r="CJ15" i="10" s="1"/>
  <c r="CP10" i="10"/>
  <c r="CD15" i="10"/>
  <c r="CP13" i="10"/>
  <c r="BX32" i="8"/>
  <c r="BX52" i="8" s="1"/>
  <c r="BA315" i="117"/>
  <c r="BA219" i="117"/>
  <c r="BA220" i="117" s="1"/>
  <c r="BA258" i="117"/>
  <c r="BA259" i="117" s="1"/>
  <c r="BU11" i="21"/>
  <c r="BC187" i="117"/>
  <c r="BC309" i="117" s="1"/>
  <c r="BT36" i="21" s="1"/>
  <c r="BR32" i="21"/>
  <c r="BR190" i="3"/>
  <c r="BR191" i="3" s="1"/>
  <c r="CA59" i="3"/>
  <c r="CA58" i="3"/>
  <c r="BN33" i="2"/>
  <c r="BN40" i="2"/>
  <c r="BN41" i="2" s="1"/>
  <c r="BN8" i="21"/>
  <c r="BN52" i="2"/>
  <c r="CU34" i="9"/>
  <c r="DA104" i="3"/>
  <c r="DA17" i="3"/>
  <c r="DB16" i="3"/>
  <c r="DB104" i="3" s="1"/>
  <c r="DB109" i="3" s="1"/>
  <c r="CM4" i="7"/>
  <c r="CI6" i="7"/>
  <c r="BW38" i="8"/>
  <c r="CD53" i="3"/>
  <c r="CC54" i="3"/>
  <c r="AZ200" i="117"/>
  <c r="DI18" i="2"/>
  <c r="DI15" i="2"/>
  <c r="BS7" i="2"/>
  <c r="BT4" i="2"/>
  <c r="BT6" i="2" s="1"/>
  <c r="BD44" i="117"/>
  <c r="BD45" i="117" s="1"/>
  <c r="BD42" i="117"/>
  <c r="BT179" i="21"/>
  <c r="BT17" i="21"/>
  <c r="CC51" i="10"/>
  <c r="BQ92" i="21"/>
  <c r="BQ103" i="17"/>
  <c r="BQ95" i="17"/>
  <c r="BQ97" i="17"/>
  <c r="CI51" i="9"/>
  <c r="DD143" i="3"/>
  <c r="DE143" i="3" s="1"/>
  <c r="DD135" i="3"/>
  <c r="BQ67" i="2"/>
  <c r="BQ64" i="2" s="1"/>
  <c r="BQ21" i="2"/>
  <c r="BD203" i="117"/>
  <c r="BD151" i="117"/>
  <c r="BD152" i="117" s="1"/>
  <c r="CG7" i="7"/>
  <c r="CG8" i="7" s="1"/>
  <c r="CF8" i="7"/>
  <c r="CF24" i="7"/>
  <c r="CF20" i="7"/>
  <c r="BY92" i="16"/>
  <c r="BY84" i="16"/>
  <c r="BY91" i="21"/>
  <c r="BY86" i="16"/>
  <c r="CU10" i="10"/>
  <c r="CO17" i="10"/>
  <c r="CO15" i="10" s="1"/>
  <c r="BS60" i="17"/>
  <c r="BS88" i="21"/>
  <c r="BS41" i="17"/>
  <c r="BS48" i="17"/>
  <c r="BR62" i="16"/>
  <c r="CE37" i="7"/>
  <c r="CE38" i="7" s="1"/>
  <c r="CA60" i="3"/>
  <c r="AZ191" i="117"/>
  <c r="AZ226" i="117" s="1"/>
  <c r="AZ225" i="117"/>
  <c r="CC38" i="7"/>
  <c r="DC18" i="2"/>
  <c r="DC15" i="2"/>
  <c r="CC18" i="2"/>
  <c r="CC15" i="2"/>
  <c r="BS85" i="17"/>
  <c r="BT82" i="17"/>
  <c r="BT84" i="17" s="1"/>
  <c r="BF178" i="117"/>
  <c r="BF170" i="117"/>
  <c r="CU91" i="17"/>
  <c r="CO88" i="17"/>
  <c r="CD64" i="7"/>
  <c r="CD61" i="7" s="1"/>
  <c r="CD62" i="7" s="1"/>
  <c r="BX172" i="21"/>
  <c r="BX173" i="21" s="1"/>
  <c r="BG162" i="117"/>
  <c r="BG208" i="117"/>
  <c r="DA13" i="9"/>
  <c r="BX4" i="16"/>
  <c r="BX6" i="16" s="1"/>
  <c r="BW7" i="16"/>
  <c r="CI18" i="10"/>
  <c r="CI20" i="10"/>
  <c r="CI21" i="10" s="1"/>
  <c r="BN66" i="10"/>
  <c r="BN67" i="10" s="1"/>
  <c r="BN107" i="21"/>
  <c r="CO34" i="10"/>
  <c r="BU21" i="16"/>
  <c r="BU17" i="16"/>
  <c r="BU18" i="16" s="1"/>
  <c r="BS7" i="10"/>
  <c r="BS25" i="10" s="1"/>
  <c r="BT4" i="10"/>
  <c r="BT6" i="10" s="1"/>
  <c r="BR86" i="17"/>
  <c r="BR94" i="17"/>
  <c r="CI20" i="9"/>
  <c r="CI21" i="9" s="1"/>
  <c r="CI18" i="9"/>
  <c r="CI15" i="9"/>
  <c r="BB60" i="117"/>
  <c r="CU13" i="10"/>
  <c r="BS195" i="3"/>
  <c r="BS56" i="21"/>
  <c r="BR26" i="9"/>
  <c r="BR28" i="9"/>
  <c r="BR75" i="9"/>
  <c r="BZ78" i="16"/>
  <c r="CA77" i="16"/>
  <c r="CA78" i="16" s="1"/>
  <c r="BG178" i="117"/>
  <c r="BG179" i="117" s="1"/>
  <c r="BG170" i="117"/>
  <c r="CC62" i="7"/>
  <c r="BK44" i="3"/>
  <c r="BI45" i="3"/>
  <c r="BI46" i="3" s="1"/>
  <c r="BW61" i="8"/>
  <c r="BW62" i="8" s="1"/>
  <c r="BZ8" i="8"/>
  <c r="BZ24" i="8"/>
  <c r="BZ25" i="8" s="1"/>
  <c r="CA25" i="8" s="1"/>
  <c r="BZ20" i="8"/>
  <c r="CA7" i="8"/>
  <c r="CA8" i="8" s="1"/>
  <c r="DD88" i="17"/>
  <c r="DD89" i="17" s="1"/>
  <c r="DJ91" i="17"/>
  <c r="DJ88" i="17" s="1"/>
  <c r="BX93" i="16"/>
  <c r="BX135" i="21"/>
  <c r="BQ25" i="2"/>
  <c r="BU6" i="9"/>
  <c r="BT7" i="9"/>
  <c r="BQ69" i="9"/>
  <c r="BQ70" i="9" s="1"/>
  <c r="BY4" i="17"/>
  <c r="BY6" i="17" s="1"/>
  <c r="BX7" i="17"/>
  <c r="BW80" i="3"/>
  <c r="BW86" i="3" s="1"/>
  <c r="BW8" i="3"/>
  <c r="BW81" i="3" s="1"/>
  <c r="DE134" i="3"/>
  <c r="DE135" i="3" s="1"/>
  <c r="BD216" i="117"/>
  <c r="BD196" i="117"/>
  <c r="BD197" i="117" s="1"/>
  <c r="BD174" i="117"/>
  <c r="BD217" i="117" s="1"/>
  <c r="BQ131" i="21"/>
  <c r="BQ53" i="16"/>
  <c r="BM58" i="2"/>
  <c r="BM59" i="2" s="1"/>
  <c r="BM47" i="2"/>
  <c r="BM49" i="2"/>
  <c r="BM50" i="2" s="1"/>
  <c r="BM33" i="21"/>
  <c r="BM31" i="21" s="1"/>
  <c r="BM30" i="21" s="1"/>
  <c r="BD206" i="117"/>
  <c r="BD154" i="117"/>
  <c r="AZ219" i="117"/>
  <c r="AZ220" i="117" s="1"/>
  <c r="AZ258" i="117"/>
  <c r="AZ231" i="117"/>
  <c r="CC30" i="7"/>
  <c r="CC32" i="7"/>
  <c r="BO35" i="2"/>
  <c r="BO36" i="2" s="1"/>
  <c r="BO38" i="2"/>
  <c r="BL145" i="117"/>
  <c r="BJ147" i="117"/>
  <c r="BI148" i="117"/>
  <c r="BC48" i="117"/>
  <c r="BC59" i="117"/>
  <c r="BC60" i="117" s="1"/>
  <c r="BC50" i="117"/>
  <c r="BC51" i="117" s="1"/>
  <c r="BR8" i="10"/>
  <c r="BR32" i="10"/>
  <c r="BR33" i="10" s="1"/>
  <c r="BR25" i="10"/>
  <c r="CE31" i="3"/>
  <c r="CF30" i="3"/>
  <c r="BT199" i="21"/>
  <c r="BT206" i="21"/>
  <c r="CO17" i="9"/>
  <c r="CU10" i="9"/>
  <c r="BY37" i="8"/>
  <c r="BY38" i="8" s="1"/>
  <c r="BY29" i="8"/>
  <c r="BY30" i="8" s="1"/>
  <c r="DG125" i="3"/>
  <c r="DE123" i="3"/>
  <c r="BR53" i="16"/>
  <c r="BR131" i="21"/>
  <c r="BQ33" i="10"/>
  <c r="BS87" i="21"/>
  <c r="BS52" i="16"/>
  <c r="BS40" i="16"/>
  <c r="BS41" i="16" s="1"/>
  <c r="BS33" i="16"/>
  <c r="BT49" i="8"/>
  <c r="BT50" i="8" s="1"/>
  <c r="BT185" i="21"/>
  <c r="BT58" i="8"/>
  <c r="BT59" i="8" s="1"/>
  <c r="BT47" i="8"/>
  <c r="CO10" i="2"/>
  <c r="CI17" i="2"/>
  <c r="BX64" i="8"/>
  <c r="BX65" i="8" s="1"/>
  <c r="BR8" i="2"/>
  <c r="BR24" i="2"/>
  <c r="BR25" i="2" s="1"/>
  <c r="BR20" i="2"/>
  <c r="BR45" i="9"/>
  <c r="BR46" i="9" s="1"/>
  <c r="BR37" i="9"/>
  <c r="BR38" i="9" s="1"/>
  <c r="CG74" i="16"/>
  <c r="CC76" i="16"/>
  <c r="CX51" i="10"/>
  <c r="DD51" i="10" s="1"/>
  <c r="DJ51" i="10" s="1"/>
  <c r="CC6" i="8"/>
  <c r="CG4" i="8"/>
  <c r="CX89" i="17"/>
  <c r="BQ45" i="9"/>
  <c r="BQ37" i="9"/>
  <c r="BX87" i="16"/>
  <c r="BX98" i="16"/>
  <c r="BX99" i="16" s="1"/>
  <c r="BX113" i="21"/>
  <c r="BS32" i="9"/>
  <c r="BS33" i="9" s="1"/>
  <c r="BS45" i="9" s="1"/>
  <c r="BS46" i="9" s="1"/>
  <c r="BS8" i="9"/>
  <c r="BS25" i="9"/>
  <c r="BW32" i="17"/>
  <c r="BW8" i="17"/>
  <c r="BW25" i="17"/>
  <c r="BX7" i="3"/>
  <c r="BY4" i="3"/>
  <c r="BY6" i="3" s="1"/>
  <c r="BW99" i="16"/>
  <c r="DB120" i="3"/>
  <c r="DB121" i="3" s="1"/>
  <c r="DB144" i="3"/>
  <c r="DB165" i="3"/>
  <c r="BT37" i="16"/>
  <c r="BT29" i="16"/>
  <c r="BU25" i="16"/>
  <c r="CU13" i="2"/>
  <c r="CE20" i="3"/>
  <c r="CD21" i="3"/>
  <c r="BB187" i="117"/>
  <c r="BB182" i="117"/>
  <c r="BD181" i="117"/>
  <c r="DC120" i="3"/>
  <c r="DC121" i="3" s="1"/>
  <c r="DC144" i="3"/>
  <c r="DC165" i="3"/>
  <c r="DC166" i="3" s="1"/>
  <c r="BQ26" i="10"/>
  <c r="BQ75" i="10"/>
  <c r="BQ28" i="10"/>
  <c r="BU46" i="17"/>
  <c r="BU43" i="17"/>
  <c r="BU44" i="17" s="1"/>
  <c r="BF202" i="117"/>
  <c r="BF206" i="117"/>
  <c r="AZ315" i="117"/>
  <c r="BO62" i="2"/>
  <c r="BO10" i="2"/>
  <c r="BH149" i="117"/>
  <c r="BH165" i="117"/>
  <c r="BH166" i="117" s="1"/>
  <c r="BH161" i="117"/>
  <c r="BT64" i="16"/>
  <c r="BT61" i="16" s="1"/>
  <c r="BU38" i="17"/>
  <c r="BU34" i="17"/>
  <c r="BU35" i="17" s="1"/>
  <c r="CI89" i="17"/>
  <c r="CD32" i="7"/>
  <c r="BD50" i="117"/>
  <c r="BD51" i="117" s="1"/>
  <c r="BD48" i="117"/>
  <c r="CS95" i="15"/>
  <c r="CS88" i="15"/>
  <c r="CS89" i="15" s="1"/>
  <c r="CR98" i="15"/>
  <c r="CR109" i="15"/>
  <c r="CR110" i="15" s="1"/>
  <c r="CR112" i="21"/>
  <c r="CS97" i="15"/>
  <c r="CV82" i="15"/>
  <c r="CV84" i="15" s="1"/>
  <c r="CU85" i="15"/>
  <c r="CR134" i="21"/>
  <c r="CR104" i="15"/>
  <c r="CQ110" i="15"/>
  <c r="CP54" i="15"/>
  <c r="CP108" i="21" s="1"/>
  <c r="CQ60" i="15"/>
  <c r="CQ86" i="21"/>
  <c r="CQ41" i="15"/>
  <c r="CQ69" i="15"/>
  <c r="CQ70" i="15" s="1"/>
  <c r="CP61" i="15"/>
  <c r="CP130" i="21"/>
  <c r="CR46" i="15"/>
  <c r="CS45" i="15"/>
  <c r="CR20" i="15"/>
  <c r="CR21" i="15" s="1"/>
  <c r="CR29" i="15"/>
  <c r="CV4" i="15"/>
  <c r="CV6" i="15" s="1"/>
  <c r="CU7" i="15"/>
  <c r="CR72" i="15"/>
  <c r="CR73" i="15" s="1"/>
  <c r="DJ93" i="3"/>
  <c r="DI102" i="3"/>
  <c r="DJ17" i="16" l="1"/>
  <c r="BQ58" i="16"/>
  <c r="BQ59" i="16" s="1"/>
  <c r="DD15" i="16"/>
  <c r="DJ15" i="16"/>
  <c r="DJ18" i="16"/>
  <c r="CF17" i="10"/>
  <c r="CF15" i="10" s="1"/>
  <c r="CL10" i="10"/>
  <c r="CL13" i="10"/>
  <c r="BZ20" i="10"/>
  <c r="BZ21" i="10" s="1"/>
  <c r="BZ18" i="10"/>
  <c r="CF15" i="2"/>
  <c r="CL17" i="2"/>
  <c r="CL18" i="2" s="1"/>
  <c r="CR10" i="2"/>
  <c r="CR13" i="2"/>
  <c r="BN6" i="21"/>
  <c r="BN5" i="21" s="1"/>
  <c r="BQ49" i="16"/>
  <c r="BQ50" i="16" s="1"/>
  <c r="BQ47" i="16"/>
  <c r="BQ109" i="21"/>
  <c r="CK15" i="9"/>
  <c r="CK20" i="9"/>
  <c r="CK21" i="9" s="1"/>
  <c r="CK18" i="9"/>
  <c r="CW10" i="9"/>
  <c r="CQ17" i="9"/>
  <c r="CE18" i="10"/>
  <c r="CE20" i="10"/>
  <c r="CE21" i="10" s="1"/>
  <c r="BS28" i="10"/>
  <c r="BS26" i="10"/>
  <c r="CQ13" i="10"/>
  <c r="CK17" i="10"/>
  <c r="CQ10" i="10"/>
  <c r="BS46" i="16"/>
  <c r="BS105" i="16" s="1"/>
  <c r="BR109" i="21"/>
  <c r="BR105" i="16"/>
  <c r="BR108" i="16" s="1"/>
  <c r="BR109" i="16" s="1"/>
  <c r="BR47" i="16"/>
  <c r="BR49" i="16"/>
  <c r="BR50" i="16" s="1"/>
  <c r="CV88" i="17"/>
  <c r="CV89" i="17" s="1"/>
  <c r="DB91" i="17"/>
  <c r="BS188" i="3"/>
  <c r="BS32" i="21"/>
  <c r="BS190" i="3"/>
  <c r="BS191" i="3" s="1"/>
  <c r="CV13" i="2"/>
  <c r="CP10" i="2"/>
  <c r="CJ17" i="2"/>
  <c r="CD18" i="2"/>
  <c r="CD15" i="2"/>
  <c r="CP15" i="9"/>
  <c r="CP18" i="9"/>
  <c r="CP20" i="9"/>
  <c r="CP21" i="9" s="1"/>
  <c r="DB10" i="9"/>
  <c r="CV17" i="9"/>
  <c r="CP17" i="10"/>
  <c r="CP15" i="10" s="1"/>
  <c r="CV10" i="10"/>
  <c r="CJ20" i="10"/>
  <c r="CJ21" i="10" s="1"/>
  <c r="CJ18" i="10"/>
  <c r="CV13" i="10"/>
  <c r="BX33" i="8"/>
  <c r="BA264" i="117"/>
  <c r="BA272" i="117" s="1"/>
  <c r="BC222" i="117"/>
  <c r="BC219" i="117" s="1"/>
  <c r="BC220" i="117" s="1"/>
  <c r="BC188" i="117"/>
  <c r="BC223" i="117" s="1"/>
  <c r="BC199" i="117"/>
  <c r="BC200" i="117" s="1"/>
  <c r="BC190" i="117"/>
  <c r="BC191" i="117" s="1"/>
  <c r="BC226" i="117" s="1"/>
  <c r="DB110" i="3"/>
  <c r="DB112" i="3"/>
  <c r="BT62" i="16"/>
  <c r="BU61" i="16"/>
  <c r="BR75" i="10"/>
  <c r="BR28" i="10"/>
  <c r="BR26" i="10"/>
  <c r="BX8" i="17"/>
  <c r="BX32" i="17"/>
  <c r="BX33" i="17" s="1"/>
  <c r="DG13" i="9"/>
  <c r="BO11" i="2"/>
  <c r="BO13" i="2"/>
  <c r="BD182" i="117"/>
  <c r="BD184" i="117"/>
  <c r="BD185" i="117" s="1"/>
  <c r="CF20" i="3"/>
  <c r="CE21" i="3"/>
  <c r="BX61" i="8"/>
  <c r="BX62" i="8" s="1"/>
  <c r="DG137" i="3"/>
  <c r="DG123" i="3"/>
  <c r="DG134" i="3" s="1"/>
  <c r="DH125" i="3"/>
  <c r="CO20" i="9"/>
  <c r="CO21" i="9" s="1"/>
  <c r="CO18" i="9"/>
  <c r="CO15" i="9"/>
  <c r="BD155" i="117"/>
  <c r="BD156" i="117"/>
  <c r="BW87" i="3"/>
  <c r="BW159" i="3"/>
  <c r="BW160" i="3" s="1"/>
  <c r="BU7" i="9"/>
  <c r="BU8" i="9" s="1"/>
  <c r="BT8" i="9"/>
  <c r="BT32" i="9"/>
  <c r="BT33" i="9" s="1"/>
  <c r="BU33" i="9" s="1"/>
  <c r="BL44" i="3"/>
  <c r="BK45" i="3"/>
  <c r="BK46" i="3" s="1"/>
  <c r="BG173" i="117"/>
  <c r="BG171" i="117"/>
  <c r="DA13" i="10"/>
  <c r="BR92" i="21"/>
  <c r="BR103" i="17"/>
  <c r="BR97" i="17"/>
  <c r="BR95" i="17"/>
  <c r="BS32" i="10"/>
  <c r="BS8" i="10"/>
  <c r="CU34" i="10"/>
  <c r="BF171" i="117"/>
  <c r="BF173" i="117"/>
  <c r="BS86" i="17"/>
  <c r="BY98" i="16"/>
  <c r="BY113" i="21"/>
  <c r="BY87" i="16"/>
  <c r="DD120" i="3"/>
  <c r="DD121" i="3" s="1"/>
  <c r="DD165" i="3"/>
  <c r="DD166" i="3" s="1"/>
  <c r="DD144" i="3"/>
  <c r="CO51" i="9"/>
  <c r="BQ136" i="21"/>
  <c r="BQ104" i="17"/>
  <c r="BS24" i="2"/>
  <c r="BS25" i="2" s="1"/>
  <c r="BS8" i="2"/>
  <c r="BS20" i="2"/>
  <c r="CC59" i="3"/>
  <c r="CC58" i="3"/>
  <c r="CC55" i="3"/>
  <c r="CA61" i="3"/>
  <c r="BT30" i="16"/>
  <c r="BT32" i="16"/>
  <c r="BU29" i="16"/>
  <c r="BY7" i="3"/>
  <c r="BZ4" i="3"/>
  <c r="BZ6" i="3" s="1"/>
  <c r="BC315" i="117"/>
  <c r="BT66" i="21"/>
  <c r="AZ232" i="117"/>
  <c r="BU5" i="9"/>
  <c r="BW4" i="9"/>
  <c r="BF179" i="117"/>
  <c r="DA34" i="9"/>
  <c r="CD33" i="7"/>
  <c r="CD52" i="7"/>
  <c r="CD83" i="21"/>
  <c r="BH208" i="117"/>
  <c r="BH162" i="117"/>
  <c r="BF203" i="117"/>
  <c r="BQ72" i="10"/>
  <c r="BQ69" i="10" s="1"/>
  <c r="BB190" i="117"/>
  <c r="BB309" i="117"/>
  <c r="BS36" i="21" s="1"/>
  <c r="BB188" i="117"/>
  <c r="BB223" i="117" s="1"/>
  <c r="BB222" i="117"/>
  <c r="BB199" i="117"/>
  <c r="DA13" i="2"/>
  <c r="BT38" i="16"/>
  <c r="BU37" i="16"/>
  <c r="DB166" i="3"/>
  <c r="BX80" i="3"/>
  <c r="BX86" i="3" s="1"/>
  <c r="BX8" i="3"/>
  <c r="BX81" i="3" s="1"/>
  <c r="BW33" i="17"/>
  <c r="CD74" i="16"/>
  <c r="CD76" i="16" s="1"/>
  <c r="CC77" i="16"/>
  <c r="BR67" i="2"/>
  <c r="BR21" i="2"/>
  <c r="CI18" i="2"/>
  <c r="CI15" i="2"/>
  <c r="BT186" i="21"/>
  <c r="BT213" i="21"/>
  <c r="BT191" i="21"/>
  <c r="BR45" i="10"/>
  <c r="BR46" i="10" s="1"/>
  <c r="BR37" i="10"/>
  <c r="BR38" i="10" s="1"/>
  <c r="CC33" i="7"/>
  <c r="CC52" i="7"/>
  <c r="CC83" i="21"/>
  <c r="CC40" i="7"/>
  <c r="AZ259" i="117"/>
  <c r="AZ264" i="117"/>
  <c r="BY7" i="17"/>
  <c r="BZ4" i="17"/>
  <c r="BZ6" i="17" s="1"/>
  <c r="BZ67" i="8"/>
  <c r="BZ21" i="8"/>
  <c r="BR29" i="9"/>
  <c r="BR40" i="9"/>
  <c r="BD59" i="117"/>
  <c r="BD60" i="117" s="1"/>
  <c r="CA24" i="8"/>
  <c r="CA23" i="8" s="1"/>
  <c r="BW8" i="16"/>
  <c r="BW24" i="16"/>
  <c r="BW20" i="16"/>
  <c r="BG205" i="117"/>
  <c r="BG202" i="117" s="1"/>
  <c r="DA91" i="17"/>
  <c r="CU88" i="17"/>
  <c r="BS54" i="17"/>
  <c r="BS49" i="17"/>
  <c r="CO20" i="10"/>
  <c r="CO21" i="10" s="1"/>
  <c r="CO18" i="10"/>
  <c r="CF67" i="7"/>
  <c r="CF21" i="7"/>
  <c r="BQ61" i="2"/>
  <c r="BQ65" i="2"/>
  <c r="BQ109" i="17"/>
  <c r="BQ98" i="17"/>
  <c r="BQ114" i="21"/>
  <c r="BQ116" i="17"/>
  <c r="CJ4" i="7"/>
  <c r="CJ6" i="7" s="1"/>
  <c r="CI7" i="7"/>
  <c r="BN46" i="2"/>
  <c r="BT65" i="16"/>
  <c r="BU64" i="16"/>
  <c r="BQ29" i="10"/>
  <c r="DE120" i="3"/>
  <c r="DE121" i="3" s="1"/>
  <c r="DE144" i="3"/>
  <c r="BQ40" i="9"/>
  <c r="BQ38" i="9"/>
  <c r="BJ148" i="117"/>
  <c r="BJ149" i="117" s="1"/>
  <c r="BI165" i="117"/>
  <c r="BI149" i="117"/>
  <c r="BI161" i="117"/>
  <c r="BR72" i="9"/>
  <c r="BR73" i="9" s="1"/>
  <c r="CO89" i="17"/>
  <c r="BS132" i="21"/>
  <c r="CE53" i="3"/>
  <c r="CD54" i="3"/>
  <c r="CD60" i="3" s="1"/>
  <c r="DB17" i="3"/>
  <c r="DC16" i="3"/>
  <c r="BH178" i="117"/>
  <c r="BH179" i="117" s="1"/>
  <c r="BH170" i="117"/>
  <c r="BQ113" i="16"/>
  <c r="BQ114" i="16" s="1"/>
  <c r="BQ108" i="16"/>
  <c r="BQ109" i="16" s="1"/>
  <c r="BQ106" i="16"/>
  <c r="BW26" i="17"/>
  <c r="BW28" i="17"/>
  <c r="BW29" i="17" s="1"/>
  <c r="BW75" i="17"/>
  <c r="BS28" i="9"/>
  <c r="BS29" i="9" s="1"/>
  <c r="BS75" i="9"/>
  <c r="BS26" i="9"/>
  <c r="BQ46" i="9"/>
  <c r="CC7" i="8"/>
  <c r="CD4" i="8"/>
  <c r="CD6" i="8" s="1"/>
  <c r="BR37" i="2"/>
  <c r="BR38" i="2" s="1"/>
  <c r="BR29" i="2"/>
  <c r="BR30" i="2" s="1"/>
  <c r="BD187" i="117"/>
  <c r="CU10" i="2"/>
  <c r="CO17" i="2"/>
  <c r="BS131" i="21"/>
  <c r="BQ45" i="10"/>
  <c r="BQ37" i="10"/>
  <c r="BQ38" i="10" s="1"/>
  <c r="CU17" i="9"/>
  <c r="DA10" i="9"/>
  <c r="CG30" i="3"/>
  <c r="CF31" i="3"/>
  <c r="BP145" i="117"/>
  <c r="BL147" i="117"/>
  <c r="BQ37" i="2"/>
  <c r="DJ89" i="17"/>
  <c r="BZ37" i="8"/>
  <c r="BZ38" i="8" s="1"/>
  <c r="BZ29" i="8"/>
  <c r="BZ30" i="8" s="1"/>
  <c r="BT7" i="10"/>
  <c r="BU6" i="10"/>
  <c r="BY4" i="16"/>
  <c r="BY6" i="16" s="1"/>
  <c r="BX7" i="16"/>
  <c r="BX198" i="21"/>
  <c r="BX199" i="21" s="1"/>
  <c r="BX53" i="8"/>
  <c r="CD65" i="7"/>
  <c r="BT85" i="17"/>
  <c r="BU84" i="17"/>
  <c r="CU17" i="10"/>
  <c r="DA10" i="10"/>
  <c r="BY135" i="21"/>
  <c r="BY93" i="16"/>
  <c r="CF25" i="7"/>
  <c r="CG24" i="7"/>
  <c r="CG23" i="7" s="1"/>
  <c r="CI51" i="10"/>
  <c r="BU6" i="2"/>
  <c r="BT7" i="2"/>
  <c r="CC60" i="3"/>
  <c r="DA109" i="3"/>
  <c r="BN57" i="21"/>
  <c r="BN55" i="21" s="1"/>
  <c r="BN54" i="21" s="1"/>
  <c r="BN53" i="2"/>
  <c r="CU86" i="15"/>
  <c r="CU94" i="15"/>
  <c r="CV85" i="15"/>
  <c r="CW82" i="15"/>
  <c r="CW84" i="15" s="1"/>
  <c r="Q200" i="11"/>
  <c r="CS100" i="15"/>
  <c r="CS101" i="15" s="1"/>
  <c r="CS98" i="15"/>
  <c r="CS112" i="21"/>
  <c r="CP66" i="15"/>
  <c r="CP67" i="15" s="1"/>
  <c r="CP57" i="15"/>
  <c r="CP58" i="15" s="1"/>
  <c r="CP55" i="15"/>
  <c r="CP116" i="15"/>
  <c r="CP117" i="15" s="1"/>
  <c r="CV7" i="15"/>
  <c r="CW4" i="15"/>
  <c r="CW6" i="15" s="1"/>
  <c r="CR69" i="15"/>
  <c r="CR70" i="15" s="1"/>
  <c r="CS46" i="15"/>
  <c r="CS43" i="15"/>
  <c r="CS44" i="15" s="1"/>
  <c r="CU32" i="15"/>
  <c r="CU8" i="15"/>
  <c r="CQ130" i="21"/>
  <c r="CQ61" i="15"/>
  <c r="BS58" i="16" l="1"/>
  <c r="CR13" i="10"/>
  <c r="CR10" i="10"/>
  <c r="CL17" i="10"/>
  <c r="CF20" i="10"/>
  <c r="CF21" i="10" s="1"/>
  <c r="CF18" i="10"/>
  <c r="CL15" i="2"/>
  <c r="CX13" i="2"/>
  <c r="CX10" i="2"/>
  <c r="CR17" i="2"/>
  <c r="CR18" i="2" s="1"/>
  <c r="BS109" i="21"/>
  <c r="BS47" i="16"/>
  <c r="BS49" i="16"/>
  <c r="BS50" i="16" s="1"/>
  <c r="BR106" i="16"/>
  <c r="DC10" i="9"/>
  <c r="CW17" i="9"/>
  <c r="CQ15" i="9"/>
  <c r="CQ20" i="9"/>
  <c r="CQ21" i="9" s="1"/>
  <c r="CQ18" i="9"/>
  <c r="CK18" i="10"/>
  <c r="CK20" i="10"/>
  <c r="CK21" i="10" s="1"/>
  <c r="CQ17" i="10"/>
  <c r="CQ15" i="10" s="1"/>
  <c r="CW10" i="10"/>
  <c r="CK15" i="10"/>
  <c r="CW13" i="10"/>
  <c r="DE165" i="3"/>
  <c r="DE166" i="3" s="1"/>
  <c r="BR113" i="16"/>
  <c r="BR114" i="16" s="1"/>
  <c r="DH91" i="17"/>
  <c r="DH88" i="17" s="1"/>
  <c r="DB88" i="17"/>
  <c r="DB89" i="17" s="1"/>
  <c r="CV10" i="2"/>
  <c r="CP17" i="2"/>
  <c r="CJ18" i="2"/>
  <c r="CJ15" i="2"/>
  <c r="DB13" i="2"/>
  <c r="DB17" i="9"/>
  <c r="DH10" i="9"/>
  <c r="DH17" i="9" s="1"/>
  <c r="BU32" i="9"/>
  <c r="BU31" i="9" s="1"/>
  <c r="CV15" i="9"/>
  <c r="CV18" i="9"/>
  <c r="CV20" i="9"/>
  <c r="CV21" i="9" s="1"/>
  <c r="CV17" i="10"/>
  <c r="DB10" i="10"/>
  <c r="BQ40" i="10"/>
  <c r="BQ60" i="10" s="1"/>
  <c r="DB13" i="10"/>
  <c r="CV15" i="10"/>
  <c r="CP20" i="10"/>
  <c r="CP21" i="10" s="1"/>
  <c r="CP18" i="10"/>
  <c r="BA265" i="117"/>
  <c r="BC231" i="117"/>
  <c r="BC232" i="117" s="1"/>
  <c r="BC258" i="117"/>
  <c r="BC264" i="117" s="1"/>
  <c r="BC225" i="117"/>
  <c r="BG203" i="117"/>
  <c r="BQ70" i="10"/>
  <c r="BX24" i="16"/>
  <c r="BX25" i="16" s="1"/>
  <c r="BX8" i="16"/>
  <c r="BX20" i="16"/>
  <c r="BQ38" i="2"/>
  <c r="CD7" i="8"/>
  <c r="CE4" i="8"/>
  <c r="CE6" i="8" s="1"/>
  <c r="CJ7" i="7"/>
  <c r="CK4" i="7"/>
  <c r="CK6" i="7" s="1"/>
  <c r="Q67" i="11"/>
  <c r="Q68" i="11" s="1"/>
  <c r="Q71" i="11" s="1"/>
  <c r="BW45" i="17"/>
  <c r="BW37" i="17"/>
  <c r="BB200" i="117"/>
  <c r="BD199" i="117"/>
  <c r="BD200" i="117" s="1"/>
  <c r="BU62" i="16"/>
  <c r="BU10" i="16"/>
  <c r="BU11" i="16" s="1"/>
  <c r="CU20" i="10"/>
  <c r="CU21" i="10" s="1"/>
  <c r="CU18" i="10"/>
  <c r="BT86" i="17"/>
  <c r="BT94" i="17"/>
  <c r="BT32" i="10"/>
  <c r="BT33" i="10" s="1"/>
  <c r="BT8" i="10"/>
  <c r="BT25" i="10"/>
  <c r="CU18" i="9"/>
  <c r="CU20" i="9"/>
  <c r="CU21" i="9" s="1"/>
  <c r="CU15" i="9"/>
  <c r="BQ46" i="10"/>
  <c r="CO18" i="2"/>
  <c r="CO15" i="2"/>
  <c r="BW72" i="17"/>
  <c r="BW73" i="17" s="1"/>
  <c r="BJ161" i="117"/>
  <c r="BI208" i="117"/>
  <c r="BI162" i="117"/>
  <c r="CI8" i="7"/>
  <c r="CI24" i="7"/>
  <c r="CI20" i="7"/>
  <c r="CU89" i="17"/>
  <c r="AZ265" i="117"/>
  <c r="AZ272" i="117"/>
  <c r="BT42" i="21"/>
  <c r="BT192" i="21"/>
  <c r="BR64" i="2"/>
  <c r="BR61" i="2" s="1"/>
  <c r="BU36" i="21"/>
  <c r="BB315" i="117"/>
  <c r="BW6" i="9"/>
  <c r="CA4" i="9"/>
  <c r="CA6" i="3"/>
  <c r="BZ7" i="3"/>
  <c r="CC61" i="3"/>
  <c r="BS37" i="2"/>
  <c r="BS38" i="2" s="1"/>
  <c r="BS29" i="2"/>
  <c r="BS30" i="2" s="1"/>
  <c r="BR104" i="17"/>
  <c r="BR136" i="21"/>
  <c r="BT45" i="9"/>
  <c r="BT37" i="9"/>
  <c r="BT38" i="9" s="1"/>
  <c r="DG138" i="3"/>
  <c r="CF21" i="3"/>
  <c r="CG20" i="3"/>
  <c r="BX45" i="17"/>
  <c r="BX46" i="17" s="1"/>
  <c r="BX37" i="17"/>
  <c r="BX38" i="17" s="1"/>
  <c r="BR72" i="10"/>
  <c r="BR73" i="10" s="1"/>
  <c r="DG135" i="3"/>
  <c r="DG143" i="3"/>
  <c r="BZ32" i="8"/>
  <c r="BT214" i="21"/>
  <c r="BT219" i="21"/>
  <c r="DG13" i="2"/>
  <c r="BS33" i="10"/>
  <c r="BG196" i="117"/>
  <c r="BG197" i="117" s="1"/>
  <c r="BG216" i="117"/>
  <c r="BG306" i="117"/>
  <c r="BX11" i="21" s="1"/>
  <c r="BG174" i="117"/>
  <c r="BG217" i="117" s="1"/>
  <c r="BG181" i="117"/>
  <c r="BG182" i="117" s="1"/>
  <c r="BU7" i="2"/>
  <c r="BU8" i="2" s="1"/>
  <c r="BT24" i="2"/>
  <c r="BT8" i="2"/>
  <c r="BT20" i="2"/>
  <c r="BU20" i="2" s="1"/>
  <c r="BZ4" i="16"/>
  <c r="BZ6" i="16" s="1"/>
  <c r="BY7" i="16"/>
  <c r="CI30" i="3"/>
  <c r="CG31" i="3"/>
  <c r="BD188" i="117"/>
  <c r="BD223" i="117" s="1"/>
  <c r="BD186" i="117"/>
  <c r="BD222" i="117"/>
  <c r="BD190" i="117"/>
  <c r="CC24" i="8"/>
  <c r="CC8" i="8"/>
  <c r="CC20" i="8"/>
  <c r="BS72" i="9"/>
  <c r="BS73" i="9" s="1"/>
  <c r="CD59" i="3"/>
  <c r="CD58" i="3"/>
  <c r="CD55" i="3"/>
  <c r="BR69" i="9"/>
  <c r="BR70" i="9" s="1"/>
  <c r="BI166" i="117"/>
  <c r="BJ165" i="117"/>
  <c r="CA37" i="8"/>
  <c r="BQ110" i="17"/>
  <c r="BQ62" i="2"/>
  <c r="DG91" i="17"/>
  <c r="DA88" i="17"/>
  <c r="BW21" i="16"/>
  <c r="BW67" i="16"/>
  <c r="CA6" i="17"/>
  <c r="BZ7" i="17"/>
  <c r="CA7" i="17" s="1"/>
  <c r="CA8" i="17" s="1"/>
  <c r="CC46" i="7"/>
  <c r="CC41" i="7"/>
  <c r="BR32" i="2"/>
  <c r="CD77" i="16"/>
  <c r="CE74" i="16"/>
  <c r="CE76" i="16" s="1"/>
  <c r="BU38" i="16"/>
  <c r="BU35" i="16"/>
  <c r="BU36" i="16" s="1"/>
  <c r="BB219" i="117"/>
  <c r="BB220" i="117" s="1"/>
  <c r="BB231" i="117"/>
  <c r="BB258" i="117"/>
  <c r="BU26" i="16"/>
  <c r="BU27" i="16" s="1"/>
  <c r="BU30" i="16"/>
  <c r="BS67" i="2"/>
  <c r="BS21" i="2"/>
  <c r="CU51" i="9"/>
  <c r="BY99" i="16"/>
  <c r="BU7" i="10"/>
  <c r="BU8" i="10" s="1"/>
  <c r="CU15" i="10"/>
  <c r="DH137" i="3"/>
  <c r="DH138" i="3" s="1"/>
  <c r="DI125" i="3"/>
  <c r="DH123" i="3"/>
  <c r="BS106" i="16"/>
  <c r="BS108" i="16"/>
  <c r="BS109" i="16" s="1"/>
  <c r="BS113" i="16"/>
  <c r="BO15" i="2"/>
  <c r="BO14" i="2"/>
  <c r="CO51" i="10"/>
  <c r="DA10" i="2"/>
  <c r="CU17" i="2"/>
  <c r="BU15" i="16"/>
  <c r="BU65" i="16"/>
  <c r="BU13" i="16"/>
  <c r="BU14" i="16" s="1"/>
  <c r="CF64" i="7"/>
  <c r="CF61" i="7" s="1"/>
  <c r="BG206" i="117"/>
  <c r="CC127" i="21"/>
  <c r="CC53" i="7"/>
  <c r="CC78" i="16"/>
  <c r="CC83" i="16"/>
  <c r="BB225" i="117"/>
  <c r="BB191" i="117"/>
  <c r="BB226" i="117" s="1"/>
  <c r="DG34" i="9"/>
  <c r="BY80" i="3"/>
  <c r="BY86" i="3" s="1"/>
  <c r="BY8" i="3"/>
  <c r="BY81" i="3" s="1"/>
  <c r="DA34" i="10"/>
  <c r="DG34" i="10" s="1"/>
  <c r="DA110" i="3"/>
  <c r="DA112" i="3"/>
  <c r="BU5" i="2"/>
  <c r="BW4" i="2"/>
  <c r="CF37" i="7"/>
  <c r="CG25" i="7"/>
  <c r="DA17" i="10"/>
  <c r="DA15" i="10" s="1"/>
  <c r="DG10" i="10"/>
  <c r="BU83" i="17"/>
  <c r="BW82" i="17"/>
  <c r="BU5" i="10"/>
  <c r="BW4" i="10"/>
  <c r="BL148" i="117"/>
  <c r="BM145" i="117"/>
  <c r="BM147" i="117" s="1"/>
  <c r="DA17" i="9"/>
  <c r="DG10" i="9"/>
  <c r="DG17" i="9" s="1"/>
  <c r="DG15" i="9" s="1"/>
  <c r="BH171" i="117"/>
  <c r="BH173" i="117"/>
  <c r="DC104" i="3"/>
  <c r="DD16" i="3"/>
  <c r="DD104" i="3" s="1"/>
  <c r="DC17" i="3"/>
  <c r="CF53" i="3"/>
  <c r="CE54" i="3"/>
  <c r="CE60" i="3" s="1"/>
  <c r="BQ84" i="21"/>
  <c r="BQ60" i="9"/>
  <c r="BQ41" i="9"/>
  <c r="BQ48" i="9"/>
  <c r="BQ49" i="9" s="1"/>
  <c r="BN33" i="21"/>
  <c r="BN31" i="21" s="1"/>
  <c r="BN47" i="2"/>
  <c r="BN49" i="2"/>
  <c r="BN50" i="2" s="1"/>
  <c r="BN58" i="2"/>
  <c r="BN59" i="2" s="1"/>
  <c r="BQ124" i="17"/>
  <c r="BQ125" i="17" s="1"/>
  <c r="BQ119" i="17"/>
  <c r="BQ120" i="17" s="1"/>
  <c r="BQ117" i="17"/>
  <c r="BS57" i="17"/>
  <c r="BS58" i="17" s="1"/>
  <c r="BS110" i="21"/>
  <c r="BS66" i="17"/>
  <c r="BS55" i="17"/>
  <c r="BW25" i="16"/>
  <c r="BR41" i="9"/>
  <c r="BR84" i="21"/>
  <c r="BR60" i="9"/>
  <c r="BR48" i="9"/>
  <c r="BR49" i="9" s="1"/>
  <c r="BZ64" i="8"/>
  <c r="BZ65" i="8" s="1"/>
  <c r="BY8" i="17"/>
  <c r="BY32" i="17"/>
  <c r="BY25" i="17"/>
  <c r="BX159" i="3"/>
  <c r="BX87" i="3"/>
  <c r="BQ73" i="10"/>
  <c r="BH205" i="117"/>
  <c r="BH206" i="117" s="1"/>
  <c r="CD53" i="7"/>
  <c r="CD127" i="21"/>
  <c r="BT33" i="16"/>
  <c r="BT87" i="21"/>
  <c r="BU87" i="21" s="1"/>
  <c r="BT52" i="16"/>
  <c r="BU32" i="16"/>
  <c r="BU33" i="16" s="1"/>
  <c r="BU85" i="17"/>
  <c r="BU86" i="17" s="1"/>
  <c r="BF174" i="117"/>
  <c r="BF217" i="117" s="1"/>
  <c r="BF196" i="117"/>
  <c r="BF197" i="117" s="1"/>
  <c r="BF306" i="117"/>
  <c r="BW11" i="21" s="1"/>
  <c r="BF216" i="117"/>
  <c r="BF181" i="117"/>
  <c r="BS75" i="10"/>
  <c r="BR114" i="21"/>
  <c r="BR98" i="17"/>
  <c r="BR109" i="17"/>
  <c r="BR110" i="17" s="1"/>
  <c r="DG13" i="10"/>
  <c r="BM44" i="3"/>
  <c r="BL45" i="3"/>
  <c r="BL46" i="3" s="1"/>
  <c r="BR29" i="10"/>
  <c r="BR40" i="10"/>
  <c r="DB162" i="3"/>
  <c r="DB163" i="3" s="1"/>
  <c r="DB113" i="3"/>
  <c r="CP119" i="15"/>
  <c r="CP120" i="15" s="1"/>
  <c r="CU95" i="15"/>
  <c r="CU97" i="15"/>
  <c r="CU90" i="21"/>
  <c r="CV86" i="15"/>
  <c r="CV94" i="15"/>
  <c r="CX82" i="15"/>
  <c r="CX84" i="15" s="1"/>
  <c r="CW85" i="15"/>
  <c r="CP124" i="15"/>
  <c r="CP125" i="15" s="1"/>
  <c r="CU33" i="15"/>
  <c r="CW7" i="15"/>
  <c r="CX4" i="15"/>
  <c r="CX6" i="15" s="1"/>
  <c r="CV8" i="15"/>
  <c r="CV32" i="15"/>
  <c r="CV33" i="15" s="1"/>
  <c r="CV25" i="15"/>
  <c r="CL20" i="10" l="1"/>
  <c r="CL21" i="10" s="1"/>
  <c r="CL18" i="10"/>
  <c r="CR17" i="10"/>
  <c r="CX10" i="10"/>
  <c r="CL15" i="10"/>
  <c r="CX13" i="10"/>
  <c r="CR15" i="10"/>
  <c r="CR15" i="2"/>
  <c r="CX17" i="2"/>
  <c r="CX18" i="2" s="1"/>
  <c r="DD10" i="2"/>
  <c r="DD13" i="2"/>
  <c r="BN30" i="21"/>
  <c r="BN27" i="21"/>
  <c r="BN25" i="21" s="1"/>
  <c r="BC259" i="117"/>
  <c r="CW15" i="9"/>
  <c r="CW20" i="9"/>
  <c r="CW21" i="9" s="1"/>
  <c r="CW18" i="9"/>
  <c r="DC17" i="9"/>
  <c r="DI10" i="9"/>
  <c r="DI17" i="9" s="1"/>
  <c r="CQ18" i="10"/>
  <c r="CQ20" i="10"/>
  <c r="CQ21" i="10" s="1"/>
  <c r="DC13" i="10"/>
  <c r="CW17" i="10"/>
  <c r="CW15" i="10" s="1"/>
  <c r="DC10" i="10"/>
  <c r="DH89" i="17"/>
  <c r="BW69" i="17"/>
  <c r="BW70" i="17" s="1"/>
  <c r="CP18" i="2"/>
  <c r="CP15" i="2"/>
  <c r="BS32" i="2"/>
  <c r="BS52" i="2" s="1"/>
  <c r="DH13" i="2"/>
  <c r="DB10" i="2"/>
  <c r="CV17" i="2"/>
  <c r="BQ54" i="9"/>
  <c r="BQ66" i="9" s="1"/>
  <c r="BQ67" i="9" s="1"/>
  <c r="DH15" i="9"/>
  <c r="DH20" i="9"/>
  <c r="DH18" i="9"/>
  <c r="DB15" i="9"/>
  <c r="DB20" i="9"/>
  <c r="DB21" i="9" s="1"/>
  <c r="DB18" i="9"/>
  <c r="BR54" i="9"/>
  <c r="BR55" i="9" s="1"/>
  <c r="CF62" i="7"/>
  <c r="BU32" i="10"/>
  <c r="BU31" i="10" s="1"/>
  <c r="BQ41" i="10"/>
  <c r="BQ48" i="10"/>
  <c r="BQ49" i="10" s="1"/>
  <c r="DH13" i="10"/>
  <c r="BQ85" i="21"/>
  <c r="DH10" i="10"/>
  <c r="DB17" i="10"/>
  <c r="DB15" i="10" s="1"/>
  <c r="CV20" i="10"/>
  <c r="CV21" i="10" s="1"/>
  <c r="CV18" i="10"/>
  <c r="BG187" i="117"/>
  <c r="BG190" i="117" s="1"/>
  <c r="BR62" i="2"/>
  <c r="BQ61" i="9"/>
  <c r="BQ128" i="21"/>
  <c r="BN145" i="117"/>
  <c r="BN147" i="117" s="1"/>
  <c r="BM148" i="117"/>
  <c r="CA4" i="2"/>
  <c r="BW6" i="2"/>
  <c r="BS64" i="2"/>
  <c r="BS65" i="2" s="1"/>
  <c r="BB232" i="117"/>
  <c r="BD231" i="117"/>
  <c r="BD232" i="117" s="1"/>
  <c r="BR85" i="21"/>
  <c r="BR41" i="10"/>
  <c r="BR60" i="10"/>
  <c r="BR48" i="10"/>
  <c r="BR49" i="10" s="1"/>
  <c r="BS72" i="10"/>
  <c r="BZ61" i="8"/>
  <c r="BZ62" i="8" s="1"/>
  <c r="BR128" i="21"/>
  <c r="BR61" i="9"/>
  <c r="BW29" i="16"/>
  <c r="BW37" i="16"/>
  <c r="CG53" i="3"/>
  <c r="CF54" i="3"/>
  <c r="DC109" i="3"/>
  <c r="DE104" i="3"/>
  <c r="DA20" i="9"/>
  <c r="DA21" i="9" s="1"/>
  <c r="DA18" i="9"/>
  <c r="DA15" i="9"/>
  <c r="BW6" i="10"/>
  <c r="CA4" i="10"/>
  <c r="DG17" i="10"/>
  <c r="CF38" i="7"/>
  <c r="CG37" i="7"/>
  <c r="DA162" i="3"/>
  <c r="DA113" i="3"/>
  <c r="CF65" i="7"/>
  <c r="CU18" i="2"/>
  <c r="CU15" i="2"/>
  <c r="BB259" i="117"/>
  <c r="BB264" i="117"/>
  <c r="BD264" i="117" s="1"/>
  <c r="BD265" i="117" s="1"/>
  <c r="CD78" i="16"/>
  <c r="CD83" i="16"/>
  <c r="BZ32" i="17"/>
  <c r="BZ33" i="17" s="1"/>
  <c r="BZ8" i="17"/>
  <c r="CD61" i="3"/>
  <c r="BS69" i="9"/>
  <c r="BS70" i="9" s="1"/>
  <c r="BZ172" i="21"/>
  <c r="BZ52" i="8"/>
  <c r="BZ33" i="8"/>
  <c r="BZ40" i="8"/>
  <c r="BZ41" i="8" s="1"/>
  <c r="DG120" i="3"/>
  <c r="DG121" i="3" s="1"/>
  <c r="DG144" i="3"/>
  <c r="DG165" i="3"/>
  <c r="BT45" i="10"/>
  <c r="BT46" i="10" s="1"/>
  <c r="BW46" i="17"/>
  <c r="CK7" i="7"/>
  <c r="CL4" i="7"/>
  <c r="CL6" i="7" s="1"/>
  <c r="BX37" i="16"/>
  <c r="BX38" i="16" s="1"/>
  <c r="BX29" i="16"/>
  <c r="BY26" i="17"/>
  <c r="BY75" i="17"/>
  <c r="BY28" i="17"/>
  <c r="BH174" i="117"/>
  <c r="BH217" i="117" s="1"/>
  <c r="BH196" i="117"/>
  <c r="BH197" i="117" s="1"/>
  <c r="BH216" i="117"/>
  <c r="BH306" i="117"/>
  <c r="BY11" i="21" s="1"/>
  <c r="BH181" i="117"/>
  <c r="BI178" i="117"/>
  <c r="BI170" i="117"/>
  <c r="BJ166" i="117"/>
  <c r="CC25" i="8"/>
  <c r="BY24" i="16"/>
  <c r="BY8" i="16"/>
  <c r="BY20" i="16"/>
  <c r="BC265" i="117"/>
  <c r="BC272" i="117"/>
  <c r="BX4" i="9"/>
  <c r="BX6" i="9" s="1"/>
  <c r="BW7" i="9"/>
  <c r="CI67" i="7"/>
  <c r="CI21" i="7"/>
  <c r="BT103" i="17"/>
  <c r="BT95" i="17"/>
  <c r="BT97" i="17"/>
  <c r="BT92" i="21"/>
  <c r="CJ8" i="7"/>
  <c r="CJ24" i="7"/>
  <c r="CJ25" i="7" s="1"/>
  <c r="CJ20" i="7"/>
  <c r="BU67" i="2"/>
  <c r="BU17" i="2"/>
  <c r="BU22" i="2"/>
  <c r="BU21" i="2"/>
  <c r="BS29" i="10"/>
  <c r="BT131" i="21"/>
  <c r="BT53" i="16"/>
  <c r="BU52" i="16"/>
  <c r="BH202" i="117"/>
  <c r="BY33" i="17"/>
  <c r="BL165" i="117"/>
  <c r="BL149" i="117"/>
  <c r="BL161" i="117"/>
  <c r="CA82" i="17"/>
  <c r="BW84" i="17"/>
  <c r="CC91" i="21"/>
  <c r="CC84" i="16"/>
  <c r="CC92" i="16"/>
  <c r="CC86" i="16"/>
  <c r="DH134" i="3"/>
  <c r="DA51" i="9"/>
  <c r="DA89" i="17"/>
  <c r="CC21" i="8"/>
  <c r="CC67" i="8"/>
  <c r="CC64" i="8" s="1"/>
  <c r="BD191" i="117"/>
  <c r="BD226" i="117" s="1"/>
  <c r="BD225" i="117"/>
  <c r="CI31" i="3"/>
  <c r="CJ30" i="3"/>
  <c r="CA6" i="16"/>
  <c r="BZ7" i="16"/>
  <c r="BR69" i="10"/>
  <c r="CG21" i="3"/>
  <c r="CI20" i="3"/>
  <c r="BZ80" i="3"/>
  <c r="BZ86" i="3" s="1"/>
  <c r="BZ8" i="3"/>
  <c r="BZ81" i="3" s="1"/>
  <c r="CI25" i="7"/>
  <c r="BJ208" i="117"/>
  <c r="BI205" i="117"/>
  <c r="BI206" i="117" s="1"/>
  <c r="BT26" i="10"/>
  <c r="BT28" i="10"/>
  <c r="BT75" i="10"/>
  <c r="BU25" i="10"/>
  <c r="BW40" i="17"/>
  <c r="BW38" i="17"/>
  <c r="CF4" i="8"/>
  <c r="CF6" i="8" s="1"/>
  <c r="CE7" i="8"/>
  <c r="BX21" i="16"/>
  <c r="BX67" i="16"/>
  <c r="CA7" i="3"/>
  <c r="BF182" i="117"/>
  <c r="AM30" i="12"/>
  <c r="M254" i="14"/>
  <c r="M256" i="14" s="1"/>
  <c r="BQ61" i="10"/>
  <c r="BQ129" i="21"/>
  <c r="DA18" i="10"/>
  <c r="DA20" i="10"/>
  <c r="DA21" i="10" s="1"/>
  <c r="BY159" i="3"/>
  <c r="BY87" i="3"/>
  <c r="DG10" i="2"/>
  <c r="DG17" i="2" s="1"/>
  <c r="DG15" i="2" s="1"/>
  <c r="DA17" i="2"/>
  <c r="BR40" i="2"/>
  <c r="BR41" i="2" s="1"/>
  <c r="BR33" i="2"/>
  <c r="BR8" i="21"/>
  <c r="BR6" i="21" s="1"/>
  <c r="BR5" i="21" s="1"/>
  <c r="BR52" i="2"/>
  <c r="CA5" i="17"/>
  <c r="CC4" i="17"/>
  <c r="BT25" i="2"/>
  <c r="BU24" i="2"/>
  <c r="BU23" i="2" s="1"/>
  <c r="BN44" i="3"/>
  <c r="BM45" i="3"/>
  <c r="BM46" i="3" s="1"/>
  <c r="BF187" i="117"/>
  <c r="BX160" i="3"/>
  <c r="BX176" i="3"/>
  <c r="BQ55" i="9"/>
  <c r="CE59" i="3"/>
  <c r="CE55" i="3"/>
  <c r="CE58" i="3"/>
  <c r="DD17" i="3"/>
  <c r="DE16" i="3"/>
  <c r="DG18" i="9"/>
  <c r="DG20" i="9"/>
  <c r="CU51" i="10"/>
  <c r="DI137" i="3"/>
  <c r="DI138" i="3" s="1"/>
  <c r="DJ125" i="3"/>
  <c r="DI123" i="3"/>
  <c r="DI134" i="3" s="1"/>
  <c r="CF74" i="16"/>
  <c r="CF76" i="16" s="1"/>
  <c r="CE77" i="16"/>
  <c r="CC58" i="7"/>
  <c r="CC47" i="7"/>
  <c r="CC49" i="7"/>
  <c r="CC50" i="7" s="1"/>
  <c r="CC105" i="21"/>
  <c r="BW64" i="16"/>
  <c r="DG88" i="17"/>
  <c r="DG89" i="17" s="1"/>
  <c r="CA35" i="8"/>
  <c r="CA36" i="8" s="1"/>
  <c r="CA38" i="8"/>
  <c r="M50" i="11"/>
  <c r="M52" i="11" s="1"/>
  <c r="M53" i="11" s="1"/>
  <c r="BD219" i="117"/>
  <c r="BD220" i="117" s="1"/>
  <c r="BT21" i="2"/>
  <c r="BT67" i="2"/>
  <c r="BT64" i="2" s="1"/>
  <c r="BD258" i="117"/>
  <c r="BD259" i="117" s="1"/>
  <c r="BS45" i="10"/>
  <c r="BU33" i="10"/>
  <c r="BT46" i="9"/>
  <c r="BU45" i="9"/>
  <c r="CC4" i="3"/>
  <c r="CA5" i="3"/>
  <c r="BR65" i="2"/>
  <c r="BJ158" i="117"/>
  <c r="BJ159" i="117" s="1"/>
  <c r="BJ162" i="117"/>
  <c r="CP152" i="21"/>
  <c r="CQ152" i="21" s="1"/>
  <c r="CR152" i="21" s="1"/>
  <c r="CS152" i="21" s="1"/>
  <c r="CD8" i="8"/>
  <c r="CD24" i="8"/>
  <c r="CD25" i="8" s="1"/>
  <c r="CD20" i="8"/>
  <c r="CW86" i="15"/>
  <c r="CW94" i="15"/>
  <c r="CX85" i="15"/>
  <c r="CY85" i="15" s="1"/>
  <c r="CY86" i="15" s="1"/>
  <c r="CY84" i="15"/>
  <c r="CY83" i="15" s="1"/>
  <c r="CU98" i="15"/>
  <c r="CU112" i="21"/>
  <c r="CV90" i="21"/>
  <c r="CV95" i="15"/>
  <c r="CV103" i="15"/>
  <c r="CV97" i="15"/>
  <c r="CY6" i="15"/>
  <c r="CX7" i="15"/>
  <c r="CY7" i="15" s="1"/>
  <c r="CY8" i="15" s="1"/>
  <c r="CW32" i="15"/>
  <c r="CW33" i="15" s="1"/>
  <c r="CW8" i="15"/>
  <c r="CW25" i="15"/>
  <c r="CV75" i="15"/>
  <c r="CV28" i="15"/>
  <c r="CV26" i="15"/>
  <c r="CU45" i="15"/>
  <c r="CU37" i="15"/>
  <c r="CV45" i="15"/>
  <c r="CV46" i="15" s="1"/>
  <c r="CV37" i="15"/>
  <c r="CV38" i="15" s="1"/>
  <c r="DD10" i="10" l="1"/>
  <c r="CX17" i="10"/>
  <c r="CX15" i="10" s="1"/>
  <c r="DD13" i="10"/>
  <c r="CR20" i="10"/>
  <c r="CR21" i="10" s="1"/>
  <c r="CR18" i="10"/>
  <c r="CX15" i="2"/>
  <c r="DJ10" i="2"/>
  <c r="DD17" i="2"/>
  <c r="DD18" i="2" s="1"/>
  <c r="DJ13" i="2"/>
  <c r="BQ57" i="9"/>
  <c r="BQ58" i="9" s="1"/>
  <c r="BQ106" i="21"/>
  <c r="DG21" i="9"/>
  <c r="DC20" i="9"/>
  <c r="DC21" i="9" s="1"/>
  <c r="DC18" i="9"/>
  <c r="DC15" i="9"/>
  <c r="DI15" i="9"/>
  <c r="DI20" i="9"/>
  <c r="DI21" i="9" s="1"/>
  <c r="DI18" i="9"/>
  <c r="DI13" i="10"/>
  <c r="DI10" i="10"/>
  <c r="DC17" i="10"/>
  <c r="CW20" i="10"/>
  <c r="CW21" i="10" s="1"/>
  <c r="CW18" i="10"/>
  <c r="CA32" i="17"/>
  <c r="CA31" i="17" s="1"/>
  <c r="BS33" i="2"/>
  <c r="BS8" i="21"/>
  <c r="BS6" i="21" s="1"/>
  <c r="BS5" i="21" s="1"/>
  <c r="BS40" i="2"/>
  <c r="BS41" i="2" s="1"/>
  <c r="BU64" i="2"/>
  <c r="BU65" i="2" s="1"/>
  <c r="BR46" i="2"/>
  <c r="BR47" i="2" s="1"/>
  <c r="BS61" i="2"/>
  <c r="BS62" i="2" s="1"/>
  <c r="CV18" i="2"/>
  <c r="CV15" i="2"/>
  <c r="DB17" i="2"/>
  <c r="DH10" i="2"/>
  <c r="DH17" i="2" s="1"/>
  <c r="BR57" i="9"/>
  <c r="BR58" i="9" s="1"/>
  <c r="BR106" i="21"/>
  <c r="BR66" i="9"/>
  <c r="BR67" i="9" s="1"/>
  <c r="DH21" i="9"/>
  <c r="DH17" i="10"/>
  <c r="DH20" i="10" s="1"/>
  <c r="BQ54" i="10"/>
  <c r="DB18" i="10"/>
  <c r="DB20" i="10"/>
  <c r="DB21" i="10" s="1"/>
  <c r="BG222" i="117"/>
  <c r="BG231" i="117" s="1"/>
  <c r="BG232" i="117" s="1"/>
  <c r="BG309" i="117"/>
  <c r="BX36" i="21" s="1"/>
  <c r="BG199" i="117"/>
  <c r="BG200" i="117" s="1"/>
  <c r="BG188" i="117"/>
  <c r="BG223" i="117" s="1"/>
  <c r="DI135" i="3"/>
  <c r="DI143" i="3"/>
  <c r="BS46" i="10"/>
  <c r="BU45" i="10"/>
  <c r="DG16" i="3"/>
  <c r="DG104" i="3" s="1"/>
  <c r="DE17" i="3"/>
  <c r="BF309" i="117"/>
  <c r="BW36" i="21" s="1"/>
  <c r="BF222" i="117"/>
  <c r="BF190" i="117"/>
  <c r="BF199" i="117"/>
  <c r="BF188" i="117"/>
  <c r="BF223" i="117" s="1"/>
  <c r="CE8" i="8"/>
  <c r="CE24" i="8"/>
  <c r="CC87" i="16"/>
  <c r="CC113" i="21"/>
  <c r="CC98" i="16"/>
  <c r="BY45" i="17"/>
  <c r="BY37" i="17"/>
  <c r="BY40" i="17" s="1"/>
  <c r="CA33" i="17"/>
  <c r="BU18" i="2"/>
  <c r="BW32" i="9"/>
  <c r="BW8" i="9"/>
  <c r="BW25" i="9"/>
  <c r="CI53" i="3"/>
  <c r="BS73" i="10"/>
  <c r="BT61" i="2"/>
  <c r="BT62" i="2" s="1"/>
  <c r="BT65" i="2"/>
  <c r="CC59" i="7"/>
  <c r="DA51" i="10"/>
  <c r="DG51" i="10" s="1"/>
  <c r="BT37" i="2"/>
  <c r="BT29" i="2"/>
  <c r="BU25" i="2"/>
  <c r="BT29" i="10"/>
  <c r="BI202" i="117"/>
  <c r="BI203" i="117" s="1"/>
  <c r="CI37" i="7"/>
  <c r="CI29" i="7"/>
  <c r="CA7" i="16"/>
  <c r="CA8" i="16" s="1"/>
  <c r="BZ8" i="16"/>
  <c r="BZ24" i="16"/>
  <c r="BZ25" i="16" s="1"/>
  <c r="BZ20" i="16"/>
  <c r="CA20" i="16" s="1"/>
  <c r="DH143" i="3"/>
  <c r="DH135" i="3"/>
  <c r="BL208" i="117"/>
  <c r="BL205" i="117" s="1"/>
  <c r="BL162" i="117"/>
  <c r="CJ37" i="7"/>
  <c r="CJ38" i="7" s="1"/>
  <c r="CJ29" i="7"/>
  <c r="CJ30" i="7" s="1"/>
  <c r="CI64" i="7"/>
  <c r="CI61" i="7" s="1"/>
  <c r="BY25" i="16"/>
  <c r="CA24" i="16"/>
  <c r="BI173" i="117"/>
  <c r="BI171" i="117"/>
  <c r="BJ170" i="117"/>
  <c r="BH187" i="117"/>
  <c r="BH182" i="117"/>
  <c r="BX30" i="16"/>
  <c r="BX32" i="16"/>
  <c r="CK8" i="7"/>
  <c r="CK24" i="7"/>
  <c r="BZ198" i="21"/>
  <c r="BZ53" i="8"/>
  <c r="CD84" i="16"/>
  <c r="CD86" i="16"/>
  <c r="CD92" i="16"/>
  <c r="CD91" i="21"/>
  <c r="CG35" i="7"/>
  <c r="CG36" i="7" s="1"/>
  <c r="CG38" i="7"/>
  <c r="BW7" i="10"/>
  <c r="BX4" i="10"/>
  <c r="BX6" i="10" s="1"/>
  <c r="CG54" i="3"/>
  <c r="CG60" i="3" s="1"/>
  <c r="CF58" i="3"/>
  <c r="CF59" i="3"/>
  <c r="CF55" i="3"/>
  <c r="BW32" i="16"/>
  <c r="BW30" i="16"/>
  <c r="BS69" i="10"/>
  <c r="BS70" i="10" s="1"/>
  <c r="BR61" i="10"/>
  <c r="BR129" i="21"/>
  <c r="CG4" i="3"/>
  <c r="CC6" i="3"/>
  <c r="BS53" i="2"/>
  <c r="BS57" i="21"/>
  <c r="BS55" i="21" s="1"/>
  <c r="BS54" i="21" s="1"/>
  <c r="BX194" i="3"/>
  <c r="BX7" i="21"/>
  <c r="BX180" i="3"/>
  <c r="BX181" i="3" s="1"/>
  <c r="BX177" i="3"/>
  <c r="BY160" i="3"/>
  <c r="BY176" i="3"/>
  <c r="BR70" i="10"/>
  <c r="DG51" i="9"/>
  <c r="BT136" i="21"/>
  <c r="BT104" i="17"/>
  <c r="BM165" i="117"/>
  <c r="BM166" i="117" s="1"/>
  <c r="BM149" i="117"/>
  <c r="BM161" i="117"/>
  <c r="CD21" i="8"/>
  <c r="CD67" i="8"/>
  <c r="BU46" i="9"/>
  <c r="BU43" i="9"/>
  <c r="BU44" i="9" s="1"/>
  <c r="CE78" i="16"/>
  <c r="CE83" i="16"/>
  <c r="BR53" i="2"/>
  <c r="BR57" i="21"/>
  <c r="BR55" i="21" s="1"/>
  <c r="BR54" i="21" s="1"/>
  <c r="DA18" i="2"/>
  <c r="DA15" i="2"/>
  <c r="CA8" i="3"/>
  <c r="CA81" i="3" s="1"/>
  <c r="CA80" i="3"/>
  <c r="CF7" i="8"/>
  <c r="CG7" i="8" s="1"/>
  <c r="CG8" i="8" s="1"/>
  <c r="CG6" i="8"/>
  <c r="CI4" i="8" s="1"/>
  <c r="BU26" i="10"/>
  <c r="BU17" i="10"/>
  <c r="BU18" i="10" s="1"/>
  <c r="BU75" i="10"/>
  <c r="CA86" i="3"/>
  <c r="CA87" i="3" s="1"/>
  <c r="BZ87" i="3"/>
  <c r="BZ159" i="3"/>
  <c r="CK30" i="3"/>
  <c r="CJ31" i="3"/>
  <c r="CC61" i="8"/>
  <c r="CC62" i="8" s="1"/>
  <c r="CC65" i="8"/>
  <c r="CC135" i="21"/>
  <c r="CC93" i="16"/>
  <c r="BW85" i="17"/>
  <c r="BX82" i="17"/>
  <c r="BX84" i="17" s="1"/>
  <c r="BL166" i="117"/>
  <c r="BH203" i="117"/>
  <c r="BY4" i="9"/>
  <c r="BY6" i="9" s="1"/>
  <c r="BX7" i="9"/>
  <c r="BY21" i="16"/>
  <c r="BY67" i="16"/>
  <c r="CC37" i="8"/>
  <c r="BY72" i="17"/>
  <c r="BY73" i="17" s="1"/>
  <c r="DG166" i="3"/>
  <c r="BZ46" i="8"/>
  <c r="BB265" i="117"/>
  <c r="BB272" i="117"/>
  <c r="BD272" i="117" s="1"/>
  <c r="DG15" i="10"/>
  <c r="DG20" i="10"/>
  <c r="DG21" i="10" s="1"/>
  <c r="DG18" i="10"/>
  <c r="DC110" i="3"/>
  <c r="DC112" i="3"/>
  <c r="BO145" i="117"/>
  <c r="BO147" i="117" s="1"/>
  <c r="BN148" i="117"/>
  <c r="DJ137" i="3"/>
  <c r="DJ138" i="3" s="1"/>
  <c r="DK125" i="3"/>
  <c r="DK123" i="3" s="1"/>
  <c r="DJ123" i="3"/>
  <c r="DJ134" i="3" s="1"/>
  <c r="DK134" i="3" s="1"/>
  <c r="DK135" i="3" s="1"/>
  <c r="BW41" i="17"/>
  <c r="BW88" i="21"/>
  <c r="BW60" i="17"/>
  <c r="BW48" i="17"/>
  <c r="BW49" i="17" s="1"/>
  <c r="CA5" i="16"/>
  <c r="CC4" i="16"/>
  <c r="BI179" i="117"/>
  <c r="BJ178" i="117"/>
  <c r="BY29" i="17"/>
  <c r="BZ173" i="21"/>
  <c r="BZ178" i="21"/>
  <c r="CD37" i="8"/>
  <c r="CD38" i="8" s="1"/>
  <c r="CD29" i="8"/>
  <c r="CD30" i="8" s="1"/>
  <c r="BW61" i="16"/>
  <c r="BW65" i="16"/>
  <c r="CF77" i="16"/>
  <c r="CG76" i="16"/>
  <c r="CI74" i="16" s="1"/>
  <c r="BJ205" i="117"/>
  <c r="CE61" i="3"/>
  <c r="BO44" i="3"/>
  <c r="BN45" i="3"/>
  <c r="BN46" i="3" s="1"/>
  <c r="CC6" i="17"/>
  <c r="CG4" i="17"/>
  <c r="DG18" i="2"/>
  <c r="AL30" i="12"/>
  <c r="AN30" i="12"/>
  <c r="BX64" i="16"/>
  <c r="BX65" i="16" s="1"/>
  <c r="BT72" i="10"/>
  <c r="BT73" i="10" s="1"/>
  <c r="CJ20" i="3"/>
  <c r="CI21" i="3"/>
  <c r="BU55" i="16"/>
  <c r="M156" i="11"/>
  <c r="BU131" i="21"/>
  <c r="BU28" i="10"/>
  <c r="CJ67" i="7"/>
  <c r="CJ21" i="7"/>
  <c r="BT109" i="17"/>
  <c r="BT110" i="17" s="1"/>
  <c r="BT98" i="17"/>
  <c r="BT114" i="21"/>
  <c r="BG191" i="117"/>
  <c r="BG226" i="117" s="1"/>
  <c r="BG225" i="117"/>
  <c r="CL7" i="7"/>
  <c r="CM6" i="7"/>
  <c r="CO4" i="7" s="1"/>
  <c r="BZ45" i="17"/>
  <c r="BZ46" i="17" s="1"/>
  <c r="BZ37" i="17"/>
  <c r="BZ38" i="17" s="1"/>
  <c r="DA163" i="3"/>
  <c r="CF60" i="3"/>
  <c r="BW38" i="16"/>
  <c r="BR54" i="10"/>
  <c r="BR79" i="10" s="1"/>
  <c r="BR80" i="10" s="1"/>
  <c r="BW7" i="2"/>
  <c r="BX4" i="2"/>
  <c r="BX6" i="2" s="1"/>
  <c r="CV109" i="15"/>
  <c r="CV110" i="15" s="1"/>
  <c r="CV112" i="21"/>
  <c r="CV98" i="15"/>
  <c r="DA82" i="15"/>
  <c r="CV134" i="21"/>
  <c r="CV104" i="15"/>
  <c r="CX86" i="15"/>
  <c r="CX94" i="15"/>
  <c r="CY94" i="15" s="1"/>
  <c r="CW103" i="15"/>
  <c r="CW95" i="15"/>
  <c r="CW90" i="21"/>
  <c r="CW97" i="15"/>
  <c r="CU38" i="15"/>
  <c r="CV29" i="15"/>
  <c r="CV40" i="15"/>
  <c r="CV20" i="15"/>
  <c r="CV21" i="15" s="1"/>
  <c r="CW45" i="15"/>
  <c r="CW46" i="15" s="1"/>
  <c r="CW37" i="15"/>
  <c r="CW38" i="15" s="1"/>
  <c r="CV72" i="15"/>
  <c r="CV73" i="15" s="1"/>
  <c r="CU46" i="15"/>
  <c r="CW75" i="15"/>
  <c r="CW28" i="15"/>
  <c r="CW26" i="15"/>
  <c r="CX8" i="15"/>
  <c r="CX32" i="15"/>
  <c r="CX25" i="15"/>
  <c r="CY5" i="15"/>
  <c r="DA4" i="15"/>
  <c r="CA23" i="16" l="1"/>
  <c r="DI17" i="10"/>
  <c r="DI15" i="10" s="1"/>
  <c r="DH15" i="10"/>
  <c r="DJ13" i="10"/>
  <c r="CX18" i="10"/>
  <c r="CX20" i="10"/>
  <c r="CX21" i="10" s="1"/>
  <c r="BQ55" i="10"/>
  <c r="BQ79" i="10"/>
  <c r="BQ80" i="10" s="1"/>
  <c r="DJ10" i="10"/>
  <c r="DD17" i="10"/>
  <c r="DJ17" i="2"/>
  <c r="DJ18" i="2" s="1"/>
  <c r="DD15" i="2"/>
  <c r="DH18" i="10"/>
  <c r="DC20" i="10"/>
  <c r="DC21" i="10" s="1"/>
  <c r="DC18" i="10"/>
  <c r="DC15" i="10"/>
  <c r="BU61" i="2"/>
  <c r="BU62" i="2" s="1"/>
  <c r="BS46" i="2"/>
  <c r="BS47" i="2" s="1"/>
  <c r="BR33" i="21"/>
  <c r="BR31" i="21" s="1"/>
  <c r="BR58" i="2"/>
  <c r="BR59" i="2" s="1"/>
  <c r="BR49" i="2"/>
  <c r="BR50" i="2" s="1"/>
  <c r="DH18" i="2"/>
  <c r="DB18" i="2"/>
  <c r="DB15" i="2"/>
  <c r="DH15" i="2"/>
  <c r="CJ32" i="7"/>
  <c r="CJ83" i="21" s="1"/>
  <c r="BQ107" i="21"/>
  <c r="BQ57" i="10"/>
  <c r="BQ58" i="10" s="1"/>
  <c r="BQ66" i="10"/>
  <c r="BQ67" i="10" s="1"/>
  <c r="DH21" i="10"/>
  <c r="BG219" i="117"/>
  <c r="BG220" i="117" s="1"/>
  <c r="BG315" i="117"/>
  <c r="BG258" i="117"/>
  <c r="BG264" i="117" s="1"/>
  <c r="BJ202" i="117"/>
  <c r="BJ151" i="117" s="1"/>
  <c r="BJ152" i="117" s="1"/>
  <c r="BY88" i="21"/>
  <c r="BY60" i="17"/>
  <c r="BY41" i="17"/>
  <c r="BY48" i="17"/>
  <c r="BY49" i="17" s="1"/>
  <c r="BX7" i="2"/>
  <c r="BY4" i="2"/>
  <c r="BY6" i="2" s="1"/>
  <c r="BW62" i="16"/>
  <c r="BJ179" i="117"/>
  <c r="BJ176" i="117"/>
  <c r="BJ177" i="117" s="1"/>
  <c r="BW86" i="17"/>
  <c r="BW94" i="17"/>
  <c r="BT69" i="10"/>
  <c r="CD4" i="17"/>
  <c r="CD6" i="17" s="1"/>
  <c r="CC7" i="17"/>
  <c r="BJ206" i="117"/>
  <c r="BJ154" i="117"/>
  <c r="BR145" i="117"/>
  <c r="BO148" i="117"/>
  <c r="BP147" i="117"/>
  <c r="BY64" i="16"/>
  <c r="BY65" i="16" s="1"/>
  <c r="BY82" i="17"/>
  <c r="BY84" i="17" s="1"/>
  <c r="BX85" i="17"/>
  <c r="CK31" i="3"/>
  <c r="CL30" i="3"/>
  <c r="CM4" i="8"/>
  <c r="CI6" i="8"/>
  <c r="CE91" i="21"/>
  <c r="CE86" i="16"/>
  <c r="CE84" i="16"/>
  <c r="CE92" i="16"/>
  <c r="CD32" i="8"/>
  <c r="BY177" i="3"/>
  <c r="BY194" i="3"/>
  <c r="BY180" i="3"/>
  <c r="BY181" i="3" s="1"/>
  <c r="BY7" i="21"/>
  <c r="CC7" i="3"/>
  <c r="CD4" i="3"/>
  <c r="CD6" i="3" s="1"/>
  <c r="CF61" i="3"/>
  <c r="CD98" i="16"/>
  <c r="CD99" i="16" s="1"/>
  <c r="CD87" i="16"/>
  <c r="CD113" i="21"/>
  <c r="DK137" i="3"/>
  <c r="DK138" i="3" s="1"/>
  <c r="BX52" i="16"/>
  <c r="BX33" i="16"/>
  <c r="BX40" i="16"/>
  <c r="BX41" i="16" s="1"/>
  <c r="BX87" i="21"/>
  <c r="BJ171" i="117"/>
  <c r="BJ167" i="117"/>
  <c r="BJ168" i="117" s="1"/>
  <c r="BY37" i="16"/>
  <c r="BY29" i="16"/>
  <c r="CA25" i="16"/>
  <c r="BZ29" i="16"/>
  <c r="BZ37" i="16"/>
  <c r="BZ38" i="16" s="1"/>
  <c r="BT30" i="2"/>
  <c r="BT32" i="2"/>
  <c r="BU72" i="10"/>
  <c r="BF315" i="117"/>
  <c r="CI76" i="16"/>
  <c r="CM74" i="16"/>
  <c r="BZ17" i="21"/>
  <c r="BZ179" i="21"/>
  <c r="CD64" i="8"/>
  <c r="CD65" i="8" s="1"/>
  <c r="CI62" i="7"/>
  <c r="CI30" i="7"/>
  <c r="CI32" i="7"/>
  <c r="BT38" i="2"/>
  <c r="BU37" i="2"/>
  <c r="BW33" i="9"/>
  <c r="BY38" i="17"/>
  <c r="CA37" i="17"/>
  <c r="BF200" i="117"/>
  <c r="DG109" i="3"/>
  <c r="DI120" i="3"/>
  <c r="DI121" i="3" s="1"/>
  <c r="DI144" i="3"/>
  <c r="DI165" i="3"/>
  <c r="DI166" i="3" s="1"/>
  <c r="BW24" i="2"/>
  <c r="BW8" i="2"/>
  <c r="BW20" i="2"/>
  <c r="CO6" i="7"/>
  <c r="CS4" i="7"/>
  <c r="CJ64" i="7"/>
  <c r="CJ65" i="7" s="1"/>
  <c r="BX61" i="16"/>
  <c r="BX62" i="16" s="1"/>
  <c r="BQ44" i="3"/>
  <c r="BO45" i="3"/>
  <c r="BO46" i="3" s="1"/>
  <c r="CG77" i="16"/>
  <c r="CG78" i="16" s="1"/>
  <c r="CF78" i="16"/>
  <c r="BW54" i="17"/>
  <c r="BY69" i="17"/>
  <c r="BY70" i="17" s="1"/>
  <c r="CC38" i="8"/>
  <c r="BX8" i="9"/>
  <c r="BX32" i="9"/>
  <c r="BX33" i="9" s="1"/>
  <c r="BX25" i="9"/>
  <c r="CA83" i="3"/>
  <c r="CA84" i="3" s="1"/>
  <c r="BW52" i="16"/>
  <c r="BW33" i="16"/>
  <c r="BW87" i="21"/>
  <c r="BW40" i="16"/>
  <c r="BW41" i="16" s="1"/>
  <c r="BY4" i="10"/>
  <c r="BY6" i="10" s="1"/>
  <c r="BX7" i="10"/>
  <c r="CK25" i="7"/>
  <c r="BI174" i="117"/>
  <c r="BI217" i="117" s="1"/>
  <c r="BI216" i="117"/>
  <c r="BI196" i="117"/>
  <c r="BI197" i="117" s="1"/>
  <c r="BI306" i="117"/>
  <c r="BZ11" i="21" s="1"/>
  <c r="CA11" i="21" s="1"/>
  <c r="BI181" i="117"/>
  <c r="BI187" i="117" s="1"/>
  <c r="BJ187" i="117" s="1"/>
  <c r="BJ173" i="117"/>
  <c r="CI65" i="7"/>
  <c r="DH120" i="3"/>
  <c r="DH121" i="3" s="1"/>
  <c r="DH165" i="3"/>
  <c r="DH144" i="3"/>
  <c r="BW28" i="9"/>
  <c r="BW29" i="9" s="1"/>
  <c r="BW75" i="9"/>
  <c r="BW26" i="9"/>
  <c r="BY46" i="17"/>
  <c r="CA45" i="17"/>
  <c r="BF225" i="117"/>
  <c r="BF191" i="117"/>
  <c r="BF226" i="117" s="1"/>
  <c r="CA159" i="3"/>
  <c r="CA160" i="3" s="1"/>
  <c r="BZ160" i="3"/>
  <c r="CF24" i="8"/>
  <c r="CF25" i="8" s="1"/>
  <c r="CF8" i="8"/>
  <c r="CF20" i="8"/>
  <c r="BM178" i="117"/>
  <c r="BM179" i="117" s="1"/>
  <c r="BM170" i="117"/>
  <c r="CG59" i="3"/>
  <c r="CG58" i="3"/>
  <c r="BR107" i="21"/>
  <c r="BR55" i="10"/>
  <c r="BR57" i="10"/>
  <c r="BR58" i="10" s="1"/>
  <c r="BR66" i="10"/>
  <c r="BR67" i="10" s="1"/>
  <c r="CM7" i="7"/>
  <c r="CM8" i="7" s="1"/>
  <c r="CL24" i="7"/>
  <c r="CL25" i="7" s="1"/>
  <c r="CL8" i="7"/>
  <c r="CL20" i="7"/>
  <c r="BU20" i="10"/>
  <c r="BU21" i="10" s="1"/>
  <c r="BU29" i="10"/>
  <c r="CJ21" i="3"/>
  <c r="CK20" i="3"/>
  <c r="CG4" i="16"/>
  <c r="CC6" i="16"/>
  <c r="BW132" i="21"/>
  <c r="BW61" i="17"/>
  <c r="DJ135" i="3"/>
  <c r="DJ143" i="3"/>
  <c r="DK143" i="3" s="1"/>
  <c r="BN165" i="117"/>
  <c r="BN166" i="117" s="1"/>
  <c r="BN149" i="117"/>
  <c r="BN161" i="117"/>
  <c r="DC113" i="3"/>
  <c r="DC162" i="3"/>
  <c r="BZ185" i="21"/>
  <c r="BZ49" i="8"/>
  <c r="BZ50" i="8" s="1"/>
  <c r="BZ58" i="8"/>
  <c r="BZ59" i="8" s="1"/>
  <c r="BZ47" i="8"/>
  <c r="CA17" i="16"/>
  <c r="CA18" i="16" s="1"/>
  <c r="CA21" i="16"/>
  <c r="BZ4" i="9"/>
  <c r="BZ6" i="9" s="1"/>
  <c r="BY7" i="9"/>
  <c r="BL178" i="117"/>
  <c r="BL170" i="117"/>
  <c r="BM208" i="117"/>
  <c r="BM162" i="117"/>
  <c r="BX187" i="3"/>
  <c r="BX56" i="21"/>
  <c r="BX195" i="3"/>
  <c r="BW32" i="10"/>
  <c r="BW8" i="10"/>
  <c r="BW25" i="10"/>
  <c r="CD93" i="16"/>
  <c r="CD135" i="21"/>
  <c r="BZ199" i="21"/>
  <c r="BH190" i="117"/>
  <c r="BH188" i="117"/>
  <c r="BH223" i="117" s="1"/>
  <c r="BH199" i="117"/>
  <c r="BH200" i="117" s="1"/>
  <c r="BH309" i="117"/>
  <c r="BY36" i="21" s="1"/>
  <c r="BH222" i="117"/>
  <c r="BL202" i="117"/>
  <c r="BL206" i="117"/>
  <c r="BZ21" i="16"/>
  <c r="BZ67" i="16"/>
  <c r="CI38" i="7"/>
  <c r="CJ53" i="3"/>
  <c r="CI54" i="3"/>
  <c r="CI60" i="3" s="1"/>
  <c r="CC99" i="16"/>
  <c r="CE25" i="8"/>
  <c r="BF258" i="117"/>
  <c r="BF231" i="117"/>
  <c r="BF219" i="117"/>
  <c r="BF220" i="117" s="1"/>
  <c r="DG17" i="3"/>
  <c r="DH16" i="3"/>
  <c r="DH104" i="3" s="1"/>
  <c r="DH109" i="3" s="1"/>
  <c r="BU46" i="10"/>
  <c r="BU43" i="10"/>
  <c r="BU44" i="10" s="1"/>
  <c r="CY88" i="15"/>
  <c r="CY89" i="15" s="1"/>
  <c r="CY95" i="15"/>
  <c r="CW104" i="15"/>
  <c r="CW134" i="21"/>
  <c r="DE82" i="15"/>
  <c r="DA84" i="15"/>
  <c r="CW112" i="21"/>
  <c r="CW109" i="15"/>
  <c r="CW98" i="15"/>
  <c r="CX90" i="21"/>
  <c r="CY90" i="21" s="1"/>
  <c r="CX103" i="15"/>
  <c r="CX95" i="15"/>
  <c r="CX97" i="15"/>
  <c r="DE4" i="15"/>
  <c r="DA6" i="15"/>
  <c r="CX33" i="15"/>
  <c r="CY32" i="15"/>
  <c r="CY31" i="15" s="1"/>
  <c r="CW72" i="15"/>
  <c r="CW73" i="15" s="1"/>
  <c r="CV86" i="21"/>
  <c r="CV41" i="15"/>
  <c r="CV60" i="15"/>
  <c r="CV48" i="15"/>
  <c r="CV49" i="15" s="1"/>
  <c r="CX28" i="15"/>
  <c r="CX26" i="15"/>
  <c r="CX75" i="15"/>
  <c r="CW20" i="15"/>
  <c r="CW21" i="15" s="1"/>
  <c r="CW29" i="15"/>
  <c r="CW40" i="15"/>
  <c r="CV69" i="15"/>
  <c r="CV70" i="15" s="1"/>
  <c r="DI20" i="10" l="1"/>
  <c r="DI21" i="10" s="1"/>
  <c r="DI18" i="10"/>
  <c r="DJ17" i="10"/>
  <c r="DJ15" i="10" s="1"/>
  <c r="DD18" i="10"/>
  <c r="DD20" i="10"/>
  <c r="DD21" i="10" s="1"/>
  <c r="DJ20" i="10"/>
  <c r="DD15" i="10"/>
  <c r="CG24" i="8"/>
  <c r="CG23" i="8" s="1"/>
  <c r="DJ15" i="2"/>
  <c r="BR30" i="21"/>
  <c r="BR27" i="21"/>
  <c r="BR25" i="21" s="1"/>
  <c r="BX46" i="16"/>
  <c r="BX47" i="16" s="1"/>
  <c r="BU10" i="2"/>
  <c r="BU11" i="2" s="1"/>
  <c r="BW46" i="16"/>
  <c r="BW109" i="21" s="1"/>
  <c r="BY54" i="17"/>
  <c r="BY57" i="17" s="1"/>
  <c r="BY58" i="17" s="1"/>
  <c r="BS49" i="2"/>
  <c r="BS50" i="2" s="1"/>
  <c r="BS33" i="21"/>
  <c r="BS31" i="21" s="1"/>
  <c r="BS58" i="2"/>
  <c r="BS59" i="2" s="1"/>
  <c r="CJ52" i="7"/>
  <c r="CJ127" i="21" s="1"/>
  <c r="CJ33" i="7"/>
  <c r="CM24" i="7"/>
  <c r="CM23" i="7" s="1"/>
  <c r="BG259" i="117"/>
  <c r="BJ203" i="117"/>
  <c r="BY187" i="3"/>
  <c r="BY188" i="3" s="1"/>
  <c r="DK120" i="3"/>
  <c r="DK121" i="3" s="1"/>
  <c r="DK144" i="3"/>
  <c r="BF232" i="117"/>
  <c r="CE37" i="8"/>
  <c r="CE29" i="8"/>
  <c r="CE30" i="8" s="1"/>
  <c r="CG25" i="8"/>
  <c r="BZ64" i="16"/>
  <c r="BZ61" i="16" s="1"/>
  <c r="BZ62" i="16" s="1"/>
  <c r="CD4" i="16"/>
  <c r="CD6" i="16" s="1"/>
  <c r="CC7" i="16"/>
  <c r="CA46" i="17"/>
  <c r="CA43" i="17"/>
  <c r="CA44" i="17" s="1"/>
  <c r="BU38" i="2"/>
  <c r="BU35" i="2"/>
  <c r="BU36" i="2" s="1"/>
  <c r="CD172" i="21"/>
  <c r="CD173" i="21" s="1"/>
  <c r="CD52" i="8"/>
  <c r="CD33" i="8"/>
  <c r="BX32" i="21"/>
  <c r="BX200" i="3"/>
  <c r="BX201" i="3" s="1"/>
  <c r="BX190" i="3"/>
  <c r="BX191" i="3" s="1"/>
  <c r="BX188" i="3"/>
  <c r="BL173" i="117"/>
  <c r="BL171" i="117"/>
  <c r="BZ7" i="9"/>
  <c r="CA6" i="9"/>
  <c r="DC163" i="3"/>
  <c r="BN178" i="117"/>
  <c r="BN179" i="117" s="1"/>
  <c r="BN170" i="117"/>
  <c r="CK21" i="3"/>
  <c r="CL20" i="3"/>
  <c r="CL67" i="7"/>
  <c r="CL21" i="7"/>
  <c r="CG61" i="3"/>
  <c r="CF67" i="8"/>
  <c r="CF64" i="8" s="1"/>
  <c r="CF21" i="8"/>
  <c r="BW72" i="9"/>
  <c r="BW73" i="9" s="1"/>
  <c r="BI199" i="117"/>
  <c r="BI200" i="117" s="1"/>
  <c r="BI188" i="117"/>
  <c r="BI223" i="117" s="1"/>
  <c r="BI309" i="117"/>
  <c r="BZ36" i="21" s="1"/>
  <c r="BI222" i="117"/>
  <c r="BI219" i="117" s="1"/>
  <c r="BI220" i="117" s="1"/>
  <c r="BI190" i="117"/>
  <c r="BZ4" i="10"/>
  <c r="BZ6" i="10" s="1"/>
  <c r="BY7" i="10"/>
  <c r="BW25" i="2"/>
  <c r="CA34" i="17"/>
  <c r="CA35" i="17" s="1"/>
  <c r="CA38" i="17"/>
  <c r="CI77" i="16"/>
  <c r="CJ74" i="16"/>
  <c r="CJ76" i="16" s="1"/>
  <c r="BY32" i="16"/>
  <c r="BY30" i="16"/>
  <c r="BX131" i="21"/>
  <c r="BX53" i="16"/>
  <c r="CE87" i="16"/>
  <c r="CE98" i="16"/>
  <c r="CE113" i="21"/>
  <c r="CL31" i="3"/>
  <c r="CM30" i="3"/>
  <c r="BJ155" i="117"/>
  <c r="BJ156" i="117"/>
  <c r="BT70" i="10"/>
  <c r="BU69" i="10"/>
  <c r="BW95" i="17"/>
  <c r="BW97" i="17"/>
  <c r="BW116" i="17" s="1"/>
  <c r="BW92" i="21"/>
  <c r="BW103" i="17"/>
  <c r="DJ120" i="3"/>
  <c r="DJ121" i="3" s="1"/>
  <c r="DJ144" i="3"/>
  <c r="DJ165" i="3"/>
  <c r="DJ166" i="3" s="1"/>
  <c r="BY38" i="16"/>
  <c r="CA37" i="16"/>
  <c r="DI16" i="3"/>
  <c r="DH17" i="3"/>
  <c r="BF259" i="117"/>
  <c r="BF264" i="117"/>
  <c r="BH258" i="117"/>
  <c r="BH231" i="117"/>
  <c r="BH232" i="117" s="1"/>
  <c r="BH219" i="117"/>
  <c r="BH220" i="117" s="1"/>
  <c r="BH191" i="117"/>
  <c r="BH226" i="117" s="1"/>
  <c r="BH225" i="117"/>
  <c r="BZ213" i="21"/>
  <c r="BZ214" i="21" s="1"/>
  <c r="BZ186" i="21"/>
  <c r="BZ191" i="21"/>
  <c r="BN162" i="117"/>
  <c r="BN208" i="117"/>
  <c r="BN205" i="117" s="1"/>
  <c r="CL37" i="7"/>
  <c r="CL38" i="7" s="1"/>
  <c r="BM173" i="117"/>
  <c r="BM171" i="117"/>
  <c r="CF37" i="8"/>
  <c r="CF38" i="8" s="1"/>
  <c r="CF29" i="8"/>
  <c r="CF30" i="8" s="1"/>
  <c r="DH166" i="3"/>
  <c r="BJ216" i="117"/>
  <c r="BJ174" i="117"/>
  <c r="BJ217" i="117" s="1"/>
  <c r="BJ196" i="117"/>
  <c r="BJ197" i="117" s="1"/>
  <c r="CK37" i="7"/>
  <c r="CM25" i="7"/>
  <c r="BW131" i="21"/>
  <c r="BW53" i="16"/>
  <c r="BX26" i="9"/>
  <c r="BX75" i="9"/>
  <c r="BX72" i="9" s="1"/>
  <c r="BX28" i="9"/>
  <c r="BG265" i="117"/>
  <c r="BG272" i="117"/>
  <c r="BW110" i="21"/>
  <c r="BW57" i="17"/>
  <c r="BW58" i="17" s="1"/>
  <c r="BW66" i="17"/>
  <c r="BW67" i="17" s="1"/>
  <c r="BW55" i="17"/>
  <c r="CO7" i="7"/>
  <c r="CP4" i="7"/>
  <c r="CP6" i="7" s="1"/>
  <c r="BW21" i="2"/>
  <c r="BW67" i="2"/>
  <c r="BW64" i="2" s="1"/>
  <c r="CA29" i="16"/>
  <c r="BZ32" i="16"/>
  <c r="BZ30" i="16"/>
  <c r="CE4" i="3"/>
  <c r="CE6" i="3" s="1"/>
  <c r="CD7" i="3"/>
  <c r="CE135" i="21"/>
  <c r="CE93" i="16"/>
  <c r="CI7" i="8"/>
  <c r="CJ4" i="8"/>
  <c r="CJ6" i="8" s="1"/>
  <c r="BX86" i="17"/>
  <c r="BX94" i="17"/>
  <c r="CA67" i="16"/>
  <c r="BP148" i="117"/>
  <c r="BP149" i="117" s="1"/>
  <c r="BO165" i="117"/>
  <c r="BO149" i="117"/>
  <c r="BO161" i="117"/>
  <c r="BP161" i="117" s="1"/>
  <c r="CC8" i="17"/>
  <c r="CC32" i="17"/>
  <c r="CC25" i="17"/>
  <c r="BZ4" i="2"/>
  <c r="BZ6" i="2" s="1"/>
  <c r="BY7" i="2"/>
  <c r="BY132" i="21"/>
  <c r="BY61" i="17"/>
  <c r="DH110" i="3"/>
  <c r="DH112" i="3"/>
  <c r="CI59" i="3"/>
  <c r="CI55" i="3"/>
  <c r="CI58" i="3"/>
  <c r="BL203" i="117"/>
  <c r="BW33" i="10"/>
  <c r="BL179" i="117"/>
  <c r="BR44" i="3"/>
  <c r="BQ45" i="3"/>
  <c r="BQ46" i="3" s="1"/>
  <c r="DG110" i="3"/>
  <c r="DG112" i="3"/>
  <c r="CJ53" i="7"/>
  <c r="BJ186" i="117"/>
  <c r="BJ190" i="117"/>
  <c r="BJ222" i="117"/>
  <c r="N50" i="11" s="1"/>
  <c r="N52" i="11" s="1"/>
  <c r="N53" i="11" s="1"/>
  <c r="N56" i="11" s="1"/>
  <c r="BJ188" i="117"/>
  <c r="BJ223" i="117" s="1"/>
  <c r="CK53" i="3"/>
  <c r="CJ54" i="3"/>
  <c r="CJ60" i="3" s="1"/>
  <c r="BH315" i="117"/>
  <c r="BW28" i="10"/>
  <c r="BW29" i="10" s="1"/>
  <c r="BW26" i="10"/>
  <c r="BW75" i="10"/>
  <c r="BW72" i="10" s="1"/>
  <c r="BM205" i="117"/>
  <c r="BM202" i="117" s="1"/>
  <c r="BM203" i="117" s="1"/>
  <c r="BY32" i="9"/>
  <c r="BY33" i="9" s="1"/>
  <c r="BY45" i="9" s="1"/>
  <c r="BY46" i="9" s="1"/>
  <c r="BY8" i="9"/>
  <c r="BY25" i="9"/>
  <c r="BI182" i="117"/>
  <c r="BJ181" i="117"/>
  <c r="BX8" i="10"/>
  <c r="BX32" i="10"/>
  <c r="BX33" i="10" s="1"/>
  <c r="BX25" i="10"/>
  <c r="BX45" i="9"/>
  <c r="BX46" i="9" s="1"/>
  <c r="BX37" i="9"/>
  <c r="BX38" i="9" s="1"/>
  <c r="CJ61" i="7"/>
  <c r="BW45" i="9"/>
  <c r="BW37" i="9"/>
  <c r="CI83" i="21"/>
  <c r="CI33" i="7"/>
  <c r="CI52" i="7"/>
  <c r="CI40" i="7"/>
  <c r="CI46" i="7" s="1"/>
  <c r="CD61" i="8"/>
  <c r="CD62" i="8" s="1"/>
  <c r="BU13" i="10"/>
  <c r="BU73" i="10"/>
  <c r="BT33" i="2"/>
  <c r="BT40" i="2"/>
  <c r="BT52" i="2"/>
  <c r="BT8" i="21"/>
  <c r="CC8" i="3"/>
  <c r="CC81" i="3" s="1"/>
  <c r="CC80" i="3"/>
  <c r="CC86" i="3" s="1"/>
  <c r="BY56" i="21"/>
  <c r="BY195" i="3"/>
  <c r="BY85" i="17"/>
  <c r="BZ82" i="17"/>
  <c r="BZ84" i="17" s="1"/>
  <c r="BY61" i="16"/>
  <c r="BY62" i="16" s="1"/>
  <c r="BV145" i="117"/>
  <c r="BR147" i="117"/>
  <c r="CE4" i="17"/>
  <c r="CE6" i="17" s="1"/>
  <c r="CD7" i="17"/>
  <c r="BX8" i="2"/>
  <c r="BX24" i="2"/>
  <c r="BX25" i="2" s="1"/>
  <c r="BX20" i="2"/>
  <c r="CX98" i="15"/>
  <c r="CX112" i="21"/>
  <c r="CX109" i="15"/>
  <c r="CX110" i="15" s="1"/>
  <c r="CY97" i="15"/>
  <c r="DB82" i="15"/>
  <c r="DB84" i="15" s="1"/>
  <c r="DA85" i="15"/>
  <c r="CW110" i="15"/>
  <c r="CX104" i="15"/>
  <c r="CX134" i="21"/>
  <c r="CV54" i="15"/>
  <c r="CV57" i="15" s="1"/>
  <c r="CV58" i="15" s="1"/>
  <c r="CW69" i="15"/>
  <c r="CW70" i="15" s="1"/>
  <c r="CX72" i="15"/>
  <c r="CX73" i="15" s="1"/>
  <c r="CX45" i="15"/>
  <c r="CY33" i="15"/>
  <c r="DB4" i="15"/>
  <c r="DB6" i="15" s="1"/>
  <c r="DA7" i="15"/>
  <c r="CW86" i="21"/>
  <c r="CW60" i="15"/>
  <c r="CW41" i="15"/>
  <c r="CX29" i="15"/>
  <c r="CX20" i="15"/>
  <c r="CX21" i="15" s="1"/>
  <c r="CV130" i="21"/>
  <c r="CV61" i="15"/>
  <c r="DJ21" i="10" l="1"/>
  <c r="DJ18" i="10"/>
  <c r="BS30" i="21"/>
  <c r="BS27" i="21"/>
  <c r="BS25" i="21" s="1"/>
  <c r="BX49" i="16"/>
  <c r="BX50" i="16" s="1"/>
  <c r="BX105" i="16"/>
  <c r="BX106" i="16" s="1"/>
  <c r="BX109" i="21"/>
  <c r="BX58" i="16"/>
  <c r="BX59" i="16" s="1"/>
  <c r="BW49" i="16"/>
  <c r="BW50" i="16" s="1"/>
  <c r="BW105" i="16"/>
  <c r="BW108" i="16" s="1"/>
  <c r="BW109" i="16" s="1"/>
  <c r="BY110" i="21"/>
  <c r="BU13" i="2"/>
  <c r="BU15" i="2" s="1"/>
  <c r="BW47" i="16"/>
  <c r="BW58" i="16"/>
  <c r="BW59" i="16" s="1"/>
  <c r="BY55" i="17"/>
  <c r="BY66" i="17"/>
  <c r="BY67" i="17" s="1"/>
  <c r="DK165" i="3"/>
  <c r="DK166" i="3" s="1"/>
  <c r="BY32" i="21"/>
  <c r="CI61" i="3"/>
  <c r="BJ219" i="117"/>
  <c r="BJ220" i="117" s="1"/>
  <c r="BY200" i="3"/>
  <c r="BY201" i="3" s="1"/>
  <c r="BY190" i="3"/>
  <c r="BY191" i="3" s="1"/>
  <c r="BW119" i="17"/>
  <c r="BW120" i="17" s="1"/>
  <c r="BW117" i="17"/>
  <c r="BW124" i="17"/>
  <c r="BW125" i="17" s="1"/>
  <c r="BX67" i="2"/>
  <c r="BX21" i="2"/>
  <c r="CE7" i="17"/>
  <c r="CF4" i="17"/>
  <c r="CF6" i="17" s="1"/>
  <c r="BT57" i="21"/>
  <c r="BT53" i="2"/>
  <c r="CI47" i="7"/>
  <c r="CI49" i="7"/>
  <c r="CI50" i="7" s="1"/>
  <c r="CI58" i="7"/>
  <c r="CI105" i="21"/>
  <c r="BW46" i="9"/>
  <c r="CL53" i="3"/>
  <c r="CK54" i="3"/>
  <c r="CK60" i="3" s="1"/>
  <c r="DH113" i="3"/>
  <c r="DH162" i="3"/>
  <c r="DH163" i="3" s="1"/>
  <c r="BX103" i="17"/>
  <c r="BX97" i="17"/>
  <c r="BX95" i="17"/>
  <c r="BX92" i="21"/>
  <c r="BW61" i="2"/>
  <c r="BW65" i="2"/>
  <c r="BX69" i="9"/>
  <c r="BX70" i="9" s="1"/>
  <c r="BX73" i="9"/>
  <c r="CD8" i="17"/>
  <c r="CD32" i="17"/>
  <c r="CD33" i="17" s="1"/>
  <c r="CJ62" i="7"/>
  <c r="BX45" i="10"/>
  <c r="BX46" i="10" s="1"/>
  <c r="BX37" i="10"/>
  <c r="BX38" i="10" s="1"/>
  <c r="BY75" i="9"/>
  <c r="BY28" i="9"/>
  <c r="BY29" i="9" s="1"/>
  <c r="BY26" i="9"/>
  <c r="BM206" i="117"/>
  <c r="CJ59" i="3"/>
  <c r="CJ55" i="3"/>
  <c r="CJ58" i="3"/>
  <c r="CC28" i="17"/>
  <c r="CC75" i="17"/>
  <c r="CC72" i="17" s="1"/>
  <c r="CC26" i="17"/>
  <c r="BO208" i="117"/>
  <c r="BO162" i="117"/>
  <c r="CI8" i="8"/>
  <c r="CI24" i="8"/>
  <c r="CI20" i="8"/>
  <c r="CF4" i="3"/>
  <c r="CF6" i="3" s="1"/>
  <c r="CE7" i="3"/>
  <c r="BJ199" i="117"/>
  <c r="BJ200" i="117" s="1"/>
  <c r="CO8" i="7"/>
  <c r="CO24" i="7"/>
  <c r="CO20" i="7"/>
  <c r="BX29" i="9"/>
  <c r="BX40" i="9"/>
  <c r="CK38" i="7"/>
  <c r="CM37" i="7"/>
  <c r="BN202" i="117"/>
  <c r="BN203" i="117" s="1"/>
  <c r="BN206" i="117"/>
  <c r="CA38" i="16"/>
  <c r="CA35" i="16"/>
  <c r="CA36" i="16" s="1"/>
  <c r="CA61" i="16"/>
  <c r="CE99" i="16"/>
  <c r="CI78" i="16"/>
  <c r="CI83" i="16"/>
  <c r="BI258" i="117"/>
  <c r="BI231" i="117"/>
  <c r="BI232" i="117" s="1"/>
  <c r="BW69" i="9"/>
  <c r="BW70" i="9" s="1"/>
  <c r="CF61" i="8"/>
  <c r="CF62" i="8" s="1"/>
  <c r="CF65" i="8"/>
  <c r="CL21" i="3"/>
  <c r="CM20" i="3"/>
  <c r="BZ65" i="16"/>
  <c r="CA64" i="16"/>
  <c r="BW136" i="21"/>
  <c r="BW104" i="17"/>
  <c r="BU10" i="10"/>
  <c r="BU11" i="10" s="1"/>
  <c r="BU70" i="10"/>
  <c r="CM31" i="3"/>
  <c r="CO30" i="3"/>
  <c r="BW37" i="2"/>
  <c r="CA36" i="21"/>
  <c r="BI315" i="117"/>
  <c r="CC24" i="16"/>
  <c r="CC8" i="16"/>
  <c r="CC20" i="16"/>
  <c r="BX37" i="2"/>
  <c r="BX38" i="2" s="1"/>
  <c r="BX29" i="2"/>
  <c r="BX30" i="2" s="1"/>
  <c r="BR148" i="117"/>
  <c r="BS145" i="117"/>
  <c r="BS147" i="117" s="1"/>
  <c r="BY86" i="17"/>
  <c r="CC87" i="3"/>
  <c r="CC159" i="3"/>
  <c r="CC160" i="3" s="1"/>
  <c r="BT46" i="2"/>
  <c r="BT41" i="2"/>
  <c r="CI127" i="21"/>
  <c r="CI53" i="7"/>
  <c r="BW69" i="10"/>
  <c r="BW73" i="10"/>
  <c r="BJ191" i="117"/>
  <c r="BJ226" i="117" s="1"/>
  <c r="BJ225" i="117"/>
  <c r="BS44" i="3"/>
  <c r="BR45" i="3"/>
  <c r="BR46" i="3" s="1"/>
  <c r="BW45" i="10"/>
  <c r="BW37" i="10"/>
  <c r="CA6" i="2"/>
  <c r="BZ7" i="2"/>
  <c r="CC33" i="17"/>
  <c r="BO166" i="117"/>
  <c r="BP165" i="117"/>
  <c r="BZ52" i="16"/>
  <c r="BZ33" i="16"/>
  <c r="BZ87" i="21"/>
  <c r="BM196" i="117"/>
  <c r="BM197" i="117" s="1"/>
  <c r="BM216" i="117"/>
  <c r="BM306" i="117"/>
  <c r="CD11" i="21" s="1"/>
  <c r="BM174" i="117"/>
  <c r="BM217" i="117" s="1"/>
  <c r="BM181" i="117"/>
  <c r="BM182" i="117" s="1"/>
  <c r="BZ192" i="21"/>
  <c r="BZ42" i="21"/>
  <c r="DI104" i="3"/>
  <c r="DI17" i="3"/>
  <c r="DJ16" i="3"/>
  <c r="BY52" i="16"/>
  <c r="BY40" i="16"/>
  <c r="BY41" i="16" s="1"/>
  <c r="BY87" i="21"/>
  <c r="BY33" i="16"/>
  <c r="CA32" i="16"/>
  <c r="CA33" i="16" s="1"/>
  <c r="BZ7" i="10"/>
  <c r="CA6" i="10"/>
  <c r="CF32" i="8"/>
  <c r="CL64" i="7"/>
  <c r="CL65" i="7" s="1"/>
  <c r="BN171" i="117"/>
  <c r="BN173" i="117"/>
  <c r="CC4" i="9"/>
  <c r="CA5" i="9"/>
  <c r="BL174" i="117"/>
  <c r="BL217" i="117" s="1"/>
  <c r="BL196" i="117"/>
  <c r="BL197" i="117" s="1"/>
  <c r="BL306" i="117"/>
  <c r="CC11" i="21" s="1"/>
  <c r="BL216" i="117"/>
  <c r="BL181" i="117"/>
  <c r="CD198" i="21"/>
  <c r="CD199" i="21" s="1"/>
  <c r="CD53" i="8"/>
  <c r="CD7" i="16"/>
  <c r="CE4" i="16"/>
  <c r="CE6" i="16" s="1"/>
  <c r="BZ85" i="17"/>
  <c r="CA84" i="17"/>
  <c r="BU14" i="10"/>
  <c r="BU15" i="10"/>
  <c r="BY24" i="2"/>
  <c r="BY25" i="2" s="1"/>
  <c r="BY8" i="2"/>
  <c r="BY20" i="2"/>
  <c r="BH264" i="117"/>
  <c r="BH259" i="117"/>
  <c r="BY8" i="10"/>
  <c r="BY32" i="10"/>
  <c r="BY25" i="10"/>
  <c r="CI41" i="7"/>
  <c r="BW40" i="9"/>
  <c r="BW38" i="9"/>
  <c r="BX26" i="10"/>
  <c r="BX75" i="10"/>
  <c r="BX28" i="10"/>
  <c r="BJ182" i="117"/>
  <c r="BJ184" i="117"/>
  <c r="BJ185" i="117" s="1"/>
  <c r="DG113" i="3"/>
  <c r="DG162" i="3"/>
  <c r="CJ7" i="8"/>
  <c r="CK4" i="8"/>
  <c r="CK6" i="8" s="1"/>
  <c r="CD8" i="3"/>
  <c r="CD81" i="3" s="1"/>
  <c r="CD80" i="3"/>
  <c r="CD86" i="3" s="1"/>
  <c r="CA30" i="16"/>
  <c r="CA26" i="16"/>
  <c r="CA27" i="16" s="1"/>
  <c r="CP7" i="7"/>
  <c r="CQ4" i="7"/>
  <c r="CQ6" i="7" s="1"/>
  <c r="BP158" i="117"/>
  <c r="BP159" i="117" s="1"/>
  <c r="BP162" i="117"/>
  <c r="BF265" i="117"/>
  <c r="BF272" i="117"/>
  <c r="BW109" i="17"/>
  <c r="BW114" i="21"/>
  <c r="BW98" i="17"/>
  <c r="CK74" i="16"/>
  <c r="CK76" i="16" s="1"/>
  <c r="CJ77" i="16"/>
  <c r="BI191" i="117"/>
  <c r="BI226" i="117" s="1"/>
  <c r="BI225" i="117"/>
  <c r="BZ32" i="9"/>
  <c r="BZ8" i="9"/>
  <c r="CA7" i="9"/>
  <c r="CA8" i="9" s="1"/>
  <c r="CE38" i="8"/>
  <c r="CG37" i="8"/>
  <c r="CV55" i="15"/>
  <c r="CV66" i="15"/>
  <c r="CV67" i="15" s="1"/>
  <c r="CY112" i="21"/>
  <c r="CY100" i="15"/>
  <c r="CY101" i="15" s="1"/>
  <c r="CY98" i="15"/>
  <c r="R200" i="11"/>
  <c r="DA86" i="15"/>
  <c r="DA94" i="15"/>
  <c r="DB85" i="15"/>
  <c r="DC82" i="15"/>
  <c r="DC84" i="15" s="1"/>
  <c r="CV108" i="21"/>
  <c r="CV116" i="15"/>
  <c r="CV119" i="15" s="1"/>
  <c r="CV120" i="15" s="1"/>
  <c r="DA8" i="15"/>
  <c r="DA32" i="15"/>
  <c r="CW130" i="21"/>
  <c r="CW61" i="15"/>
  <c r="DB7" i="15"/>
  <c r="DC4" i="15"/>
  <c r="DC6" i="15" s="1"/>
  <c r="CX46" i="15"/>
  <c r="CY45" i="15"/>
  <c r="CX69" i="15"/>
  <c r="CX70" i="15" s="1"/>
  <c r="BU14" i="2" l="1"/>
  <c r="BX108" i="16"/>
  <c r="BX109" i="16" s="1"/>
  <c r="BX113" i="16"/>
  <c r="BX114" i="16" s="1"/>
  <c r="BW106" i="16"/>
  <c r="BW113" i="16"/>
  <c r="BW114" i="16" s="1"/>
  <c r="CA87" i="21"/>
  <c r="BX32" i="2"/>
  <c r="BX33" i="2" s="1"/>
  <c r="BJ231" i="117"/>
  <c r="BJ232" i="117" s="1"/>
  <c r="BY37" i="2"/>
  <c r="BY38" i="2" s="1"/>
  <c r="BY29" i="2"/>
  <c r="BY30" i="2" s="1"/>
  <c r="CD24" i="16"/>
  <c r="CD25" i="16" s="1"/>
  <c r="CD8" i="16"/>
  <c r="CD20" i="16"/>
  <c r="BT44" i="3"/>
  <c r="BS45" i="3"/>
  <c r="BS46" i="3" s="1"/>
  <c r="CA13" i="16"/>
  <c r="CA14" i="16" s="1"/>
  <c r="CA65" i="16"/>
  <c r="CA15" i="16"/>
  <c r="CG35" i="8"/>
  <c r="CG36" i="8" s="1"/>
  <c r="CG38" i="8"/>
  <c r="BZ33" i="9"/>
  <c r="CA32" i="9"/>
  <c r="CA31" i="9" s="1"/>
  <c r="CR4" i="7"/>
  <c r="CR6" i="7" s="1"/>
  <c r="CQ7" i="7"/>
  <c r="CD87" i="3"/>
  <c r="CD159" i="3"/>
  <c r="BX72" i="10"/>
  <c r="BX69" i="10" s="1"/>
  <c r="BX70" i="10" s="1"/>
  <c r="CF4" i="16"/>
  <c r="CF6" i="16" s="1"/>
  <c r="CE7" i="16"/>
  <c r="CL61" i="7"/>
  <c r="CA7" i="10"/>
  <c r="CA8" i="10" s="1"/>
  <c r="BZ32" i="10"/>
  <c r="BZ33" i="10" s="1"/>
  <c r="BZ8" i="10"/>
  <c r="BZ25" i="10"/>
  <c r="CA7" i="2"/>
  <c r="CA8" i="2" s="1"/>
  <c r="BZ24" i="2"/>
  <c r="BZ25" i="2" s="1"/>
  <c r="CA25" i="2" s="1"/>
  <c r="BZ8" i="2"/>
  <c r="BZ20" i="2"/>
  <c r="BT49" i="2"/>
  <c r="BT50" i="2" s="1"/>
  <c r="BT47" i="2"/>
  <c r="BT33" i="21"/>
  <c r="BT58" i="2"/>
  <c r="BT59" i="2" s="1"/>
  <c r="CO31" i="3"/>
  <c r="CP30" i="3"/>
  <c r="CO20" i="3"/>
  <c r="CM21" i="3"/>
  <c r="CO25" i="7"/>
  <c r="CF7" i="3"/>
  <c r="CG6" i="3"/>
  <c r="CC69" i="17"/>
  <c r="CC70" i="17" s="1"/>
  <c r="CC73" i="17"/>
  <c r="BX98" i="17"/>
  <c r="BX109" i="17"/>
  <c r="BX110" i="17" s="1"/>
  <c r="BX114" i="21"/>
  <c r="CK58" i="3"/>
  <c r="CK59" i="3"/>
  <c r="CK55" i="3"/>
  <c r="CE8" i="17"/>
  <c r="CE32" i="17"/>
  <c r="CE25" i="17"/>
  <c r="CG4" i="9"/>
  <c r="CC6" i="9"/>
  <c r="BO178" i="117"/>
  <c r="BO170" i="117"/>
  <c r="BP166" i="117"/>
  <c r="BS148" i="117"/>
  <c r="BT145" i="117"/>
  <c r="BT147" i="117" s="1"/>
  <c r="CI92" i="16"/>
  <c r="CI91" i="21"/>
  <c r="CI84" i="16"/>
  <c r="CI86" i="16"/>
  <c r="BX84" i="21"/>
  <c r="BX60" i="9"/>
  <c r="BX41" i="9"/>
  <c r="BX48" i="9"/>
  <c r="BX49" i="9" s="1"/>
  <c r="BX136" i="21"/>
  <c r="BX104" i="17"/>
  <c r="CJ78" i="16"/>
  <c r="CJ83" i="16"/>
  <c r="CK7" i="8"/>
  <c r="CL4" i="8"/>
  <c r="CL6" i="8" s="1"/>
  <c r="DG163" i="3"/>
  <c r="BY28" i="10"/>
  <c r="BY29" i="10" s="1"/>
  <c r="BY26" i="10"/>
  <c r="BY75" i="10"/>
  <c r="BH265" i="117"/>
  <c r="BH272" i="117"/>
  <c r="CA83" i="17"/>
  <c r="CC82" i="17"/>
  <c r="BL187" i="117"/>
  <c r="BL182" i="117"/>
  <c r="BN196" i="117"/>
  <c r="BN197" i="117" s="1"/>
  <c r="BN174" i="117"/>
  <c r="BN217" i="117" s="1"/>
  <c r="BN216" i="117"/>
  <c r="BN306" i="117"/>
  <c r="CE11" i="21" s="1"/>
  <c r="BN181" i="117"/>
  <c r="CF33" i="8"/>
  <c r="CF172" i="21"/>
  <c r="CF52" i="8"/>
  <c r="CF40" i="8"/>
  <c r="CF41" i="8" s="1"/>
  <c r="BY46" i="16"/>
  <c r="BY53" i="16"/>
  <c r="BY131" i="21"/>
  <c r="BW40" i="10"/>
  <c r="BW38" i="10"/>
  <c r="BR165" i="117"/>
  <c r="BR149" i="117"/>
  <c r="BR161" i="117"/>
  <c r="CA62" i="16"/>
  <c r="CA10" i="16"/>
  <c r="CA11" i="16" s="1"/>
  <c r="BP208" i="117"/>
  <c r="BO205" i="117"/>
  <c r="BO202" i="117" s="1"/>
  <c r="R67" i="11"/>
  <c r="R68" i="11" s="1"/>
  <c r="CM53" i="3"/>
  <c r="CL54" i="3"/>
  <c r="CL60" i="3" s="1"/>
  <c r="CI59" i="7"/>
  <c r="CP8" i="7"/>
  <c r="CP24" i="7"/>
  <c r="CP25" i="7" s="1"/>
  <c r="CP20" i="7"/>
  <c r="DJ104" i="3"/>
  <c r="DK16" i="3"/>
  <c r="DK17" i="3" s="1"/>
  <c r="DJ17" i="3"/>
  <c r="CA5" i="2"/>
  <c r="CC4" i="2"/>
  <c r="CC21" i="16"/>
  <c r="CC67" i="16"/>
  <c r="CC64" i="16" s="1"/>
  <c r="CI21" i="8"/>
  <c r="CI67" i="8"/>
  <c r="CI64" i="8" s="1"/>
  <c r="CC29" i="17"/>
  <c r="BW62" i="2"/>
  <c r="CK77" i="16"/>
  <c r="CL74" i="16"/>
  <c r="CL76" i="16" s="1"/>
  <c r="BW110" i="17"/>
  <c r="CJ24" i="8"/>
  <c r="CJ25" i="8" s="1"/>
  <c r="CJ8" i="8"/>
  <c r="CJ20" i="8"/>
  <c r="BX29" i="10"/>
  <c r="BX40" i="10"/>
  <c r="BW41" i="9"/>
  <c r="BW84" i="21"/>
  <c r="BW60" i="9"/>
  <c r="BW48" i="9"/>
  <c r="BW49" i="9" s="1"/>
  <c r="BY33" i="10"/>
  <c r="BY45" i="10" s="1"/>
  <c r="BY46" i="10" s="1"/>
  <c r="BY67" i="2"/>
  <c r="BY21" i="2"/>
  <c r="CA85" i="17"/>
  <c r="CA86" i="17" s="1"/>
  <c r="BZ86" i="17"/>
  <c r="BZ94" i="17"/>
  <c r="CA5" i="10"/>
  <c r="CC4" i="10"/>
  <c r="DI109" i="3"/>
  <c r="BM187" i="117"/>
  <c r="CA52" i="16"/>
  <c r="BZ131" i="21"/>
  <c r="BZ53" i="16"/>
  <c r="CC45" i="17"/>
  <c r="CC37" i="17"/>
  <c r="CC40" i="17" s="1"/>
  <c r="BW46" i="10"/>
  <c r="BW70" i="10"/>
  <c r="CC25" i="16"/>
  <c r="BW38" i="2"/>
  <c r="BI264" i="117"/>
  <c r="BI259" i="117"/>
  <c r="CM35" i="7"/>
  <c r="CM36" i="7" s="1"/>
  <c r="CM38" i="7"/>
  <c r="CO67" i="7"/>
  <c r="CO21" i="7"/>
  <c r="CE8" i="3"/>
  <c r="CE81" i="3" s="1"/>
  <c r="CE80" i="3"/>
  <c r="CE86" i="3" s="1"/>
  <c r="CI25" i="8"/>
  <c r="CJ61" i="3"/>
  <c r="BY72" i="9"/>
  <c r="BY73" i="9" s="1"/>
  <c r="CD45" i="17"/>
  <c r="CD46" i="17" s="1"/>
  <c r="CD37" i="17"/>
  <c r="CD38" i="17" s="1"/>
  <c r="CG6" i="17"/>
  <c r="CF7" i="17"/>
  <c r="BX64" i="2"/>
  <c r="BX61" i="2" s="1"/>
  <c r="BJ258" i="117"/>
  <c r="BJ259" i="117" s="1"/>
  <c r="DA97" i="15"/>
  <c r="DA95" i="15"/>
  <c r="DA90" i="21"/>
  <c r="DB86" i="15"/>
  <c r="DB94" i="15"/>
  <c r="DC85" i="15"/>
  <c r="DD82" i="15"/>
  <c r="DD84" i="15" s="1"/>
  <c r="CV117" i="15"/>
  <c r="CV124" i="15"/>
  <c r="CV125" i="15" s="1"/>
  <c r="CY43" i="15"/>
  <c r="CY44" i="15" s="1"/>
  <c r="CY46" i="15"/>
  <c r="DA33" i="15"/>
  <c r="DC7" i="15"/>
  <c r="DD4" i="15"/>
  <c r="DD6" i="15" s="1"/>
  <c r="DB8" i="15"/>
  <c r="DB32" i="15"/>
  <c r="DB33" i="15" s="1"/>
  <c r="DB25" i="15"/>
  <c r="DK104" i="3" l="1"/>
  <c r="BX52" i="2"/>
  <c r="BX57" i="21" s="1"/>
  <c r="BX55" i="21" s="1"/>
  <c r="BX54" i="21" s="1"/>
  <c r="CA24" i="2"/>
  <c r="CA23" i="2" s="1"/>
  <c r="CK61" i="3"/>
  <c r="BX40" i="2"/>
  <c r="BX41" i="2" s="1"/>
  <c r="BY32" i="2"/>
  <c r="BY52" i="2" s="1"/>
  <c r="BX8" i="21"/>
  <c r="BX6" i="21" s="1"/>
  <c r="CA32" i="10"/>
  <c r="CA31" i="10" s="1"/>
  <c r="CF46" i="8"/>
  <c r="CF49" i="8" s="1"/>
  <c r="CF50" i="8" s="1"/>
  <c r="BX62" i="2"/>
  <c r="BO203" i="117"/>
  <c r="BP202" i="117"/>
  <c r="BR162" i="117"/>
  <c r="BR208" i="117"/>
  <c r="CF173" i="21"/>
  <c r="CF178" i="21"/>
  <c r="CL7" i="8"/>
  <c r="CM7" i="8" s="1"/>
  <c r="CM8" i="8" s="1"/>
  <c r="CM6" i="8"/>
  <c r="CO4" i="8" s="1"/>
  <c r="CE87" i="3"/>
  <c r="CE159" i="3"/>
  <c r="CO64" i="7"/>
  <c r="CO61" i="7" s="1"/>
  <c r="BI265" i="117"/>
  <c r="BI272" i="117"/>
  <c r="BJ272" i="117" s="1"/>
  <c r="BJ264" i="117"/>
  <c r="BJ265" i="117" s="1"/>
  <c r="CA131" i="21"/>
  <c r="CA53" i="16"/>
  <c r="N156" i="11"/>
  <c r="CA55" i="16"/>
  <c r="CA56" i="16" s="1"/>
  <c r="CC6" i="10"/>
  <c r="CG4" i="10"/>
  <c r="BY64" i="2"/>
  <c r="BY65" i="2" s="1"/>
  <c r="BW54" i="9"/>
  <c r="BX60" i="10"/>
  <c r="BX41" i="10"/>
  <c r="BX85" i="21"/>
  <c r="BX48" i="10"/>
  <c r="BX49" i="10" s="1"/>
  <c r="CJ37" i="8"/>
  <c r="CJ38" i="8" s="1"/>
  <c r="CJ29" i="8"/>
  <c r="CJ30" i="8" s="1"/>
  <c r="CK78" i="16"/>
  <c r="CK83" i="16"/>
  <c r="CO53" i="3"/>
  <c r="S71" i="11"/>
  <c r="V71" i="11" s="1"/>
  <c r="R71" i="11"/>
  <c r="V70" i="11" s="1"/>
  <c r="CF198" i="21"/>
  <c r="CF199" i="21" s="1"/>
  <c r="CF53" i="8"/>
  <c r="BY72" i="10"/>
  <c r="BY73" i="10" s="1"/>
  <c r="CJ92" i="16"/>
  <c r="CJ86" i="16"/>
  <c r="CJ91" i="21"/>
  <c r="CJ84" i="16"/>
  <c r="BX61" i="9"/>
  <c r="BX128" i="21"/>
  <c r="BS165" i="117"/>
  <c r="BS166" i="117" s="1"/>
  <c r="BS149" i="117"/>
  <c r="BS161" i="117"/>
  <c r="CD4" i="9"/>
  <c r="CD6" i="9" s="1"/>
  <c r="CC7" i="9"/>
  <c r="CE33" i="17"/>
  <c r="CI4" i="3"/>
  <c r="CG5" i="3"/>
  <c r="CQ30" i="3"/>
  <c r="CP31" i="3"/>
  <c r="BZ37" i="2"/>
  <c r="BZ38" i="2" s="1"/>
  <c r="BZ29" i="2"/>
  <c r="BZ30" i="2" s="1"/>
  <c r="CA33" i="10"/>
  <c r="BZ45" i="10"/>
  <c r="CF7" i="16"/>
  <c r="CG6" i="16"/>
  <c r="BZ45" i="9"/>
  <c r="BZ37" i="9"/>
  <c r="BZ38" i="9" s="1"/>
  <c r="CA33" i="9"/>
  <c r="BU44" i="3"/>
  <c r="BT45" i="3"/>
  <c r="BT46" i="3" s="1"/>
  <c r="CV152" i="21"/>
  <c r="CW152" i="21" s="1"/>
  <c r="CX152" i="21" s="1"/>
  <c r="CY152" i="21" s="1"/>
  <c r="BX65" i="2"/>
  <c r="BM188" i="117"/>
  <c r="BM223" i="117" s="1"/>
  <c r="BM199" i="117"/>
  <c r="BM200" i="117" s="1"/>
  <c r="BM190" i="117"/>
  <c r="BM222" i="117"/>
  <c r="BM309" i="117"/>
  <c r="CD36" i="21" s="1"/>
  <c r="BW61" i="9"/>
  <c r="BW128" i="21"/>
  <c r="CC61" i="16"/>
  <c r="CC65" i="16"/>
  <c r="CP21" i="7"/>
  <c r="CP67" i="7"/>
  <c r="BW41" i="10"/>
  <c r="BW85" i="21"/>
  <c r="BW60" i="10"/>
  <c r="BW48" i="10"/>
  <c r="BW49" i="10" s="1"/>
  <c r="CF32" i="17"/>
  <c r="CF33" i="17" s="1"/>
  <c r="CF8" i="17"/>
  <c r="BY69" i="9"/>
  <c r="BY70" i="9" s="1"/>
  <c r="CI37" i="8"/>
  <c r="CC37" i="16"/>
  <c r="CC29" i="16"/>
  <c r="CJ21" i="8"/>
  <c r="CJ67" i="8"/>
  <c r="CP29" i="7"/>
  <c r="CP30" i="7" s="1"/>
  <c r="CP37" i="7"/>
  <c r="CP38" i="7" s="1"/>
  <c r="BO206" i="117"/>
  <c r="BP205" i="117"/>
  <c r="BL190" i="117"/>
  <c r="BL309" i="117"/>
  <c r="CC36" i="21" s="1"/>
  <c r="BL222" i="117"/>
  <c r="BL188" i="117"/>
  <c r="BL223" i="117" s="1"/>
  <c r="BL199" i="117"/>
  <c r="CK24" i="8"/>
  <c r="CK8" i="8"/>
  <c r="BX53" i="2"/>
  <c r="BX54" i="9"/>
  <c r="CI93" i="16"/>
  <c r="CI135" i="21"/>
  <c r="BO173" i="117"/>
  <c r="BO171" i="117"/>
  <c r="BP170" i="117"/>
  <c r="CG7" i="17"/>
  <c r="CG8" i="17" s="1"/>
  <c r="CA20" i="2"/>
  <c r="BZ21" i="2"/>
  <c r="BZ67" i="2"/>
  <c r="CA25" i="10"/>
  <c r="BZ75" i="10"/>
  <c r="BZ28" i="10"/>
  <c r="BZ26" i="10"/>
  <c r="CL62" i="7"/>
  <c r="BX73" i="10"/>
  <c r="CR7" i="7"/>
  <c r="CS6" i="7"/>
  <c r="CU4" i="7" s="1"/>
  <c r="CC46" i="17"/>
  <c r="CC41" i="17"/>
  <c r="CC88" i="21"/>
  <c r="CC60" i="17"/>
  <c r="CC48" i="17"/>
  <c r="BY105" i="16"/>
  <c r="BY109" i="21"/>
  <c r="BY49" i="16"/>
  <c r="BY50" i="16" s="1"/>
  <c r="BY58" i="16"/>
  <c r="BY59" i="16" s="1"/>
  <c r="BY47" i="16"/>
  <c r="CF80" i="3"/>
  <c r="CF86" i="3" s="1"/>
  <c r="CF8" i="3"/>
  <c r="CF81" i="3" s="1"/>
  <c r="CQ24" i="7"/>
  <c r="CQ25" i="7" s="1"/>
  <c r="CQ8" i="7"/>
  <c r="CD21" i="16"/>
  <c r="CD67" i="16"/>
  <c r="CG5" i="17"/>
  <c r="CI4" i="17"/>
  <c r="CG7" i="3"/>
  <c r="CC38" i="17"/>
  <c r="DI110" i="3"/>
  <c r="DI112" i="3"/>
  <c r="BZ103" i="17"/>
  <c r="BZ97" i="17"/>
  <c r="BZ95" i="17"/>
  <c r="BZ92" i="21"/>
  <c r="CL77" i="16"/>
  <c r="CM76" i="16"/>
  <c r="CO74" i="16" s="1"/>
  <c r="CI61" i="8"/>
  <c r="CI62" i="8" s="1"/>
  <c r="CI65" i="8"/>
  <c r="CC6" i="2"/>
  <c r="CG4" i="2"/>
  <c r="CL58" i="3"/>
  <c r="CM54" i="3"/>
  <c r="CM60" i="3" s="1"/>
  <c r="CL55" i="3"/>
  <c r="CL59" i="3"/>
  <c r="BR166" i="117"/>
  <c r="BN187" i="117"/>
  <c r="BN182" i="117"/>
  <c r="CC84" i="17"/>
  <c r="CG82" i="17"/>
  <c r="CI113" i="21"/>
  <c r="CI87" i="16"/>
  <c r="CI98" i="16"/>
  <c r="BU145" i="117"/>
  <c r="BU147" i="117" s="1"/>
  <c r="BT148" i="117"/>
  <c r="BO179" i="117"/>
  <c r="BP178" i="117"/>
  <c r="CE28" i="17"/>
  <c r="CE75" i="17"/>
  <c r="CE72" i="17" s="1"/>
  <c r="CE26" i="17"/>
  <c r="CO37" i="7"/>
  <c r="CO29" i="7"/>
  <c r="CP20" i="3"/>
  <c r="CO21" i="3"/>
  <c r="CE24" i="16"/>
  <c r="CE8" i="16"/>
  <c r="CE20" i="16"/>
  <c r="CD160" i="3"/>
  <c r="CD176" i="3"/>
  <c r="CD37" i="16"/>
  <c r="CD38" i="16" s="1"/>
  <c r="CD29" i="16"/>
  <c r="DB90" i="21"/>
  <c r="DB95" i="15"/>
  <c r="DB97" i="15"/>
  <c r="DB103" i="15"/>
  <c r="DD85" i="15"/>
  <c r="DE84" i="15"/>
  <c r="DE83" i="15" s="1"/>
  <c r="DC86" i="15"/>
  <c r="DC94" i="15"/>
  <c r="DA112" i="21"/>
  <c r="DA98" i="15"/>
  <c r="DE6" i="15"/>
  <c r="DD7" i="15"/>
  <c r="DE7" i="15" s="1"/>
  <c r="DE8" i="15" s="1"/>
  <c r="DB45" i="15"/>
  <c r="DB46" i="15" s="1"/>
  <c r="DB37" i="15"/>
  <c r="DB38" i="15" s="1"/>
  <c r="DA45" i="15"/>
  <c r="DA37" i="15"/>
  <c r="DB26" i="15"/>
  <c r="DB75" i="15"/>
  <c r="DB28" i="15"/>
  <c r="DC8" i="15"/>
  <c r="DC32" i="15"/>
  <c r="DC33" i="15" s="1"/>
  <c r="DC25" i="15"/>
  <c r="CF58" i="8" l="1"/>
  <c r="CF59" i="8" s="1"/>
  <c r="BX5" i="21"/>
  <c r="CF47" i="8"/>
  <c r="BY33" i="2"/>
  <c r="CG32" i="17"/>
  <c r="CG31" i="17" s="1"/>
  <c r="BY8" i="21"/>
  <c r="BY6" i="21" s="1"/>
  <c r="BY40" i="2"/>
  <c r="BY41" i="2" s="1"/>
  <c r="BX46" i="2"/>
  <c r="BX33" i="21" s="1"/>
  <c r="BX31" i="21" s="1"/>
  <c r="BX30" i="21" s="1"/>
  <c r="CA37" i="2"/>
  <c r="CA38" i="2" s="1"/>
  <c r="CP32" i="7"/>
  <c r="CP83" i="21" s="1"/>
  <c r="BY69" i="10"/>
  <c r="BY70" i="10" s="1"/>
  <c r="BW54" i="10"/>
  <c r="BX54" i="10"/>
  <c r="CF185" i="21"/>
  <c r="CF186" i="21" s="1"/>
  <c r="CJ32" i="8"/>
  <c r="CJ52" i="8" s="1"/>
  <c r="CO62" i="7"/>
  <c r="CD30" i="16"/>
  <c r="CD32" i="16"/>
  <c r="CC85" i="17"/>
  <c r="CD82" i="17"/>
  <c r="CD84" i="17" s="1"/>
  <c r="CC61" i="17"/>
  <c r="CC132" i="21"/>
  <c r="CS7" i="7"/>
  <c r="CS8" i="7" s="1"/>
  <c r="CR24" i="7"/>
  <c r="CR25" i="7" s="1"/>
  <c r="CR8" i="7"/>
  <c r="CR20" i="7"/>
  <c r="CA26" i="10"/>
  <c r="CA75" i="10"/>
  <c r="CA17" i="10"/>
  <c r="CA18" i="10" s="1"/>
  <c r="BO174" i="117"/>
  <c r="BO217" i="117" s="1"/>
  <c r="BO196" i="117"/>
  <c r="BO197" i="117" s="1"/>
  <c r="BO216" i="117"/>
  <c r="BO306" i="117"/>
  <c r="CF11" i="21" s="1"/>
  <c r="CG11" i="21" s="1"/>
  <c r="BO181" i="117"/>
  <c r="BP173" i="117"/>
  <c r="BL200" i="117"/>
  <c r="BL225" i="117"/>
  <c r="BL191" i="117"/>
  <c r="BL226" i="117" s="1"/>
  <c r="BM315" i="117"/>
  <c r="CG7" i="16"/>
  <c r="CG8" i="16" s="1"/>
  <c r="CF24" i="16"/>
  <c r="CF25" i="16" s="1"/>
  <c r="CF8" i="16"/>
  <c r="CF20" i="16"/>
  <c r="CD4" i="10"/>
  <c r="CD6" i="10" s="1"/>
  <c r="CC7" i="10"/>
  <c r="CO38" i="7"/>
  <c r="BP176" i="117"/>
  <c r="BP177" i="117" s="1"/>
  <c r="BP179" i="117"/>
  <c r="CI99" i="16"/>
  <c r="CL61" i="3"/>
  <c r="CC7" i="2"/>
  <c r="CD4" i="2"/>
  <c r="CD6" i="2" s="1"/>
  <c r="CL78" i="16"/>
  <c r="BZ104" i="17"/>
  <c r="BZ136" i="21"/>
  <c r="CD64" i="16"/>
  <c r="CD61" i="16" s="1"/>
  <c r="CD62" i="16" s="1"/>
  <c r="CQ37" i="7"/>
  <c r="CQ38" i="7" s="1"/>
  <c r="CC54" i="17"/>
  <c r="CC49" i="17"/>
  <c r="CU6" i="7"/>
  <c r="CY4" i="7"/>
  <c r="BZ72" i="10"/>
  <c r="BZ69" i="10" s="1"/>
  <c r="BL315" i="117"/>
  <c r="CJ64" i="8"/>
  <c r="CJ65" i="8" s="1"/>
  <c r="BW44" i="3"/>
  <c r="BU45" i="3"/>
  <c r="BU46" i="3" s="1"/>
  <c r="CG5" i="16"/>
  <c r="CI4" i="16"/>
  <c r="CR30" i="3"/>
  <c r="CQ31" i="3"/>
  <c r="CE45" i="17"/>
  <c r="CE37" i="17"/>
  <c r="CE40" i="17" s="1"/>
  <c r="CG33" i="17"/>
  <c r="V72" i="11"/>
  <c r="CK86" i="16"/>
  <c r="CK91" i="21"/>
  <c r="CK92" i="16"/>
  <c r="CK84" i="16"/>
  <c r="BX61" i="10"/>
  <c r="BX129" i="21"/>
  <c r="CS4" i="8"/>
  <c r="CO6" i="8"/>
  <c r="CE21" i="16"/>
  <c r="CE67" i="16"/>
  <c r="BS178" i="117"/>
  <c r="BS179" i="117" s="1"/>
  <c r="BS170" i="117"/>
  <c r="BW57" i="9"/>
  <c r="BW58" i="9" s="1"/>
  <c r="BW66" i="9"/>
  <c r="BW67" i="9" s="1"/>
  <c r="BW55" i="9"/>
  <c r="BW106" i="21"/>
  <c r="CO65" i="7"/>
  <c r="CL8" i="8"/>
  <c r="CL24" i="8"/>
  <c r="CL25" i="8" s="1"/>
  <c r="CL20" i="8"/>
  <c r="BR205" i="117"/>
  <c r="CO30" i="7"/>
  <c r="CO32" i="7"/>
  <c r="CE69" i="17"/>
  <c r="CE70" i="17" s="1"/>
  <c r="CE73" i="17"/>
  <c r="BT165" i="117"/>
  <c r="BT166" i="117" s="1"/>
  <c r="BT149" i="117"/>
  <c r="BT161" i="117"/>
  <c r="CI6" i="17"/>
  <c r="CM4" i="17"/>
  <c r="CG86" i="3"/>
  <c r="CG87" i="3" s="1"/>
  <c r="CF87" i="3"/>
  <c r="CF159" i="3"/>
  <c r="BZ32" i="2"/>
  <c r="BX106" i="21"/>
  <c r="BX66" i="9"/>
  <c r="BX67" i="9" s="1"/>
  <c r="BX57" i="9"/>
  <c r="BX58" i="9" s="1"/>
  <c r="BX55" i="9"/>
  <c r="CM77" i="16"/>
  <c r="CM78" i="16" s="1"/>
  <c r="CC32" i="16"/>
  <c r="CC30" i="16"/>
  <c r="CF45" i="17"/>
  <c r="CF46" i="17" s="1"/>
  <c r="CF37" i="17"/>
  <c r="CF38" i="17" s="1"/>
  <c r="BW129" i="21"/>
  <c r="BW61" i="10"/>
  <c r="CP64" i="7"/>
  <c r="CP65" i="7" s="1"/>
  <c r="CC62" i="16"/>
  <c r="BM258" i="117"/>
  <c r="BM231" i="117"/>
  <c r="BM232" i="117" s="1"/>
  <c r="BM219" i="117"/>
  <c r="BM220" i="117" s="1"/>
  <c r="CM4" i="3"/>
  <c r="CI6" i="3"/>
  <c r="CD7" i="9"/>
  <c r="CE4" i="9"/>
  <c r="CE6" i="9" s="1"/>
  <c r="CJ98" i="16"/>
  <c r="CJ99" i="16" s="1"/>
  <c r="CJ113" i="21"/>
  <c r="CJ87" i="16"/>
  <c r="BY61" i="2"/>
  <c r="CE176" i="3"/>
  <c r="CE160" i="3"/>
  <c r="CF17" i="21"/>
  <c r="CF179" i="21"/>
  <c r="CP21" i="3"/>
  <c r="CQ20" i="3"/>
  <c r="BR178" i="117"/>
  <c r="BR170" i="117"/>
  <c r="CG8" i="3"/>
  <c r="CG81" i="3" s="1"/>
  <c r="CG80" i="3"/>
  <c r="CA17" i="2"/>
  <c r="CA21" i="2"/>
  <c r="CA67" i="2"/>
  <c r="CC32" i="9"/>
  <c r="CC8" i="9"/>
  <c r="CC25" i="9"/>
  <c r="CD7" i="21"/>
  <c r="CD194" i="3"/>
  <c r="CD180" i="3"/>
  <c r="CD181" i="3" s="1"/>
  <c r="CD177" i="3"/>
  <c r="CE25" i="16"/>
  <c r="CG24" i="16"/>
  <c r="CE29" i="17"/>
  <c r="BU148" i="117"/>
  <c r="BX145" i="117"/>
  <c r="BV147" i="117"/>
  <c r="BN309" i="117"/>
  <c r="CE36" i="21" s="1"/>
  <c r="BN190" i="117"/>
  <c r="BN199" i="117"/>
  <c r="BN200" i="117" s="1"/>
  <c r="BN222" i="117"/>
  <c r="BN188" i="117"/>
  <c r="BN223" i="117" s="1"/>
  <c r="CM59" i="3"/>
  <c r="CM58" i="3"/>
  <c r="CS74" i="16"/>
  <c r="CO76" i="16"/>
  <c r="BZ109" i="17"/>
  <c r="BZ110" i="17" s="1"/>
  <c r="BZ98" i="17"/>
  <c r="BZ114" i="21"/>
  <c r="DI162" i="3"/>
  <c r="DI113" i="3"/>
  <c r="BY106" i="16"/>
  <c r="BY113" i="16"/>
  <c r="BY114" i="16" s="1"/>
  <c r="BY108" i="16"/>
  <c r="BY109" i="16" s="1"/>
  <c r="CA28" i="10"/>
  <c r="BZ29" i="10"/>
  <c r="BZ64" i="2"/>
  <c r="BZ65" i="2" s="1"/>
  <c r="BP167" i="117"/>
  <c r="BP168" i="117" s="1"/>
  <c r="BP171" i="117"/>
  <c r="CK25" i="8"/>
  <c r="BL219" i="117"/>
  <c r="BL220" i="117" s="1"/>
  <c r="BL258" i="117"/>
  <c r="BL231" i="117"/>
  <c r="BP154" i="117"/>
  <c r="BP206" i="117"/>
  <c r="BY57" i="21"/>
  <c r="BY55" i="21" s="1"/>
  <c r="BY54" i="21" s="1"/>
  <c r="BY53" i="2"/>
  <c r="CC38" i="16"/>
  <c r="CI38" i="8"/>
  <c r="BM225" i="117"/>
  <c r="BM191" i="117"/>
  <c r="BM226" i="117" s="1"/>
  <c r="BZ46" i="9"/>
  <c r="CA45" i="9"/>
  <c r="BZ46" i="10"/>
  <c r="CA45" i="10"/>
  <c r="BS162" i="117"/>
  <c r="BS208" i="117"/>
  <c r="CJ93" i="16"/>
  <c r="CJ135" i="21"/>
  <c r="CP53" i="3"/>
  <c r="CO54" i="3"/>
  <c r="CO60" i="3" s="1"/>
  <c r="BP203" i="117"/>
  <c r="BP151" i="117"/>
  <c r="BP152" i="117" s="1"/>
  <c r="DB112" i="21"/>
  <c r="DB109" i="15"/>
  <c r="DB98" i="15"/>
  <c r="DG82" i="15"/>
  <c r="DC90" i="21"/>
  <c r="DC97" i="15"/>
  <c r="DC103" i="15"/>
  <c r="DC95" i="15"/>
  <c r="DD86" i="15"/>
  <c r="DD94" i="15"/>
  <c r="DE94" i="15" s="1"/>
  <c r="DB134" i="21"/>
  <c r="DB104" i="15"/>
  <c r="DE85" i="15"/>
  <c r="DE86" i="15" s="1"/>
  <c r="DC45" i="15"/>
  <c r="DC46" i="15" s="1"/>
  <c r="DC37" i="15"/>
  <c r="DC38" i="15" s="1"/>
  <c r="DA38" i="15"/>
  <c r="DB40" i="15"/>
  <c r="DB29" i="15"/>
  <c r="DB20" i="15"/>
  <c r="DB21" i="15" s="1"/>
  <c r="DD8" i="15"/>
  <c r="DD32" i="15"/>
  <c r="DD33" i="15" s="1"/>
  <c r="DD25" i="15"/>
  <c r="DA46" i="15"/>
  <c r="DC28" i="15"/>
  <c r="DC26" i="15"/>
  <c r="DC75" i="15"/>
  <c r="DB72" i="15"/>
  <c r="DB73" i="15" s="1"/>
  <c r="DE5" i="15"/>
  <c r="DG4" i="15"/>
  <c r="BW55" i="10" l="1"/>
  <c r="BW79" i="10"/>
  <c r="BW80" i="10" s="1"/>
  <c r="BX66" i="10"/>
  <c r="BX67" i="10" s="1"/>
  <c r="BX79" i="10"/>
  <c r="BX80" i="10" s="1"/>
  <c r="BX27" i="21"/>
  <c r="BX25" i="21" s="1"/>
  <c r="BY5" i="21"/>
  <c r="CG23" i="16"/>
  <c r="CJ33" i="8"/>
  <c r="CF213" i="21"/>
  <c r="CF214" i="21" s="1"/>
  <c r="CA35" i="2"/>
  <c r="CA36" i="2" s="1"/>
  <c r="CM61" i="3"/>
  <c r="BX47" i="2"/>
  <c r="BY46" i="2"/>
  <c r="BX49" i="2"/>
  <c r="BX50" i="2" s="1"/>
  <c r="BX58" i="2"/>
  <c r="BX59" i="2" s="1"/>
  <c r="BZ61" i="2"/>
  <c r="BZ62" i="2" s="1"/>
  <c r="CP52" i="7"/>
  <c r="CP127" i="21" s="1"/>
  <c r="CS24" i="7"/>
  <c r="CS23" i="7" s="1"/>
  <c r="CP33" i="7"/>
  <c r="CP61" i="7"/>
  <c r="CP62" i="7" s="1"/>
  <c r="BW66" i="10"/>
  <c r="BW67" i="10" s="1"/>
  <c r="BW107" i="21"/>
  <c r="BW57" i="10"/>
  <c r="BW58" i="10" s="1"/>
  <c r="BX55" i="10"/>
  <c r="BX57" i="10"/>
  <c r="BX58" i="10" s="1"/>
  <c r="BX107" i="21"/>
  <c r="CJ172" i="21"/>
  <c r="CJ173" i="21" s="1"/>
  <c r="CF191" i="21"/>
  <c r="CF42" i="21" s="1"/>
  <c r="CM24" i="8"/>
  <c r="CM23" i="8" s="1"/>
  <c r="CJ61" i="8"/>
  <c r="CJ62" i="8" s="1"/>
  <c r="CD8" i="9"/>
  <c r="CD32" i="9"/>
  <c r="CD33" i="9" s="1"/>
  <c r="CD25" i="9"/>
  <c r="BL232" i="117"/>
  <c r="CK37" i="8"/>
  <c r="CK29" i="8"/>
  <c r="CK30" i="8" s="1"/>
  <c r="CM25" i="8"/>
  <c r="BN258" i="117"/>
  <c r="BN231" i="117"/>
  <c r="BN232" i="117" s="1"/>
  <c r="BN219" i="117"/>
  <c r="BN220" i="117" s="1"/>
  <c r="CC26" i="9"/>
  <c r="CC28" i="9"/>
  <c r="CC29" i="9" s="1"/>
  <c r="CC75" i="9"/>
  <c r="CE180" i="3"/>
  <c r="CE181" i="3" s="1"/>
  <c r="CE7" i="21"/>
  <c r="CE194" i="3"/>
  <c r="CE177" i="3"/>
  <c r="CF4" i="9"/>
  <c r="CF6" i="9" s="1"/>
  <c r="CE7" i="9"/>
  <c r="BM259" i="117"/>
  <c r="BM264" i="117"/>
  <c r="CL37" i="8"/>
  <c r="CL38" i="8" s="1"/>
  <c r="CL29" i="8"/>
  <c r="CL30" i="8" s="1"/>
  <c r="BS171" i="117"/>
  <c r="BS173" i="117"/>
  <c r="CE64" i="16"/>
  <c r="CE65" i="16" s="1"/>
  <c r="BZ73" i="10"/>
  <c r="CA72" i="10"/>
  <c r="CU7" i="7"/>
  <c r="CV4" i="7"/>
  <c r="CV6" i="7" s="1"/>
  <c r="CE4" i="10"/>
  <c r="CE6" i="10" s="1"/>
  <c r="CD7" i="10"/>
  <c r="BP196" i="117"/>
  <c r="BP197" i="117" s="1"/>
  <c r="BP174" i="117"/>
  <c r="BP217" i="117" s="1"/>
  <c r="BP216" i="117"/>
  <c r="CR37" i="7"/>
  <c r="CS25" i="7"/>
  <c r="CD85" i="17"/>
  <c r="CE82" i="17"/>
  <c r="CE84" i="17" s="1"/>
  <c r="CA43" i="10"/>
  <c r="CA44" i="10" s="1"/>
  <c r="CA46" i="10"/>
  <c r="BL259" i="117"/>
  <c r="BL264" i="117"/>
  <c r="CB145" i="117"/>
  <c r="BX147" i="117"/>
  <c r="BR173" i="117"/>
  <c r="BR171" i="117"/>
  <c r="CS30" i="3"/>
  <c r="CR31" i="3"/>
  <c r="BX44" i="3"/>
  <c r="BW45" i="3"/>
  <c r="BW46" i="3" s="1"/>
  <c r="CD7" i="2"/>
  <c r="CE4" i="2"/>
  <c r="CE6" i="2" s="1"/>
  <c r="CG20" i="16"/>
  <c r="CF21" i="16"/>
  <c r="CF67" i="16"/>
  <c r="BO182" i="117"/>
  <c r="BP181" i="117"/>
  <c r="CC86" i="17"/>
  <c r="CC94" i="17"/>
  <c r="CQ53" i="3"/>
  <c r="CP54" i="3"/>
  <c r="CP60" i="3" s="1"/>
  <c r="BS205" i="117"/>
  <c r="BS206" i="117" s="1"/>
  <c r="CJ198" i="21"/>
  <c r="CJ199" i="21" s="1"/>
  <c r="CJ53" i="8"/>
  <c r="DI163" i="3"/>
  <c r="CP74" i="16"/>
  <c r="CP76" i="16" s="1"/>
  <c r="CO77" i="16"/>
  <c r="BN191" i="117"/>
  <c r="BN226" i="117" s="1"/>
  <c r="BN225" i="117"/>
  <c r="BV148" i="117"/>
  <c r="BV149" i="117" s="1"/>
  <c r="BU165" i="117"/>
  <c r="BU166" i="117" s="1"/>
  <c r="BU149" i="117"/>
  <c r="BU161" i="117"/>
  <c r="CE37" i="16"/>
  <c r="CE29" i="16"/>
  <c r="CG25" i="16"/>
  <c r="CD195" i="3"/>
  <c r="CD56" i="21"/>
  <c r="CA18" i="2"/>
  <c r="BR179" i="117"/>
  <c r="CJ4" i="3"/>
  <c r="CJ6" i="3" s="1"/>
  <c r="CI7" i="3"/>
  <c r="BZ8" i="21"/>
  <c r="BZ40" i="2"/>
  <c r="BZ52" i="2"/>
  <c r="BZ33" i="2"/>
  <c r="CI7" i="17"/>
  <c r="CJ4" i="17"/>
  <c r="CJ6" i="17" s="1"/>
  <c r="CF192" i="21"/>
  <c r="CO33" i="7"/>
  <c r="CO83" i="21"/>
  <c r="CO52" i="7"/>
  <c r="CO40" i="7"/>
  <c r="BR202" i="117"/>
  <c r="BR206" i="117"/>
  <c r="CO7" i="8"/>
  <c r="CP4" i="8"/>
  <c r="CP6" i="8" s="1"/>
  <c r="M75" i="11"/>
  <c r="L74" i="11"/>
  <c r="M74" i="11"/>
  <c r="M73" i="11"/>
  <c r="L75" i="11"/>
  <c r="L73" i="11"/>
  <c r="CE38" i="17"/>
  <c r="CG37" i="17"/>
  <c r="CM4" i="16"/>
  <c r="CI6" i="16"/>
  <c r="CA64" i="2"/>
  <c r="CA65" i="2" s="1"/>
  <c r="CC57" i="17"/>
  <c r="CC58" i="17" s="1"/>
  <c r="CC110" i="21"/>
  <c r="CC55" i="17"/>
  <c r="CC66" i="17"/>
  <c r="CC67" i="17" s="1"/>
  <c r="CD65" i="16"/>
  <c r="CC8" i="2"/>
  <c r="CC24" i="2"/>
  <c r="CC20" i="2"/>
  <c r="BO187" i="117"/>
  <c r="CR67" i="7"/>
  <c r="CR21" i="7"/>
  <c r="CD40" i="16"/>
  <c r="CD41" i="16" s="1"/>
  <c r="CD52" i="16"/>
  <c r="CD33" i="16"/>
  <c r="CD87" i="21"/>
  <c r="CO55" i="3"/>
  <c r="CO59" i="3"/>
  <c r="CO58" i="3"/>
  <c r="BT208" i="117"/>
  <c r="BT162" i="117"/>
  <c r="CK98" i="16"/>
  <c r="CK113" i="21"/>
  <c r="CK87" i="16"/>
  <c r="CA43" i="9"/>
  <c r="CA44" i="9" s="1"/>
  <c r="CA46" i="9"/>
  <c r="BP155" i="117"/>
  <c r="BP156" i="117"/>
  <c r="CA20" i="10"/>
  <c r="CA21" i="10" s="1"/>
  <c r="CA29" i="10"/>
  <c r="BN315" i="117"/>
  <c r="CE60" i="17"/>
  <c r="CE88" i="21"/>
  <c r="CE41" i="17"/>
  <c r="CE48" i="17"/>
  <c r="CE49" i="17" s="1"/>
  <c r="CD187" i="3"/>
  <c r="CC33" i="9"/>
  <c r="CG83" i="3"/>
  <c r="CG84" i="3" s="1"/>
  <c r="CR20" i="3"/>
  <c r="CQ21" i="3"/>
  <c r="BY62" i="2"/>
  <c r="CC33" i="16"/>
  <c r="CC52" i="16"/>
  <c r="CC87" i="21"/>
  <c r="CC40" i="16"/>
  <c r="CC41" i="16" s="1"/>
  <c r="CG159" i="3"/>
  <c r="CG160" i="3" s="1"/>
  <c r="CF160" i="3"/>
  <c r="BT178" i="117"/>
  <c r="BT179" i="117" s="1"/>
  <c r="BT170" i="117"/>
  <c r="CL67" i="8"/>
  <c r="CL21" i="8"/>
  <c r="CK135" i="21"/>
  <c r="CK93" i="16"/>
  <c r="CE46" i="17"/>
  <c r="CG45" i="17"/>
  <c r="BZ70" i="10"/>
  <c r="CA69" i="10"/>
  <c r="CC8" i="10"/>
  <c r="CC32" i="10"/>
  <c r="CC25" i="10"/>
  <c r="CF37" i="16"/>
  <c r="CF38" i="16" s="1"/>
  <c r="CF29" i="16"/>
  <c r="DG84" i="15"/>
  <c r="DK82" i="15"/>
  <c r="DC134" i="21"/>
  <c r="DC104" i="15"/>
  <c r="DB110" i="15"/>
  <c r="DD90" i="21"/>
  <c r="DE90" i="21" s="1"/>
  <c r="DD103" i="15"/>
  <c r="DD97" i="15"/>
  <c r="DE97" i="15" s="1"/>
  <c r="DD95" i="15"/>
  <c r="DC112" i="21"/>
  <c r="DC109" i="15"/>
  <c r="DC110" i="15" s="1"/>
  <c r="DC98" i="15"/>
  <c r="DE88" i="15"/>
  <c r="DE89" i="15" s="1"/>
  <c r="DE95" i="15"/>
  <c r="DB48" i="15"/>
  <c r="DB49" i="15" s="1"/>
  <c r="DB60" i="15"/>
  <c r="DB86" i="21"/>
  <c r="DB41" i="15"/>
  <c r="DE32" i="15"/>
  <c r="DE31" i="15" s="1"/>
  <c r="DG6" i="15"/>
  <c r="DK4" i="15"/>
  <c r="DB69" i="15"/>
  <c r="DB70" i="15" s="1"/>
  <c r="DC40" i="15"/>
  <c r="DC20" i="15"/>
  <c r="DC21" i="15" s="1"/>
  <c r="DC29" i="15"/>
  <c r="DD28" i="15"/>
  <c r="DD26" i="15"/>
  <c r="DD75" i="15"/>
  <c r="DD45" i="15"/>
  <c r="DC72" i="15"/>
  <c r="DC73" i="15" s="1"/>
  <c r="DE33" i="15"/>
  <c r="CD46" i="16" l="1"/>
  <c r="CD47" i="16" s="1"/>
  <c r="CC46" i="16"/>
  <c r="CC109" i="21" s="1"/>
  <c r="CE187" i="3"/>
  <c r="CE188" i="3" s="1"/>
  <c r="CA61" i="2"/>
  <c r="CA10" i="2" s="1"/>
  <c r="BY33" i="21"/>
  <c r="BY31" i="21" s="1"/>
  <c r="BY49" i="2"/>
  <c r="BY50" i="2" s="1"/>
  <c r="BY47" i="2"/>
  <c r="BY58" i="2"/>
  <c r="BY59" i="2" s="1"/>
  <c r="CP53" i="7"/>
  <c r="CL32" i="8"/>
  <c r="CL33" i="8" s="1"/>
  <c r="BS202" i="117"/>
  <c r="BS203" i="117" s="1"/>
  <c r="CC131" i="21"/>
  <c r="CC53" i="16"/>
  <c r="CK4" i="17"/>
  <c r="CK6" i="17" s="1"/>
  <c r="CJ7" i="17"/>
  <c r="CG21" i="16"/>
  <c r="CG17" i="16"/>
  <c r="CG18" i="16" s="1"/>
  <c r="BY145" i="117"/>
  <c r="BY147" i="117" s="1"/>
  <c r="BX148" i="117"/>
  <c r="CD8" i="10"/>
  <c r="CD32" i="10"/>
  <c r="CD33" i="10" s="1"/>
  <c r="CD25" i="10"/>
  <c r="CD28" i="9"/>
  <c r="CD75" i="9"/>
  <c r="CD72" i="9" s="1"/>
  <c r="CD26" i="9"/>
  <c r="CG43" i="17"/>
  <c r="CG44" i="17" s="1"/>
  <c r="CG46" i="17"/>
  <c r="BT173" i="117"/>
  <c r="BT171" i="117"/>
  <c r="CD200" i="3"/>
  <c r="CD201" i="3" s="1"/>
  <c r="CD32" i="21"/>
  <c r="CD188" i="3"/>
  <c r="CD190" i="3"/>
  <c r="CD191" i="3" s="1"/>
  <c r="CO61" i="3"/>
  <c r="CC67" i="2"/>
  <c r="CC64" i="2" s="1"/>
  <c r="CC21" i="2"/>
  <c r="CI7" i="16"/>
  <c r="CJ4" i="16"/>
  <c r="CJ6" i="16" s="1"/>
  <c r="CO8" i="8"/>
  <c r="CO24" i="8"/>
  <c r="CO20" i="8"/>
  <c r="CO53" i="7"/>
  <c r="CO127" i="21"/>
  <c r="BZ53" i="2"/>
  <c r="BZ57" i="21"/>
  <c r="CJ7" i="3"/>
  <c r="CK4" i="3"/>
  <c r="CK6" i="3" s="1"/>
  <c r="CE30" i="16"/>
  <c r="CE32" i="16"/>
  <c r="CG29" i="16"/>
  <c r="BV166" i="117"/>
  <c r="BU178" i="117"/>
  <c r="BU179" i="117" s="1"/>
  <c r="BU170" i="117"/>
  <c r="BV170" i="117" s="1"/>
  <c r="CO78" i="16"/>
  <c r="CO83" i="16"/>
  <c r="BR216" i="117"/>
  <c r="BR196" i="117"/>
  <c r="BR197" i="117" s="1"/>
  <c r="BR174" i="117"/>
  <c r="BR217" i="117" s="1"/>
  <c r="BR306" i="117"/>
  <c r="CI11" i="21" s="1"/>
  <c r="BR181" i="117"/>
  <c r="CV7" i="7"/>
  <c r="CW4" i="7"/>
  <c r="CW6" i="7" s="1"/>
  <c r="CE61" i="16"/>
  <c r="BM272" i="117"/>
  <c r="BM265" i="117"/>
  <c r="CE32" i="9"/>
  <c r="CE8" i="9"/>
  <c r="CE25" i="9"/>
  <c r="CE195" i="3"/>
  <c r="CE56" i="21"/>
  <c r="BN264" i="117"/>
  <c r="BN259" i="117"/>
  <c r="CC26" i="10"/>
  <c r="CC75" i="10"/>
  <c r="CC72" i="10" s="1"/>
  <c r="CC28" i="10"/>
  <c r="CE132" i="21"/>
  <c r="CE61" i="17"/>
  <c r="BZ46" i="2"/>
  <c r="BZ41" i="2"/>
  <c r="CP59" i="3"/>
  <c r="CP55" i="3"/>
  <c r="CP58" i="3"/>
  <c r="CU24" i="7"/>
  <c r="CU8" i="7"/>
  <c r="CU20" i="7"/>
  <c r="CA10" i="10"/>
  <c r="CA11" i="10" s="1"/>
  <c r="CA70" i="10"/>
  <c r="CC45" i="9"/>
  <c r="CC37" i="9"/>
  <c r="CE54" i="17"/>
  <c r="CC25" i="2"/>
  <c r="CG38" i="17"/>
  <c r="CG34" i="17"/>
  <c r="CG35" i="17" s="1"/>
  <c r="CO46" i="7"/>
  <c r="CO41" i="7"/>
  <c r="CI32" i="17"/>
  <c r="CI8" i="17"/>
  <c r="CI25" i="17"/>
  <c r="BU162" i="117"/>
  <c r="BU208" i="117"/>
  <c r="BV208" i="117" s="1"/>
  <c r="CR53" i="3"/>
  <c r="CQ54" i="3"/>
  <c r="CQ60" i="3" s="1"/>
  <c r="CF4" i="2"/>
  <c r="CF6" i="2" s="1"/>
  <c r="CE7" i="2"/>
  <c r="BL265" i="117"/>
  <c r="BL272" i="117"/>
  <c r="CE85" i="17"/>
  <c r="CF82" i="17"/>
  <c r="CF84" i="17" s="1"/>
  <c r="CR38" i="7"/>
  <c r="CS37" i="7"/>
  <c r="CE7" i="10"/>
  <c r="CF4" i="10"/>
  <c r="CF6" i="10" s="1"/>
  <c r="CA13" i="10"/>
  <c r="CA73" i="10"/>
  <c r="BS174" i="117"/>
  <c r="BS217" i="117" s="1"/>
  <c r="BS196" i="117"/>
  <c r="BS197" i="117" s="1"/>
  <c r="BS216" i="117"/>
  <c r="BS306" i="117"/>
  <c r="CJ11" i="21" s="1"/>
  <c r="BS181" i="117"/>
  <c r="BS182" i="117" s="1"/>
  <c r="CK38" i="8"/>
  <c r="CM37" i="8"/>
  <c r="CD45" i="9"/>
  <c r="CD46" i="9" s="1"/>
  <c r="CD37" i="9"/>
  <c r="CD38" i="9" s="1"/>
  <c r="CK99" i="16"/>
  <c r="BO309" i="117"/>
  <c r="CF36" i="21" s="1"/>
  <c r="BO199" i="117"/>
  <c r="BO188" i="117"/>
  <c r="BO223" i="117" s="1"/>
  <c r="BO190" i="117"/>
  <c r="BO222" i="117"/>
  <c r="BP187" i="117"/>
  <c r="BR203" i="117"/>
  <c r="CE38" i="16"/>
  <c r="CG37" i="16"/>
  <c r="CQ74" i="16"/>
  <c r="CQ76" i="16" s="1"/>
  <c r="CP77" i="16"/>
  <c r="BP184" i="117"/>
  <c r="BP185" i="117" s="1"/>
  <c r="BP182" i="117"/>
  <c r="CS31" i="3"/>
  <c r="CU30" i="3"/>
  <c r="CG6" i="9"/>
  <c r="CF7" i="9"/>
  <c r="CF30" i="16"/>
  <c r="CF32" i="16"/>
  <c r="CC33" i="10"/>
  <c r="CL64" i="8"/>
  <c r="CL65" i="8" s="1"/>
  <c r="CR21" i="3"/>
  <c r="CS20" i="3"/>
  <c r="BT205" i="117"/>
  <c r="BT202" i="117" s="1"/>
  <c r="BT203" i="117" s="1"/>
  <c r="CD53" i="16"/>
  <c r="CD131" i="21"/>
  <c r="CR64" i="7"/>
  <c r="CR61" i="7" s="1"/>
  <c r="CP7" i="8"/>
  <c r="CQ4" i="8"/>
  <c r="CQ6" i="8" s="1"/>
  <c r="CI8" i="3"/>
  <c r="CI81" i="3" s="1"/>
  <c r="CI80" i="3"/>
  <c r="CI86" i="3" s="1"/>
  <c r="CC95" i="17"/>
  <c r="CC103" i="17"/>
  <c r="CC92" i="21"/>
  <c r="CC97" i="17"/>
  <c r="CG67" i="16"/>
  <c r="CF64" i="16"/>
  <c r="CF65" i="16" s="1"/>
  <c r="CD8" i="2"/>
  <c r="CD24" i="2"/>
  <c r="CD25" i="2" s="1"/>
  <c r="CD20" i="2"/>
  <c r="BY44" i="3"/>
  <c r="BX45" i="3"/>
  <c r="BX46" i="3" s="1"/>
  <c r="CD86" i="17"/>
  <c r="CD94" i="17"/>
  <c r="BV165" i="117"/>
  <c r="CC72" i="9"/>
  <c r="CC73" i="9" s="1"/>
  <c r="BV161" i="117"/>
  <c r="DE112" i="21"/>
  <c r="DE100" i="15"/>
  <c r="DE101" i="15" s="1"/>
  <c r="DE98" i="15"/>
  <c r="DD98" i="15"/>
  <c r="DD112" i="21"/>
  <c r="DD109" i="15"/>
  <c r="DD110" i="15" s="1"/>
  <c r="DD104" i="15"/>
  <c r="DD134" i="21"/>
  <c r="DG85" i="15"/>
  <c r="DH82" i="15"/>
  <c r="DH84" i="15" s="1"/>
  <c r="DB54" i="15"/>
  <c r="DB116" i="15" s="1"/>
  <c r="DC69" i="15"/>
  <c r="DC70" i="15" s="1"/>
  <c r="DD72" i="15"/>
  <c r="DD73" i="15" s="1"/>
  <c r="DG7" i="15"/>
  <c r="DH4" i="15"/>
  <c r="DH6" i="15" s="1"/>
  <c r="DC41" i="15"/>
  <c r="DC86" i="21"/>
  <c r="DC60" i="15"/>
  <c r="DB130" i="21"/>
  <c r="DB61" i="15"/>
  <c r="DD46" i="15"/>
  <c r="DE45" i="15"/>
  <c r="DD20" i="15"/>
  <c r="DD21" i="15" s="1"/>
  <c r="DD29" i="15"/>
  <c r="CC47" i="16" l="1"/>
  <c r="BY30" i="21"/>
  <c r="BY27" i="21"/>
  <c r="BY25" i="21" s="1"/>
  <c r="CD58" i="16"/>
  <c r="CD59" i="16" s="1"/>
  <c r="CD109" i="21"/>
  <c r="CD49" i="16"/>
  <c r="CD50" i="16" s="1"/>
  <c r="CD105" i="16"/>
  <c r="CD113" i="16" s="1"/>
  <c r="CD114" i="16" s="1"/>
  <c r="CC49" i="16"/>
  <c r="CC50" i="16" s="1"/>
  <c r="CC58" i="16"/>
  <c r="CC59" i="16" s="1"/>
  <c r="CE32" i="21"/>
  <c r="CC105" i="16"/>
  <c r="CC108" i="16" s="1"/>
  <c r="CC109" i="16" s="1"/>
  <c r="CE190" i="3"/>
  <c r="CE191" i="3" s="1"/>
  <c r="CE200" i="3"/>
  <c r="CE201" i="3" s="1"/>
  <c r="CA62" i="2"/>
  <c r="CL52" i="8"/>
  <c r="CL198" i="21" s="1"/>
  <c r="CL199" i="21" s="1"/>
  <c r="CL172" i="21"/>
  <c r="CL173" i="21" s="1"/>
  <c r="CL40" i="8"/>
  <c r="CL46" i="8" s="1"/>
  <c r="CL61" i="8"/>
  <c r="CL62" i="8" s="1"/>
  <c r="CR62" i="7"/>
  <c r="CU20" i="3"/>
  <c r="CS21" i="3"/>
  <c r="CG38" i="16"/>
  <c r="CG35" i="16"/>
  <c r="CG36" i="16" s="1"/>
  <c r="CG6" i="10"/>
  <c r="CF7" i="10"/>
  <c r="CE33" i="9"/>
  <c r="BR187" i="117"/>
  <c r="BR182" i="117"/>
  <c r="CO86" i="16"/>
  <c r="CO84" i="16"/>
  <c r="CO91" i="21"/>
  <c r="CO92" i="16"/>
  <c r="CO21" i="8"/>
  <c r="CO67" i="8"/>
  <c r="CO64" i="8" s="1"/>
  <c r="CC61" i="2"/>
  <c r="CC65" i="2"/>
  <c r="CD67" i="2"/>
  <c r="CD21" i="2"/>
  <c r="CD37" i="2"/>
  <c r="CD38" i="2" s="1"/>
  <c r="CD29" i="2"/>
  <c r="CD30" i="2" s="1"/>
  <c r="CC136" i="21"/>
  <c r="CC104" i="17"/>
  <c r="CR4" i="8"/>
  <c r="CR6" i="8" s="1"/>
  <c r="CQ7" i="8"/>
  <c r="BT206" i="117"/>
  <c r="CQ77" i="16"/>
  <c r="CR74" i="16"/>
  <c r="CR76" i="16" s="1"/>
  <c r="BO231" i="117"/>
  <c r="BO258" i="117"/>
  <c r="BO219" i="117"/>
  <c r="BO220" i="117" s="1"/>
  <c r="CG36" i="21"/>
  <c r="BO315" i="117"/>
  <c r="CA14" i="10"/>
  <c r="CA15" i="10"/>
  <c r="CG6" i="2"/>
  <c r="CF7" i="2"/>
  <c r="CG7" i="2" s="1"/>
  <c r="CG8" i="2" s="1"/>
  <c r="BU205" i="117"/>
  <c r="BU206" i="117" s="1"/>
  <c r="CI26" i="17"/>
  <c r="CI75" i="17"/>
  <c r="CI72" i="17" s="1"/>
  <c r="CI28" i="17"/>
  <c r="CI29" i="17" s="1"/>
  <c r="CC40" i="9"/>
  <c r="CC38" i="9"/>
  <c r="CC69" i="10"/>
  <c r="CC73" i="10"/>
  <c r="CE62" i="16"/>
  <c r="BU173" i="117"/>
  <c r="BU171" i="117"/>
  <c r="CE52" i="16"/>
  <c r="CE87" i="21"/>
  <c r="CE40" i="16"/>
  <c r="CE41" i="16" s="1"/>
  <c r="CE33" i="16"/>
  <c r="CG32" i="16"/>
  <c r="CG33" i="16" s="1"/>
  <c r="CA11" i="2"/>
  <c r="CA13" i="2"/>
  <c r="CD69" i="9"/>
  <c r="CD70" i="9" s="1"/>
  <c r="CD73" i="9"/>
  <c r="CF32" i="9"/>
  <c r="CF33" i="9" s="1"/>
  <c r="CF8" i="9"/>
  <c r="CM38" i="8"/>
  <c r="CM35" i="8"/>
  <c r="CM36" i="8" s="1"/>
  <c r="CU67" i="7"/>
  <c r="CU64" i="7" s="1"/>
  <c r="CU21" i="7"/>
  <c r="CX4" i="7"/>
  <c r="CX6" i="7" s="1"/>
  <c r="CW7" i="7"/>
  <c r="CK4" i="16"/>
  <c r="CK6" i="16" s="1"/>
  <c r="CJ7" i="16"/>
  <c r="CD106" i="16"/>
  <c r="BX149" i="117"/>
  <c r="BX165" i="117"/>
  <c r="BX161" i="117"/>
  <c r="BV162" i="117"/>
  <c r="BV158" i="117"/>
  <c r="BV159" i="117" s="1"/>
  <c r="CC69" i="9"/>
  <c r="CC70" i="9" s="1"/>
  <c r="BZ44" i="3"/>
  <c r="BY45" i="3"/>
  <c r="BY46" i="3" s="1"/>
  <c r="CF61" i="16"/>
  <c r="CF62" i="16" s="1"/>
  <c r="CC98" i="17"/>
  <c r="CC114" i="21"/>
  <c r="CC109" i="17"/>
  <c r="CC116" i="17"/>
  <c r="CC45" i="10"/>
  <c r="CC37" i="10"/>
  <c r="CC38" i="10" s="1"/>
  <c r="CI4" i="9"/>
  <c r="CG5" i="9"/>
  <c r="BS187" i="117"/>
  <c r="CE8" i="10"/>
  <c r="CE32" i="10"/>
  <c r="CE25" i="10"/>
  <c r="CE86" i="17"/>
  <c r="BV171" i="117"/>
  <c r="BV167" i="117"/>
  <c r="BV168" i="117" s="1"/>
  <c r="CQ59" i="3"/>
  <c r="CQ55" i="3"/>
  <c r="CQ58" i="3"/>
  <c r="CO58" i="7"/>
  <c r="CO105" i="21"/>
  <c r="CO49" i="7"/>
  <c r="CO50" i="7" s="1"/>
  <c r="CO47" i="7"/>
  <c r="CC37" i="2"/>
  <c r="CC46" i="9"/>
  <c r="CP61" i="3"/>
  <c r="CG7" i="9"/>
  <c r="CG8" i="9" s="1"/>
  <c r="CV24" i="7"/>
  <c r="CV25" i="7" s="1"/>
  <c r="CV20" i="7"/>
  <c r="CV8" i="7"/>
  <c r="CK7" i="3"/>
  <c r="CL4" i="3"/>
  <c r="CL6" i="3" s="1"/>
  <c r="CI24" i="16"/>
  <c r="CI8" i="16"/>
  <c r="CI20" i="16"/>
  <c r="CD28" i="10"/>
  <c r="CD75" i="10"/>
  <c r="CD26" i="10"/>
  <c r="BZ145" i="117"/>
  <c r="BZ147" i="117" s="1"/>
  <c r="BY148" i="117"/>
  <c r="CJ32" i="17"/>
  <c r="CJ33" i="17" s="1"/>
  <c r="CJ8" i="17"/>
  <c r="CP24" i="8"/>
  <c r="CP25" i="8" s="1"/>
  <c r="CP8" i="8"/>
  <c r="CP20" i="8"/>
  <c r="BO225" i="117"/>
  <c r="BO191" i="117"/>
  <c r="BO226" i="117" s="1"/>
  <c r="CF85" i="17"/>
  <c r="CG84" i="17"/>
  <c r="CD40" i="9"/>
  <c r="CD29" i="9"/>
  <c r="CD95" i="17"/>
  <c r="CD97" i="17"/>
  <c r="CD92" i="21"/>
  <c r="CD103" i="17"/>
  <c r="CI159" i="3"/>
  <c r="CI87" i="3"/>
  <c r="CR65" i="7"/>
  <c r="CF52" i="16"/>
  <c r="CF33" i="16"/>
  <c r="CF87" i="21"/>
  <c r="CV30" i="3"/>
  <c r="CU31" i="3"/>
  <c r="CP78" i="16"/>
  <c r="CP83" i="16"/>
  <c r="BV178" i="117"/>
  <c r="BP188" i="117"/>
  <c r="BP223" i="117" s="1"/>
  <c r="BP186" i="117"/>
  <c r="BP190" i="117"/>
  <c r="BP222" i="117"/>
  <c r="BO200" i="117"/>
  <c r="BP199" i="117"/>
  <c r="BP200" i="117" s="1"/>
  <c r="CS38" i="7"/>
  <c r="CS35" i="7"/>
  <c r="CS36" i="7" s="1"/>
  <c r="CE8" i="2"/>
  <c r="CE24" i="2"/>
  <c r="CE20" i="2"/>
  <c r="CS53" i="3"/>
  <c r="CR54" i="3"/>
  <c r="CR60" i="3" s="1"/>
  <c r="CI33" i="17"/>
  <c r="CE66" i="17"/>
  <c r="CE67" i="17" s="1"/>
  <c r="CE55" i="17"/>
  <c r="CE110" i="21"/>
  <c r="CE57" i="17"/>
  <c r="CE58" i="17" s="1"/>
  <c r="CU25" i="7"/>
  <c r="BZ33" i="21"/>
  <c r="BZ58" i="2"/>
  <c r="BZ59" i="2" s="1"/>
  <c r="BZ49" i="2"/>
  <c r="BZ50" i="2" s="1"/>
  <c r="BZ47" i="2"/>
  <c r="CC29" i="10"/>
  <c r="BN272" i="117"/>
  <c r="BN265" i="117"/>
  <c r="CE75" i="9"/>
  <c r="CE26" i="9"/>
  <c r="CE28" i="9"/>
  <c r="CE29" i="9" s="1"/>
  <c r="CG26" i="16"/>
  <c r="CG27" i="16" s="1"/>
  <c r="CG30" i="16"/>
  <c r="CJ8" i="3"/>
  <c r="CJ81" i="3" s="1"/>
  <c r="CJ80" i="3"/>
  <c r="CJ86" i="3" s="1"/>
  <c r="CO25" i="8"/>
  <c r="CG64" i="16"/>
  <c r="BT216" i="117"/>
  <c r="BT306" i="117"/>
  <c r="CK11" i="21" s="1"/>
  <c r="BT174" i="117"/>
  <c r="BT217" i="117" s="1"/>
  <c r="BT196" i="117"/>
  <c r="BT197" i="117" s="1"/>
  <c r="BT181" i="117"/>
  <c r="BT182" i="117" s="1"/>
  <c r="CD45" i="10"/>
  <c r="CD46" i="10" s="1"/>
  <c r="CD37" i="10"/>
  <c r="CD38" i="10" s="1"/>
  <c r="CL4" i="17"/>
  <c r="CL6" i="17" s="1"/>
  <c r="CK7" i="17"/>
  <c r="DB108" i="21"/>
  <c r="DB57" i="15"/>
  <c r="DB58" i="15" s="1"/>
  <c r="DB55" i="15"/>
  <c r="DB66" i="15"/>
  <c r="DB67" i="15" s="1"/>
  <c r="DG86" i="15"/>
  <c r="DG94" i="15"/>
  <c r="DI82" i="15"/>
  <c r="DI84" i="15" s="1"/>
  <c r="DH85" i="15"/>
  <c r="DG8" i="15"/>
  <c r="DG32" i="15"/>
  <c r="DB119" i="15"/>
  <c r="DB120" i="15" s="1"/>
  <c r="DB117" i="15"/>
  <c r="DB124" i="15"/>
  <c r="DB125" i="15" s="1"/>
  <c r="DD69" i="15"/>
  <c r="DD70" i="15" s="1"/>
  <c r="DE46" i="15"/>
  <c r="DE43" i="15"/>
  <c r="DE44" i="15" s="1"/>
  <c r="DC61" i="15"/>
  <c r="DC130" i="21"/>
  <c r="DH7" i="15"/>
  <c r="DI4" i="15"/>
  <c r="DI6" i="15" s="1"/>
  <c r="CD108" i="16" l="1"/>
  <c r="CD109" i="16" s="1"/>
  <c r="CC113" i="16"/>
  <c r="CC114" i="16" s="1"/>
  <c r="CC106" i="16"/>
  <c r="CD32" i="2"/>
  <c r="CD52" i="2" s="1"/>
  <c r="CC40" i="10"/>
  <c r="CC85" i="21" s="1"/>
  <c r="CL178" i="21"/>
  <c r="CL179" i="21" s="1"/>
  <c r="CL53" i="8"/>
  <c r="CL41" i="8"/>
  <c r="BU202" i="117"/>
  <c r="BU203" i="117" s="1"/>
  <c r="BV205" i="117"/>
  <c r="BV154" i="117" s="1"/>
  <c r="BT187" i="117"/>
  <c r="BT188" i="117" s="1"/>
  <c r="BT223" i="117" s="1"/>
  <c r="CM6" i="17"/>
  <c r="CL7" i="17"/>
  <c r="CM7" i="17" s="1"/>
  <c r="CM8" i="17" s="1"/>
  <c r="CX7" i="7"/>
  <c r="CY6" i="7"/>
  <c r="DA4" i="7" s="1"/>
  <c r="CK32" i="17"/>
  <c r="CK33" i="17" s="1"/>
  <c r="CK8" i="17"/>
  <c r="CK25" i="17"/>
  <c r="CG13" i="16"/>
  <c r="CG14" i="16" s="1"/>
  <c r="CG15" i="16"/>
  <c r="CG65" i="16"/>
  <c r="CU37" i="7"/>
  <c r="CU29" i="7"/>
  <c r="CR59" i="3"/>
  <c r="CR55" i="3"/>
  <c r="CR58" i="3"/>
  <c r="CS54" i="3"/>
  <c r="CE21" i="2"/>
  <c r="CE67" i="2"/>
  <c r="CE64" i="2" s="1"/>
  <c r="BP191" i="117"/>
  <c r="BP226" i="117" s="1"/>
  <c r="BP225" i="117"/>
  <c r="CD136" i="21"/>
  <c r="CD104" i="17"/>
  <c r="CP67" i="8"/>
  <c r="CP21" i="8"/>
  <c r="CC38" i="2"/>
  <c r="CI6" i="9"/>
  <c r="CM4" i="9"/>
  <c r="CC124" i="17"/>
  <c r="CC125" i="17" s="1"/>
  <c r="CC117" i="17"/>
  <c r="CC119" i="17"/>
  <c r="CC120" i="17" s="1"/>
  <c r="BX166" i="117"/>
  <c r="CW24" i="7"/>
  <c r="CW8" i="7"/>
  <c r="CA15" i="2"/>
  <c r="CA14" i="2"/>
  <c r="CI4" i="2"/>
  <c r="CG5" i="2"/>
  <c r="CR77" i="16"/>
  <c r="CS77" i="16" s="1"/>
  <c r="CS78" i="16" s="1"/>
  <c r="CS76" i="16"/>
  <c r="CU74" i="16" s="1"/>
  <c r="BR222" i="117"/>
  <c r="BR309" i="117"/>
  <c r="CI36" i="21" s="1"/>
  <c r="BR190" i="117"/>
  <c r="BR188" i="117"/>
  <c r="BR223" i="117" s="1"/>
  <c r="BR199" i="117"/>
  <c r="CJ45" i="17"/>
  <c r="CJ46" i="17" s="1"/>
  <c r="CJ37" i="17"/>
  <c r="CJ38" i="17" s="1"/>
  <c r="CI25" i="16"/>
  <c r="BS188" i="117"/>
  <c r="BS223" i="117" s="1"/>
  <c r="BS222" i="117"/>
  <c r="BS309" i="117"/>
  <c r="CJ36" i="21" s="1"/>
  <c r="BS199" i="117"/>
  <c r="BS200" i="117" s="1"/>
  <c r="BS190" i="117"/>
  <c r="CF45" i="9"/>
  <c r="CF46" i="9" s="1"/>
  <c r="CF37" i="9"/>
  <c r="CF38" i="9" s="1"/>
  <c r="CL185" i="21"/>
  <c r="CL58" i="8"/>
  <c r="CL59" i="8" s="1"/>
  <c r="CL49" i="8"/>
  <c r="CL50" i="8" s="1"/>
  <c r="CL47" i="8"/>
  <c r="BU306" i="117"/>
  <c r="CL11" i="21" s="1"/>
  <c r="CM11" i="21" s="1"/>
  <c r="BU196" i="117"/>
  <c r="BU197" i="117" s="1"/>
  <c r="BU216" i="117"/>
  <c r="BU174" i="117"/>
  <c r="BU217" i="117" s="1"/>
  <c r="BU181" i="117"/>
  <c r="BU182" i="117" s="1"/>
  <c r="BV173" i="117"/>
  <c r="CQ78" i="16"/>
  <c r="CQ83" i="16"/>
  <c r="CO98" i="16"/>
  <c r="CO87" i="16"/>
  <c r="CO113" i="21"/>
  <c r="CG32" i="9"/>
  <c r="CG31" i="9" s="1"/>
  <c r="CO37" i="8"/>
  <c r="CU53" i="3"/>
  <c r="BV179" i="117"/>
  <c r="BV176" i="117"/>
  <c r="BV177" i="117" s="1"/>
  <c r="CW30" i="3"/>
  <c r="CV31" i="3"/>
  <c r="CD98" i="17"/>
  <c r="CD109" i="17"/>
  <c r="CD110" i="17" s="1"/>
  <c r="CD114" i="21"/>
  <c r="CG83" i="17"/>
  <c r="CI82" i="17"/>
  <c r="CP37" i="8"/>
  <c r="CP38" i="8" s="1"/>
  <c r="CP29" i="8"/>
  <c r="CP30" i="8" s="1"/>
  <c r="BY165" i="117"/>
  <c r="BY166" i="117" s="1"/>
  <c r="BY149" i="117"/>
  <c r="BY161" i="117"/>
  <c r="CD40" i="10"/>
  <c r="CD29" i="10"/>
  <c r="CI67" i="16"/>
  <c r="CI21" i="16"/>
  <c r="CM6" i="3"/>
  <c r="CL7" i="3"/>
  <c r="CV37" i="7"/>
  <c r="CV38" i="7" s="1"/>
  <c r="CV29" i="7"/>
  <c r="CV30" i="7" s="1"/>
  <c r="CQ61" i="3"/>
  <c r="CE75" i="10"/>
  <c r="CE28" i="10"/>
  <c r="CE26" i="10"/>
  <c r="CA44" i="3"/>
  <c r="BZ45" i="3"/>
  <c r="BZ46" i="3" s="1"/>
  <c r="BX208" i="117"/>
  <c r="BX162" i="117"/>
  <c r="CJ8" i="16"/>
  <c r="CJ24" i="16"/>
  <c r="CJ25" i="16" s="1"/>
  <c r="CJ20" i="16"/>
  <c r="CG87" i="21"/>
  <c r="CG61" i="16"/>
  <c r="BO264" i="117"/>
  <c r="BO259" i="117"/>
  <c r="BP258" i="117"/>
  <c r="BP259" i="117" s="1"/>
  <c r="CQ24" i="8"/>
  <c r="CQ8" i="8"/>
  <c r="CC62" i="2"/>
  <c r="CO93" i="16"/>
  <c r="CO135" i="21"/>
  <c r="CE45" i="9"/>
  <c r="CG33" i="9"/>
  <c r="CF32" i="10"/>
  <c r="CF33" i="10" s="1"/>
  <c r="CF8" i="10"/>
  <c r="CF25" i="10"/>
  <c r="CG7" i="10"/>
  <c r="CG8" i="10" s="1"/>
  <c r="CE72" i="9"/>
  <c r="CE73" i="9" s="1"/>
  <c r="CE25" i="2"/>
  <c r="CF131" i="21"/>
  <c r="CF53" i="16"/>
  <c r="CD60" i="9"/>
  <c r="CD41" i="9"/>
  <c r="CD84" i="21"/>
  <c r="CD48" i="9"/>
  <c r="CD49" i="9" s="1"/>
  <c r="CD72" i="10"/>
  <c r="CD69" i="10" s="1"/>
  <c r="CD70" i="10" s="1"/>
  <c r="CV21" i="7"/>
  <c r="CV67" i="7"/>
  <c r="CO59" i="7"/>
  <c r="CC110" i="17"/>
  <c r="CU61" i="7"/>
  <c r="CU65" i="7"/>
  <c r="CJ87" i="3"/>
  <c r="CJ159" i="3"/>
  <c r="CI45" i="17"/>
  <c r="CI37" i="17"/>
  <c r="O50" i="11"/>
  <c r="O52" i="11" s="1"/>
  <c r="O53" i="11" s="1"/>
  <c r="O56" i="11" s="1"/>
  <c r="BP219" i="117"/>
  <c r="BP220" i="117" s="1"/>
  <c r="CP86" i="16"/>
  <c r="CP92" i="16"/>
  <c r="CP84" i="16"/>
  <c r="CP91" i="21"/>
  <c r="CI160" i="3"/>
  <c r="CG85" i="17"/>
  <c r="CG86" i="17" s="1"/>
  <c r="CF86" i="17"/>
  <c r="CF94" i="17"/>
  <c r="CA145" i="117"/>
  <c r="CA147" i="117" s="1"/>
  <c r="BZ148" i="117"/>
  <c r="CK8" i="3"/>
  <c r="CK81" i="3" s="1"/>
  <c r="CK80" i="3"/>
  <c r="CK86" i="3" s="1"/>
  <c r="CE33" i="10"/>
  <c r="CC46" i="10"/>
  <c r="CK7" i="16"/>
  <c r="CL4" i="16"/>
  <c r="CL6" i="16" s="1"/>
  <c r="CE46" i="16"/>
  <c r="CE131" i="21"/>
  <c r="CE53" i="16"/>
  <c r="CG52" i="16"/>
  <c r="CC70" i="10"/>
  <c r="CC41" i="9"/>
  <c r="CC60" i="9"/>
  <c r="CC84" i="21"/>
  <c r="CC48" i="9"/>
  <c r="CC49" i="9" s="1"/>
  <c r="CI69" i="17"/>
  <c r="CI70" i="17" s="1"/>
  <c r="CI73" i="17"/>
  <c r="CF24" i="2"/>
  <c r="CF25" i="2" s="1"/>
  <c r="CF8" i="2"/>
  <c r="CF20" i="2"/>
  <c r="BO232" i="117"/>
  <c r="BP231" i="117"/>
  <c r="BP232" i="117" s="1"/>
  <c r="CS6" i="8"/>
  <c r="CU4" i="8" s="1"/>
  <c r="CR7" i="8"/>
  <c r="CD64" i="2"/>
  <c r="CD61" i="2" s="1"/>
  <c r="CD62" i="2" s="1"/>
  <c r="CO61" i="8"/>
  <c r="CO62" i="8" s="1"/>
  <c r="CO65" i="8"/>
  <c r="CI4" i="10"/>
  <c r="CG5" i="10"/>
  <c r="CU21" i="3"/>
  <c r="CV20" i="3"/>
  <c r="DH86" i="15"/>
  <c r="DH94" i="15"/>
  <c r="DI85" i="15"/>
  <c r="DJ82" i="15"/>
  <c r="DJ84" i="15" s="1"/>
  <c r="DG90" i="21"/>
  <c r="DG97" i="15"/>
  <c r="DG95" i="15"/>
  <c r="DH8" i="15"/>
  <c r="DH32" i="15"/>
  <c r="DH33" i="15" s="1"/>
  <c r="DH25" i="15"/>
  <c r="DI7" i="15"/>
  <c r="DJ4" i="15"/>
  <c r="DJ6" i="15" s="1"/>
  <c r="DG33" i="15"/>
  <c r="CL17" i="21" l="1"/>
  <c r="CD33" i="2"/>
  <c r="CD40" i="2"/>
  <c r="CD41" i="2" s="1"/>
  <c r="CD8" i="21"/>
  <c r="CD6" i="21" s="1"/>
  <c r="CD5" i="21" s="1"/>
  <c r="CE69" i="9"/>
  <c r="CE70" i="9" s="1"/>
  <c r="CD54" i="9"/>
  <c r="CD66" i="9" s="1"/>
  <c r="CD67" i="9" s="1"/>
  <c r="CV32" i="7"/>
  <c r="CV52" i="7" s="1"/>
  <c r="CG32" i="10"/>
  <c r="CG31" i="10" s="1"/>
  <c r="CC60" i="10"/>
  <c r="CC129" i="21" s="1"/>
  <c r="CC41" i="10"/>
  <c r="CC48" i="10"/>
  <c r="BV181" i="117"/>
  <c r="BV182" i="117" s="1"/>
  <c r="BT199" i="117"/>
  <c r="BT200" i="117" s="1"/>
  <c r="BV206" i="117"/>
  <c r="BT222" i="117"/>
  <c r="BT219" i="117" s="1"/>
  <c r="BT220" i="117" s="1"/>
  <c r="BV202" i="117"/>
  <c r="BV151" i="117" s="1"/>
  <c r="BV152" i="117" s="1"/>
  <c r="BT190" i="117"/>
  <c r="BT191" i="117" s="1"/>
  <c r="BT226" i="117" s="1"/>
  <c r="BT309" i="117"/>
  <c r="CL80" i="3"/>
  <c r="CL86" i="3" s="1"/>
  <c r="CM86" i="3" s="1"/>
  <c r="CL8" i="3"/>
  <c r="CL81" i="3" s="1"/>
  <c r="CW20" i="3"/>
  <c r="CV21" i="3"/>
  <c r="CR8" i="8"/>
  <c r="CR24" i="8"/>
  <c r="CR25" i="8" s="1"/>
  <c r="CR20" i="8"/>
  <c r="CS7" i="8"/>
  <c r="CS8" i="8" s="1"/>
  <c r="CG20" i="2"/>
  <c r="CF21" i="2"/>
  <c r="CF67" i="2"/>
  <c r="CC128" i="21"/>
  <c r="CC61" i="9"/>
  <c r="CG55" i="16"/>
  <c r="CG56" i="16" s="1"/>
  <c r="O156" i="11"/>
  <c r="CG53" i="16"/>
  <c r="CG131" i="21"/>
  <c r="CM7" i="3"/>
  <c r="CI46" i="17"/>
  <c r="CG24" i="2"/>
  <c r="CG23" i="2" s="1"/>
  <c r="CF28" i="10"/>
  <c r="CF26" i="10"/>
  <c r="CF75" i="10"/>
  <c r="CE46" i="9"/>
  <c r="CG45" i="9"/>
  <c r="CG10" i="16"/>
  <c r="CG11" i="16" s="1"/>
  <c r="CG62" i="16"/>
  <c r="CE29" i="10"/>
  <c r="BY162" i="117"/>
  <c r="BY208" i="117"/>
  <c r="CW31" i="3"/>
  <c r="CX30" i="3"/>
  <c r="CV53" i="3"/>
  <c r="CU54" i="3"/>
  <c r="CU60" i="3" s="1"/>
  <c r="BS315" i="117"/>
  <c r="CI29" i="16"/>
  <c r="CI37" i="16"/>
  <c r="BR191" i="117"/>
  <c r="BR226" i="117" s="1"/>
  <c r="BR225" i="117"/>
  <c r="BX178" i="117"/>
  <c r="BX170" i="117"/>
  <c r="CU38" i="7"/>
  <c r="CL32" i="17"/>
  <c r="CL8" i="17"/>
  <c r="CU6" i="8"/>
  <c r="CY4" i="8"/>
  <c r="BZ149" i="117"/>
  <c r="BZ165" i="117"/>
  <c r="BZ166" i="117" s="1"/>
  <c r="BZ161" i="117"/>
  <c r="CJ176" i="3"/>
  <c r="CJ160" i="3"/>
  <c r="CE37" i="2"/>
  <c r="CE29" i="2"/>
  <c r="CG25" i="2"/>
  <c r="CC44" i="3"/>
  <c r="CA45" i="3"/>
  <c r="CA46" i="3" s="1"/>
  <c r="CI64" i="16"/>
  <c r="CI61" i="16" s="1"/>
  <c r="CM82" i="17"/>
  <c r="CI84" i="17"/>
  <c r="BR315" i="117"/>
  <c r="CM4" i="2"/>
  <c r="CI6" i="2"/>
  <c r="CI7" i="9"/>
  <c r="CJ4" i="9"/>
  <c r="CJ6" i="9" s="1"/>
  <c r="CP64" i="8"/>
  <c r="CP65" i="8" s="1"/>
  <c r="CK75" i="17"/>
  <c r="CK72" i="17" s="1"/>
  <c r="CK26" i="17"/>
  <c r="CK28" i="17"/>
  <c r="CF37" i="2"/>
  <c r="CF38" i="2" s="1"/>
  <c r="CF29" i="2"/>
  <c r="CF30" i="2" s="1"/>
  <c r="CC54" i="9"/>
  <c r="CL7" i="16"/>
  <c r="CM6" i="16"/>
  <c r="CA148" i="117"/>
  <c r="CB148" i="117" s="1"/>
  <c r="CB149" i="117" s="1"/>
  <c r="CB147" i="117"/>
  <c r="CD145" i="117"/>
  <c r="CP93" i="16"/>
  <c r="CP135" i="21"/>
  <c r="CI40" i="17"/>
  <c r="CI38" i="17"/>
  <c r="CD73" i="10"/>
  <c r="CF45" i="10"/>
  <c r="CF46" i="10" s="1"/>
  <c r="BO265" i="117"/>
  <c r="BO272" i="117"/>
  <c r="BP272" i="117" s="1"/>
  <c r="BP264" i="117"/>
  <c r="BP265" i="117" s="1"/>
  <c r="CJ67" i="16"/>
  <c r="CJ21" i="16"/>
  <c r="CG25" i="10"/>
  <c r="CO4" i="3"/>
  <c r="CM5" i="3"/>
  <c r="BY178" i="117"/>
  <c r="BY179" i="117" s="1"/>
  <c r="BY170" i="117"/>
  <c r="BS191" i="117"/>
  <c r="BS226" i="117" s="1"/>
  <c r="BS225" i="117"/>
  <c r="BR200" i="117"/>
  <c r="BR219" i="117"/>
  <c r="BR220" i="117" s="1"/>
  <c r="BR258" i="117"/>
  <c r="BR231" i="117"/>
  <c r="CU76" i="16"/>
  <c r="CY74" i="16"/>
  <c r="CR61" i="3"/>
  <c r="DE4" i="7"/>
  <c r="DA6" i="7"/>
  <c r="CK159" i="3"/>
  <c r="CK87" i="3"/>
  <c r="CU62" i="7"/>
  <c r="CE72" i="10"/>
  <c r="CE73" i="10" s="1"/>
  <c r="CQ84" i="16"/>
  <c r="CQ92" i="16"/>
  <c r="CQ91" i="21"/>
  <c r="CQ86" i="16"/>
  <c r="BV174" i="117"/>
  <c r="BV217" i="117" s="1"/>
  <c r="BV196" i="117"/>
  <c r="BV197" i="117" s="1"/>
  <c r="BV216" i="117"/>
  <c r="BS219" i="117"/>
  <c r="BS220" i="117" s="1"/>
  <c r="BS231" i="117"/>
  <c r="BS232" i="117" s="1"/>
  <c r="BS258" i="117"/>
  <c r="BV155" i="117"/>
  <c r="BV156" i="117"/>
  <c r="CW25" i="7"/>
  <c r="CS59" i="3"/>
  <c r="CS58" i="3"/>
  <c r="CO4" i="17"/>
  <c r="CM5" i="17"/>
  <c r="CM4" i="10"/>
  <c r="CI6" i="10"/>
  <c r="CD65" i="2"/>
  <c r="CE47" i="16"/>
  <c r="CE105" i="16"/>
  <c r="CE109" i="21"/>
  <c r="CE58" i="16"/>
  <c r="CE59" i="16" s="1"/>
  <c r="CE49" i="16"/>
  <c r="CE50" i="16" s="1"/>
  <c r="CK8" i="16"/>
  <c r="CK24" i="16"/>
  <c r="CK25" i="16" s="1"/>
  <c r="CK20" i="16"/>
  <c r="CE45" i="10"/>
  <c r="CG33" i="10"/>
  <c r="CF103" i="17"/>
  <c r="CF97" i="17"/>
  <c r="CF95" i="17"/>
  <c r="CF92" i="21"/>
  <c r="CP98" i="16"/>
  <c r="CP99" i="16" s="1"/>
  <c r="CP87" i="16"/>
  <c r="CP113" i="21"/>
  <c r="CV64" i="7"/>
  <c r="CV61" i="7" s="1"/>
  <c r="CV62" i="7" s="1"/>
  <c r="CD61" i="9"/>
  <c r="CD128" i="21"/>
  <c r="CQ25" i="8"/>
  <c r="CJ37" i="16"/>
  <c r="CJ38" i="16" s="1"/>
  <c r="CJ29" i="16"/>
  <c r="BX205" i="117"/>
  <c r="CD41" i="10"/>
  <c r="CD60" i="10"/>
  <c r="CD85" i="21"/>
  <c r="CD48" i="10"/>
  <c r="CD49" i="10" s="1"/>
  <c r="CS60" i="3"/>
  <c r="CO38" i="8"/>
  <c r="CO99" i="16"/>
  <c r="CD57" i="21"/>
  <c r="CD55" i="21" s="1"/>
  <c r="CD54" i="21" s="1"/>
  <c r="CD53" i="2"/>
  <c r="BU187" i="117"/>
  <c r="CL213" i="21"/>
  <c r="CL214" i="21" s="1"/>
  <c r="CL186" i="21"/>
  <c r="CL191" i="21"/>
  <c r="CR78" i="16"/>
  <c r="CP32" i="8"/>
  <c r="CE61" i="2"/>
  <c r="CE62" i="2" s="1"/>
  <c r="CE65" i="2"/>
  <c r="CU30" i="7"/>
  <c r="CU32" i="7"/>
  <c r="CK45" i="17"/>
  <c r="CK46" i="17" s="1"/>
  <c r="CK37" i="17"/>
  <c r="CK38" i="17" s="1"/>
  <c r="CY7" i="7"/>
  <c r="CY8" i="7" s="1"/>
  <c r="CX8" i="7"/>
  <c r="CX24" i="7"/>
  <c r="CX25" i="7" s="1"/>
  <c r="CX20" i="7"/>
  <c r="DG112" i="21"/>
  <c r="DG98" i="15"/>
  <c r="DI86" i="15"/>
  <c r="DI94" i="15"/>
  <c r="DK84" i="15"/>
  <c r="DK83" i="15" s="1"/>
  <c r="DJ85" i="15"/>
  <c r="DK85" i="15" s="1"/>
  <c r="DK86" i="15" s="1"/>
  <c r="DH95" i="15"/>
  <c r="DH97" i="15"/>
  <c r="DH90" i="21"/>
  <c r="DH103" i="15"/>
  <c r="DH45" i="15"/>
  <c r="DH46" i="15" s="1"/>
  <c r="DH37" i="15"/>
  <c r="DH38" i="15" s="1"/>
  <c r="DG45" i="15"/>
  <c r="DG37" i="15"/>
  <c r="DI32" i="15"/>
  <c r="DI33" i="15" s="1"/>
  <c r="DI8" i="15"/>
  <c r="DI25" i="15"/>
  <c r="DK6" i="15"/>
  <c r="DK5" i="15" s="1"/>
  <c r="DJ7" i="15"/>
  <c r="DH75" i="15"/>
  <c r="DH28" i="15"/>
  <c r="DH26" i="15"/>
  <c r="BT315" i="117" l="1"/>
  <c r="CK36" i="21"/>
  <c r="CC61" i="10"/>
  <c r="CS24" i="8"/>
  <c r="CS23" i="8" s="1"/>
  <c r="CD46" i="2"/>
  <c r="CD57" i="9"/>
  <c r="CD58" i="9" s="1"/>
  <c r="CD106" i="21"/>
  <c r="CD55" i="9"/>
  <c r="CV33" i="7"/>
  <c r="CV83" i="21"/>
  <c r="CE69" i="10"/>
  <c r="CE70" i="10" s="1"/>
  <c r="CC49" i="10"/>
  <c r="CC54" i="10"/>
  <c r="CP61" i="8"/>
  <c r="CP62" i="8" s="1"/>
  <c r="BV184" i="117"/>
  <c r="BV185" i="117" s="1"/>
  <c r="BV203" i="117"/>
  <c r="BT225" i="117"/>
  <c r="BT231" i="117"/>
  <c r="BT232" i="117" s="1"/>
  <c r="BT258" i="117"/>
  <c r="BT264" i="117" s="1"/>
  <c r="CM87" i="3"/>
  <c r="CF136" i="21"/>
  <c r="CF104" i="17"/>
  <c r="CV53" i="7"/>
  <c r="CV127" i="21"/>
  <c r="CH145" i="117"/>
  <c r="CD147" i="117"/>
  <c r="CL24" i="16"/>
  <c r="CL8" i="16"/>
  <c r="CL20" i="16"/>
  <c r="CM20" i="16" s="1"/>
  <c r="CI7" i="2"/>
  <c r="CJ4" i="2"/>
  <c r="CJ6" i="2" s="1"/>
  <c r="CI62" i="16"/>
  <c r="CU7" i="8"/>
  <c r="CV4" i="8"/>
  <c r="CV6" i="8" s="1"/>
  <c r="CI38" i="16"/>
  <c r="CF29" i="10"/>
  <c r="CU52" i="7"/>
  <c r="CU33" i="7"/>
  <c r="CU40" i="7"/>
  <c r="CU83" i="21"/>
  <c r="CP52" i="8"/>
  <c r="CP172" i="21"/>
  <c r="CP173" i="21" s="1"/>
  <c r="CP33" i="8"/>
  <c r="CD54" i="10"/>
  <c r="CF98" i="17"/>
  <c r="CF114" i="21"/>
  <c r="CF109" i="17"/>
  <c r="CF110" i="17" s="1"/>
  <c r="CM7" i="16"/>
  <c r="CM8" i="16" s="1"/>
  <c r="BS259" i="117"/>
  <c r="BS264" i="117"/>
  <c r="CU77" i="16"/>
  <c r="CV74" i="16"/>
  <c r="CV76" i="16" s="1"/>
  <c r="CJ64" i="16"/>
  <c r="CJ65" i="16" s="1"/>
  <c r="CM5" i="16"/>
  <c r="CO4" i="16"/>
  <c r="CK69" i="17"/>
  <c r="CK70" i="17" s="1"/>
  <c r="CK73" i="17"/>
  <c r="CI8" i="9"/>
  <c r="CI32" i="9"/>
  <c r="CI25" i="9"/>
  <c r="CD44" i="3"/>
  <c r="CC45" i="3"/>
  <c r="CC46" i="3" s="1"/>
  <c r="CE30" i="2"/>
  <c r="CE32" i="2"/>
  <c r="BZ178" i="117"/>
  <c r="BZ179" i="117" s="1"/>
  <c r="BZ170" i="117"/>
  <c r="CX31" i="3"/>
  <c r="CY30" i="3"/>
  <c r="CG28" i="10"/>
  <c r="CR37" i="8"/>
  <c r="CR38" i="8" s="1"/>
  <c r="CR29" i="8"/>
  <c r="CR30" i="8" s="1"/>
  <c r="CX21" i="7"/>
  <c r="CX67" i="7"/>
  <c r="CQ93" i="16"/>
  <c r="CQ135" i="21"/>
  <c r="CS4" i="3"/>
  <c r="CO6" i="3"/>
  <c r="CI60" i="17"/>
  <c r="CI88" i="21"/>
  <c r="CI41" i="17"/>
  <c r="CI48" i="17"/>
  <c r="CL87" i="3"/>
  <c r="CL159" i="3"/>
  <c r="CM159" i="3" s="1"/>
  <c r="CM160" i="3" s="1"/>
  <c r="CX37" i="7"/>
  <c r="CX38" i="7" s="1"/>
  <c r="BU222" i="117"/>
  <c r="BU309" i="117"/>
  <c r="CL36" i="21" s="1"/>
  <c r="BU199" i="117"/>
  <c r="BU190" i="117"/>
  <c r="BU188" i="117"/>
  <c r="BU223" i="117" s="1"/>
  <c r="BV187" i="117"/>
  <c r="CD129" i="21"/>
  <c r="CD61" i="10"/>
  <c r="BX202" i="117"/>
  <c r="BX206" i="117"/>
  <c r="CQ37" i="8"/>
  <c r="CQ29" i="8"/>
  <c r="CQ30" i="8" s="1"/>
  <c r="CS25" i="8"/>
  <c r="CV65" i="7"/>
  <c r="CK37" i="16"/>
  <c r="CK38" i="16" s="1"/>
  <c r="CK29" i="16"/>
  <c r="CO6" i="17"/>
  <c r="CS4" i="17"/>
  <c r="CY24" i="7"/>
  <c r="CY23" i="7" s="1"/>
  <c r="CK160" i="3"/>
  <c r="CK176" i="3"/>
  <c r="BR264" i="117"/>
  <c r="BR259" i="117"/>
  <c r="BY171" i="117"/>
  <c r="BY173" i="117"/>
  <c r="CG26" i="10"/>
  <c r="CG17" i="10"/>
  <c r="CG18" i="10" s="1"/>
  <c r="CG75" i="10"/>
  <c r="CK29" i="17"/>
  <c r="CK40" i="17"/>
  <c r="CI85" i="17"/>
  <c r="CJ82" i="17"/>
  <c r="CJ84" i="17" s="1"/>
  <c r="CI65" i="16"/>
  <c r="BX173" i="117"/>
  <c r="BX171" i="117"/>
  <c r="CI30" i="16"/>
  <c r="CI32" i="16"/>
  <c r="CU59" i="3"/>
  <c r="CU58" i="3"/>
  <c r="CU55" i="3"/>
  <c r="BY205" i="117"/>
  <c r="BY206" i="117" s="1"/>
  <c r="CF32" i="2"/>
  <c r="CK67" i="16"/>
  <c r="CK21" i="16"/>
  <c r="BR232" i="117"/>
  <c r="CE38" i="2"/>
  <c r="CG37" i="2"/>
  <c r="CG46" i="9"/>
  <c r="CG43" i="9"/>
  <c r="CG44" i="9" s="1"/>
  <c r="CG21" i="2"/>
  <c r="CG17" i="2"/>
  <c r="CG67" i="2"/>
  <c r="CL192" i="21"/>
  <c r="CL42" i="21"/>
  <c r="CJ32" i="16"/>
  <c r="CJ30" i="16"/>
  <c r="CE46" i="10"/>
  <c r="CG45" i="10"/>
  <c r="CE108" i="16"/>
  <c r="CE109" i="16" s="1"/>
  <c r="CE113" i="16"/>
  <c r="CE114" i="16" s="1"/>
  <c r="CE106" i="16"/>
  <c r="CI7" i="10"/>
  <c r="CJ4" i="10"/>
  <c r="CJ6" i="10" s="1"/>
  <c r="CS61" i="3"/>
  <c r="CW37" i="7"/>
  <c r="CY25" i="7"/>
  <c r="CQ98" i="16"/>
  <c r="CQ99" i="16" s="1"/>
  <c r="CQ87" i="16"/>
  <c r="CQ113" i="21"/>
  <c r="DA7" i="7"/>
  <c r="DB4" i="7"/>
  <c r="DB6" i="7" s="1"/>
  <c r="CA165" i="117"/>
  <c r="CA149" i="117"/>
  <c r="CA161" i="117"/>
  <c r="CB161" i="117" s="1"/>
  <c r="CC55" i="9"/>
  <c r="CC106" i="21"/>
  <c r="CC57" i="9"/>
  <c r="CC58" i="9" s="1"/>
  <c r="CC66" i="9"/>
  <c r="CC67" i="9" s="1"/>
  <c r="CK4" i="9"/>
  <c r="CK6" i="9" s="1"/>
  <c r="CJ7" i="9"/>
  <c r="CJ7" i="21"/>
  <c r="CJ177" i="3"/>
  <c r="CJ180" i="3"/>
  <c r="CJ181" i="3" s="1"/>
  <c r="CJ194" i="3"/>
  <c r="BZ162" i="117"/>
  <c r="BZ208" i="117"/>
  <c r="CL33" i="17"/>
  <c r="CM32" i="17"/>
  <c r="CM31" i="17" s="1"/>
  <c r="BX179" i="117"/>
  <c r="CW53" i="3"/>
  <c r="CV54" i="3"/>
  <c r="CV60" i="3" s="1"/>
  <c r="CF72" i="10"/>
  <c r="CF69" i="10" s="1"/>
  <c r="CM8" i="3"/>
  <c r="CM81" i="3" s="1"/>
  <c r="CM80" i="3"/>
  <c r="CM83" i="3" s="1"/>
  <c r="CM84" i="3" s="1"/>
  <c r="CF64" i="2"/>
  <c r="CF61" i="2" s="1"/>
  <c r="CF62" i="2" s="1"/>
  <c r="CR21" i="8"/>
  <c r="CR67" i="8"/>
  <c r="CW21" i="3"/>
  <c r="CX20" i="3"/>
  <c r="DH134" i="21"/>
  <c r="DH104" i="15"/>
  <c r="DJ86" i="15"/>
  <c r="DJ94" i="15"/>
  <c r="DH98" i="15"/>
  <c r="DH112" i="21"/>
  <c r="DH109" i="15"/>
  <c r="DH110" i="15" s="1"/>
  <c r="DI90" i="21"/>
  <c r="DI103" i="15"/>
  <c r="DI95" i="15"/>
  <c r="DI97" i="15"/>
  <c r="DH20" i="15"/>
  <c r="DH21" i="15" s="1"/>
  <c r="DH29" i="15"/>
  <c r="DH40" i="15"/>
  <c r="DI26" i="15"/>
  <c r="DI28" i="15"/>
  <c r="DI75" i="15"/>
  <c r="DI45" i="15"/>
  <c r="DI46" i="15" s="1"/>
  <c r="DI37" i="15"/>
  <c r="DI38" i="15" s="1"/>
  <c r="DH72" i="15"/>
  <c r="DH73" i="15" s="1"/>
  <c r="DG46" i="15"/>
  <c r="DJ8" i="15"/>
  <c r="DJ32" i="15"/>
  <c r="DJ25" i="15"/>
  <c r="DG38" i="15"/>
  <c r="DK7" i="15"/>
  <c r="DK8" i="15" s="1"/>
  <c r="CJ61" i="16" l="1"/>
  <c r="CJ62" i="16" s="1"/>
  <c r="CU61" i="3"/>
  <c r="CD47" i="2"/>
  <c r="CD58" i="2"/>
  <c r="CD59" i="2" s="1"/>
  <c r="CD49" i="2"/>
  <c r="CD50" i="2" s="1"/>
  <c r="CD33" i="21"/>
  <c r="CD31" i="21" s="1"/>
  <c r="CC57" i="10"/>
  <c r="CC58" i="10" s="1"/>
  <c r="CC66" i="10"/>
  <c r="CC67" i="10" s="1"/>
  <c r="CC55" i="10"/>
  <c r="CC107" i="21"/>
  <c r="CR32" i="8"/>
  <c r="CR172" i="21" s="1"/>
  <c r="BT259" i="117"/>
  <c r="BY202" i="117"/>
  <c r="BY203" i="117" s="1"/>
  <c r="CJ187" i="3"/>
  <c r="CJ200" i="3" s="1"/>
  <c r="CJ201" i="3" s="1"/>
  <c r="CF70" i="10"/>
  <c r="CG69" i="10"/>
  <c r="CJ8" i="9"/>
  <c r="CJ32" i="9"/>
  <c r="CJ33" i="9" s="1"/>
  <c r="CJ25" i="9"/>
  <c r="CI86" i="17"/>
  <c r="CI94" i="17"/>
  <c r="CF65" i="2"/>
  <c r="CG64" i="2"/>
  <c r="CG65" i="2" s="1"/>
  <c r="CX53" i="3"/>
  <c r="CW54" i="3"/>
  <c r="CW60" i="3" s="1"/>
  <c r="CL45" i="17"/>
  <c r="CL37" i="17"/>
  <c r="CM33" i="17"/>
  <c r="DA8" i="7"/>
  <c r="DA24" i="7"/>
  <c r="DA20" i="7"/>
  <c r="CF33" i="2"/>
  <c r="CF52" i="2"/>
  <c r="CF40" i="2"/>
  <c r="CF41" i="2" s="1"/>
  <c r="CF8" i="21"/>
  <c r="CI40" i="16"/>
  <c r="CI41" i="16" s="1"/>
  <c r="CI52" i="16"/>
  <c r="CI87" i="21"/>
  <c r="CI33" i="16"/>
  <c r="CJ85" i="17"/>
  <c r="CK82" i="17"/>
  <c r="CK84" i="17" s="1"/>
  <c r="CK180" i="3"/>
  <c r="CK181" i="3" s="1"/>
  <c r="CK177" i="3"/>
  <c r="CK194" i="3"/>
  <c r="CK7" i="21"/>
  <c r="BX203" i="117"/>
  <c r="BU258" i="117"/>
  <c r="BU231" i="117"/>
  <c r="BU219" i="117"/>
  <c r="BU220" i="117" s="1"/>
  <c r="CI61" i="17"/>
  <c r="CI132" i="21"/>
  <c r="CX64" i="7"/>
  <c r="CX61" i="7" s="1"/>
  <c r="CX62" i="7" s="1"/>
  <c r="CG61" i="2"/>
  <c r="BZ171" i="117"/>
  <c r="BZ173" i="117"/>
  <c r="CI28" i="9"/>
  <c r="CI75" i="9"/>
  <c r="CI26" i="9"/>
  <c r="CU78" i="16"/>
  <c r="CU83" i="16"/>
  <c r="CD107" i="21"/>
  <c r="CD66" i="10"/>
  <c r="CD67" i="10" s="1"/>
  <c r="CD57" i="10"/>
  <c r="CD58" i="10" s="1"/>
  <c r="CD55" i="10"/>
  <c r="CW4" i="8"/>
  <c r="CW6" i="8" s="1"/>
  <c r="CV7" i="8"/>
  <c r="CK4" i="2"/>
  <c r="CK6" i="2" s="1"/>
  <c r="CJ7" i="2"/>
  <c r="CL25" i="16"/>
  <c r="CM24" i="16"/>
  <c r="CM23" i="16" s="1"/>
  <c r="CF73" i="10"/>
  <c r="CG72" i="10"/>
  <c r="CJ195" i="3"/>
  <c r="CJ56" i="21"/>
  <c r="CA166" i="117"/>
  <c r="CB165" i="117"/>
  <c r="BT272" i="117"/>
  <c r="BT265" i="117"/>
  <c r="CQ38" i="8"/>
  <c r="CS37" i="8"/>
  <c r="BU225" i="117"/>
  <c r="BU191" i="117"/>
  <c r="BU226" i="117" s="1"/>
  <c r="CI54" i="17"/>
  <c r="CI49" i="17"/>
  <c r="CG20" i="10"/>
  <c r="CG21" i="10" s="1"/>
  <c r="CG29" i="10"/>
  <c r="BS272" i="117"/>
  <c r="BS265" i="117"/>
  <c r="CP198" i="21"/>
  <c r="CP199" i="21" s="1"/>
  <c r="CP53" i="8"/>
  <c r="CU46" i="7"/>
  <c r="CU41" i="7"/>
  <c r="CU8" i="8"/>
  <c r="CU24" i="8"/>
  <c r="CU20" i="8"/>
  <c r="CI24" i="2"/>
  <c r="CI8" i="2"/>
  <c r="CI20" i="2"/>
  <c r="CE145" i="117"/>
  <c r="CE147" i="117" s="1"/>
  <c r="CD148" i="117"/>
  <c r="CX21" i="3"/>
  <c r="CY20" i="3"/>
  <c r="BZ205" i="117"/>
  <c r="BZ206" i="117" s="1"/>
  <c r="CL4" i="9"/>
  <c r="CL6" i="9" s="1"/>
  <c r="CK7" i="9"/>
  <c r="CI8" i="10"/>
  <c r="CI32" i="10"/>
  <c r="CI25" i="10"/>
  <c r="CG43" i="10"/>
  <c r="CG44" i="10" s="1"/>
  <c r="CG46" i="10"/>
  <c r="CJ52" i="16"/>
  <c r="CJ87" i="21"/>
  <c r="CJ40" i="16"/>
  <c r="CJ41" i="16" s="1"/>
  <c r="CJ33" i="16"/>
  <c r="CG18" i="2"/>
  <c r="CG35" i="2"/>
  <c r="CG36" i="2" s="1"/>
  <c r="CG38" i="2"/>
  <c r="CK60" i="17"/>
  <c r="CK88" i="21"/>
  <c r="CK41" i="17"/>
  <c r="CK48" i="17"/>
  <c r="CO7" i="17"/>
  <c r="CP4" i="17"/>
  <c r="CP6" i="17" s="1"/>
  <c r="BU200" i="117"/>
  <c r="BV199" i="117"/>
  <c r="BV200" i="117" s="1"/>
  <c r="DA30" i="3"/>
  <c r="CY31" i="3"/>
  <c r="CE44" i="3"/>
  <c r="CD45" i="3"/>
  <c r="CD46" i="3" s="1"/>
  <c r="CI33" i="9"/>
  <c r="CO6" i="16"/>
  <c r="CS4" i="16"/>
  <c r="CL67" i="16"/>
  <c r="CM67" i="16" s="1"/>
  <c r="CL21" i="16"/>
  <c r="CR64" i="8"/>
  <c r="CR65" i="8" s="1"/>
  <c r="CB162" i="117"/>
  <c r="CB158" i="117"/>
  <c r="CB159" i="117" s="1"/>
  <c r="CJ7" i="10"/>
  <c r="CK4" i="10"/>
  <c r="CK6" i="10" s="1"/>
  <c r="BR265" i="117"/>
  <c r="BR272" i="117"/>
  <c r="CV59" i="3"/>
  <c r="CV58" i="3"/>
  <c r="CV55" i="3"/>
  <c r="CA208" i="117"/>
  <c r="CA205" i="117" s="1"/>
  <c r="CA162" i="117"/>
  <c r="DC4" i="7"/>
  <c r="DC6" i="7" s="1"/>
  <c r="DB7" i="7"/>
  <c r="CW38" i="7"/>
  <c r="CY37" i="7"/>
  <c r="CK64" i="16"/>
  <c r="BX306" i="117"/>
  <c r="CO11" i="21" s="1"/>
  <c r="BX216" i="117"/>
  <c r="BX196" i="117"/>
  <c r="BX197" i="117" s="1"/>
  <c r="BX174" i="117"/>
  <c r="BX217" i="117" s="1"/>
  <c r="BX181" i="117"/>
  <c r="BY306" i="117"/>
  <c r="CP11" i="21" s="1"/>
  <c r="BY174" i="117"/>
  <c r="BY217" i="117" s="1"/>
  <c r="BY216" i="117"/>
  <c r="BY196" i="117"/>
  <c r="BY197" i="117" s="1"/>
  <c r="BY181" i="117"/>
  <c r="BY182" i="117" s="1"/>
  <c r="CK32" i="16"/>
  <c r="CK30" i="16"/>
  <c r="BV190" i="117"/>
  <c r="BV188" i="117"/>
  <c r="BV223" i="117" s="1"/>
  <c r="BV222" i="117"/>
  <c r="CM36" i="21"/>
  <c r="BU315" i="117"/>
  <c r="CL160" i="3"/>
  <c r="CO7" i="3"/>
  <c r="CP4" i="3"/>
  <c r="CP6" i="3" s="1"/>
  <c r="CE52" i="2"/>
  <c r="CE40" i="2"/>
  <c r="CE33" i="2"/>
  <c r="CE8" i="21"/>
  <c r="CE6" i="21" s="1"/>
  <c r="CE5" i="21" s="1"/>
  <c r="CV77" i="16"/>
  <c r="CW74" i="16"/>
  <c r="CW76" i="16" s="1"/>
  <c r="CU53" i="7"/>
  <c r="CU127" i="21"/>
  <c r="CM21" i="16"/>
  <c r="CM17" i="16"/>
  <c r="CM18" i="16" s="1"/>
  <c r="DJ95" i="15"/>
  <c r="DJ90" i="21"/>
  <c r="DK90" i="21" s="1"/>
  <c r="DJ97" i="15"/>
  <c r="DJ103" i="15"/>
  <c r="DK94" i="15"/>
  <c r="DI112" i="21"/>
  <c r="DI109" i="15"/>
  <c r="DI110" i="15" s="1"/>
  <c r="DI98" i="15"/>
  <c r="DI134" i="21"/>
  <c r="DI104" i="15"/>
  <c r="DJ33" i="15"/>
  <c r="DK32" i="15"/>
  <c r="DK31" i="15" s="1"/>
  <c r="DH69" i="15"/>
  <c r="DH70" i="15" s="1"/>
  <c r="DH41" i="15"/>
  <c r="DH48" i="15"/>
  <c r="DH49" i="15" s="1"/>
  <c r="DH86" i="21"/>
  <c r="DH60" i="15"/>
  <c r="DI72" i="15"/>
  <c r="DI73" i="15" s="1"/>
  <c r="DI20" i="15"/>
  <c r="DI21" i="15" s="1"/>
  <c r="DI29" i="15"/>
  <c r="DI40" i="15"/>
  <c r="DJ26" i="15"/>
  <c r="DJ75" i="15"/>
  <c r="DJ28" i="15"/>
  <c r="CD30" i="21" l="1"/>
  <c r="CD27" i="21"/>
  <c r="CD25" i="21" s="1"/>
  <c r="CI46" i="16"/>
  <c r="CI105" i="16" s="1"/>
  <c r="CK187" i="3"/>
  <c r="CK190" i="3" s="1"/>
  <c r="CK191" i="3" s="1"/>
  <c r="CJ32" i="21"/>
  <c r="CV61" i="3"/>
  <c r="CJ190" i="3"/>
  <c r="CJ191" i="3" s="1"/>
  <c r="CJ188" i="3"/>
  <c r="CR40" i="8"/>
  <c r="CR46" i="8" s="1"/>
  <c r="CR33" i="8"/>
  <c r="CR52" i="8"/>
  <c r="CR198" i="21" s="1"/>
  <c r="CR199" i="21" s="1"/>
  <c r="CR61" i="8"/>
  <c r="CR62" i="8" s="1"/>
  <c r="CW77" i="16"/>
  <c r="CX74" i="16"/>
  <c r="CX76" i="16" s="1"/>
  <c r="DA31" i="3"/>
  <c r="DB30" i="3"/>
  <c r="CU21" i="8"/>
  <c r="CU67" i="8"/>
  <c r="CU64" i="8" s="1"/>
  <c r="BX182" i="117"/>
  <c r="CK65" i="16"/>
  <c r="DC7" i="7"/>
  <c r="DD4" i="7"/>
  <c r="DD6" i="7" s="1"/>
  <c r="CP7" i="17"/>
  <c r="CQ4" i="17"/>
  <c r="CQ6" i="17" s="1"/>
  <c r="CI33" i="10"/>
  <c r="BZ202" i="117"/>
  <c r="CD165" i="117"/>
  <c r="CD149" i="117"/>
  <c r="CD161" i="117"/>
  <c r="CI25" i="2"/>
  <c r="CI57" i="17"/>
  <c r="CI58" i="17" s="1"/>
  <c r="CI55" i="17"/>
  <c r="CI110" i="21"/>
  <c r="CI66" i="17"/>
  <c r="CI67" i="17" s="1"/>
  <c r="CB166" i="117"/>
  <c r="CA178" i="117"/>
  <c r="CA170" i="117"/>
  <c r="CK7" i="2"/>
  <c r="CL4" i="2"/>
  <c r="CL6" i="2" s="1"/>
  <c r="CU91" i="21"/>
  <c r="CU86" i="16"/>
  <c r="CU84" i="16"/>
  <c r="CU92" i="16"/>
  <c r="CI29" i="9"/>
  <c r="CW58" i="3"/>
  <c r="CW59" i="3"/>
  <c r="CW55" i="3"/>
  <c r="CR173" i="21"/>
  <c r="CR178" i="21"/>
  <c r="CJ45" i="9"/>
  <c r="CJ46" i="9" s="1"/>
  <c r="CJ37" i="9"/>
  <c r="CJ38" i="9" s="1"/>
  <c r="CP7" i="3"/>
  <c r="CQ4" i="3"/>
  <c r="CQ6" i="3" s="1"/>
  <c r="BV225" i="117"/>
  <c r="BV191" i="117"/>
  <c r="BV226" i="117" s="1"/>
  <c r="CV8" i="8"/>
  <c r="CV24" i="8"/>
  <c r="CV25" i="8" s="1"/>
  <c r="CV20" i="8"/>
  <c r="CX65" i="7"/>
  <c r="CV78" i="16"/>
  <c r="CV83" i="16"/>
  <c r="CO8" i="3"/>
  <c r="CO81" i="3" s="1"/>
  <c r="CO80" i="3"/>
  <c r="CO86" i="3" s="1"/>
  <c r="BX187" i="117"/>
  <c r="CA202" i="117"/>
  <c r="CA203" i="117" s="1"/>
  <c r="CA206" i="117"/>
  <c r="CL4" i="10"/>
  <c r="CL6" i="10" s="1"/>
  <c r="CK7" i="10"/>
  <c r="CK132" i="21"/>
  <c r="CK61" i="17"/>
  <c r="CI26" i="10"/>
  <c r="CI28" i="10"/>
  <c r="CI75" i="10"/>
  <c r="CI72" i="10" s="1"/>
  <c r="CL7" i="9"/>
  <c r="CM6" i="9"/>
  <c r="CY21" i="3"/>
  <c r="DA20" i="3"/>
  <c r="CI21" i="2"/>
  <c r="CI67" i="2"/>
  <c r="CI64" i="2" s="1"/>
  <c r="CL37" i="16"/>
  <c r="CL29" i="16"/>
  <c r="CM25" i="16"/>
  <c r="CW7" i="8"/>
  <c r="CX4" i="8"/>
  <c r="CX6" i="8" s="1"/>
  <c r="BU259" i="117"/>
  <c r="BU264" i="117"/>
  <c r="BV258" i="117"/>
  <c r="BV259" i="117" s="1"/>
  <c r="CK85" i="17"/>
  <c r="CL82" i="17"/>
  <c r="CL84" i="17" s="1"/>
  <c r="CF53" i="2"/>
  <c r="CF57" i="21"/>
  <c r="DA25" i="7"/>
  <c r="CL38" i="17"/>
  <c r="CM37" i="17"/>
  <c r="CY53" i="3"/>
  <c r="DA53" i="3" s="1"/>
  <c r="CX54" i="3"/>
  <c r="CX60" i="3" s="1"/>
  <c r="CG70" i="10"/>
  <c r="CG10" i="10"/>
  <c r="CG11" i="10" s="1"/>
  <c r="CY38" i="7"/>
  <c r="CY35" i="7"/>
  <c r="CY36" i="7" s="1"/>
  <c r="CO7" i="16"/>
  <c r="CP4" i="16"/>
  <c r="CP6" i="16" s="1"/>
  <c r="CF44" i="3"/>
  <c r="CE45" i="3"/>
  <c r="CE46" i="3" s="1"/>
  <c r="CO32" i="17"/>
  <c r="CO8" i="17"/>
  <c r="CO25" i="17"/>
  <c r="CK8" i="9"/>
  <c r="CK32" i="9"/>
  <c r="CK25" i="9"/>
  <c r="CE148" i="117"/>
  <c r="CF145" i="117"/>
  <c r="CF147" i="117" s="1"/>
  <c r="BZ306" i="117"/>
  <c r="CQ11" i="21" s="1"/>
  <c r="BZ216" i="117"/>
  <c r="BZ174" i="117"/>
  <c r="BZ217" i="117" s="1"/>
  <c r="BZ196" i="117"/>
  <c r="BZ197" i="117" s="1"/>
  <c r="BZ181" i="117"/>
  <c r="BZ182" i="117" s="1"/>
  <c r="BU232" i="117"/>
  <c r="BV231" i="117"/>
  <c r="BV232" i="117" s="1"/>
  <c r="CI53" i="16"/>
  <c r="CI131" i="21"/>
  <c r="DA21" i="7"/>
  <c r="DA67" i="7"/>
  <c r="CI103" i="17"/>
  <c r="CI95" i="17"/>
  <c r="CI92" i="21"/>
  <c r="CI97" i="17"/>
  <c r="CI116" i="17" s="1"/>
  <c r="CE46" i="2"/>
  <c r="CE41" i="2"/>
  <c r="CE53" i="2"/>
  <c r="CE57" i="21"/>
  <c r="CE55" i="21" s="1"/>
  <c r="CE54" i="21" s="1"/>
  <c r="P50" i="11"/>
  <c r="P52" i="11" s="1"/>
  <c r="P53" i="11" s="1"/>
  <c r="P56" i="11" s="1"/>
  <c r="BV219" i="117"/>
  <c r="BV220" i="117" s="1"/>
  <c r="CK33" i="16"/>
  <c r="CK52" i="16"/>
  <c r="CK40" i="16"/>
  <c r="CK41" i="16" s="1"/>
  <c r="CK87" i="21"/>
  <c r="BY187" i="117"/>
  <c r="CK61" i="16"/>
  <c r="DB24" i="7"/>
  <c r="DB25" i="7" s="1"/>
  <c r="DB20" i="7"/>
  <c r="DB8" i="7"/>
  <c r="CJ8" i="10"/>
  <c r="CJ32" i="10"/>
  <c r="CJ33" i="10" s="1"/>
  <c r="CJ25" i="10"/>
  <c r="CL64" i="16"/>
  <c r="CL65" i="16" s="1"/>
  <c r="CI45" i="9"/>
  <c r="CI37" i="9"/>
  <c r="CI38" i="9" s="1"/>
  <c r="CB205" i="117"/>
  <c r="CK54" i="17"/>
  <c r="CK49" i="17"/>
  <c r="CJ46" i="16"/>
  <c r="CJ131" i="21"/>
  <c r="CJ53" i="16"/>
  <c r="CB208" i="117"/>
  <c r="CU25" i="8"/>
  <c r="CU47" i="7"/>
  <c r="CU58" i="7"/>
  <c r="CU105" i="21"/>
  <c r="CU49" i="7"/>
  <c r="CU50" i="7" s="1"/>
  <c r="CS38" i="8"/>
  <c r="CS35" i="8"/>
  <c r="CS36" i="8" s="1"/>
  <c r="CG13" i="10"/>
  <c r="CG73" i="10"/>
  <c r="CJ8" i="2"/>
  <c r="CJ24" i="2"/>
  <c r="CJ25" i="2" s="1"/>
  <c r="CJ20" i="2"/>
  <c r="CI72" i="9"/>
  <c r="CI73" i="9" s="1"/>
  <c r="CG10" i="2"/>
  <c r="CG62" i="2"/>
  <c r="CK56" i="21"/>
  <c r="CK195" i="3"/>
  <c r="CJ86" i="17"/>
  <c r="CJ94" i="17"/>
  <c r="CF46" i="2"/>
  <c r="CL46" i="17"/>
  <c r="CM45" i="17"/>
  <c r="CJ75" i="9"/>
  <c r="CJ72" i="9" s="1"/>
  <c r="CJ28" i="9"/>
  <c r="CJ26" i="9"/>
  <c r="DJ109" i="15"/>
  <c r="DJ110" i="15" s="1"/>
  <c r="DJ98" i="15"/>
  <c r="DJ112" i="21"/>
  <c r="DJ104" i="15"/>
  <c r="DJ134" i="21"/>
  <c r="DK97" i="15"/>
  <c r="DK88" i="15"/>
  <c r="DK89" i="15" s="1"/>
  <c r="DK95" i="15"/>
  <c r="DI69" i="15"/>
  <c r="DI70" i="15" s="1"/>
  <c r="DH54" i="15"/>
  <c r="DH66" i="15" s="1"/>
  <c r="DH67" i="15" s="1"/>
  <c r="DJ20" i="15"/>
  <c r="DJ21" i="15" s="1"/>
  <c r="DJ29" i="15"/>
  <c r="DJ72" i="15"/>
  <c r="DJ73" i="15" s="1"/>
  <c r="DH61" i="15"/>
  <c r="DH130" i="21"/>
  <c r="DI41" i="15"/>
  <c r="DI86" i="21"/>
  <c r="DI60" i="15"/>
  <c r="DJ45" i="15"/>
  <c r="DK33" i="15"/>
  <c r="CI47" i="16" l="1"/>
  <c r="CI49" i="16"/>
  <c r="CI50" i="16" s="1"/>
  <c r="CI58" i="16"/>
  <c r="CI59" i="16" s="1"/>
  <c r="CI109" i="21"/>
  <c r="CK32" i="21"/>
  <c r="CK200" i="3"/>
  <c r="CK201" i="3" s="1"/>
  <c r="CK188" i="3"/>
  <c r="CI69" i="9"/>
  <c r="CI70" i="9" s="1"/>
  <c r="CR41" i="8"/>
  <c r="CR53" i="8"/>
  <c r="CI124" i="17"/>
  <c r="CI125" i="17" s="1"/>
  <c r="CI117" i="17"/>
  <c r="CI119" i="17"/>
  <c r="CI120" i="17" s="1"/>
  <c r="CJ45" i="10"/>
  <c r="CJ46" i="10" s="1"/>
  <c r="CJ37" i="10"/>
  <c r="CJ38" i="10" s="1"/>
  <c r="CG145" i="117"/>
  <c r="CG147" i="117" s="1"/>
  <c r="CF148" i="117"/>
  <c r="CO33" i="17"/>
  <c r="DB53" i="3"/>
  <c r="DA54" i="3"/>
  <c r="DA60" i="3" s="1"/>
  <c r="CM84" i="17"/>
  <c r="CL85" i="17"/>
  <c r="DB20" i="3"/>
  <c r="DA21" i="3"/>
  <c r="CJ92" i="21"/>
  <c r="CJ103" i="17"/>
  <c r="CJ95" i="17"/>
  <c r="CJ97" i="17"/>
  <c r="CJ67" i="2"/>
  <c r="CJ21" i="2"/>
  <c r="CG14" i="10"/>
  <c r="CG15" i="10"/>
  <c r="CJ40" i="9"/>
  <c r="CJ29" i="9"/>
  <c r="CM43" i="17"/>
  <c r="CM44" i="17" s="1"/>
  <c r="CM46" i="17"/>
  <c r="CG11" i="2"/>
  <c r="CG13" i="2"/>
  <c r="CJ37" i="2"/>
  <c r="CJ38" i="2" s="1"/>
  <c r="CJ29" i="2"/>
  <c r="CJ30" i="2" s="1"/>
  <c r="CU37" i="8"/>
  <c r="CJ75" i="10"/>
  <c r="CJ28" i="10"/>
  <c r="CJ26" i="10"/>
  <c r="DB21" i="7"/>
  <c r="DB67" i="7"/>
  <c r="CK46" i="16"/>
  <c r="DA64" i="7"/>
  <c r="DA61" i="7" s="1"/>
  <c r="BZ187" i="117"/>
  <c r="CK33" i="9"/>
  <c r="CQ4" i="16"/>
  <c r="CQ6" i="16" s="1"/>
  <c r="CP7" i="16"/>
  <c r="CX59" i="3"/>
  <c r="CX58" i="3"/>
  <c r="CY54" i="3"/>
  <c r="CX55" i="3"/>
  <c r="CL30" i="16"/>
  <c r="CL32" i="16"/>
  <c r="CM29" i="16"/>
  <c r="CL32" i="9"/>
  <c r="CL33" i="9" s="1"/>
  <c r="CL8" i="9"/>
  <c r="CI69" i="10"/>
  <c r="CI73" i="10"/>
  <c r="CM6" i="10"/>
  <c r="CL7" i="10"/>
  <c r="CV37" i="8"/>
  <c r="CV38" i="8" s="1"/>
  <c r="CV29" i="8"/>
  <c r="CV30" i="8" s="1"/>
  <c r="CW61" i="3"/>
  <c r="CU135" i="21"/>
  <c r="CU93" i="16"/>
  <c r="CM6" i="2"/>
  <c r="CL7" i="2"/>
  <c r="CD162" i="117"/>
  <c r="CD208" i="117"/>
  <c r="DD7" i="7"/>
  <c r="DE6" i="7"/>
  <c r="DG4" i="7" s="1"/>
  <c r="CU59" i="7"/>
  <c r="CI46" i="9"/>
  <c r="CE33" i="21"/>
  <c r="CE31" i="21" s="1"/>
  <c r="CE49" i="2"/>
  <c r="CE50" i="2" s="1"/>
  <c r="CE58" i="2"/>
  <c r="CE59" i="2" s="1"/>
  <c r="CE47" i="2"/>
  <c r="CO24" i="16"/>
  <c r="CO8" i="16"/>
  <c r="CO20" i="16"/>
  <c r="CX7" i="8"/>
  <c r="CY7" i="8" s="1"/>
  <c r="CY8" i="8" s="1"/>
  <c r="CY6" i="8"/>
  <c r="DA4" i="8" s="1"/>
  <c r="CO87" i="3"/>
  <c r="CO159" i="3"/>
  <c r="CO160" i="3" s="1"/>
  <c r="DB31" i="3"/>
  <c r="DC30" i="3"/>
  <c r="CF49" i="2"/>
  <c r="CF50" i="2" s="1"/>
  <c r="CF58" i="2"/>
  <c r="CF59" i="2" s="1"/>
  <c r="CF33" i="21"/>
  <c r="CF47" i="2"/>
  <c r="CB154" i="117"/>
  <c r="CB206" i="117"/>
  <c r="CL61" i="16"/>
  <c r="CL62" i="16" s="1"/>
  <c r="CK62" i="16"/>
  <c r="CI98" i="17"/>
  <c r="CI109" i="17"/>
  <c r="CI114" i="21"/>
  <c r="CE165" i="117"/>
  <c r="CE166" i="117" s="1"/>
  <c r="CE149" i="117"/>
  <c r="CE161" i="117"/>
  <c r="CO28" i="17"/>
  <c r="CO26" i="17"/>
  <c r="CO75" i="17"/>
  <c r="CM34" i="17"/>
  <c r="CM35" i="17" s="1"/>
  <c r="CM38" i="17"/>
  <c r="CK86" i="17"/>
  <c r="CW24" i="8"/>
  <c r="CW8" i="8"/>
  <c r="CR185" i="21"/>
  <c r="CR58" i="8"/>
  <c r="CR59" i="8" s="1"/>
  <c r="CR49" i="8"/>
  <c r="CR50" i="8" s="1"/>
  <c r="CR47" i="8"/>
  <c r="CR4" i="3"/>
  <c r="CR6" i="3" s="1"/>
  <c r="CQ7" i="3"/>
  <c r="CI40" i="9"/>
  <c r="CU87" i="16"/>
  <c r="CU113" i="21"/>
  <c r="CU98" i="16"/>
  <c r="CB170" i="117"/>
  <c r="CA173" i="117"/>
  <c r="CA171" i="117"/>
  <c r="CD166" i="117"/>
  <c r="CQ7" i="17"/>
  <c r="CR4" i="17"/>
  <c r="CR6" i="17" s="1"/>
  <c r="CM64" i="16"/>
  <c r="CW78" i="16"/>
  <c r="CW83" i="16"/>
  <c r="CJ69" i="9"/>
  <c r="CJ70" i="9" s="1"/>
  <c r="CJ73" i="9"/>
  <c r="CK57" i="17"/>
  <c r="CK58" i="17" s="1"/>
  <c r="CK55" i="17"/>
  <c r="CK66" i="17"/>
  <c r="CK67" i="17" s="1"/>
  <c r="CK110" i="21"/>
  <c r="DB29" i="7"/>
  <c r="DB30" i="7" s="1"/>
  <c r="DB37" i="7"/>
  <c r="DB38" i="7" s="1"/>
  <c r="CI136" i="21"/>
  <c r="CI104" i="17"/>
  <c r="DA29" i="7"/>
  <c r="DA37" i="7"/>
  <c r="BU272" i="117"/>
  <c r="BV272" i="117" s="1"/>
  <c r="BU265" i="117"/>
  <c r="BV264" i="117"/>
  <c r="BV265" i="117" s="1"/>
  <c r="CL38" i="16"/>
  <c r="CM37" i="16"/>
  <c r="CI29" i="10"/>
  <c r="CK8" i="2"/>
  <c r="CK24" i="2"/>
  <c r="CK25" i="2" s="1"/>
  <c r="CK20" i="2"/>
  <c r="CI45" i="10"/>
  <c r="CI37" i="10"/>
  <c r="CI38" i="10" s="1"/>
  <c r="DC24" i="7"/>
  <c r="DC25" i="7" s="1"/>
  <c r="DC8" i="7"/>
  <c r="CY76" i="16"/>
  <c r="DA74" i="16" s="1"/>
  <c r="CX77" i="16"/>
  <c r="CJ47" i="16"/>
  <c r="CJ109" i="21"/>
  <c r="CJ49" i="16"/>
  <c r="CJ50" i="16" s="1"/>
  <c r="CJ58" i="16"/>
  <c r="CJ59" i="16" s="1"/>
  <c r="CJ105" i="16"/>
  <c r="BY190" i="117"/>
  <c r="BY222" i="117"/>
  <c r="BY199" i="117"/>
  <c r="BY200" i="117" s="1"/>
  <c r="BY188" i="117"/>
  <c r="BY223" i="117" s="1"/>
  <c r="BY309" i="117"/>
  <c r="CK131" i="21"/>
  <c r="CK53" i="16"/>
  <c r="CK75" i="9"/>
  <c r="CK28" i="9"/>
  <c r="CK29" i="9" s="1"/>
  <c r="CK26" i="9"/>
  <c r="CG44" i="3"/>
  <c r="CF45" i="3"/>
  <c r="CF46" i="3" s="1"/>
  <c r="CI113" i="16"/>
  <c r="CI114" i="16" s="1"/>
  <c r="CI106" i="16"/>
  <c r="CI108" i="16"/>
  <c r="CI109" i="16" s="1"/>
  <c r="CI61" i="2"/>
  <c r="CI65" i="2"/>
  <c r="CM5" i="9"/>
  <c r="CO4" i="9"/>
  <c r="CK32" i="10"/>
  <c r="CK33" i="10" s="1"/>
  <c r="CK45" i="10" s="1"/>
  <c r="CK46" i="10" s="1"/>
  <c r="CK8" i="10"/>
  <c r="CK25" i="10"/>
  <c r="BX309" i="117"/>
  <c r="BX199" i="117"/>
  <c r="BX190" i="117"/>
  <c r="BX188" i="117"/>
  <c r="BX223" i="117" s="1"/>
  <c r="BX222" i="117"/>
  <c r="CV92" i="16"/>
  <c r="CV84" i="16"/>
  <c r="CV91" i="21"/>
  <c r="CV86" i="16"/>
  <c r="CV21" i="8"/>
  <c r="CV67" i="8"/>
  <c r="CP8" i="3"/>
  <c r="CP81" i="3" s="1"/>
  <c r="CP80" i="3"/>
  <c r="CP86" i="3" s="1"/>
  <c r="CR17" i="21"/>
  <c r="CR179" i="21"/>
  <c r="CA179" i="117"/>
  <c r="CB178" i="117"/>
  <c r="CI37" i="2"/>
  <c r="BZ203" i="117"/>
  <c r="CB202" i="117"/>
  <c r="CP8" i="17"/>
  <c r="CP32" i="17"/>
  <c r="CP33" i="17" s="1"/>
  <c r="CU61" i="8"/>
  <c r="CU62" i="8" s="1"/>
  <c r="CU65" i="8"/>
  <c r="CM7" i="9"/>
  <c r="CM8" i="9" s="1"/>
  <c r="DK100" i="15"/>
  <c r="DK101" i="15" s="1"/>
  <c r="DK98" i="15"/>
  <c r="DK112" i="21"/>
  <c r="DH108" i="21"/>
  <c r="DH116" i="15"/>
  <c r="DH124" i="15" s="1"/>
  <c r="DH125" i="15" s="1"/>
  <c r="DH57" i="15"/>
  <c r="DH58" i="15" s="1"/>
  <c r="DH55" i="15"/>
  <c r="DJ69" i="15"/>
  <c r="DJ70" i="15" s="1"/>
  <c r="DI130" i="21"/>
  <c r="DI61" i="15"/>
  <c r="DJ46" i="15"/>
  <c r="DK45" i="15"/>
  <c r="CE30" i="21" l="1"/>
  <c r="CE27" i="21"/>
  <c r="CE25" i="21" s="1"/>
  <c r="CX61" i="3"/>
  <c r="CI40" i="10"/>
  <c r="CI85" i="21" s="1"/>
  <c r="DA62" i="7"/>
  <c r="CK21" i="2"/>
  <c r="CK67" i="2"/>
  <c r="CK64" i="2" s="1"/>
  <c r="CE208" i="117"/>
  <c r="CE162" i="117"/>
  <c r="CO25" i="16"/>
  <c r="CK26" i="10"/>
  <c r="CK28" i="10"/>
  <c r="CK75" i="10"/>
  <c r="CO6" i="9"/>
  <c r="CS4" i="9"/>
  <c r="CK72" i="9"/>
  <c r="CK73" i="9" s="1"/>
  <c r="CP36" i="21"/>
  <c r="BY315" i="117"/>
  <c r="CP37" i="17"/>
  <c r="CP38" i="17" s="1"/>
  <c r="CP45" i="17"/>
  <c r="CP46" i="17" s="1"/>
  <c r="CV32" i="8"/>
  <c r="CV93" i="16"/>
  <c r="CV135" i="21"/>
  <c r="BX191" i="117"/>
  <c r="BX226" i="117" s="1"/>
  <c r="BX225" i="117"/>
  <c r="CI44" i="3"/>
  <c r="CG45" i="3"/>
  <c r="CG46" i="3" s="1"/>
  <c r="CJ106" i="16"/>
  <c r="CJ108" i="16"/>
  <c r="CJ109" i="16" s="1"/>
  <c r="CJ113" i="16"/>
  <c r="CJ114" i="16" s="1"/>
  <c r="CI46" i="10"/>
  <c r="CM65" i="16"/>
  <c r="CM13" i="16"/>
  <c r="CM14" i="16" s="1"/>
  <c r="CM15" i="16"/>
  <c r="CD178" i="117"/>
  <c r="CD170" i="117"/>
  <c r="CB171" i="117"/>
  <c r="CB167" i="117"/>
  <c r="CB168" i="117" s="1"/>
  <c r="CI41" i="9"/>
  <c r="CI84" i="21"/>
  <c r="CI60" i="9"/>
  <c r="CI48" i="9"/>
  <c r="CI49" i="9" s="1"/>
  <c r="CO29" i="17"/>
  <c r="DC31" i="3"/>
  <c r="DD30" i="3"/>
  <c r="DE7" i="7"/>
  <c r="DE8" i="7" s="1"/>
  <c r="DD24" i="7"/>
  <c r="DD25" i="7" s="1"/>
  <c r="DD8" i="7"/>
  <c r="DD20" i="7"/>
  <c r="CM7" i="2"/>
  <c r="CM8" i="2" s="1"/>
  <c r="CL8" i="2"/>
  <c r="CL24" i="2"/>
  <c r="CL20" i="2"/>
  <c r="CM5" i="10"/>
  <c r="CO4" i="10"/>
  <c r="CR4" i="16"/>
  <c r="CR6" i="16" s="1"/>
  <c r="CQ7" i="16"/>
  <c r="DB32" i="7"/>
  <c r="CJ29" i="10"/>
  <c r="CJ40" i="10"/>
  <c r="CJ104" i="17"/>
  <c r="CJ136" i="21"/>
  <c r="CM85" i="17"/>
  <c r="CM86" i="17" s="1"/>
  <c r="CL86" i="17"/>
  <c r="CL94" i="17"/>
  <c r="DC53" i="3"/>
  <c r="DB54" i="3"/>
  <c r="DB60" i="3" s="1"/>
  <c r="CG148" i="117"/>
  <c r="CH147" i="117"/>
  <c r="CJ145" i="117"/>
  <c r="CI38" i="2"/>
  <c r="CV64" i="8"/>
  <c r="CV65" i="8" s="1"/>
  <c r="DC37" i="7"/>
  <c r="DC38" i="7" s="1"/>
  <c r="CS6" i="17"/>
  <c r="CR7" i="17"/>
  <c r="CS7" i="17" s="1"/>
  <c r="CS8" i="17" s="1"/>
  <c r="CU99" i="16"/>
  <c r="CW25" i="8"/>
  <c r="CM5" i="2"/>
  <c r="CO4" i="2"/>
  <c r="CL45" i="9"/>
  <c r="CL46" i="9" s="1"/>
  <c r="CL37" i="9"/>
  <c r="CL38" i="9" s="1"/>
  <c r="CM32" i="9"/>
  <c r="CM31" i="9" s="1"/>
  <c r="DA65" i="7"/>
  <c r="DB64" i="7"/>
  <c r="DB65" i="7" s="1"/>
  <c r="CJ72" i="10"/>
  <c r="CG14" i="2"/>
  <c r="CG15" i="2"/>
  <c r="CJ64" i="2"/>
  <c r="CJ61" i="2" s="1"/>
  <c r="CM83" i="17"/>
  <c r="CO82" i="17"/>
  <c r="CB151" i="117"/>
  <c r="CB152" i="117" s="1"/>
  <c r="CB203" i="117"/>
  <c r="CB179" i="117"/>
  <c r="CB176" i="117"/>
  <c r="CB177" i="117" s="1"/>
  <c r="CP87" i="3"/>
  <c r="CP159" i="3"/>
  <c r="BX231" i="117"/>
  <c r="BX258" i="117"/>
  <c r="BX219" i="117"/>
  <c r="BX220" i="117" s="1"/>
  <c r="CO36" i="21"/>
  <c r="BX315" i="117"/>
  <c r="BY231" i="117"/>
  <c r="BY232" i="117" s="1"/>
  <c r="BY258" i="117"/>
  <c r="BY219" i="117"/>
  <c r="BY220" i="117" s="1"/>
  <c r="DE74" i="16"/>
  <c r="DA76" i="16"/>
  <c r="CK37" i="2"/>
  <c r="CK38" i="2" s="1"/>
  <c r="CK29" i="2"/>
  <c r="CK30" i="2" s="1"/>
  <c r="DA30" i="7"/>
  <c r="DA32" i="7"/>
  <c r="CW91" i="21"/>
  <c r="CW84" i="16"/>
  <c r="CW86" i="16"/>
  <c r="CW92" i="16"/>
  <c r="CQ32" i="17"/>
  <c r="CQ8" i="17"/>
  <c r="CQ25" i="17"/>
  <c r="CS6" i="3"/>
  <c r="CR7" i="3"/>
  <c r="CR213" i="21"/>
  <c r="CR214" i="21" s="1"/>
  <c r="CR186" i="21"/>
  <c r="CR191" i="21"/>
  <c r="CO72" i="17"/>
  <c r="CO73" i="17" s="1"/>
  <c r="CI110" i="17"/>
  <c r="CM61" i="16"/>
  <c r="CB155" i="117"/>
  <c r="CB156" i="117"/>
  <c r="CX8" i="8"/>
  <c r="CX24" i="8"/>
  <c r="CX25" i="8" s="1"/>
  <c r="CX20" i="8"/>
  <c r="CD205" i="117"/>
  <c r="CM30" i="16"/>
  <c r="CM26" i="16"/>
  <c r="CM27" i="16" s="1"/>
  <c r="CK45" i="9"/>
  <c r="CM33" i="9"/>
  <c r="CU38" i="8"/>
  <c r="CJ60" i="9"/>
  <c r="CJ84" i="21"/>
  <c r="CJ41" i="9"/>
  <c r="CJ48" i="9"/>
  <c r="CJ49" i="9" s="1"/>
  <c r="CJ98" i="17"/>
  <c r="CJ114" i="21"/>
  <c r="CJ109" i="17"/>
  <c r="CJ110" i="17" s="1"/>
  <c r="CO45" i="17"/>
  <c r="CO37" i="17"/>
  <c r="CO40" i="17" s="1"/>
  <c r="CV98" i="16"/>
  <c r="CV99" i="16" s="1"/>
  <c r="CV113" i="21"/>
  <c r="CV87" i="16"/>
  <c r="BX200" i="117"/>
  <c r="CY77" i="16"/>
  <c r="CY78" i="16" s="1"/>
  <c r="CX78" i="16"/>
  <c r="DA38" i="7"/>
  <c r="CQ80" i="3"/>
  <c r="CQ86" i="3" s="1"/>
  <c r="CQ8" i="3"/>
  <c r="CQ81" i="3" s="1"/>
  <c r="DE4" i="8"/>
  <c r="DA6" i="8"/>
  <c r="CI62" i="2"/>
  <c r="BY225" i="117"/>
  <c r="BY191" i="117"/>
  <c r="BY226" i="117" s="1"/>
  <c r="CM38" i="16"/>
  <c r="CM35" i="16"/>
  <c r="CM36" i="16" s="1"/>
  <c r="CA216" i="117"/>
  <c r="CA174" i="117"/>
  <c r="CA217" i="117" s="1"/>
  <c r="CA306" i="117"/>
  <c r="CR11" i="21" s="1"/>
  <c r="CS11" i="21" s="1"/>
  <c r="CA196" i="117"/>
  <c r="CA197" i="117" s="1"/>
  <c r="CA181" i="117"/>
  <c r="CA187" i="117" s="1"/>
  <c r="CB173" i="117"/>
  <c r="CE178" i="117"/>
  <c r="CE179" i="117" s="1"/>
  <c r="CE170" i="117"/>
  <c r="CO21" i="16"/>
  <c r="CO67" i="16"/>
  <c r="CO64" i="16" s="1"/>
  <c r="DK4" i="7"/>
  <c r="DG6" i="7"/>
  <c r="CL32" i="10"/>
  <c r="CL33" i="10" s="1"/>
  <c r="CM33" i="10" s="1"/>
  <c r="CL8" i="10"/>
  <c r="CL25" i="10"/>
  <c r="CM25" i="10" s="1"/>
  <c r="CM7" i="10"/>
  <c r="CM8" i="10" s="1"/>
  <c r="CI70" i="10"/>
  <c r="CM32" i="16"/>
  <c r="CM33" i="16" s="1"/>
  <c r="CL33" i="16"/>
  <c r="CL52" i="16"/>
  <c r="CL87" i="21"/>
  <c r="CM87" i="21" s="1"/>
  <c r="CY60" i="3"/>
  <c r="CY59" i="3"/>
  <c r="CY58" i="3"/>
  <c r="CP8" i="16"/>
  <c r="CP24" i="16"/>
  <c r="CP25" i="16" s="1"/>
  <c r="CP20" i="16"/>
  <c r="BZ188" i="117"/>
  <c r="BZ223" i="117" s="1"/>
  <c r="BZ222" i="117"/>
  <c r="BZ190" i="117"/>
  <c r="BZ309" i="117"/>
  <c r="BZ199" i="117"/>
  <c r="BZ200" i="117" s="1"/>
  <c r="CK58" i="16"/>
  <c r="CK59" i="16" s="1"/>
  <c r="CK105" i="16"/>
  <c r="CK47" i="16"/>
  <c r="CK49" i="16"/>
  <c r="CK50" i="16" s="1"/>
  <c r="CK109" i="21"/>
  <c r="CJ32" i="2"/>
  <c r="DC20" i="3"/>
  <c r="DB21" i="3"/>
  <c r="DA59" i="3"/>
  <c r="DA55" i="3"/>
  <c r="DA58" i="3"/>
  <c r="CF165" i="117"/>
  <c r="CF149" i="117"/>
  <c r="CF161" i="117"/>
  <c r="DH117" i="15"/>
  <c r="DH119" i="15"/>
  <c r="DH120" i="15" s="1"/>
  <c r="DK46" i="15"/>
  <c r="DK43" i="15"/>
  <c r="DK44" i="15" s="1"/>
  <c r="CI41" i="10" l="1"/>
  <c r="CI60" i="10"/>
  <c r="CI61" i="10" s="1"/>
  <c r="CO69" i="17"/>
  <c r="CO70" i="17" s="1"/>
  <c r="CY61" i="3"/>
  <c r="CK32" i="2"/>
  <c r="CK40" i="2" s="1"/>
  <c r="CI54" i="9"/>
  <c r="CI106" i="21" s="1"/>
  <c r="CK69" i="9"/>
  <c r="CK70" i="9" s="1"/>
  <c r="DB61" i="7"/>
  <c r="DB62" i="7" s="1"/>
  <c r="CI48" i="10"/>
  <c r="CI49" i="10" s="1"/>
  <c r="CV61" i="8"/>
  <c r="CV62" i="8" s="1"/>
  <c r="CA309" i="117"/>
  <c r="CA222" i="117"/>
  <c r="CA219" i="117" s="1"/>
  <c r="CA220" i="117" s="1"/>
  <c r="CA190" i="117"/>
  <c r="CA199" i="117"/>
  <c r="CA200" i="117" s="1"/>
  <c r="CA188" i="117"/>
  <c r="CA223" i="117" s="1"/>
  <c r="CB187" i="117"/>
  <c r="CM75" i="10"/>
  <c r="CM26" i="10"/>
  <c r="CM17" i="10"/>
  <c r="CM18" i="10" s="1"/>
  <c r="CJ62" i="2"/>
  <c r="CQ36" i="21"/>
  <c r="BZ315" i="117"/>
  <c r="DA7" i="8"/>
  <c r="DB4" i="8"/>
  <c r="DB6" i="8" s="1"/>
  <c r="CW135" i="21"/>
  <c r="CW93" i="16"/>
  <c r="BY264" i="117"/>
  <c r="BY259" i="117"/>
  <c r="CJ73" i="10"/>
  <c r="CJ40" i="2"/>
  <c r="CJ41" i="2" s="1"/>
  <c r="CJ52" i="2"/>
  <c r="CJ8" i="21"/>
  <c r="CJ6" i="21" s="1"/>
  <c r="CJ5" i="21" s="1"/>
  <c r="CJ33" i="2"/>
  <c r="CO61" i="16"/>
  <c r="CO65" i="16"/>
  <c r="CB174" i="117"/>
  <c r="CB217" i="117" s="1"/>
  <c r="CB216" i="117"/>
  <c r="CB196" i="117"/>
  <c r="CB197" i="117" s="1"/>
  <c r="CQ87" i="3"/>
  <c r="CQ159" i="3"/>
  <c r="CK46" i="9"/>
  <c r="CM45" i="9"/>
  <c r="CD202" i="117"/>
  <c r="CD206" i="117"/>
  <c r="CR192" i="21"/>
  <c r="CR42" i="21"/>
  <c r="CU4" i="3"/>
  <c r="CS5" i="3"/>
  <c r="CQ33" i="17"/>
  <c r="BX259" i="117"/>
  <c r="BX264" i="117"/>
  <c r="CS82" i="17"/>
  <c r="CO84" i="17"/>
  <c r="CJ69" i="10"/>
  <c r="CM32" i="10"/>
  <c r="CM31" i="10" s="1"/>
  <c r="CH148" i="117"/>
  <c r="CH149" i="117" s="1"/>
  <c r="CG149" i="117"/>
  <c r="CG165" i="117"/>
  <c r="CG166" i="117" s="1"/>
  <c r="CG161" i="117"/>
  <c r="CL103" i="17"/>
  <c r="CL97" i="17"/>
  <c r="CL92" i="21"/>
  <c r="CL95" i="17"/>
  <c r="CS4" i="10"/>
  <c r="CO6" i="10"/>
  <c r="DD37" i="7"/>
  <c r="CD179" i="117"/>
  <c r="CE205" i="117"/>
  <c r="CE206" i="117" s="1"/>
  <c r="CF166" i="117"/>
  <c r="CL131" i="21"/>
  <c r="CL53" i="16"/>
  <c r="CM52" i="16"/>
  <c r="CO46" i="17"/>
  <c r="DA52" i="7"/>
  <c r="DA40" i="7"/>
  <c r="DA46" i="7" s="1"/>
  <c r="DA33" i="7"/>
  <c r="DA83" i="21"/>
  <c r="CJ65" i="2"/>
  <c r="DB83" i="21"/>
  <c r="DB52" i="7"/>
  <c r="DB33" i="7"/>
  <c r="CO41" i="17"/>
  <c r="CO60" i="17"/>
  <c r="CO88" i="21"/>
  <c r="CO48" i="17"/>
  <c r="CO49" i="17" s="1"/>
  <c r="CV172" i="21"/>
  <c r="CV173" i="21" s="1"/>
  <c r="CV52" i="8"/>
  <c r="CV33" i="8"/>
  <c r="CP4" i="9"/>
  <c r="CP6" i="9" s="1"/>
  <c r="CO7" i="9"/>
  <c r="BZ191" i="117"/>
  <c r="BZ226" i="117" s="1"/>
  <c r="BZ225" i="117"/>
  <c r="DG7" i="7"/>
  <c r="DH4" i="7"/>
  <c r="DH6" i="7" s="1"/>
  <c r="CE173" i="117"/>
  <c r="CE171" i="117"/>
  <c r="CJ61" i="9"/>
  <c r="CJ128" i="21"/>
  <c r="CX37" i="8"/>
  <c r="CX38" i="8" s="1"/>
  <c r="CX29" i="8"/>
  <c r="CX30" i="8" s="1"/>
  <c r="CQ28" i="17"/>
  <c r="CQ29" i="17" s="1"/>
  <c r="CQ26" i="17"/>
  <c r="CQ75" i="17"/>
  <c r="CW113" i="21"/>
  <c r="CW98" i="16"/>
  <c r="CW99" i="16" s="1"/>
  <c r="CW87" i="16"/>
  <c r="DA77" i="16"/>
  <c r="DB74" i="16"/>
  <c r="DB76" i="16" s="1"/>
  <c r="CP176" i="3"/>
  <c r="CP160" i="3"/>
  <c r="CO6" i="2"/>
  <c r="CS4" i="2"/>
  <c r="CY24" i="8"/>
  <c r="CY23" i="8" s="1"/>
  <c r="CR32" i="17"/>
  <c r="CR33" i="17" s="1"/>
  <c r="CR8" i="17"/>
  <c r="CN145" i="117"/>
  <c r="CJ147" i="117"/>
  <c r="DB59" i="3"/>
  <c r="DB55" i="3"/>
  <c r="DB58" i="3"/>
  <c r="CQ24" i="16"/>
  <c r="CQ8" i="16"/>
  <c r="CQ20" i="16"/>
  <c r="CM20" i="2"/>
  <c r="CL21" i="2"/>
  <c r="CL67" i="2"/>
  <c r="DD21" i="7"/>
  <c r="DD67" i="7"/>
  <c r="CD173" i="117"/>
  <c r="CD171" i="117"/>
  <c r="CJ44" i="3"/>
  <c r="CI45" i="3"/>
  <c r="CI46" i="3" s="1"/>
  <c r="CK72" i="10"/>
  <c r="CK73" i="10" s="1"/>
  <c r="CO29" i="16"/>
  <c r="CO37" i="16"/>
  <c r="CK61" i="2"/>
  <c r="CK62" i="2" s="1"/>
  <c r="CK65" i="2"/>
  <c r="DE25" i="7"/>
  <c r="CP21" i="16"/>
  <c r="CP67" i="16"/>
  <c r="CL45" i="10"/>
  <c r="CA182" i="117"/>
  <c r="CB181" i="117"/>
  <c r="CX67" i="8"/>
  <c r="CX21" i="8"/>
  <c r="BX232" i="117"/>
  <c r="CI61" i="9"/>
  <c r="CI128" i="21"/>
  <c r="CK106" i="16"/>
  <c r="CK113" i="16"/>
  <c r="CK114" i="16" s="1"/>
  <c r="CK108" i="16"/>
  <c r="CK109" i="16" s="1"/>
  <c r="CP29" i="16"/>
  <c r="CP37" i="16"/>
  <c r="CP38" i="16" s="1"/>
  <c r="CF162" i="117"/>
  <c r="CF208" i="117"/>
  <c r="DA61" i="3"/>
  <c r="DD20" i="3"/>
  <c r="DC21" i="3"/>
  <c r="BZ258" i="117"/>
  <c r="BZ231" i="117"/>
  <c r="BZ232" i="117" s="1"/>
  <c r="BZ219" i="117"/>
  <c r="BZ220" i="117" s="1"/>
  <c r="CL26" i="10"/>
  <c r="CL75" i="10"/>
  <c r="CL72" i="10" s="1"/>
  <c r="CL28" i="10"/>
  <c r="CO38" i="17"/>
  <c r="CJ54" i="9"/>
  <c r="CM62" i="16"/>
  <c r="CM10" i="16"/>
  <c r="CM11" i="16" s="1"/>
  <c r="CR8" i="3"/>
  <c r="CR81" i="3" s="1"/>
  <c r="CR80" i="3"/>
  <c r="CR86" i="3" s="1"/>
  <c r="DE24" i="7"/>
  <c r="DE23" i="7" s="1"/>
  <c r="CW37" i="8"/>
  <c r="CW29" i="8"/>
  <c r="CW30" i="8" s="1"/>
  <c r="CY25" i="8"/>
  <c r="CU4" i="17"/>
  <c r="CS5" i="17"/>
  <c r="DD53" i="3"/>
  <c r="DC54" i="3"/>
  <c r="CJ85" i="21"/>
  <c r="CJ41" i="10"/>
  <c r="CJ60" i="10"/>
  <c r="CJ48" i="10"/>
  <c r="CJ49" i="10" s="1"/>
  <c r="CR7" i="16"/>
  <c r="CS6" i="16"/>
  <c r="CL25" i="2"/>
  <c r="CM24" i="2"/>
  <c r="CM23" i="2" s="1"/>
  <c r="DD31" i="3"/>
  <c r="DE30" i="3"/>
  <c r="CK29" i="10"/>
  <c r="CS7" i="3"/>
  <c r="CI129" i="21" l="1"/>
  <c r="CJ46" i="2"/>
  <c r="CJ33" i="21" s="1"/>
  <c r="CJ31" i="21" s="1"/>
  <c r="CI54" i="10"/>
  <c r="CI55" i="10" s="1"/>
  <c r="CO54" i="17"/>
  <c r="CO66" i="17" s="1"/>
  <c r="CO67" i="17" s="1"/>
  <c r="DB61" i="3"/>
  <c r="CK52" i="2"/>
  <c r="CK53" i="2" s="1"/>
  <c r="CK8" i="21"/>
  <c r="CK6" i="21" s="1"/>
  <c r="CK5" i="21" s="1"/>
  <c r="CK33" i="2"/>
  <c r="CI57" i="9"/>
  <c r="CI58" i="9" s="1"/>
  <c r="CI66" i="9"/>
  <c r="CI67" i="9" s="1"/>
  <c r="CI55" i="9"/>
  <c r="CK69" i="10"/>
  <c r="CK70" i="10" s="1"/>
  <c r="CB199" i="117"/>
  <c r="CB200" i="117" s="1"/>
  <c r="CH165" i="117"/>
  <c r="CE202" i="117"/>
  <c r="CE203" i="117" s="1"/>
  <c r="DE53" i="3"/>
  <c r="DD54" i="3"/>
  <c r="DD60" i="3" s="1"/>
  <c r="CD306" i="117"/>
  <c r="CU11" i="21" s="1"/>
  <c r="CD196" i="117"/>
  <c r="CD197" i="117" s="1"/>
  <c r="CD174" i="117"/>
  <c r="CD217" i="117" s="1"/>
  <c r="CD216" i="117"/>
  <c r="CD181" i="117"/>
  <c r="DG30" i="3"/>
  <c r="DE31" i="3"/>
  <c r="CS5" i="16"/>
  <c r="CU4" i="16"/>
  <c r="CJ61" i="10"/>
  <c r="CJ129" i="21"/>
  <c r="DC55" i="3"/>
  <c r="DC59" i="3"/>
  <c r="DC58" i="3"/>
  <c r="CR159" i="3"/>
  <c r="CR87" i="3"/>
  <c r="CJ106" i="21"/>
  <c r="CJ66" i="9"/>
  <c r="CJ67" i="9" s="1"/>
  <c r="CJ57" i="9"/>
  <c r="CJ58" i="9" s="1"/>
  <c r="CJ55" i="9"/>
  <c r="CX64" i="8"/>
  <c r="CX65" i="8" s="1"/>
  <c r="CO38" i="16"/>
  <c r="CM67" i="2"/>
  <c r="CM21" i="2"/>
  <c r="CM17" i="2"/>
  <c r="CJ148" i="117"/>
  <c r="CK145" i="117"/>
  <c r="CK147" i="117" s="1"/>
  <c r="DC74" i="16"/>
  <c r="DC76" i="16" s="1"/>
  <c r="DB77" i="16"/>
  <c r="DI4" i="7"/>
  <c r="DI6" i="7" s="1"/>
  <c r="DH7" i="7"/>
  <c r="CO8" i="9"/>
  <c r="CO32" i="9"/>
  <c r="CO25" i="9"/>
  <c r="CV53" i="8"/>
  <c r="CV198" i="21"/>
  <c r="CV199" i="21" s="1"/>
  <c r="DA105" i="21"/>
  <c r="DA47" i="7"/>
  <c r="DA49" i="7"/>
  <c r="DA50" i="7" s="1"/>
  <c r="DA58" i="7"/>
  <c r="DA53" i="7"/>
  <c r="DA127" i="21"/>
  <c r="CL104" i="17"/>
  <c r="CL136" i="21"/>
  <c r="BX265" i="117"/>
  <c r="BX272" i="117"/>
  <c r="CQ160" i="3"/>
  <c r="CQ176" i="3"/>
  <c r="CO30" i="16"/>
  <c r="CO32" i="16"/>
  <c r="CQ21" i="16"/>
  <c r="CQ67" i="16"/>
  <c r="CQ64" i="16" s="1"/>
  <c r="DA78" i="16"/>
  <c r="DA83" i="16"/>
  <c r="DG20" i="7"/>
  <c r="DG8" i="7"/>
  <c r="DG24" i="7"/>
  <c r="CP7" i="9"/>
  <c r="CQ4" i="9"/>
  <c r="CQ6" i="9" s="1"/>
  <c r="CJ53" i="2"/>
  <c r="CJ57" i="21"/>
  <c r="CJ55" i="21" s="1"/>
  <c r="CJ54" i="21" s="1"/>
  <c r="CW38" i="8"/>
  <c r="CY37" i="8"/>
  <c r="CP30" i="16"/>
  <c r="CP32" i="16"/>
  <c r="CX32" i="8"/>
  <c r="CB184" i="117"/>
  <c r="CB185" i="117" s="1"/>
  <c r="CB182" i="117"/>
  <c r="CP64" i="16"/>
  <c r="CP61" i="16" s="1"/>
  <c r="CP62" i="16" s="1"/>
  <c r="CL64" i="2"/>
  <c r="CL61" i="2" s="1"/>
  <c r="CP4" i="2"/>
  <c r="CP6" i="2" s="1"/>
  <c r="CO7" i="2"/>
  <c r="CP7" i="21"/>
  <c r="CP194" i="3"/>
  <c r="CP180" i="3"/>
  <c r="CP181" i="3" s="1"/>
  <c r="CP177" i="3"/>
  <c r="CQ72" i="17"/>
  <c r="CQ73" i="17" s="1"/>
  <c r="CO61" i="17"/>
  <c r="CO132" i="21"/>
  <c r="DB53" i="7"/>
  <c r="DB127" i="21"/>
  <c r="DD38" i="7"/>
  <c r="DE37" i="7"/>
  <c r="CH161" i="117"/>
  <c r="CG162" i="117"/>
  <c r="CG208" i="117"/>
  <c r="CH208" i="117" s="1"/>
  <c r="CP82" i="17"/>
  <c r="CP84" i="17" s="1"/>
  <c r="CO85" i="17"/>
  <c r="CS32" i="17"/>
  <c r="CS31" i="17" s="1"/>
  <c r="CS86" i="3"/>
  <c r="CM46" i="9"/>
  <c r="CM43" i="9"/>
  <c r="CM44" i="9" s="1"/>
  <c r="CJ49" i="2"/>
  <c r="CJ50" i="2" s="1"/>
  <c r="CJ47" i="2"/>
  <c r="BY265" i="117"/>
  <c r="BY272" i="117"/>
  <c r="DA24" i="8"/>
  <c r="DA8" i="8"/>
  <c r="DA20" i="8"/>
  <c r="CB222" i="117"/>
  <c r="Q50" i="11" s="1"/>
  <c r="Q52" i="11" s="1"/>
  <c r="Q53" i="11" s="1"/>
  <c r="Q56" i="11" s="1"/>
  <c r="CB188" i="117"/>
  <c r="CB223" i="117" s="1"/>
  <c r="CB190" i="117"/>
  <c r="CA231" i="117"/>
  <c r="CA232" i="117" s="1"/>
  <c r="CA258" i="117"/>
  <c r="CS7" i="16"/>
  <c r="CS8" i="16" s="1"/>
  <c r="CR24" i="16"/>
  <c r="CR25" i="16" s="1"/>
  <c r="CR8" i="16"/>
  <c r="CR20" i="16"/>
  <c r="DE20" i="3"/>
  <c r="DD21" i="3"/>
  <c r="CL46" i="10"/>
  <c r="CM45" i="10"/>
  <c r="CK44" i="3"/>
  <c r="CJ45" i="3"/>
  <c r="CJ46" i="3" s="1"/>
  <c r="CK46" i="2"/>
  <c r="CK41" i="2"/>
  <c r="CJ70" i="10"/>
  <c r="CY4" i="3"/>
  <c r="CU6" i="3"/>
  <c r="CD203" i="117"/>
  <c r="CO62" i="16"/>
  <c r="DB7" i="8"/>
  <c r="DC4" i="8"/>
  <c r="DC6" i="8" s="1"/>
  <c r="CA225" i="117"/>
  <c r="CA191" i="117"/>
  <c r="CA226" i="117" s="1"/>
  <c r="CS80" i="3"/>
  <c r="CS8" i="3"/>
  <c r="CS81" i="3" s="1"/>
  <c r="CL29" i="10"/>
  <c r="CM28" i="10"/>
  <c r="CL37" i="2"/>
  <c r="CL29" i="2"/>
  <c r="CM25" i="2"/>
  <c r="CJ54" i="10"/>
  <c r="DC60" i="3"/>
  <c r="CY4" i="17"/>
  <c r="CU6" i="17"/>
  <c r="CL69" i="10"/>
  <c r="CL70" i="10" s="1"/>
  <c r="CL73" i="10"/>
  <c r="BZ259" i="117"/>
  <c r="BZ264" i="117"/>
  <c r="CF205" i="117"/>
  <c r="DD64" i="7"/>
  <c r="DD65" i="7" s="1"/>
  <c r="CQ25" i="16"/>
  <c r="CR45" i="17"/>
  <c r="CR46" i="17" s="1"/>
  <c r="CR37" i="17"/>
  <c r="CR38" i="17" s="1"/>
  <c r="CE196" i="117"/>
  <c r="CE197" i="117" s="1"/>
  <c r="CE174" i="117"/>
  <c r="CE217" i="117" s="1"/>
  <c r="CE216" i="117"/>
  <c r="CE306" i="117"/>
  <c r="CV11" i="21" s="1"/>
  <c r="CE181" i="117"/>
  <c r="CE182" i="117" s="1"/>
  <c r="DA41" i="7"/>
  <c r="CM131" i="21"/>
  <c r="CM53" i="16"/>
  <c r="CM55" i="16"/>
  <c r="CM56" i="16" s="1"/>
  <c r="P156" i="11"/>
  <c r="CF178" i="117"/>
  <c r="CF170" i="117"/>
  <c r="CH166" i="117"/>
  <c r="CO7" i="10"/>
  <c r="CP4" i="10"/>
  <c r="CP6" i="10" s="1"/>
  <c r="CL98" i="17"/>
  <c r="CL109" i="17"/>
  <c r="CL110" i="17" s="1"/>
  <c r="CL114" i="21"/>
  <c r="CG178" i="117"/>
  <c r="CG179" i="117" s="1"/>
  <c r="CG170" i="117"/>
  <c r="CQ45" i="17"/>
  <c r="CQ37" i="17"/>
  <c r="CS33" i="17"/>
  <c r="CM72" i="10"/>
  <c r="CR36" i="21"/>
  <c r="CS36" i="21" s="1"/>
  <c r="CA315" i="117"/>
  <c r="CS24" i="16" l="1"/>
  <c r="CJ30" i="21"/>
  <c r="CJ27" i="21"/>
  <c r="CJ25" i="21" s="1"/>
  <c r="CJ58" i="2"/>
  <c r="CJ59" i="2" s="1"/>
  <c r="CS23" i="16"/>
  <c r="CO55" i="17"/>
  <c r="CO57" i="17"/>
  <c r="CO58" i="17" s="1"/>
  <c r="CO110" i="21"/>
  <c r="CI57" i="10"/>
  <c r="CI58" i="10" s="1"/>
  <c r="CI107" i="21"/>
  <c r="CI66" i="10"/>
  <c r="CI67" i="10" s="1"/>
  <c r="CQ69" i="17"/>
  <c r="CQ70" i="17" s="1"/>
  <c r="CK57" i="21"/>
  <c r="CK55" i="21" s="1"/>
  <c r="CK54" i="21" s="1"/>
  <c r="DD61" i="7"/>
  <c r="DD62" i="7" s="1"/>
  <c r="CM69" i="10"/>
  <c r="CM70" i="10" s="1"/>
  <c r="CB219" i="117"/>
  <c r="CB220" i="117" s="1"/>
  <c r="CE187" i="117"/>
  <c r="CE222" i="117" s="1"/>
  <c r="CQ46" i="17"/>
  <c r="CS45" i="17"/>
  <c r="CO32" i="10"/>
  <c r="CO8" i="10"/>
  <c r="CO25" i="10"/>
  <c r="CF171" i="117"/>
  <c r="CF173" i="117"/>
  <c r="CH170" i="117"/>
  <c r="CM13" i="10"/>
  <c r="CM73" i="10"/>
  <c r="CQ40" i="17"/>
  <c r="CQ38" i="17"/>
  <c r="CS37" i="17"/>
  <c r="CP7" i="10"/>
  <c r="CQ4" i="10"/>
  <c r="CQ6" i="10" s="1"/>
  <c r="CF179" i="117"/>
  <c r="CH178" i="117"/>
  <c r="CF202" i="117"/>
  <c r="CF206" i="117"/>
  <c r="CL38" i="2"/>
  <c r="CM37" i="2"/>
  <c r="CR29" i="16"/>
  <c r="CR37" i="16"/>
  <c r="CR38" i="16" s="1"/>
  <c r="CB225" i="117"/>
  <c r="CB191" i="117"/>
  <c r="CB226" i="117" s="1"/>
  <c r="CP85" i="17"/>
  <c r="CQ82" i="17"/>
  <c r="CQ84" i="17" s="1"/>
  <c r="DE35" i="7"/>
  <c r="DE36" i="7" s="1"/>
  <c r="DE38" i="7"/>
  <c r="CP7" i="2"/>
  <c r="CQ4" i="2"/>
  <c r="CQ6" i="2" s="1"/>
  <c r="CP65" i="16"/>
  <c r="CB231" i="117"/>
  <c r="CB232" i="117" s="1"/>
  <c r="CQ177" i="3"/>
  <c r="CQ7" i="21"/>
  <c r="CQ194" i="3"/>
  <c r="CQ180" i="3"/>
  <c r="DA59" i="7"/>
  <c r="CO75" i="9"/>
  <c r="CO26" i="9"/>
  <c r="CO28" i="9"/>
  <c r="CO29" i="9" s="1"/>
  <c r="DD74" i="16"/>
  <c r="DD76" i="16" s="1"/>
  <c r="DC77" i="16"/>
  <c r="CX61" i="8"/>
  <c r="CX62" i="8" s="1"/>
  <c r="DC61" i="3"/>
  <c r="CJ66" i="10"/>
  <c r="CJ67" i="10" s="1"/>
  <c r="CJ55" i="10"/>
  <c r="CJ57" i="10"/>
  <c r="CJ58" i="10" s="1"/>
  <c r="CJ107" i="21"/>
  <c r="CM29" i="10"/>
  <c r="CM20" i="10"/>
  <c r="CM21" i="10" s="1"/>
  <c r="CP56" i="21"/>
  <c r="CP195" i="3"/>
  <c r="DA92" i="16"/>
  <c r="DA91" i="21"/>
  <c r="DA84" i="16"/>
  <c r="DA86" i="16"/>
  <c r="CO33" i="9"/>
  <c r="CK148" i="117"/>
  <c r="CL145" i="117"/>
  <c r="CL147" i="117" s="1"/>
  <c r="DH30" i="3"/>
  <c r="DG31" i="3"/>
  <c r="CQ29" i="16"/>
  <c r="CQ37" i="16"/>
  <c r="CS25" i="16"/>
  <c r="CV4" i="17"/>
  <c r="CV6" i="17" s="1"/>
  <c r="CU7" i="17"/>
  <c r="DD4" i="8"/>
  <c r="DD6" i="8" s="1"/>
  <c r="DC7" i="8"/>
  <c r="CM43" i="10"/>
  <c r="CM44" i="10" s="1"/>
  <c r="CM46" i="10"/>
  <c r="CS20" i="16"/>
  <c r="CR67" i="16"/>
  <c r="CR21" i="16"/>
  <c r="CB258" i="117"/>
  <c r="CB259" i="117" s="1"/>
  <c r="CA264" i="117"/>
  <c r="CB264" i="117" s="1"/>
  <c r="CB265" i="117" s="1"/>
  <c r="CA259" i="117"/>
  <c r="DA25" i="8"/>
  <c r="CP187" i="3"/>
  <c r="CL65" i="2"/>
  <c r="CM64" i="2"/>
  <c r="CM65" i="2" s="1"/>
  <c r="CR4" i="9"/>
  <c r="CR6" i="9" s="1"/>
  <c r="CQ7" i="9"/>
  <c r="CO52" i="16"/>
  <c r="CO87" i="21"/>
  <c r="CO40" i="16"/>
  <c r="CO41" i="16" s="1"/>
  <c r="CO33" i="16"/>
  <c r="DI7" i="7"/>
  <c r="DJ4" i="7"/>
  <c r="DJ6" i="7" s="1"/>
  <c r="CJ149" i="117"/>
  <c r="CJ165" i="117"/>
  <c r="CJ161" i="117"/>
  <c r="CY4" i="16"/>
  <c r="CU6" i="16"/>
  <c r="CD187" i="117"/>
  <c r="CD182" i="117"/>
  <c r="DD59" i="3"/>
  <c r="DE54" i="3"/>
  <c r="DD58" i="3"/>
  <c r="DD55" i="3"/>
  <c r="BZ265" i="117"/>
  <c r="BZ272" i="117"/>
  <c r="CL44" i="3"/>
  <c r="CK45" i="3"/>
  <c r="CK46" i="3" s="1"/>
  <c r="DE21" i="3"/>
  <c r="DG20" i="3"/>
  <c r="CG205" i="117"/>
  <c r="CG202" i="117" s="1"/>
  <c r="CG203" i="117" s="1"/>
  <c r="CL62" i="2"/>
  <c r="CM61" i="2"/>
  <c r="CP40" i="16"/>
  <c r="CP41" i="16" s="1"/>
  <c r="CP52" i="16"/>
  <c r="CP87" i="21"/>
  <c r="CP33" i="16"/>
  <c r="DG25" i="7"/>
  <c r="DH8" i="7"/>
  <c r="DH20" i="7"/>
  <c r="DH24" i="7"/>
  <c r="DH25" i="7" s="1"/>
  <c r="CG173" i="117"/>
  <c r="CG171" i="117"/>
  <c r="CL30" i="2"/>
  <c r="CL32" i="2"/>
  <c r="DB8" i="8"/>
  <c r="DB20" i="8"/>
  <c r="DB24" i="8"/>
  <c r="DB25" i="8" s="1"/>
  <c r="CU7" i="3"/>
  <c r="CV4" i="3"/>
  <c r="CV6" i="3" s="1"/>
  <c r="CK49" i="2"/>
  <c r="CK50" i="2" s="1"/>
  <c r="CK58" i="2"/>
  <c r="CK59" i="2" s="1"/>
  <c r="CK33" i="21"/>
  <c r="CK31" i="21" s="1"/>
  <c r="CK47" i="2"/>
  <c r="DA21" i="8"/>
  <c r="DA67" i="8"/>
  <c r="CS83" i="3"/>
  <c r="CS84" i="3" s="1"/>
  <c r="CS87" i="3"/>
  <c r="CO86" i="17"/>
  <c r="CO94" i="17"/>
  <c r="CH162" i="117"/>
  <c r="CH158" i="117"/>
  <c r="CH159" i="117" s="1"/>
  <c r="CO8" i="2"/>
  <c r="CO24" i="2"/>
  <c r="CO20" i="2"/>
  <c r="CX172" i="21"/>
  <c r="CX52" i="8"/>
  <c r="CX33" i="8"/>
  <c r="CX40" i="8"/>
  <c r="CX41" i="8" s="1"/>
  <c r="CY38" i="8"/>
  <c r="CY35" i="8"/>
  <c r="CY36" i="8" s="1"/>
  <c r="CP8" i="9"/>
  <c r="CP32" i="9"/>
  <c r="CP33" i="9" s="1"/>
  <c r="CP25" i="9"/>
  <c r="DG67" i="7"/>
  <c r="DG64" i="7" s="1"/>
  <c r="DG21" i="7"/>
  <c r="CQ61" i="16"/>
  <c r="CQ62" i="16" s="1"/>
  <c r="CQ65" i="16"/>
  <c r="DB78" i="16"/>
  <c r="DB83" i="16"/>
  <c r="CM18" i="2"/>
  <c r="CS159" i="3"/>
  <c r="CS160" i="3" s="1"/>
  <c r="CR160" i="3"/>
  <c r="DG53" i="3"/>
  <c r="CP46" i="16" l="1"/>
  <c r="CP47" i="16" s="1"/>
  <c r="CK30" i="21"/>
  <c r="CK27" i="21"/>
  <c r="CK25" i="21" s="1"/>
  <c r="CM10" i="10"/>
  <c r="CM11" i="10" s="1"/>
  <c r="DD61" i="3"/>
  <c r="CE199" i="117"/>
  <c r="CE200" i="117" s="1"/>
  <c r="CE188" i="117"/>
  <c r="CE223" i="117" s="1"/>
  <c r="CE190" i="117"/>
  <c r="CE225" i="117" s="1"/>
  <c r="CE309" i="117"/>
  <c r="CV36" i="21" s="1"/>
  <c r="CP45" i="9"/>
  <c r="CP46" i="9" s="1"/>
  <c r="CP37" i="9"/>
  <c r="CP38" i="9" s="1"/>
  <c r="CX173" i="21"/>
  <c r="CX178" i="21"/>
  <c r="DA64" i="8"/>
  <c r="DA65" i="8" s="1"/>
  <c r="DE58" i="3"/>
  <c r="DE59" i="3"/>
  <c r="CD199" i="117"/>
  <c r="CD222" i="117"/>
  <c r="CD309" i="117"/>
  <c r="CD188" i="117"/>
  <c r="CD223" i="117" s="1"/>
  <c r="CD190" i="117"/>
  <c r="CR7" i="9"/>
  <c r="CS6" i="9"/>
  <c r="DC24" i="8"/>
  <c r="DC25" i="8" s="1"/>
  <c r="DC8" i="8"/>
  <c r="CW4" i="17"/>
  <c r="CW6" i="17" s="1"/>
  <c r="CV7" i="17"/>
  <c r="DH53" i="3"/>
  <c r="DG54" i="3"/>
  <c r="DG60" i="3" s="1"/>
  <c r="CP75" i="9"/>
  <c r="CP72" i="9" s="1"/>
  <c r="CP28" i="9"/>
  <c r="CP26" i="9"/>
  <c r="CX198" i="21"/>
  <c r="CX199" i="21" s="1"/>
  <c r="CX53" i="8"/>
  <c r="CO25" i="2"/>
  <c r="CO92" i="21"/>
  <c r="CO103" i="17"/>
  <c r="CO95" i="17"/>
  <c r="CO97" i="17"/>
  <c r="CU8" i="3"/>
  <c r="CU81" i="3" s="1"/>
  <c r="CU80" i="3"/>
  <c r="CU86" i="3" s="1"/>
  <c r="CL8" i="21"/>
  <c r="CL40" i="2"/>
  <c r="CL41" i="2" s="1"/>
  <c r="CL52" i="2"/>
  <c r="CL33" i="2"/>
  <c r="DH37" i="7"/>
  <c r="DH38" i="7" s="1"/>
  <c r="DH29" i="7"/>
  <c r="DH30" i="7" s="1"/>
  <c r="DG29" i="7"/>
  <c r="DG37" i="7"/>
  <c r="CP53" i="16"/>
  <c r="CP131" i="21"/>
  <c r="CJ162" i="117"/>
  <c r="CJ208" i="117"/>
  <c r="DJ7" i="7"/>
  <c r="DK7" i="7" s="1"/>
  <c r="DK8" i="7" s="1"/>
  <c r="DK6" i="7"/>
  <c r="CQ8" i="9"/>
  <c r="CQ32" i="9"/>
  <c r="CQ33" i="9" s="1"/>
  <c r="CQ45" i="9" s="1"/>
  <c r="CQ46" i="9" s="1"/>
  <c r="CQ25" i="9"/>
  <c r="DA37" i="8"/>
  <c r="CU8" i="17"/>
  <c r="CU32" i="17"/>
  <c r="CU25" i="17"/>
  <c r="CQ30" i="16"/>
  <c r="CQ32" i="16"/>
  <c r="CS29" i="16"/>
  <c r="CL148" i="117"/>
  <c r="CM145" i="117"/>
  <c r="CM147" i="117" s="1"/>
  <c r="DC78" i="16"/>
  <c r="DC83" i="16"/>
  <c r="CO72" i="9"/>
  <c r="CO73" i="9" s="1"/>
  <c r="CQ187" i="3"/>
  <c r="CQ181" i="3"/>
  <c r="CR32" i="16"/>
  <c r="CR30" i="16"/>
  <c r="CM35" i="2"/>
  <c r="CM36" i="2" s="1"/>
  <c r="CM38" i="2"/>
  <c r="CH176" i="117"/>
  <c r="CH177" i="117" s="1"/>
  <c r="CH179" i="117"/>
  <c r="CS38" i="17"/>
  <c r="CS34" i="17"/>
  <c r="CS35" i="17" s="1"/>
  <c r="CM14" i="10"/>
  <c r="CM15" i="10"/>
  <c r="CH171" i="117"/>
  <c r="CH167" i="117"/>
  <c r="CH168" i="117" s="1"/>
  <c r="DH21" i="7"/>
  <c r="DH67" i="7"/>
  <c r="CG206" i="117"/>
  <c r="CH205" i="117"/>
  <c r="DI8" i="7"/>
  <c r="DI24" i="7"/>
  <c r="DI25" i="7" s="1"/>
  <c r="CO33" i="10"/>
  <c r="DB21" i="8"/>
  <c r="DB67" i="8"/>
  <c r="CM62" i="2"/>
  <c r="CM10" i="2"/>
  <c r="DG21" i="3"/>
  <c r="DH20" i="3"/>
  <c r="CU7" i="16"/>
  <c r="CV4" i="16"/>
  <c r="CV6" i="16" s="1"/>
  <c r="CJ166" i="117"/>
  <c r="CA272" i="117"/>
  <c r="CB272" i="117" s="1"/>
  <c r="CA265" i="117"/>
  <c r="CS21" i="16"/>
  <c r="CS17" i="16"/>
  <c r="CS18" i="16" s="1"/>
  <c r="DD7" i="8"/>
  <c r="DE6" i="8"/>
  <c r="DG4" i="8" s="1"/>
  <c r="DA113" i="21"/>
  <c r="DA87" i="16"/>
  <c r="DA98" i="16"/>
  <c r="CQ7" i="2"/>
  <c r="CR4" i="2"/>
  <c r="CR6" i="2" s="1"/>
  <c r="CR82" i="17"/>
  <c r="CR84" i="17" s="1"/>
  <c r="CQ85" i="17"/>
  <c r="CQ7" i="10"/>
  <c r="CR4" i="10"/>
  <c r="CR6" i="10" s="1"/>
  <c r="CQ60" i="17"/>
  <c r="CQ88" i="21"/>
  <c r="CQ41" i="17"/>
  <c r="CQ48" i="17"/>
  <c r="CQ49" i="17" s="1"/>
  <c r="CS43" i="17"/>
  <c r="CS44" i="17" s="1"/>
  <c r="CS46" i="17"/>
  <c r="DB37" i="8"/>
  <c r="DB38" i="8" s="1"/>
  <c r="DB29" i="8"/>
  <c r="DB30" i="8" s="1"/>
  <c r="CM44" i="3"/>
  <c r="CL45" i="3"/>
  <c r="CL46" i="3" s="1"/>
  <c r="CP32" i="21"/>
  <c r="CP200" i="3"/>
  <c r="CP201" i="3" s="1"/>
  <c r="CP190" i="3"/>
  <c r="CP191" i="3" s="1"/>
  <c r="CP188" i="3"/>
  <c r="CS67" i="16"/>
  <c r="CR64" i="16"/>
  <c r="CK149" i="117"/>
  <c r="CK165" i="117"/>
  <c r="CK166" i="117" s="1"/>
  <c r="CK161" i="117"/>
  <c r="DA135" i="21"/>
  <c r="DA93" i="16"/>
  <c r="DD77" i="16"/>
  <c r="DE76" i="16"/>
  <c r="DG74" i="16" s="1"/>
  <c r="CQ195" i="3"/>
  <c r="CQ56" i="21"/>
  <c r="CF174" i="117"/>
  <c r="CF217" i="117" s="1"/>
  <c r="CF216" i="117"/>
  <c r="CF306" i="117"/>
  <c r="CW11" i="21" s="1"/>
  <c r="CF196" i="117"/>
  <c r="CF197" i="117" s="1"/>
  <c r="CF181" i="117"/>
  <c r="CH173" i="117"/>
  <c r="CX46" i="8"/>
  <c r="DE60" i="3"/>
  <c r="DB92" i="16"/>
  <c r="DB86" i="16"/>
  <c r="DB91" i="21"/>
  <c r="DB84" i="16"/>
  <c r="DG61" i="7"/>
  <c r="DG65" i="7"/>
  <c r="CO21" i="2"/>
  <c r="CO67" i="2"/>
  <c r="CO64" i="2" s="1"/>
  <c r="CW4" i="3"/>
  <c r="CW6" i="3" s="1"/>
  <c r="CV7" i="3"/>
  <c r="CG196" i="117"/>
  <c r="CG197" i="117" s="1"/>
  <c r="CG306" i="117"/>
  <c r="CX11" i="21" s="1"/>
  <c r="CG174" i="117"/>
  <c r="CG217" i="117" s="1"/>
  <c r="CG216" i="117"/>
  <c r="CG181" i="117"/>
  <c r="CG182" i="117" s="1"/>
  <c r="CO46" i="16"/>
  <c r="CO131" i="21"/>
  <c r="CO53" i="16"/>
  <c r="CQ38" i="16"/>
  <c r="CS37" i="16"/>
  <c r="DH31" i="3"/>
  <c r="DI30" i="3"/>
  <c r="CO45" i="9"/>
  <c r="CO37" i="9"/>
  <c r="CE231" i="117"/>
  <c r="CE232" i="117" s="1"/>
  <c r="CE258" i="117"/>
  <c r="CP24" i="2"/>
  <c r="CP25" i="2" s="1"/>
  <c r="CP8" i="2"/>
  <c r="CP20" i="2"/>
  <c r="CP86" i="17"/>
  <c r="CP94" i="17"/>
  <c r="CF203" i="117"/>
  <c r="CH202" i="117"/>
  <c r="CP32" i="10"/>
  <c r="CP33" i="10" s="1"/>
  <c r="CP8" i="10"/>
  <c r="CP25" i="10"/>
  <c r="CE219" i="117"/>
  <c r="CE220" i="117" s="1"/>
  <c r="CO75" i="10"/>
  <c r="CO72" i="10" s="1"/>
  <c r="CO28" i="10"/>
  <c r="CO26" i="10"/>
  <c r="DE77" i="16"/>
  <c r="DE78" i="16" s="1"/>
  <c r="CP109" i="21" l="1"/>
  <c r="CP58" i="16"/>
  <c r="CP59" i="16" s="1"/>
  <c r="CP49" i="16"/>
  <c r="CP50" i="16" s="1"/>
  <c r="CP105" i="16"/>
  <c r="CP113" i="16" s="1"/>
  <c r="CP114" i="16" s="1"/>
  <c r="CE191" i="117"/>
  <c r="CE226" i="117" s="1"/>
  <c r="CQ54" i="17"/>
  <c r="CQ57" i="17" s="1"/>
  <c r="CQ58" i="17" s="1"/>
  <c r="CL46" i="2"/>
  <c r="CL58" i="2" s="1"/>
  <c r="CL59" i="2" s="1"/>
  <c r="CO69" i="9"/>
  <c r="CO70" i="9" s="1"/>
  <c r="DH32" i="7"/>
  <c r="DH52" i="7" s="1"/>
  <c r="DA61" i="8"/>
  <c r="DA62" i="8" s="1"/>
  <c r="CE315" i="117"/>
  <c r="CP67" i="2"/>
  <c r="CP21" i="2"/>
  <c r="CO40" i="9"/>
  <c r="CO38" i="9"/>
  <c r="CX4" i="3"/>
  <c r="CX6" i="3" s="1"/>
  <c r="CW7" i="3"/>
  <c r="CQ24" i="2"/>
  <c r="CQ25" i="2" s="1"/>
  <c r="CQ8" i="2"/>
  <c r="CQ20" i="2"/>
  <c r="DD20" i="8"/>
  <c r="DD24" i="8"/>
  <c r="DD8" i="8"/>
  <c r="CM11" i="2"/>
  <c r="CM13" i="2"/>
  <c r="CD200" i="117"/>
  <c r="CO69" i="10"/>
  <c r="CO73" i="10"/>
  <c r="CP45" i="10"/>
  <c r="CP46" i="10" s="1"/>
  <c r="CP37" i="10"/>
  <c r="CP38" i="10" s="1"/>
  <c r="DJ30" i="3"/>
  <c r="DI31" i="3"/>
  <c r="CO105" i="16"/>
  <c r="CO58" i="16"/>
  <c r="CO59" i="16" s="1"/>
  <c r="CO49" i="16"/>
  <c r="CO50" i="16" s="1"/>
  <c r="CO109" i="21"/>
  <c r="CO47" i="16"/>
  <c r="CV8" i="3"/>
  <c r="CV81" i="3" s="1"/>
  <c r="CV80" i="3"/>
  <c r="CV86" i="3" s="1"/>
  <c r="CH174" i="117"/>
  <c r="CH217" i="117" s="1"/>
  <c r="CH196" i="117"/>
  <c r="CH197" i="117" s="1"/>
  <c r="CH216" i="117"/>
  <c r="DK74" i="16"/>
  <c r="DG76" i="16"/>
  <c r="CR65" i="16"/>
  <c r="CS64" i="16"/>
  <c r="CS6" i="2"/>
  <c r="CR7" i="2"/>
  <c r="DA99" i="16"/>
  <c r="DG6" i="8"/>
  <c r="DK4" i="8"/>
  <c r="CJ178" i="117"/>
  <c r="CJ170" i="117"/>
  <c r="DB64" i="8"/>
  <c r="DB65" i="8" s="1"/>
  <c r="DI37" i="7"/>
  <c r="DI38" i="7" s="1"/>
  <c r="DE7" i="8"/>
  <c r="DE8" i="8" s="1"/>
  <c r="CR87" i="21"/>
  <c r="CR33" i="16"/>
  <c r="CR52" i="16"/>
  <c r="DC92" i="16"/>
  <c r="DC84" i="16"/>
  <c r="DC86" i="16"/>
  <c r="DC91" i="21"/>
  <c r="CN147" i="117"/>
  <c r="CM148" i="117"/>
  <c r="CN148" i="117" s="1"/>
  <c r="CN149" i="117" s="1"/>
  <c r="CP145" i="117"/>
  <c r="CQ33" i="16"/>
  <c r="CQ40" i="16"/>
  <c r="CQ41" i="16" s="1"/>
  <c r="CQ52" i="16"/>
  <c r="CQ87" i="21"/>
  <c r="CS32" i="16"/>
  <c r="CS33" i="16" s="1"/>
  <c r="DG38" i="7"/>
  <c r="CO37" i="2"/>
  <c r="CX4" i="17"/>
  <c r="CX6" i="17" s="1"/>
  <c r="CW7" i="17"/>
  <c r="CS7" i="9"/>
  <c r="CS8" i="9" s="1"/>
  <c r="CR32" i="9"/>
  <c r="CR8" i="9"/>
  <c r="CD219" i="117"/>
  <c r="CD220" i="117" s="1"/>
  <c r="CD231" i="117"/>
  <c r="CD258" i="117"/>
  <c r="DE61" i="3"/>
  <c r="CH203" i="117"/>
  <c r="CH151" i="117"/>
  <c r="CH152" i="117" s="1"/>
  <c r="CF187" i="117"/>
  <c r="CF182" i="117"/>
  <c r="CH181" i="117"/>
  <c r="CQ132" i="21"/>
  <c r="CQ61" i="17"/>
  <c r="CL165" i="117"/>
  <c r="CL166" i="117" s="1"/>
  <c r="CL149" i="117"/>
  <c r="CL161" i="117"/>
  <c r="DG30" i="7"/>
  <c r="DG32" i="7"/>
  <c r="CO136" i="21"/>
  <c r="CO104" i="17"/>
  <c r="DB113" i="21"/>
  <c r="DB98" i="16"/>
  <c r="DB99" i="16" s="1"/>
  <c r="DB87" i="16"/>
  <c r="CX49" i="8"/>
  <c r="CX50" i="8" s="1"/>
  <c r="CX185" i="21"/>
  <c r="CX58" i="8"/>
  <c r="CX59" i="8" s="1"/>
  <c r="CX47" i="8"/>
  <c r="CK208" i="117"/>
  <c r="CK162" i="117"/>
  <c r="CS6" i="10"/>
  <c r="CR7" i="10"/>
  <c r="CQ86" i="17"/>
  <c r="CU8" i="16"/>
  <c r="CU24" i="16"/>
  <c r="CU20" i="16"/>
  <c r="DH64" i="7"/>
  <c r="DH61" i="7" s="1"/>
  <c r="CU28" i="17"/>
  <c r="CU29" i="17" s="1"/>
  <c r="CU75" i="17"/>
  <c r="CU26" i="17"/>
  <c r="DA38" i="8"/>
  <c r="CQ75" i="9"/>
  <c r="CQ26" i="9"/>
  <c r="CQ28" i="9"/>
  <c r="CQ29" i="9" s="1"/>
  <c r="DJ8" i="7"/>
  <c r="DJ20" i="7"/>
  <c r="DJ24" i="7"/>
  <c r="CL53" i="2"/>
  <c r="CL57" i="21"/>
  <c r="CP29" i="9"/>
  <c r="CP40" i="9"/>
  <c r="DI53" i="3"/>
  <c r="DH54" i="3"/>
  <c r="DH60" i="3" s="1"/>
  <c r="DC37" i="8"/>
  <c r="DC38" i="8" s="1"/>
  <c r="DC29" i="8"/>
  <c r="DC30" i="8" s="1"/>
  <c r="DD78" i="16"/>
  <c r="CV7" i="16"/>
  <c r="CW4" i="16"/>
  <c r="CW6" i="16" s="1"/>
  <c r="CQ32" i="21"/>
  <c r="CQ190" i="3"/>
  <c r="CQ191" i="3" s="1"/>
  <c r="CQ188" i="3"/>
  <c r="CQ200" i="3"/>
  <c r="CQ201" i="3" s="1"/>
  <c r="CU159" i="3"/>
  <c r="CU87" i="3"/>
  <c r="DG59" i="3"/>
  <c r="DG58" i="3"/>
  <c r="DG55" i="3"/>
  <c r="CD225" i="117"/>
  <c r="CD191" i="117"/>
  <c r="CD226" i="117" s="1"/>
  <c r="CP26" i="10"/>
  <c r="CP28" i="10"/>
  <c r="CP75" i="10"/>
  <c r="CE259" i="117"/>
  <c r="CE264" i="117"/>
  <c r="CS35" i="16"/>
  <c r="CS36" i="16" s="1"/>
  <c r="CS38" i="16"/>
  <c r="CO29" i="10"/>
  <c r="CP103" i="17"/>
  <c r="CP95" i="17"/>
  <c r="CP92" i="21"/>
  <c r="CP97" i="17"/>
  <c r="CP37" i="2"/>
  <c r="CP38" i="2" s="1"/>
  <c r="CP29" i="2"/>
  <c r="CP30" i="2" s="1"/>
  <c r="CO46" i="9"/>
  <c r="CG187" i="117"/>
  <c r="CO61" i="2"/>
  <c r="CO65" i="2"/>
  <c r="DG62" i="7"/>
  <c r="DB135" i="21"/>
  <c r="DB93" i="16"/>
  <c r="CY11" i="21"/>
  <c r="CK170" i="117"/>
  <c r="CK178" i="117"/>
  <c r="CK179" i="117" s="1"/>
  <c r="CR61" i="16"/>
  <c r="CO44" i="3"/>
  <c r="CM45" i="3"/>
  <c r="CM46" i="3" s="1"/>
  <c r="CP106" i="16"/>
  <c r="CQ8" i="10"/>
  <c r="CQ32" i="10"/>
  <c r="CQ33" i="10" s="1"/>
  <c r="CQ45" i="10" s="1"/>
  <c r="CQ46" i="10" s="1"/>
  <c r="CQ25" i="10"/>
  <c r="CR85" i="17"/>
  <c r="CS84" i="17"/>
  <c r="DH21" i="3"/>
  <c r="DI20" i="3"/>
  <c r="DB32" i="8"/>
  <c r="CO45" i="10"/>
  <c r="CO37" i="10"/>
  <c r="CO38" i="10" s="1"/>
  <c r="CH206" i="117"/>
  <c r="CH154" i="117"/>
  <c r="CS30" i="16"/>
  <c r="CS26" i="16"/>
  <c r="CS27" i="16" s="1"/>
  <c r="CU33" i="17"/>
  <c r="CJ205" i="117"/>
  <c r="CJ202" i="117" s="1"/>
  <c r="CO114" i="21"/>
  <c r="CO109" i="17"/>
  <c r="CO98" i="17"/>
  <c r="CO116" i="17"/>
  <c r="CP69" i="9"/>
  <c r="CP70" i="9" s="1"/>
  <c r="CP73" i="9"/>
  <c r="CV8" i="17"/>
  <c r="CV32" i="17"/>
  <c r="CV33" i="17" s="1"/>
  <c r="CU4" i="9"/>
  <c r="CS5" i="9"/>
  <c r="CU36" i="21"/>
  <c r="CD315" i="117"/>
  <c r="CX17" i="21"/>
  <c r="CX179" i="21"/>
  <c r="CP108" i="16" l="1"/>
  <c r="CP109" i="16" s="1"/>
  <c r="CS87" i="21"/>
  <c r="CQ46" i="16"/>
  <c r="CQ105" i="16" s="1"/>
  <c r="CQ110" i="21"/>
  <c r="CQ55" i="17"/>
  <c r="CQ66" i="17"/>
  <c r="CQ67" i="17" s="1"/>
  <c r="DG61" i="3"/>
  <c r="CL49" i="2"/>
  <c r="CL50" i="2" s="1"/>
  <c r="CL47" i="2"/>
  <c r="CL33" i="21"/>
  <c r="CP32" i="2"/>
  <c r="CP52" i="2" s="1"/>
  <c r="DH33" i="7"/>
  <c r="DH83" i="21"/>
  <c r="DH62" i="7"/>
  <c r="CJ203" i="117"/>
  <c r="CO124" i="17"/>
  <c r="CO125" i="17" s="1"/>
  <c r="CO117" i="17"/>
  <c r="CO119" i="17"/>
  <c r="CO120" i="17" s="1"/>
  <c r="CS5" i="10"/>
  <c r="CU4" i="10"/>
  <c r="DC135" i="21"/>
  <c r="DC93" i="16"/>
  <c r="CS7" i="2"/>
  <c r="CS8" i="2" s="1"/>
  <c r="CR24" i="2"/>
  <c r="CR8" i="2"/>
  <c r="CR20" i="2"/>
  <c r="CS20" i="2" s="1"/>
  <c r="CV87" i="3"/>
  <c r="CV159" i="3"/>
  <c r="CW80" i="3"/>
  <c r="CW86" i="3" s="1"/>
  <c r="CW8" i="3"/>
  <c r="CW81" i="3" s="1"/>
  <c r="CV45" i="17"/>
  <c r="CV46" i="17" s="1"/>
  <c r="CV37" i="17"/>
  <c r="CV38" i="17" s="1"/>
  <c r="CO110" i="17"/>
  <c r="CU45" i="17"/>
  <c r="CU37" i="17"/>
  <c r="DB172" i="21"/>
  <c r="DB173" i="21" s="1"/>
  <c r="DB52" i="8"/>
  <c r="DB33" i="8"/>
  <c r="DJ20" i="3"/>
  <c r="DI21" i="3"/>
  <c r="CS83" i="17"/>
  <c r="CU82" i="17"/>
  <c r="CP44" i="3"/>
  <c r="CO45" i="3"/>
  <c r="CO46" i="3" s="1"/>
  <c r="CP98" i="17"/>
  <c r="CP109" i="17"/>
  <c r="CP110" i="17" s="1"/>
  <c r="CP114" i="21"/>
  <c r="CO40" i="10"/>
  <c r="CE272" i="117"/>
  <c r="CE265" i="117"/>
  <c r="CV20" i="16"/>
  <c r="CV24" i="16"/>
  <c r="CV25" i="16" s="1"/>
  <c r="CV8" i="16"/>
  <c r="DJ53" i="3"/>
  <c r="DI54" i="3"/>
  <c r="DI60" i="3" s="1"/>
  <c r="CS7" i="10"/>
  <c r="CS8" i="10" s="1"/>
  <c r="CR32" i="10"/>
  <c r="CR33" i="10" s="1"/>
  <c r="CR8" i="10"/>
  <c r="CR25" i="10"/>
  <c r="DG83" i="21"/>
  <c r="DG52" i="7"/>
  <c r="DG40" i="7"/>
  <c r="DG33" i="7"/>
  <c r="CL208" i="117"/>
  <c r="CL162" i="117"/>
  <c r="CF190" i="117"/>
  <c r="CF188" i="117"/>
  <c r="CF223" i="117" s="1"/>
  <c r="CF222" i="117"/>
  <c r="CF199" i="117"/>
  <c r="CF309" i="117"/>
  <c r="CD259" i="117"/>
  <c r="CD264" i="117"/>
  <c r="CR33" i="9"/>
  <c r="CS32" i="9"/>
  <c r="CS31" i="9" s="1"/>
  <c r="DB61" i="8"/>
  <c r="DB62" i="8" s="1"/>
  <c r="CJ179" i="117"/>
  <c r="DJ31" i="3"/>
  <c r="DK30" i="3"/>
  <c r="DK31" i="3" s="1"/>
  <c r="CM14" i="2"/>
  <c r="CM15" i="2"/>
  <c r="DD67" i="8"/>
  <c r="DD21" i="8"/>
  <c r="CO41" i="9"/>
  <c r="CO84" i="21"/>
  <c r="CO60" i="9"/>
  <c r="CO48" i="9"/>
  <c r="CO49" i="9" s="1"/>
  <c r="CR86" i="17"/>
  <c r="CR94" i="17"/>
  <c r="CR62" i="16"/>
  <c r="CS61" i="16"/>
  <c r="DJ25" i="7"/>
  <c r="DK24" i="7"/>
  <c r="DK23" i="7" s="1"/>
  <c r="CS85" i="17"/>
  <c r="CS86" i="17" s="1"/>
  <c r="CQ67" i="2"/>
  <c r="CQ64" i="2" s="1"/>
  <c r="CQ21" i="2"/>
  <c r="CU6" i="9"/>
  <c r="CY4" i="9"/>
  <c r="CH156" i="117"/>
  <c r="CH155" i="117"/>
  <c r="CO46" i="10"/>
  <c r="CQ28" i="10"/>
  <c r="CQ29" i="10" s="1"/>
  <c r="CQ26" i="10"/>
  <c r="CQ75" i="10"/>
  <c r="CQ72" i="10" s="1"/>
  <c r="CO62" i="2"/>
  <c r="CP72" i="10"/>
  <c r="CP69" i="10" s="1"/>
  <c r="CU160" i="3"/>
  <c r="DJ67" i="7"/>
  <c r="DJ21" i="7"/>
  <c r="CQ72" i="9"/>
  <c r="CQ73" i="9" s="1"/>
  <c r="CU72" i="17"/>
  <c r="CU73" i="17" s="1"/>
  <c r="CL178" i="117"/>
  <c r="CL179" i="117" s="1"/>
  <c r="CL170" i="117"/>
  <c r="CH182" i="117"/>
  <c r="CH184" i="117"/>
  <c r="CH185" i="117" s="1"/>
  <c r="CW8" i="17"/>
  <c r="CW32" i="17"/>
  <c r="CW33" i="17" s="1"/>
  <c r="CW25" i="17"/>
  <c r="CP147" i="117"/>
  <c r="CT145" i="117"/>
  <c r="CR53" i="16"/>
  <c r="CR131" i="21"/>
  <c r="CJ171" i="117"/>
  <c r="CJ173" i="117"/>
  <c r="DG7" i="8"/>
  <c r="DH4" i="8"/>
  <c r="DH6" i="8" s="1"/>
  <c r="CS5" i="2"/>
  <c r="CU4" i="2"/>
  <c r="CO113" i="16"/>
  <c r="CO114" i="16" s="1"/>
  <c r="CO106" i="16"/>
  <c r="CO108" i="16"/>
  <c r="CO109" i="16" s="1"/>
  <c r="CY6" i="3"/>
  <c r="CX7" i="3"/>
  <c r="CP60" i="9"/>
  <c r="CP84" i="21"/>
  <c r="CP41" i="9"/>
  <c r="CP48" i="9"/>
  <c r="CP49" i="9" s="1"/>
  <c r="CU21" i="16"/>
  <c r="CU67" i="16"/>
  <c r="CU64" i="16" s="1"/>
  <c r="CD232" i="117"/>
  <c r="CO38" i="2"/>
  <c r="CS65" i="16"/>
  <c r="CS15" i="16"/>
  <c r="CS13" i="16"/>
  <c r="CS14" i="16" s="1"/>
  <c r="CJ206" i="117"/>
  <c r="CK173" i="117"/>
  <c r="CK171" i="117"/>
  <c r="CH187" i="117"/>
  <c r="CG190" i="117"/>
  <c r="CG188" i="117"/>
  <c r="CG223" i="117" s="1"/>
  <c r="CG199" i="117"/>
  <c r="CG200" i="117" s="1"/>
  <c r="CG222" i="117"/>
  <c r="CG309" i="117"/>
  <c r="CP136" i="21"/>
  <c r="CP104" i="17"/>
  <c r="CP29" i="10"/>
  <c r="CP40" i="10"/>
  <c r="DH53" i="7"/>
  <c r="DH127" i="21"/>
  <c r="CX4" i="16"/>
  <c r="CX6" i="16" s="1"/>
  <c r="CW7" i="16"/>
  <c r="DH58" i="3"/>
  <c r="DH59" i="3"/>
  <c r="DH55" i="3"/>
  <c r="DH65" i="7"/>
  <c r="CU25" i="16"/>
  <c r="CK205" i="117"/>
  <c r="CK206" i="117" s="1"/>
  <c r="CX186" i="21"/>
  <c r="CX213" i="21"/>
  <c r="CX214" i="21" s="1"/>
  <c r="CX191" i="21"/>
  <c r="CX7" i="17"/>
  <c r="CY6" i="17"/>
  <c r="CQ131" i="21"/>
  <c r="CQ53" i="16"/>
  <c r="CS52" i="16"/>
  <c r="CS55" i="16" s="1"/>
  <c r="CM165" i="117"/>
  <c r="CM149" i="117"/>
  <c r="CM161" i="117"/>
  <c r="DC98" i="16"/>
  <c r="DC99" i="16" s="1"/>
  <c r="DC113" i="21"/>
  <c r="DC87" i="16"/>
  <c r="DG77" i="16"/>
  <c r="DH74" i="16"/>
  <c r="DH76" i="16" s="1"/>
  <c r="CO70" i="10"/>
  <c r="DD25" i="8"/>
  <c r="DE24" i="8"/>
  <c r="DE23" i="8" s="1"/>
  <c r="CQ37" i="2"/>
  <c r="CQ38" i="2" s="1"/>
  <c r="CQ29" i="2"/>
  <c r="CQ30" i="2" s="1"/>
  <c r="CP64" i="2"/>
  <c r="CP61" i="2" s="1"/>
  <c r="CP62" i="2" s="1"/>
  <c r="CP40" i="2" l="1"/>
  <c r="CP41" i="2" s="1"/>
  <c r="CQ47" i="16"/>
  <c r="CQ109" i="21"/>
  <c r="CQ49" i="16"/>
  <c r="CQ50" i="16" s="1"/>
  <c r="CQ58" i="16"/>
  <c r="CQ59" i="16" s="1"/>
  <c r="CU69" i="17"/>
  <c r="CU70" i="17" s="1"/>
  <c r="DH61" i="3"/>
  <c r="CP33" i="2"/>
  <c r="CP8" i="21"/>
  <c r="CP6" i="21" s="1"/>
  <c r="CP5" i="21" s="1"/>
  <c r="CQ69" i="9"/>
  <c r="CQ70" i="9" s="1"/>
  <c r="CO54" i="9"/>
  <c r="CO106" i="21" s="1"/>
  <c r="CP54" i="9"/>
  <c r="CP106" i="21" s="1"/>
  <c r="CK202" i="117"/>
  <c r="CK203" i="117" s="1"/>
  <c r="CP70" i="10"/>
  <c r="CJ216" i="117"/>
  <c r="CJ196" i="117"/>
  <c r="CJ197" i="117" s="1"/>
  <c r="CJ306" i="117"/>
  <c r="DA11" i="21" s="1"/>
  <c r="CJ181" i="117"/>
  <c r="CJ174" i="117"/>
  <c r="CJ217" i="117" s="1"/>
  <c r="CV21" i="16"/>
  <c r="CV67" i="16"/>
  <c r="DI74" i="16"/>
  <c r="DI76" i="16" s="1"/>
  <c r="DH77" i="16"/>
  <c r="CS53" i="16"/>
  <c r="Q156" i="11"/>
  <c r="CS56" i="16"/>
  <c r="CS131" i="21"/>
  <c r="CY7" i="17"/>
  <c r="CY8" i="17" s="1"/>
  <c r="CX8" i="17"/>
  <c r="CX32" i="17"/>
  <c r="CX33" i="17" s="1"/>
  <c r="CY33" i="17" s="1"/>
  <c r="CY6" i="16"/>
  <c r="CX7" i="16"/>
  <c r="CP41" i="10"/>
  <c r="CP60" i="10"/>
  <c r="CP85" i="21"/>
  <c r="CP48" i="10"/>
  <c r="CP49" i="10" s="1"/>
  <c r="CG191" i="117"/>
  <c r="CG226" i="117" s="1"/>
  <c r="CG225" i="117"/>
  <c r="CY7" i="3"/>
  <c r="CX8" i="3"/>
  <c r="CX81" i="3" s="1"/>
  <c r="CX80" i="3"/>
  <c r="CX86" i="3" s="1"/>
  <c r="DG8" i="8"/>
  <c r="DG24" i="8"/>
  <c r="DG20" i="8"/>
  <c r="CP65" i="2"/>
  <c r="DD37" i="8"/>
  <c r="DD29" i="8"/>
  <c r="DE25" i="8"/>
  <c r="DG78" i="16"/>
  <c r="DG83" i="16"/>
  <c r="CN161" i="117"/>
  <c r="CM162" i="117"/>
  <c r="CM208" i="117"/>
  <c r="CX192" i="21"/>
  <c r="CX42" i="21"/>
  <c r="CG231" i="117"/>
  <c r="CG232" i="117" s="1"/>
  <c r="CG258" i="117"/>
  <c r="CG219" i="117"/>
  <c r="CG220" i="117" s="1"/>
  <c r="CH190" i="117"/>
  <c r="CH222" i="117"/>
  <c r="CH188" i="117"/>
  <c r="CH223" i="117" s="1"/>
  <c r="CU61" i="16"/>
  <c r="CU65" i="16"/>
  <c r="DA4" i="3"/>
  <c r="CY5" i="3"/>
  <c r="CU6" i="2"/>
  <c r="CY4" i="2"/>
  <c r="CW45" i="17"/>
  <c r="CW46" i="17" s="1"/>
  <c r="CW37" i="17"/>
  <c r="CW38" i="17" s="1"/>
  <c r="CL171" i="117"/>
  <c r="CL173" i="117"/>
  <c r="CQ32" i="2"/>
  <c r="CS62" i="16"/>
  <c r="CS10" i="16"/>
  <c r="CS11" i="16" s="1"/>
  <c r="CR45" i="9"/>
  <c r="CR37" i="9"/>
  <c r="CR38" i="9" s="1"/>
  <c r="CS33" i="9"/>
  <c r="CF200" i="117"/>
  <c r="CH199" i="117"/>
  <c r="CH200" i="117" s="1"/>
  <c r="DG46" i="7"/>
  <c r="DG41" i="7"/>
  <c r="CV29" i="16"/>
  <c r="CV37" i="16"/>
  <c r="CV38" i="16" s="1"/>
  <c r="CY82" i="17"/>
  <c r="CU84" i="17"/>
  <c r="CU40" i="17"/>
  <c r="CU38" i="17"/>
  <c r="CR21" i="2"/>
  <c r="CR67" i="2"/>
  <c r="CY4" i="10"/>
  <c r="CU6" i="10"/>
  <c r="CP73" i="10"/>
  <c r="CP53" i="2"/>
  <c r="CP57" i="21"/>
  <c r="CP55" i="21" s="1"/>
  <c r="CP54" i="21" s="1"/>
  <c r="CQ108" i="16"/>
  <c r="CQ109" i="16" s="1"/>
  <c r="CQ106" i="16"/>
  <c r="CQ113" i="16"/>
  <c r="CQ114" i="16" s="1"/>
  <c r="CD272" i="117"/>
  <c r="CD265" i="117"/>
  <c r="CF219" i="117"/>
  <c r="CF220" i="117" s="1"/>
  <c r="CF258" i="117"/>
  <c r="CF231" i="117"/>
  <c r="CL205" i="117"/>
  <c r="CL202" i="117" s="1"/>
  <c r="CL203" i="117" s="1"/>
  <c r="DG127" i="21"/>
  <c r="DG53" i="7"/>
  <c r="CR45" i="10"/>
  <c r="CS33" i="10"/>
  <c r="DI58" i="3"/>
  <c r="DI59" i="3"/>
  <c r="DI55" i="3"/>
  <c r="CO41" i="10"/>
  <c r="CO85" i="21"/>
  <c r="CO60" i="10"/>
  <c r="CO48" i="10"/>
  <c r="CO49" i="10" s="1"/>
  <c r="DB198" i="21"/>
  <c r="DB199" i="21" s="1"/>
  <c r="DB53" i="8"/>
  <c r="CU46" i="17"/>
  <c r="CM166" i="117"/>
  <c r="CN165" i="117"/>
  <c r="DA4" i="17"/>
  <c r="CY5" i="17"/>
  <c r="CU29" i="16"/>
  <c r="CU37" i="16"/>
  <c r="CW8" i="16"/>
  <c r="CW20" i="16"/>
  <c r="CW24" i="16"/>
  <c r="CK216" i="117"/>
  <c r="CK306" i="117"/>
  <c r="DB11" i="21" s="1"/>
  <c r="CK174" i="117"/>
  <c r="CK217" i="117" s="1"/>
  <c r="CK196" i="117"/>
  <c r="CK197" i="117" s="1"/>
  <c r="CK181" i="117"/>
  <c r="CK182" i="117" s="1"/>
  <c r="CP61" i="9"/>
  <c r="CP128" i="21"/>
  <c r="DI4" i="8"/>
  <c r="DI6" i="8" s="1"/>
  <c r="DH7" i="8"/>
  <c r="CQ145" i="117"/>
  <c r="CQ147" i="117" s="1"/>
  <c r="CP148" i="117"/>
  <c r="CY7" i="16"/>
  <c r="CY8" i="16" s="1"/>
  <c r="CV4" i="9"/>
  <c r="CV6" i="9" s="1"/>
  <c r="CU7" i="9"/>
  <c r="CQ61" i="2"/>
  <c r="CQ62" i="2" s="1"/>
  <c r="CQ65" i="2"/>
  <c r="CR95" i="17"/>
  <c r="CR97" i="17"/>
  <c r="CR92" i="21"/>
  <c r="CR103" i="17"/>
  <c r="CO61" i="9"/>
  <c r="CO128" i="21"/>
  <c r="DD64" i="8"/>
  <c r="DD65" i="8" s="1"/>
  <c r="DK53" i="3"/>
  <c r="DJ54" i="3"/>
  <c r="DJ60" i="3" s="1"/>
  <c r="CV160" i="3"/>
  <c r="CV176" i="3"/>
  <c r="CR25" i="2"/>
  <c r="CS24" i="2"/>
  <c r="CS23" i="2" s="1"/>
  <c r="DJ64" i="7"/>
  <c r="DJ61" i="7" s="1"/>
  <c r="CQ69" i="10"/>
  <c r="CQ70" i="10" s="1"/>
  <c r="CQ73" i="10"/>
  <c r="CX36" i="21"/>
  <c r="CG315" i="117"/>
  <c r="CW75" i="17"/>
  <c r="CW28" i="17"/>
  <c r="CW26" i="17"/>
  <c r="DJ37" i="7"/>
  <c r="DK25" i="7"/>
  <c r="CW36" i="21"/>
  <c r="CF315" i="117"/>
  <c r="CF191" i="117"/>
  <c r="CF226" i="117" s="1"/>
  <c r="CF225" i="117"/>
  <c r="CS25" i="10"/>
  <c r="CR75" i="10"/>
  <c r="CR28" i="10"/>
  <c r="CR26" i="10"/>
  <c r="CS32" i="10"/>
  <c r="CS31" i="10" s="1"/>
  <c r="CQ44" i="3"/>
  <c r="CP45" i="3"/>
  <c r="CP46" i="3" s="1"/>
  <c r="DJ21" i="3"/>
  <c r="DK20" i="3"/>
  <c r="DK21" i="3" s="1"/>
  <c r="CW159" i="3"/>
  <c r="CW87" i="3"/>
  <c r="CS21" i="2"/>
  <c r="CS67" i="2"/>
  <c r="CS17" i="2"/>
  <c r="CP46" i="2" l="1"/>
  <c r="CP49" i="2" s="1"/>
  <c r="CP50" i="2" s="1"/>
  <c r="CO55" i="9"/>
  <c r="CY32" i="17"/>
  <c r="CY31" i="17" s="1"/>
  <c r="DI61" i="3"/>
  <c r="CP57" i="9"/>
  <c r="CP58" i="9" s="1"/>
  <c r="CP55" i="9"/>
  <c r="CO66" i="9"/>
  <c r="CO67" i="9" s="1"/>
  <c r="CO57" i="9"/>
  <c r="CO58" i="9" s="1"/>
  <c r="CP66" i="9"/>
  <c r="CP67" i="9" s="1"/>
  <c r="CO54" i="10"/>
  <c r="CO55" i="10" s="1"/>
  <c r="CP54" i="10"/>
  <c r="CP57" i="10" s="1"/>
  <c r="CP58" i="10" s="1"/>
  <c r="DD61" i="8"/>
  <c r="DD62" i="8" s="1"/>
  <c r="CY36" i="21"/>
  <c r="CK187" i="117"/>
  <c r="CK188" i="117" s="1"/>
  <c r="CK223" i="117" s="1"/>
  <c r="CR37" i="2"/>
  <c r="CR29" i="2"/>
  <c r="CS25" i="2"/>
  <c r="CQ148" i="117"/>
  <c r="CR145" i="117"/>
  <c r="CR147" i="117" s="1"/>
  <c r="CU32" i="16"/>
  <c r="CU30" i="16"/>
  <c r="CF259" i="117"/>
  <c r="CF264" i="117"/>
  <c r="CQ8" i="21"/>
  <c r="CQ6" i="21" s="1"/>
  <c r="CQ5" i="21" s="1"/>
  <c r="CQ40" i="2"/>
  <c r="CQ33" i="2"/>
  <c r="CQ52" i="2"/>
  <c r="CS18" i="2"/>
  <c r="CW72" i="17"/>
  <c r="CW73" i="17" s="1"/>
  <c r="CU8" i="9"/>
  <c r="CU32" i="9"/>
  <c r="CU25" i="9"/>
  <c r="CP165" i="117"/>
  <c r="CP149" i="117"/>
  <c r="CP161" i="117"/>
  <c r="CW25" i="16"/>
  <c r="CU38" i="16"/>
  <c r="CF232" i="117"/>
  <c r="CH231" i="117"/>
  <c r="CH232" i="117" s="1"/>
  <c r="CR64" i="2"/>
  <c r="CR61" i="2" s="1"/>
  <c r="CU41" i="17"/>
  <c r="CU60" i="17"/>
  <c r="CU88" i="21"/>
  <c r="CU48" i="17"/>
  <c r="DG47" i="7"/>
  <c r="DG58" i="7"/>
  <c r="DG49" i="7"/>
  <c r="DG50" i="7" s="1"/>
  <c r="DG105" i="21"/>
  <c r="CV4" i="2"/>
  <c r="CV6" i="2" s="1"/>
  <c r="CU7" i="2"/>
  <c r="R50" i="11"/>
  <c r="R52" i="11" s="1"/>
  <c r="R53" i="11" s="1"/>
  <c r="CH219" i="117"/>
  <c r="CH220" i="117" s="1"/>
  <c r="CN208" i="117"/>
  <c r="CM205" i="117"/>
  <c r="CM206" i="117" s="1"/>
  <c r="DG92" i="16"/>
  <c r="DG86" i="16"/>
  <c r="DG84" i="16"/>
  <c r="DG91" i="21"/>
  <c r="DD38" i="8"/>
  <c r="DE37" i="8"/>
  <c r="DG25" i="8"/>
  <c r="CY80" i="3"/>
  <c r="CY8" i="3"/>
  <c r="CY81" i="3" s="1"/>
  <c r="CX8" i="16"/>
  <c r="CX20" i="16"/>
  <c r="CX24" i="16"/>
  <c r="CX25" i="16" s="1"/>
  <c r="CV64" i="16"/>
  <c r="CV61" i="16" s="1"/>
  <c r="CV62" i="16" s="1"/>
  <c r="CW176" i="3"/>
  <c r="CW160" i="3"/>
  <c r="DJ62" i="7"/>
  <c r="CM178" i="117"/>
  <c r="CM170" i="117"/>
  <c r="CN166" i="117"/>
  <c r="CV30" i="16"/>
  <c r="CV32" i="16"/>
  <c r="CR46" i="9"/>
  <c r="CS45" i="9"/>
  <c r="CH225" i="117"/>
  <c r="CH191" i="117"/>
  <c r="CH226" i="117" s="1"/>
  <c r="CJ182" i="117"/>
  <c r="CR44" i="3"/>
  <c r="CQ45" i="3"/>
  <c r="CQ46" i="3" s="1"/>
  <c r="CV177" i="3"/>
  <c r="CV194" i="3"/>
  <c r="CV7" i="21"/>
  <c r="CV180" i="3"/>
  <c r="CV181" i="3" s="1"/>
  <c r="DH8" i="8"/>
  <c r="DH24" i="8"/>
  <c r="DH25" i="8" s="1"/>
  <c r="DH20" i="8"/>
  <c r="CO129" i="21"/>
  <c r="CO61" i="10"/>
  <c r="CU85" i="17"/>
  <c r="CV82" i="17"/>
  <c r="CV84" i="17" s="1"/>
  <c r="DE4" i="3"/>
  <c r="DA6" i="3"/>
  <c r="CN162" i="117"/>
  <c r="CN158" i="117"/>
  <c r="CN159" i="117" s="1"/>
  <c r="CY86" i="3"/>
  <c r="CX159" i="3"/>
  <c r="CX87" i="3"/>
  <c r="CP129" i="21"/>
  <c r="CP61" i="10"/>
  <c r="CX37" i="17"/>
  <c r="CX38" i="17" s="1"/>
  <c r="CX45" i="17"/>
  <c r="DH83" i="16"/>
  <c r="DH78" i="16"/>
  <c r="CS28" i="10"/>
  <c r="CR29" i="10"/>
  <c r="DJ38" i="7"/>
  <c r="DK37" i="7"/>
  <c r="CR136" i="21"/>
  <c r="CR104" i="17"/>
  <c r="CV7" i="9"/>
  <c r="CW4" i="9"/>
  <c r="CW6" i="9" s="1"/>
  <c r="CW21" i="16"/>
  <c r="CW67" i="16"/>
  <c r="CV4" i="10"/>
  <c r="CV6" i="10" s="1"/>
  <c r="CU7" i="10"/>
  <c r="CU62" i="16"/>
  <c r="CY5" i="16"/>
  <c r="DA4" i="16"/>
  <c r="CR72" i="10"/>
  <c r="CR69" i="10" s="1"/>
  <c r="CR70" i="10" s="1"/>
  <c r="DJ65" i="7"/>
  <c r="CS75" i="10"/>
  <c r="CS17" i="10"/>
  <c r="CS18" i="10" s="1"/>
  <c r="CS26" i="10"/>
  <c r="CW29" i="17"/>
  <c r="CW40" i="17"/>
  <c r="DJ58" i="3"/>
  <c r="DJ59" i="3"/>
  <c r="DK54" i="3"/>
  <c r="DJ55" i="3"/>
  <c r="CR114" i="21"/>
  <c r="CR98" i="17"/>
  <c r="CR109" i="17"/>
  <c r="CR110" i="17" s="1"/>
  <c r="DJ4" i="8"/>
  <c r="DJ6" i="8" s="1"/>
  <c r="DI7" i="8"/>
  <c r="DA6" i="17"/>
  <c r="DE4" i="17"/>
  <c r="CR46" i="10"/>
  <c r="CS45" i="10"/>
  <c r="CL206" i="117"/>
  <c r="CL306" i="117"/>
  <c r="DC11" i="21" s="1"/>
  <c r="CL216" i="117"/>
  <c r="CL174" i="117"/>
  <c r="CL217" i="117" s="1"/>
  <c r="CL181" i="117"/>
  <c r="CL196" i="117"/>
  <c r="CL197" i="117" s="1"/>
  <c r="CH258" i="117"/>
  <c r="CH259" i="117" s="1"/>
  <c r="CG264" i="117"/>
  <c r="CG259" i="117"/>
  <c r="DD30" i="8"/>
  <c r="DD32" i="8"/>
  <c r="DG21" i="8"/>
  <c r="DG67" i="8"/>
  <c r="DG64" i="8" s="1"/>
  <c r="DJ74" i="16"/>
  <c r="DJ76" i="16" s="1"/>
  <c r="DI77" i="16"/>
  <c r="CJ187" i="117"/>
  <c r="CO57" i="10" l="1"/>
  <c r="CO58" i="10" s="1"/>
  <c r="CP33" i="21"/>
  <c r="CP31" i="21" s="1"/>
  <c r="CP30" i="21" s="1"/>
  <c r="CP47" i="2"/>
  <c r="CP58" i="2"/>
  <c r="CP59" i="2" s="1"/>
  <c r="CW69" i="17"/>
  <c r="CW70" i="17" s="1"/>
  <c r="DJ61" i="3"/>
  <c r="CO107" i="21"/>
  <c r="CO66" i="10"/>
  <c r="CO67" i="10" s="1"/>
  <c r="CP107" i="21"/>
  <c r="CP66" i="10"/>
  <c r="CP67" i="10" s="1"/>
  <c r="CP55" i="10"/>
  <c r="CN205" i="117"/>
  <c r="CN206" i="117" s="1"/>
  <c r="CK222" i="117"/>
  <c r="CK219" i="117" s="1"/>
  <c r="CK220" i="117" s="1"/>
  <c r="CK199" i="117"/>
  <c r="CK200" i="117" s="1"/>
  <c r="CK190" i="117"/>
  <c r="CK191" i="117" s="1"/>
  <c r="CK226" i="117" s="1"/>
  <c r="CK309" i="117"/>
  <c r="CK315" i="117" s="1"/>
  <c r="CM202" i="117"/>
  <c r="CM203" i="117" s="1"/>
  <c r="DI83" i="16"/>
  <c r="DI78" i="16"/>
  <c r="DK58" i="3"/>
  <c r="DK59" i="3"/>
  <c r="CV8" i="9"/>
  <c r="CV32" i="9"/>
  <c r="CV33" i="9" s="1"/>
  <c r="CV25" i="9"/>
  <c r="CY37" i="17"/>
  <c r="DG61" i="8"/>
  <c r="DG62" i="8" s="1"/>
  <c r="DG65" i="8"/>
  <c r="CL187" i="117"/>
  <c r="CL182" i="117"/>
  <c r="CS46" i="10"/>
  <c r="CS43" i="10"/>
  <c r="CS44" i="10" s="1"/>
  <c r="DK6" i="8"/>
  <c r="DJ7" i="8"/>
  <c r="CS29" i="10"/>
  <c r="CS20" i="10"/>
  <c r="CS21" i="10" s="1"/>
  <c r="CJ199" i="117"/>
  <c r="CJ309" i="117"/>
  <c r="CJ188" i="117"/>
  <c r="CJ223" i="117" s="1"/>
  <c r="CJ222" i="117"/>
  <c r="CJ190" i="117"/>
  <c r="CG265" i="117"/>
  <c r="CG272" i="117"/>
  <c r="DB4" i="17"/>
  <c r="DB6" i="17" s="1"/>
  <c r="DA7" i="17"/>
  <c r="DA6" i="16"/>
  <c r="DE4" i="16"/>
  <c r="CU8" i="10"/>
  <c r="CU32" i="10"/>
  <c r="CU25" i="10"/>
  <c r="CW7" i="9"/>
  <c r="CX4" i="9"/>
  <c r="CX6" i="9" s="1"/>
  <c r="DK35" i="7"/>
  <c r="DK36" i="7" s="1"/>
  <c r="DK38" i="7"/>
  <c r="CS69" i="10"/>
  <c r="CX46" i="17"/>
  <c r="CY45" i="17"/>
  <c r="CU86" i="17"/>
  <c r="CU94" i="17"/>
  <c r="DH37" i="8"/>
  <c r="DH38" i="8" s="1"/>
  <c r="DH29" i="8"/>
  <c r="DH30" i="8" s="1"/>
  <c r="CS46" i="9"/>
  <c r="CS43" i="9"/>
  <c r="CS44" i="9" s="1"/>
  <c r="CV65" i="16"/>
  <c r="DE38" i="8"/>
  <c r="DE35" i="8"/>
  <c r="DE36" i="8" s="1"/>
  <c r="CU24" i="2"/>
  <c r="CU8" i="2"/>
  <c r="CU20" i="2"/>
  <c r="DG59" i="7"/>
  <c r="CR65" i="2"/>
  <c r="CS64" i="2"/>
  <c r="CS65" i="2" s="1"/>
  <c r="CU26" i="9"/>
  <c r="CU75" i="9"/>
  <c r="CU28" i="9"/>
  <c r="CV7" i="10"/>
  <c r="CW4" i="10"/>
  <c r="CW6" i="10" s="1"/>
  <c r="DA7" i="3"/>
  <c r="DB4" i="3"/>
  <c r="DB6" i="3" s="1"/>
  <c r="CV56" i="21"/>
  <c r="CV195" i="3"/>
  <c r="CM171" i="117"/>
  <c r="CM173" i="117"/>
  <c r="CN170" i="117"/>
  <c r="CW194" i="3"/>
  <c r="CW177" i="3"/>
  <c r="CW7" i="21"/>
  <c r="CW180" i="3"/>
  <c r="CW181" i="3" s="1"/>
  <c r="CX37" i="16"/>
  <c r="CX38" i="16" s="1"/>
  <c r="CX29" i="16"/>
  <c r="DG87" i="16"/>
  <c r="DG113" i="21"/>
  <c r="DG98" i="16"/>
  <c r="CW4" i="2"/>
  <c r="CW6" i="2" s="1"/>
  <c r="CV7" i="2"/>
  <c r="CU61" i="17"/>
  <c r="CU132" i="21"/>
  <c r="CY24" i="16"/>
  <c r="CY23" i="16" s="1"/>
  <c r="CP162" i="117"/>
  <c r="CP208" i="117"/>
  <c r="CP205" i="117" s="1"/>
  <c r="CU33" i="9"/>
  <c r="CQ53" i="2"/>
  <c r="CQ57" i="21"/>
  <c r="CQ55" i="21" s="1"/>
  <c r="CQ54" i="21" s="1"/>
  <c r="CF265" i="117"/>
  <c r="CF272" i="117"/>
  <c r="CH264" i="117"/>
  <c r="CH265" i="117" s="1"/>
  <c r="CU33" i="16"/>
  <c r="CU40" i="16"/>
  <c r="CU41" i="16" s="1"/>
  <c r="CU87" i="21"/>
  <c r="CU52" i="16"/>
  <c r="CR30" i="2"/>
  <c r="CR32" i="2"/>
  <c r="DJ77" i="16"/>
  <c r="DK76" i="16"/>
  <c r="DI8" i="8"/>
  <c r="DI24" i="8"/>
  <c r="DI25" i="8" s="1"/>
  <c r="CW88" i="21"/>
  <c r="CW60" i="17"/>
  <c r="CW48" i="17"/>
  <c r="CW49" i="17" s="1"/>
  <c r="CW41" i="17"/>
  <c r="CR73" i="10"/>
  <c r="CS72" i="10"/>
  <c r="CW64" i="16"/>
  <c r="CW65" i="16" s="1"/>
  <c r="CY83" i="3"/>
  <c r="CY84" i="3" s="1"/>
  <c r="CY87" i="3"/>
  <c r="CV187" i="3"/>
  <c r="CV87" i="21"/>
  <c r="CV40" i="16"/>
  <c r="CV41" i="16" s="1"/>
  <c r="CV33" i="16"/>
  <c r="CV52" i="16"/>
  <c r="CM179" i="117"/>
  <c r="CN178" i="117"/>
  <c r="CY20" i="16"/>
  <c r="CX67" i="16"/>
  <c r="CX21" i="16"/>
  <c r="DG135" i="21"/>
  <c r="DG93" i="16"/>
  <c r="CW29" i="16"/>
  <c r="CW37" i="16"/>
  <c r="CY25" i="16"/>
  <c r="CR148" i="117"/>
  <c r="CS145" i="117"/>
  <c r="CS147" i="117" s="1"/>
  <c r="CR38" i="2"/>
  <c r="CS37" i="2"/>
  <c r="DD172" i="21"/>
  <c r="DD40" i="8"/>
  <c r="DD41" i="8" s="1"/>
  <c r="DD33" i="8"/>
  <c r="DD52" i="8"/>
  <c r="CX160" i="3"/>
  <c r="DH84" i="16"/>
  <c r="DH86" i="16"/>
  <c r="DH91" i="21"/>
  <c r="DH92" i="16"/>
  <c r="CV85" i="17"/>
  <c r="CW82" i="17"/>
  <c r="CW84" i="17" s="1"/>
  <c r="DH67" i="8"/>
  <c r="DH21" i="8"/>
  <c r="CS44" i="3"/>
  <c r="CR45" i="3"/>
  <c r="CR46" i="3" s="1"/>
  <c r="CY159" i="3"/>
  <c r="CY160" i="3" s="1"/>
  <c r="DG37" i="8"/>
  <c r="R56" i="11"/>
  <c r="V55" i="11" s="1"/>
  <c r="S56" i="11"/>
  <c r="V56" i="11" s="1"/>
  <c r="CU54" i="17"/>
  <c r="CU49" i="17"/>
  <c r="CR62" i="2"/>
  <c r="CS61" i="2"/>
  <c r="CP166" i="117"/>
  <c r="DK60" i="3"/>
  <c r="CQ46" i="2"/>
  <c r="CQ41" i="2"/>
  <c r="CQ161" i="117"/>
  <c r="CQ149" i="117"/>
  <c r="CQ165" i="117"/>
  <c r="CQ166" i="117" s="1"/>
  <c r="CK225" i="117" l="1"/>
  <c r="CN154" i="117"/>
  <c r="CN156" i="117" s="1"/>
  <c r="CK258" i="117"/>
  <c r="CK264" i="117" s="1"/>
  <c r="DH32" i="8"/>
  <c r="DH172" i="21" s="1"/>
  <c r="DH173" i="21" s="1"/>
  <c r="CU46" i="16"/>
  <c r="CU47" i="16" s="1"/>
  <c r="CW54" i="17"/>
  <c r="CW110" i="21" s="1"/>
  <c r="CN202" i="117"/>
  <c r="CN151" i="117" s="1"/>
  <c r="CN152" i="117" s="1"/>
  <c r="CK231" i="117"/>
  <c r="CK232" i="117" s="1"/>
  <c r="DB36" i="21"/>
  <c r="CH272" i="117"/>
  <c r="CW187" i="3"/>
  <c r="CW190" i="3" s="1"/>
  <c r="CW191" i="3" s="1"/>
  <c r="CP178" i="117"/>
  <c r="CP170" i="117"/>
  <c r="CV86" i="17"/>
  <c r="CV94" i="17"/>
  <c r="CN176" i="117"/>
  <c r="CN177" i="117" s="1"/>
  <c r="CN179" i="117"/>
  <c r="CR33" i="2"/>
  <c r="CR40" i="2"/>
  <c r="CR41" i="2" s="1"/>
  <c r="CR52" i="2"/>
  <c r="CR8" i="21"/>
  <c r="CU53" i="16"/>
  <c r="CU131" i="21"/>
  <c r="CV32" i="10"/>
  <c r="CV33" i="10" s="1"/>
  <c r="CV8" i="10"/>
  <c r="CV25" i="10"/>
  <c r="CU25" i="2"/>
  <c r="CQ162" i="117"/>
  <c r="CQ208" i="117"/>
  <c r="CW85" i="17"/>
  <c r="CX82" i="17"/>
  <c r="CX84" i="17" s="1"/>
  <c r="DH113" i="21"/>
  <c r="DH98" i="16"/>
  <c r="DH99" i="16" s="1"/>
  <c r="DH87" i="16"/>
  <c r="CW38" i="16"/>
  <c r="CY37" i="16"/>
  <c r="CY21" i="16"/>
  <c r="CY17" i="16"/>
  <c r="CY18" i="16" s="1"/>
  <c r="CV131" i="21"/>
  <c r="CV53" i="16"/>
  <c r="CV200" i="3"/>
  <c r="CV201" i="3" s="1"/>
  <c r="CV190" i="3"/>
  <c r="CV191" i="3" s="1"/>
  <c r="CV32" i="21"/>
  <c r="CV188" i="3"/>
  <c r="DJ78" i="16"/>
  <c r="CX30" i="16"/>
  <c r="CX32" i="16"/>
  <c r="CW7" i="10"/>
  <c r="CX4" i="10"/>
  <c r="CX6" i="10" s="1"/>
  <c r="CU92" i="21"/>
  <c r="CU97" i="17"/>
  <c r="CU116" i="17" s="1"/>
  <c r="CU103" i="17"/>
  <c r="CU95" i="17"/>
  <c r="CX7" i="9"/>
  <c r="CY6" i="9"/>
  <c r="DC4" i="17"/>
  <c r="DC6" i="17" s="1"/>
  <c r="DB7" i="17"/>
  <c r="CJ225" i="117"/>
  <c r="CJ191" i="117"/>
  <c r="CJ226" i="117" s="1"/>
  <c r="CJ200" i="117"/>
  <c r="CL190" i="117"/>
  <c r="CL309" i="117"/>
  <c r="CL199" i="117"/>
  <c r="CL200" i="117" s="1"/>
  <c r="CL188" i="117"/>
  <c r="CL223" i="117" s="1"/>
  <c r="CL222" i="117"/>
  <c r="CV75" i="9"/>
  <c r="CV72" i="9" s="1"/>
  <c r="CV26" i="9"/>
  <c r="CV28" i="9"/>
  <c r="DK61" i="3"/>
  <c r="DI84" i="16"/>
  <c r="DI92" i="16"/>
  <c r="DI91" i="21"/>
  <c r="DI86" i="16"/>
  <c r="CT147" i="117"/>
  <c r="CS148" i="117"/>
  <c r="CU29" i="9"/>
  <c r="CS70" i="10"/>
  <c r="CS10" i="10"/>
  <c r="CS11" i="10" s="1"/>
  <c r="CJ258" i="117"/>
  <c r="CJ231" i="117"/>
  <c r="CJ219" i="117"/>
  <c r="CJ220" i="117" s="1"/>
  <c r="CV45" i="9"/>
  <c r="CV46" i="9" s="1"/>
  <c r="CV37" i="9"/>
  <c r="CV38" i="9" s="1"/>
  <c r="CQ47" i="2"/>
  <c r="CQ33" i="21"/>
  <c r="CQ31" i="21" s="1"/>
  <c r="CQ30" i="21" s="1"/>
  <c r="CQ49" i="2"/>
  <c r="CQ50" i="2" s="1"/>
  <c r="CQ58" i="2"/>
  <c r="CQ59" i="2" s="1"/>
  <c r="CS10" i="2"/>
  <c r="CS62" i="2"/>
  <c r="DH64" i="8"/>
  <c r="DH65" i="8" s="1"/>
  <c r="DH93" i="16"/>
  <c r="DH135" i="21"/>
  <c r="DD46" i="8"/>
  <c r="DD173" i="21"/>
  <c r="DD178" i="21"/>
  <c r="CR149" i="117"/>
  <c r="CR165" i="117"/>
  <c r="CR161" i="117"/>
  <c r="CS13" i="10"/>
  <c r="CS73" i="10"/>
  <c r="CV24" i="2"/>
  <c r="CV25" i="2" s="1"/>
  <c r="CV8" i="2"/>
  <c r="CV20" i="2"/>
  <c r="CW195" i="3"/>
  <c r="CW56" i="21"/>
  <c r="CM196" i="117"/>
  <c r="CM197" i="117" s="1"/>
  <c r="CM174" i="117"/>
  <c r="CM217" i="117" s="1"/>
  <c r="CM306" i="117"/>
  <c r="DD11" i="21" s="1"/>
  <c r="DE11" i="21" s="1"/>
  <c r="CM216" i="117"/>
  <c r="CM181" i="117"/>
  <c r="CM187" i="117" s="1"/>
  <c r="CN187" i="117" s="1"/>
  <c r="CN173" i="117"/>
  <c r="DC4" i="3"/>
  <c r="DC6" i="3" s="1"/>
  <c r="DB7" i="3"/>
  <c r="CU72" i="9"/>
  <c r="CU73" i="9" s="1"/>
  <c r="CU67" i="2"/>
  <c r="CU64" i="2" s="1"/>
  <c r="CU21" i="2"/>
  <c r="CU28" i="10"/>
  <c r="CU75" i="10"/>
  <c r="CU26" i="10"/>
  <c r="DB4" i="16"/>
  <c r="DB6" i="16" s="1"/>
  <c r="DA7" i="16"/>
  <c r="DK77" i="16"/>
  <c r="DK78" i="16" s="1"/>
  <c r="CU55" i="17"/>
  <c r="CU110" i="21"/>
  <c r="CU66" i="17"/>
  <c r="CU67" i="17" s="1"/>
  <c r="CU57" i="17"/>
  <c r="CU58" i="17" s="1"/>
  <c r="CU44" i="3"/>
  <c r="CS45" i="3"/>
  <c r="CS46" i="3" s="1"/>
  <c r="CW32" i="16"/>
  <c r="CW30" i="16"/>
  <c r="CY29" i="16"/>
  <c r="DI29" i="8"/>
  <c r="DI30" i="8" s="1"/>
  <c r="DI37" i="8"/>
  <c r="DI38" i="8" s="1"/>
  <c r="CP202" i="117"/>
  <c r="CP206" i="117"/>
  <c r="DG99" i="16"/>
  <c r="CN171" i="117"/>
  <c r="CN167" i="117"/>
  <c r="CN168" i="117" s="1"/>
  <c r="CW8" i="9"/>
  <c r="CW32" i="9"/>
  <c r="CW33" i="9" s="1"/>
  <c r="CW45" i="9" s="1"/>
  <c r="CW46" i="9" s="1"/>
  <c r="CW25" i="9"/>
  <c r="CQ170" i="117"/>
  <c r="CQ178" i="117"/>
  <c r="CQ179" i="117" s="1"/>
  <c r="V57" i="11"/>
  <c r="DG38" i="8"/>
  <c r="DD198" i="21"/>
  <c r="DD53" i="8"/>
  <c r="CS38" i="2"/>
  <c r="CS35" i="2"/>
  <c r="CS36" i="2" s="1"/>
  <c r="CY67" i="16"/>
  <c r="CX64" i="16"/>
  <c r="CX65" i="16" s="1"/>
  <c r="CV46" i="16"/>
  <c r="CW61" i="16"/>
  <c r="CW132" i="21"/>
  <c r="CW61" i="17"/>
  <c r="CU45" i="9"/>
  <c r="CU37" i="9"/>
  <c r="CU38" i="9" s="1"/>
  <c r="CX4" i="2"/>
  <c r="CX6" i="2" s="1"/>
  <c r="CW7" i="2"/>
  <c r="DA8" i="3"/>
  <c r="DA81" i="3" s="1"/>
  <c r="DA80" i="3"/>
  <c r="DA86" i="3" s="1"/>
  <c r="CY46" i="17"/>
  <c r="CY43" i="17"/>
  <c r="CY44" i="17" s="1"/>
  <c r="CU33" i="10"/>
  <c r="DA8" i="17"/>
  <c r="DA32" i="17"/>
  <c r="DA25" i="17"/>
  <c r="DA36" i="21"/>
  <c r="CJ315" i="117"/>
  <c r="DK7" i="8"/>
  <c r="DK8" i="8" s="1"/>
  <c r="DJ20" i="8"/>
  <c r="DJ24" i="8"/>
  <c r="DJ8" i="8"/>
  <c r="CY34" i="17"/>
  <c r="CY35" i="17" s="1"/>
  <c r="CY38" i="17"/>
  <c r="CU49" i="16" l="1"/>
  <c r="CU50" i="16" s="1"/>
  <c r="CW57" i="17"/>
  <c r="CW58" i="17" s="1"/>
  <c r="CN155" i="117"/>
  <c r="CK259" i="117"/>
  <c r="DH33" i="8"/>
  <c r="DH52" i="8"/>
  <c r="DH53" i="8" s="1"/>
  <c r="CU58" i="16"/>
  <c r="CU59" i="16" s="1"/>
  <c r="CU105" i="16"/>
  <c r="CU113" i="16" s="1"/>
  <c r="CU114" i="16" s="1"/>
  <c r="CU109" i="21"/>
  <c r="CW66" i="17"/>
  <c r="CW67" i="17" s="1"/>
  <c r="CW55" i="17"/>
  <c r="CW200" i="3"/>
  <c r="CW201" i="3" s="1"/>
  <c r="CW32" i="21"/>
  <c r="CU69" i="9"/>
  <c r="CU70" i="9" s="1"/>
  <c r="DH61" i="8"/>
  <c r="DH62" i="8" s="1"/>
  <c r="CN203" i="117"/>
  <c r="CW188" i="3"/>
  <c r="CU45" i="10"/>
  <c r="CU37" i="10"/>
  <c r="CX7" i="2"/>
  <c r="CY6" i="2"/>
  <c r="CU72" i="10"/>
  <c r="CU69" i="10" s="1"/>
  <c r="CN216" i="117"/>
  <c r="CN174" i="117"/>
  <c r="CN217" i="117" s="1"/>
  <c r="CN196" i="117"/>
  <c r="CN197" i="117" s="1"/>
  <c r="CU136" i="21"/>
  <c r="CU104" i="17"/>
  <c r="CU37" i="2"/>
  <c r="DJ67" i="8"/>
  <c r="DJ21" i="8"/>
  <c r="CU46" i="9"/>
  <c r="DA159" i="3"/>
  <c r="DA87" i="3"/>
  <c r="CW8" i="2"/>
  <c r="CW24" i="2"/>
  <c r="CW25" i="2" s="1"/>
  <c r="CW20" i="2"/>
  <c r="CX61" i="16"/>
  <c r="CX62" i="16" s="1"/>
  <c r="CP203" i="117"/>
  <c r="CU124" i="17"/>
  <c r="CU125" i="17" s="1"/>
  <c r="CU119" i="17"/>
  <c r="CU120" i="17" s="1"/>
  <c r="CU117" i="17"/>
  <c r="CU61" i="2"/>
  <c r="CU65" i="2"/>
  <c r="DD4" i="3"/>
  <c r="DD6" i="3" s="1"/>
  <c r="DC7" i="3"/>
  <c r="CV29" i="2"/>
  <c r="CV30" i="2" s="1"/>
  <c r="CV37" i="2"/>
  <c r="CV38" i="2" s="1"/>
  <c r="CS15" i="10"/>
  <c r="CS14" i="10"/>
  <c r="DD17" i="21"/>
  <c r="DD179" i="21"/>
  <c r="CV29" i="9"/>
  <c r="CV40" i="9"/>
  <c r="DB32" i="17"/>
  <c r="DB33" i="17" s="1"/>
  <c r="DB8" i="17"/>
  <c r="CY64" i="16"/>
  <c r="CV45" i="10"/>
  <c r="CV46" i="10" s="1"/>
  <c r="CV37" i="10"/>
  <c r="CV38" i="10" s="1"/>
  <c r="CR46" i="2"/>
  <c r="CS161" i="117"/>
  <c r="CS165" i="117"/>
  <c r="CS166" i="117" s="1"/>
  <c r="CS149" i="117"/>
  <c r="CT148" i="117"/>
  <c r="CT149" i="117" s="1"/>
  <c r="DJ25" i="8"/>
  <c r="DK24" i="8"/>
  <c r="DK23" i="8" s="1"/>
  <c r="DA33" i="17"/>
  <c r="CW62" i="16"/>
  <c r="DD199" i="21"/>
  <c r="N58" i="11"/>
  <c r="M59" i="11"/>
  <c r="G11" i="12" s="1"/>
  <c r="N59" i="11"/>
  <c r="M58" i="11"/>
  <c r="M60" i="11"/>
  <c r="H11" i="12" s="1"/>
  <c r="L58" i="11"/>
  <c r="C11" i="12"/>
  <c r="L60" i="11"/>
  <c r="N60" i="11"/>
  <c r="L59" i="11"/>
  <c r="CW26" i="9"/>
  <c r="CW28" i="9"/>
  <c r="CW29" i="9" s="1"/>
  <c r="CW75" i="9"/>
  <c r="DA20" i="16"/>
  <c r="DA8" i="16"/>
  <c r="DA24" i="16"/>
  <c r="CU29" i="10"/>
  <c r="CM182" i="117"/>
  <c r="CN181" i="117"/>
  <c r="CV67" i="2"/>
  <c r="CV21" i="2"/>
  <c r="CR166" i="117"/>
  <c r="DD185" i="21"/>
  <c r="DD49" i="8"/>
  <c r="DD50" i="8" s="1"/>
  <c r="DD47" i="8"/>
  <c r="DD58" i="8"/>
  <c r="DD59" i="8" s="1"/>
  <c r="CS11" i="2"/>
  <c r="CS13" i="2"/>
  <c r="CJ232" i="117"/>
  <c r="CU40" i="9"/>
  <c r="CV69" i="9"/>
  <c r="CV70" i="9" s="1"/>
  <c r="CV73" i="9"/>
  <c r="DC36" i="21"/>
  <c r="CL315" i="117"/>
  <c r="DA4" i="9"/>
  <c r="CY5" i="9"/>
  <c r="CU98" i="17"/>
  <c r="CU114" i="21"/>
  <c r="CU109" i="17"/>
  <c r="CU110" i="17" s="1"/>
  <c r="CY6" i="10"/>
  <c r="CX7" i="10"/>
  <c r="CK265" i="117"/>
  <c r="CK272" i="117"/>
  <c r="CX85" i="17"/>
  <c r="CY84" i="17"/>
  <c r="CQ205" i="117"/>
  <c r="CQ202" i="117" s="1"/>
  <c r="CQ203" i="117" s="1"/>
  <c r="CV26" i="10"/>
  <c r="CV28" i="10"/>
  <c r="CV75" i="10"/>
  <c r="CR53" i="2"/>
  <c r="CR57" i="21"/>
  <c r="CP173" i="117"/>
  <c r="CP171" i="117"/>
  <c r="DA28" i="17"/>
  <c r="DA75" i="17"/>
  <c r="DA26" i="17"/>
  <c r="CQ173" i="117"/>
  <c r="CQ171" i="117"/>
  <c r="CW52" i="16"/>
  <c r="CW87" i="21"/>
  <c r="CW40" i="16"/>
  <c r="CW41" i="16" s="1"/>
  <c r="CW33" i="16"/>
  <c r="CY32" i="16"/>
  <c r="CY33" i="16" s="1"/>
  <c r="CR162" i="117"/>
  <c r="CR208" i="117"/>
  <c r="DI135" i="21"/>
  <c r="DI93" i="16"/>
  <c r="DD4" i="17"/>
  <c r="DD6" i="17" s="1"/>
  <c r="DC7" i="17"/>
  <c r="CX33" i="16"/>
  <c r="CX52" i="16"/>
  <c r="CX87" i="21"/>
  <c r="CN188" i="117"/>
  <c r="CN223" i="117" s="1"/>
  <c r="CN222" i="117"/>
  <c r="CN190" i="117"/>
  <c r="CV47" i="16"/>
  <c r="CV58" i="16"/>
  <c r="CV59" i="16" s="1"/>
  <c r="CV105" i="16"/>
  <c r="CV49" i="16"/>
  <c r="CV50" i="16" s="1"/>
  <c r="CV109" i="21"/>
  <c r="CY30" i="16"/>
  <c r="CY26" i="16"/>
  <c r="CY27" i="16" s="1"/>
  <c r="CV44" i="3"/>
  <c r="CU45" i="3"/>
  <c r="CU46" i="3" s="1"/>
  <c r="DC4" i="16"/>
  <c r="DC6" i="16" s="1"/>
  <c r="DB7" i="16"/>
  <c r="DB8" i="3"/>
  <c r="DB81" i="3" s="1"/>
  <c r="DB80" i="3"/>
  <c r="DB86" i="3" s="1"/>
  <c r="CM222" i="117"/>
  <c r="CM190" i="117"/>
  <c r="CM309" i="117"/>
  <c r="CM188" i="117"/>
  <c r="CM223" i="117" s="1"/>
  <c r="CM199" i="117"/>
  <c r="CM200" i="117" s="1"/>
  <c r="CJ259" i="117"/>
  <c r="CJ264" i="117"/>
  <c r="DI113" i="21"/>
  <c r="DI87" i="16"/>
  <c r="DI98" i="16"/>
  <c r="CL219" i="117"/>
  <c r="CL220" i="117" s="1"/>
  <c r="CL258" i="117"/>
  <c r="CL231" i="117"/>
  <c r="CL232" i="117" s="1"/>
  <c r="CL225" i="117"/>
  <c r="CL191" i="117"/>
  <c r="CL226" i="117" s="1"/>
  <c r="CY7" i="9"/>
  <c r="CY8" i="9" s="1"/>
  <c r="CX8" i="9"/>
  <c r="CX32" i="9"/>
  <c r="CW32" i="10"/>
  <c r="CW8" i="10"/>
  <c r="CW25" i="10"/>
  <c r="CY35" i="16"/>
  <c r="CY36" i="16" s="1"/>
  <c r="CY38" i="16"/>
  <c r="CW86" i="17"/>
  <c r="CV92" i="21"/>
  <c r="CV95" i="17"/>
  <c r="CV103" i="17"/>
  <c r="CV97" i="17"/>
  <c r="CP179" i="117"/>
  <c r="CT165" i="117" l="1"/>
  <c r="DH198" i="21"/>
  <c r="DH199" i="21" s="1"/>
  <c r="CY61" i="16"/>
  <c r="CY62" i="16" s="1"/>
  <c r="CU106" i="16"/>
  <c r="CU108" i="16"/>
  <c r="CU109" i="16" s="1"/>
  <c r="CN219" i="117"/>
  <c r="CN220" i="117" s="1"/>
  <c r="CU70" i="10"/>
  <c r="CQ196" i="117"/>
  <c r="CQ197" i="117" s="1"/>
  <c r="CQ181" i="117"/>
  <c r="CQ182" i="117" s="1"/>
  <c r="CQ174" i="117"/>
  <c r="CQ217" i="117" s="1"/>
  <c r="CQ216" i="117"/>
  <c r="CQ306" i="117"/>
  <c r="DH11" i="21" s="1"/>
  <c r="DA6" i="9"/>
  <c r="DE4" i="9"/>
  <c r="CV64" i="2"/>
  <c r="CV61" i="2" s="1"/>
  <c r="CM191" i="117"/>
  <c r="CM226" i="117" s="1"/>
  <c r="CM225" i="117"/>
  <c r="DB20" i="16"/>
  <c r="DB24" i="16"/>
  <c r="DB25" i="16" s="1"/>
  <c r="DB8" i="16"/>
  <c r="CV106" i="16"/>
  <c r="CV108" i="16"/>
  <c r="CV109" i="16" s="1"/>
  <c r="CV113" i="16"/>
  <c r="CV114" i="16" s="1"/>
  <c r="CX33" i="9"/>
  <c r="CY32" i="9"/>
  <c r="CY31" i="9" s="1"/>
  <c r="DI99" i="16"/>
  <c r="CJ265" i="117"/>
  <c r="CJ272" i="117"/>
  <c r="CM219" i="117"/>
  <c r="CM220" i="117" s="1"/>
  <c r="CM258" i="117"/>
  <c r="CM231" i="117"/>
  <c r="CM232" i="117" s="1"/>
  <c r="DC7" i="16"/>
  <c r="DD4" i="16"/>
  <c r="DD6" i="16" s="1"/>
  <c r="DC25" i="17"/>
  <c r="DC32" i="17"/>
  <c r="DC33" i="17" s="1"/>
  <c r="DC8" i="17"/>
  <c r="CR205" i="117"/>
  <c r="CR206" i="117" s="1"/>
  <c r="DA29" i="17"/>
  <c r="CX86" i="17"/>
  <c r="CX94" i="17"/>
  <c r="CY85" i="17"/>
  <c r="CY86" i="17" s="1"/>
  <c r="DD213" i="21"/>
  <c r="DD214" i="21" s="1"/>
  <c r="DD186" i="21"/>
  <c r="DD191" i="21"/>
  <c r="DA21" i="16"/>
  <c r="DA67" i="16"/>
  <c r="CV41" i="9"/>
  <c r="CV60" i="9"/>
  <c r="CV84" i="21"/>
  <c r="CV48" i="9"/>
  <c r="CV49" i="9" s="1"/>
  <c r="DD7" i="3"/>
  <c r="DE7" i="3" s="1"/>
  <c r="DE6" i="3"/>
  <c r="CW29" i="2"/>
  <c r="CW30" i="2" s="1"/>
  <c r="CW37" i="2"/>
  <c r="CW38" i="2" s="1"/>
  <c r="CU40" i="10"/>
  <c r="CU38" i="10"/>
  <c r="DB159" i="3"/>
  <c r="DB87" i="3"/>
  <c r="CS14" i="2"/>
  <c r="CS15" i="2"/>
  <c r="CW72" i="9"/>
  <c r="CW73" i="9" s="1"/>
  <c r="DJ37" i="8"/>
  <c r="DJ29" i="8"/>
  <c r="DK25" i="8"/>
  <c r="CR58" i="2"/>
  <c r="CR59" i="2" s="1"/>
  <c r="CR47" i="2"/>
  <c r="CR49" i="2"/>
  <c r="CR50" i="2" s="1"/>
  <c r="CR33" i="21"/>
  <c r="DB37" i="17"/>
  <c r="DB38" i="17" s="1"/>
  <c r="DB45" i="17"/>
  <c r="DB46" i="17" s="1"/>
  <c r="DJ64" i="8"/>
  <c r="DJ65" i="8" s="1"/>
  <c r="CU73" i="10"/>
  <c r="CV104" i="17"/>
  <c r="CV136" i="21"/>
  <c r="CL259" i="117"/>
  <c r="CL264" i="117"/>
  <c r="DD36" i="21"/>
  <c r="DE36" i="21" s="1"/>
  <c r="CM315" i="117"/>
  <c r="CW44" i="3"/>
  <c r="CV45" i="3"/>
  <c r="CV46" i="3" s="1"/>
  <c r="CN191" i="117"/>
  <c r="CN226" i="117" s="1"/>
  <c r="CN225" i="117"/>
  <c r="CX131" i="21"/>
  <c r="CX53" i="16"/>
  <c r="CY87" i="21"/>
  <c r="CV72" i="10"/>
  <c r="CV73" i="10" s="1"/>
  <c r="CQ206" i="117"/>
  <c r="CY7" i="10"/>
  <c r="CY8" i="10" s="1"/>
  <c r="CX8" i="10"/>
  <c r="CX32" i="10"/>
  <c r="CX33" i="10" s="1"/>
  <c r="CX25" i="10"/>
  <c r="CU84" i="21"/>
  <c r="CU60" i="9"/>
  <c r="CU41" i="9"/>
  <c r="CU48" i="9"/>
  <c r="CU49" i="9" s="1"/>
  <c r="CR178" i="117"/>
  <c r="CR170" i="117"/>
  <c r="CT166" i="117"/>
  <c r="CN182" i="117"/>
  <c r="CN184" i="117"/>
  <c r="CN185" i="117" s="1"/>
  <c r="DA25" i="16"/>
  <c r="CS178" i="117"/>
  <c r="CS179" i="117" s="1"/>
  <c r="CS170" i="117"/>
  <c r="CY5" i="2"/>
  <c r="DA4" i="2"/>
  <c r="CU46" i="10"/>
  <c r="CV114" i="21"/>
  <c r="CV109" i="17"/>
  <c r="CV110" i="17" s="1"/>
  <c r="CV98" i="17"/>
  <c r="CW26" i="10"/>
  <c r="CW75" i="10"/>
  <c r="CW28" i="10"/>
  <c r="CW29" i="10" s="1"/>
  <c r="DE6" i="17"/>
  <c r="DD7" i="17"/>
  <c r="DE7" i="17" s="1"/>
  <c r="DE8" i="17" s="1"/>
  <c r="CW33" i="10"/>
  <c r="CW46" i="16"/>
  <c r="CW131" i="21"/>
  <c r="CW53" i="16"/>
  <c r="CY52" i="16"/>
  <c r="CY55" i="16" s="1"/>
  <c r="DA72" i="17"/>
  <c r="DA73" i="17" s="1"/>
  <c r="CP306" i="117"/>
  <c r="DG11" i="21" s="1"/>
  <c r="CP196" i="117"/>
  <c r="CP197" i="117" s="1"/>
  <c r="CP174" i="117"/>
  <c r="CP217" i="117" s="1"/>
  <c r="CP181" i="117"/>
  <c r="CP216" i="117"/>
  <c r="CV40" i="10"/>
  <c r="CV29" i="10"/>
  <c r="CY83" i="17"/>
  <c r="DA82" i="17"/>
  <c r="CY5" i="10"/>
  <c r="DA4" i="10"/>
  <c r="CV32" i="2"/>
  <c r="E11" i="12"/>
  <c r="DA37" i="17"/>
  <c r="DA40" i="17" s="1"/>
  <c r="DA45" i="17"/>
  <c r="CS162" i="117"/>
  <c r="CS208" i="117"/>
  <c r="CY13" i="16"/>
  <c r="CY14" i="16" s="1"/>
  <c r="CY65" i="16"/>
  <c r="CY15" i="16"/>
  <c r="CN199" i="117"/>
  <c r="CN200" i="117" s="1"/>
  <c r="DC80" i="3"/>
  <c r="DC86" i="3" s="1"/>
  <c r="DC8" i="3"/>
  <c r="DC81" i="3" s="1"/>
  <c r="CU62" i="2"/>
  <c r="CW21" i="2"/>
  <c r="CW67" i="2"/>
  <c r="DA160" i="3"/>
  <c r="CU38" i="2"/>
  <c r="CX8" i="2"/>
  <c r="CX24" i="2"/>
  <c r="CX20" i="2"/>
  <c r="CY7" i="2"/>
  <c r="CY8" i="2" s="1"/>
  <c r="CT161" i="117"/>
  <c r="CY10" i="16" l="1"/>
  <c r="CY11" i="16" s="1"/>
  <c r="CW32" i="2"/>
  <c r="CW33" i="2" s="1"/>
  <c r="DA69" i="17"/>
  <c r="DA70" i="17" s="1"/>
  <c r="CY32" i="10"/>
  <c r="CY31" i="10" s="1"/>
  <c r="CV69" i="10"/>
  <c r="CV70" i="10" s="1"/>
  <c r="DJ61" i="8"/>
  <c r="DJ62" i="8" s="1"/>
  <c r="CN231" i="117"/>
  <c r="CN232" i="117" s="1"/>
  <c r="CQ187" i="117"/>
  <c r="CQ190" i="117" s="1"/>
  <c r="CV62" i="2"/>
  <c r="DA41" i="17"/>
  <c r="DA60" i="17"/>
  <c r="DA88" i="21"/>
  <c r="DA48" i="17"/>
  <c r="DA49" i="17" s="1"/>
  <c r="CV8" i="21"/>
  <c r="CV6" i="21" s="1"/>
  <c r="CV5" i="21" s="1"/>
  <c r="CV52" i="2"/>
  <c r="CV33" i="2"/>
  <c r="CV40" i="2"/>
  <c r="CV41" i="2" s="1"/>
  <c r="CX44" i="3"/>
  <c r="CW45" i="3"/>
  <c r="CW46" i="3" s="1"/>
  <c r="DJ38" i="8"/>
  <c r="DK37" i="8"/>
  <c r="DC8" i="16"/>
  <c r="DC20" i="16"/>
  <c r="DC24" i="16"/>
  <c r="CW64" i="2"/>
  <c r="CW65" i="2" s="1"/>
  <c r="CT208" i="117"/>
  <c r="CS205" i="117"/>
  <c r="CS202" i="117" s="1"/>
  <c r="CS203" i="117" s="1"/>
  <c r="DE4" i="10"/>
  <c r="DA6" i="10"/>
  <c r="CY25" i="10"/>
  <c r="CX28" i="10"/>
  <c r="CY28" i="10" s="1"/>
  <c r="CX75" i="10"/>
  <c r="CX26" i="10"/>
  <c r="CX25" i="2"/>
  <c r="CY24" i="2"/>
  <c r="CY23" i="2" s="1"/>
  <c r="DE8" i="3"/>
  <c r="DE81" i="3" s="1"/>
  <c r="DE80" i="3"/>
  <c r="CV60" i="10"/>
  <c r="CV85" i="21"/>
  <c r="CV48" i="10"/>
  <c r="CV49" i="10" s="1"/>
  <c r="CV41" i="10"/>
  <c r="CW49" i="16"/>
  <c r="CW50" i="16" s="1"/>
  <c r="CW58" i="16"/>
  <c r="CW59" i="16" s="1"/>
  <c r="CW109" i="21"/>
  <c r="CW105" i="16"/>
  <c r="CW47" i="16"/>
  <c r="DG4" i="17"/>
  <c r="DE5" i="17"/>
  <c r="CS173" i="117"/>
  <c r="CS171" i="117"/>
  <c r="DA37" i="16"/>
  <c r="DA29" i="16"/>
  <c r="CR171" i="117"/>
  <c r="CR173" i="117"/>
  <c r="CT170" i="117"/>
  <c r="CU61" i="9"/>
  <c r="CU128" i="21"/>
  <c r="CX45" i="10"/>
  <c r="CX46" i="10" s="1"/>
  <c r="CL272" i="117"/>
  <c r="CL265" i="117"/>
  <c r="DJ30" i="8"/>
  <c r="DJ32" i="8"/>
  <c r="DD80" i="3"/>
  <c r="DD86" i="3" s="1"/>
  <c r="DD8" i="3"/>
  <c r="DD81" i="3" s="1"/>
  <c r="CV128" i="21"/>
  <c r="CV61" i="9"/>
  <c r="DE6" i="16"/>
  <c r="DD7" i="16"/>
  <c r="CT158" i="117"/>
  <c r="CT159" i="117" s="1"/>
  <c r="CT162" i="117"/>
  <c r="DA46" i="17"/>
  <c r="CY56" i="16"/>
  <c r="R156" i="11"/>
  <c r="CY131" i="21"/>
  <c r="CY53" i="16"/>
  <c r="DD192" i="21"/>
  <c r="DD42" i="21"/>
  <c r="DB4" i="9"/>
  <c r="DB6" i="9" s="1"/>
  <c r="DA7" i="9"/>
  <c r="DC159" i="3"/>
  <c r="DC87" i="3"/>
  <c r="DA38" i="17"/>
  <c r="CW45" i="10"/>
  <c r="CY33" i="10"/>
  <c r="CW72" i="10"/>
  <c r="CW69" i="10" s="1"/>
  <c r="DE4" i="2"/>
  <c r="DA6" i="2"/>
  <c r="CU54" i="9"/>
  <c r="CW69" i="9"/>
  <c r="CW70" i="9" s="1"/>
  <c r="CV54" i="9"/>
  <c r="CX97" i="17"/>
  <c r="CX92" i="21"/>
  <c r="CX95" i="17"/>
  <c r="CX103" i="17"/>
  <c r="CR202" i="117"/>
  <c r="DC45" i="17"/>
  <c r="DC46" i="17" s="1"/>
  <c r="DC37" i="17"/>
  <c r="DC38" i="17" s="1"/>
  <c r="DB29" i="16"/>
  <c r="DB37" i="16"/>
  <c r="DB38" i="16" s="1"/>
  <c r="DE82" i="17"/>
  <c r="DA84" i="17"/>
  <c r="CR179" i="117"/>
  <c r="CT178" i="117"/>
  <c r="CU85" i="21"/>
  <c r="CU60" i="10"/>
  <c r="CU41" i="10"/>
  <c r="CU48" i="10"/>
  <c r="CU49" i="10" s="1"/>
  <c r="CY20" i="2"/>
  <c r="CX21" i="2"/>
  <c r="CX67" i="2"/>
  <c r="CX64" i="2" s="1"/>
  <c r="CP187" i="117"/>
  <c r="CP182" i="117"/>
  <c r="DD8" i="17"/>
  <c r="DD32" i="17"/>
  <c r="DB176" i="3"/>
  <c r="DB160" i="3"/>
  <c r="DG4" i="3"/>
  <c r="DE5" i="3"/>
  <c r="DA64" i="16"/>
  <c r="DC75" i="17"/>
  <c r="DC26" i="17"/>
  <c r="DC28" i="17"/>
  <c r="CM259" i="117"/>
  <c r="CM264" i="117"/>
  <c r="CN258" i="117"/>
  <c r="CN259" i="117" s="1"/>
  <c r="CY33" i="9"/>
  <c r="CX45" i="9"/>
  <c r="CX37" i="9"/>
  <c r="CX38" i="9" s="1"/>
  <c r="DB67" i="16"/>
  <c r="DB21" i="16"/>
  <c r="CV65" i="2"/>
  <c r="CW8" i="21" l="1"/>
  <c r="CW6" i="21" s="1"/>
  <c r="CW5" i="21" s="1"/>
  <c r="CW40" i="2"/>
  <c r="CW41" i="2" s="1"/>
  <c r="CW52" i="2"/>
  <c r="CW57" i="21" s="1"/>
  <c r="CW55" i="21" s="1"/>
  <c r="CW54" i="21" s="1"/>
  <c r="DA54" i="17"/>
  <c r="DA55" i="17" s="1"/>
  <c r="CV46" i="2"/>
  <c r="CV49" i="2" s="1"/>
  <c r="CV50" i="2" s="1"/>
  <c r="CU54" i="10"/>
  <c r="CU55" i="10" s="1"/>
  <c r="CQ188" i="117"/>
  <c r="CQ223" i="117" s="1"/>
  <c r="CQ309" i="117"/>
  <c r="DH36" i="21" s="1"/>
  <c r="CQ222" i="117"/>
  <c r="CQ231" i="117" s="1"/>
  <c r="CQ232" i="117" s="1"/>
  <c r="CQ199" i="117"/>
  <c r="CQ200" i="117" s="1"/>
  <c r="CW70" i="10"/>
  <c r="DB64" i="16"/>
  <c r="DB65" i="16" s="1"/>
  <c r="DA65" i="16"/>
  <c r="CR203" i="117"/>
  <c r="CT202" i="117"/>
  <c r="CV57" i="9"/>
  <c r="CV58" i="9" s="1"/>
  <c r="CV106" i="21"/>
  <c r="CV66" i="9"/>
  <c r="CV67" i="9" s="1"/>
  <c r="CV55" i="9"/>
  <c r="DD33" i="17"/>
  <c r="DE32" i="17"/>
  <c r="DE31" i="17" s="1"/>
  <c r="CY17" i="2"/>
  <c r="CY21" i="2"/>
  <c r="CY67" i="2"/>
  <c r="DC29" i="17"/>
  <c r="DC40" i="17"/>
  <c r="DA61" i="16"/>
  <c r="DG6" i="3"/>
  <c r="DK4" i="3"/>
  <c r="CT179" i="117"/>
  <c r="CT176" i="117"/>
  <c r="CT177" i="117" s="1"/>
  <c r="DB82" i="17"/>
  <c r="DB84" i="17" s="1"/>
  <c r="DA85" i="17"/>
  <c r="CQ225" i="117"/>
  <c r="CQ191" i="117"/>
  <c r="CQ226" i="117" s="1"/>
  <c r="DJ172" i="21"/>
  <c r="DJ52" i="8"/>
  <c r="DJ40" i="8"/>
  <c r="DJ33" i="8"/>
  <c r="CT167" i="117"/>
  <c r="CT168" i="117" s="1"/>
  <c r="CT171" i="117"/>
  <c r="DA32" i="16"/>
  <c r="DA30" i="16"/>
  <c r="DG6" i="17"/>
  <c r="DK4" i="17"/>
  <c r="CX72" i="10"/>
  <c r="CX73" i="10" s="1"/>
  <c r="CW61" i="2"/>
  <c r="CY44" i="3"/>
  <c r="CX45" i="3"/>
  <c r="CX46" i="3" s="1"/>
  <c r="CV57" i="21"/>
  <c r="CV55" i="21" s="1"/>
  <c r="CV54" i="21" s="1"/>
  <c r="CV53" i="2"/>
  <c r="DA132" i="21"/>
  <c r="DA61" i="17"/>
  <c r="CX114" i="21"/>
  <c r="CX109" i="17"/>
  <c r="CX98" i="17"/>
  <c r="CW73" i="10"/>
  <c r="CR196" i="117"/>
  <c r="CR197" i="117" s="1"/>
  <c r="CR306" i="117"/>
  <c r="DI11" i="21" s="1"/>
  <c r="CR216" i="117"/>
  <c r="CR181" i="117"/>
  <c r="CR187" i="117" s="1"/>
  <c r="CR174" i="117"/>
  <c r="CR217" i="117" s="1"/>
  <c r="CT173" i="117"/>
  <c r="DA38" i="16"/>
  <c r="CX29" i="10"/>
  <c r="DK38" i="8"/>
  <c r="DK35" i="8"/>
  <c r="DK36" i="8" s="1"/>
  <c r="CY64" i="2"/>
  <c r="CY65" i="2" s="1"/>
  <c r="CM265" i="117"/>
  <c r="CM272" i="117"/>
  <c r="CN272" i="117" s="1"/>
  <c r="CN264" i="117"/>
  <c r="CN265" i="117" s="1"/>
  <c r="DC72" i="17"/>
  <c r="DC73" i="17" s="1"/>
  <c r="DB194" i="3"/>
  <c r="DB7" i="21"/>
  <c r="DB177" i="3"/>
  <c r="DB180" i="3"/>
  <c r="DB181" i="3" s="1"/>
  <c r="CX136" i="21"/>
  <c r="CX104" i="17"/>
  <c r="DB4" i="2"/>
  <c r="DB6" i="2" s="1"/>
  <c r="DA7" i="2"/>
  <c r="DA32" i="9"/>
  <c r="DA8" i="9"/>
  <c r="DA25" i="9"/>
  <c r="DE7" i="16"/>
  <c r="DE8" i="16" s="1"/>
  <c r="DD20" i="16"/>
  <c r="DE20" i="16" s="1"/>
  <c r="DD8" i="16"/>
  <c r="DD24" i="16"/>
  <c r="DD25" i="16" s="1"/>
  <c r="CW108" i="16"/>
  <c r="CW109" i="16" s="1"/>
  <c r="CW106" i="16"/>
  <c r="CW113" i="16"/>
  <c r="CW114" i="16" s="1"/>
  <c r="CV54" i="10"/>
  <c r="CV129" i="21"/>
  <c r="CV61" i="10"/>
  <c r="CX29" i="2"/>
  <c r="CX37" i="2"/>
  <c r="CY25" i="2"/>
  <c r="CY26" i="10"/>
  <c r="CY75" i="10"/>
  <c r="CY17" i="10"/>
  <c r="CY18" i="10" s="1"/>
  <c r="CS206" i="117"/>
  <c r="CT205" i="117"/>
  <c r="DC25" i="16"/>
  <c r="DE24" i="16"/>
  <c r="CY20" i="10"/>
  <c r="CY21" i="10" s="1"/>
  <c r="CY29" i="10"/>
  <c r="CX61" i="2"/>
  <c r="CX62" i="2" s="1"/>
  <c r="CX65" i="2"/>
  <c r="DB32" i="16"/>
  <c r="DB30" i="16"/>
  <c r="CX46" i="9"/>
  <c r="CY45" i="9"/>
  <c r="CP199" i="117"/>
  <c r="CP222" i="117"/>
  <c r="CP309" i="117"/>
  <c r="CP190" i="117"/>
  <c r="CP188" i="117"/>
  <c r="CP223" i="117" s="1"/>
  <c r="CU61" i="10"/>
  <c r="CU129" i="21"/>
  <c r="CU55" i="9"/>
  <c r="CU57" i="9"/>
  <c r="CU58" i="9" s="1"/>
  <c r="CU106" i="21"/>
  <c r="CU66" i="9"/>
  <c r="CU67" i="9" s="1"/>
  <c r="CW46" i="10"/>
  <c r="CY45" i="10"/>
  <c r="DC160" i="3"/>
  <c r="DC176" i="3"/>
  <c r="DC4" i="9"/>
  <c r="DC6" i="9" s="1"/>
  <c r="DB7" i="9"/>
  <c r="DE5" i="16"/>
  <c r="DG4" i="16"/>
  <c r="DE86" i="3"/>
  <c r="DE87" i="3" s="1"/>
  <c r="DD87" i="3"/>
  <c r="DD159" i="3"/>
  <c r="CS216" i="117"/>
  <c r="CS181" i="117"/>
  <c r="CS306" i="117"/>
  <c r="DJ11" i="21" s="1"/>
  <c r="CS196" i="117"/>
  <c r="CS197" i="117" s="1"/>
  <c r="CS174" i="117"/>
  <c r="CS217" i="117" s="1"/>
  <c r="DA7" i="10"/>
  <c r="DB4" i="10"/>
  <c r="DB6" i="10" s="1"/>
  <c r="DC21" i="16"/>
  <c r="DC67" i="16"/>
  <c r="DE23" i="16" l="1"/>
  <c r="DA110" i="21"/>
  <c r="DA66" i="17"/>
  <c r="DA67" i="17" s="1"/>
  <c r="DA57" i="17"/>
  <c r="DA58" i="17" s="1"/>
  <c r="CU107" i="21"/>
  <c r="CW53" i="2"/>
  <c r="CW46" i="2"/>
  <c r="CW33" i="21" s="1"/>
  <c r="CW31" i="21" s="1"/>
  <c r="CW30" i="21" s="1"/>
  <c r="DB61" i="16"/>
  <c r="DB62" i="16" s="1"/>
  <c r="DE83" i="3"/>
  <c r="DE84" i="3" s="1"/>
  <c r="CV58" i="2"/>
  <c r="CV59" i="2" s="1"/>
  <c r="CV47" i="2"/>
  <c r="CV33" i="21"/>
  <c r="CV31" i="21" s="1"/>
  <c r="CV30" i="21" s="1"/>
  <c r="CU66" i="10"/>
  <c r="CU67" i="10" s="1"/>
  <c r="CU57" i="10"/>
  <c r="CU58" i="10" s="1"/>
  <c r="CQ258" i="117"/>
  <c r="CQ259" i="117" s="1"/>
  <c r="CQ219" i="117"/>
  <c r="CQ220" i="117" s="1"/>
  <c r="CQ315" i="117"/>
  <c r="DB187" i="3"/>
  <c r="DB200" i="3" s="1"/>
  <c r="DB201" i="3" s="1"/>
  <c r="DC180" i="3"/>
  <c r="DC181" i="3" s="1"/>
  <c r="DC7" i="21"/>
  <c r="DC177" i="3"/>
  <c r="DC194" i="3"/>
  <c r="CX38" i="2"/>
  <c r="CY37" i="2"/>
  <c r="DA28" i="9"/>
  <c r="DA29" i="9" s="1"/>
  <c r="DA75" i="9"/>
  <c r="DA72" i="9" s="1"/>
  <c r="DA26" i="9"/>
  <c r="DC64" i="16"/>
  <c r="DC65" i="16" s="1"/>
  <c r="CS187" i="117"/>
  <c r="CS182" i="117"/>
  <c r="DC7" i="9"/>
  <c r="DD4" i="9"/>
  <c r="DD6" i="9" s="1"/>
  <c r="DG36" i="21"/>
  <c r="CP315" i="117"/>
  <c r="DB52" i="16"/>
  <c r="DB33" i="16"/>
  <c r="DB40" i="16"/>
  <c r="DB41" i="16" s="1"/>
  <c r="DB87" i="21"/>
  <c r="DA33" i="9"/>
  <c r="CT196" i="117"/>
  <c r="CT197" i="117" s="1"/>
  <c r="CT174" i="117"/>
  <c r="CT217" i="117" s="1"/>
  <c r="CT216" i="117"/>
  <c r="CY72" i="10"/>
  <c r="CX69" i="10"/>
  <c r="DJ173" i="21"/>
  <c r="DJ178" i="21"/>
  <c r="DC88" i="21"/>
  <c r="DC60" i="17"/>
  <c r="DC48" i="17"/>
  <c r="DC49" i="17" s="1"/>
  <c r="DC41" i="17"/>
  <c r="DK4" i="16"/>
  <c r="DG6" i="16"/>
  <c r="DD37" i="16"/>
  <c r="DD38" i="16" s="1"/>
  <c r="DD29" i="16"/>
  <c r="CR222" i="117"/>
  <c r="CR219" i="117" s="1"/>
  <c r="CR220" i="117" s="1"/>
  <c r="CR309" i="117"/>
  <c r="CR190" i="117"/>
  <c r="CR188" i="117"/>
  <c r="CR223" i="117" s="1"/>
  <c r="CR199" i="117"/>
  <c r="CR200" i="117" s="1"/>
  <c r="DA86" i="17"/>
  <c r="DA94" i="17"/>
  <c r="DE33" i="17"/>
  <c r="DD37" i="17"/>
  <c r="DD45" i="17"/>
  <c r="DB7" i="10"/>
  <c r="DC4" i="10"/>
  <c r="DC6" i="10" s="1"/>
  <c r="DD160" i="3"/>
  <c r="CP200" i="117"/>
  <c r="DC37" i="16"/>
  <c r="DC29" i="16"/>
  <c r="DE25" i="16"/>
  <c r="CX30" i="2"/>
  <c r="CX32" i="2"/>
  <c r="DC4" i="2"/>
  <c r="DC6" i="2" s="1"/>
  <c r="DB7" i="2"/>
  <c r="DB56" i="21"/>
  <c r="DB195" i="3"/>
  <c r="DA44" i="3"/>
  <c r="CY45" i="3"/>
  <c r="CY46" i="3" s="1"/>
  <c r="DA33" i="16"/>
  <c r="DA87" i="21"/>
  <c r="DA52" i="16"/>
  <c r="DA40" i="16"/>
  <c r="DA41" i="16" s="1"/>
  <c r="DJ46" i="8"/>
  <c r="DJ41" i="8"/>
  <c r="DC82" i="17"/>
  <c r="DC84" i="17" s="1"/>
  <c r="DB85" i="17"/>
  <c r="DH4" i="3"/>
  <c r="DH6" i="3" s="1"/>
  <c r="DG7" i="3"/>
  <c r="CP219" i="117"/>
  <c r="CP220" i="117" s="1"/>
  <c r="CP258" i="117"/>
  <c r="CP231" i="117"/>
  <c r="CV66" i="10"/>
  <c r="CV67" i="10" s="1"/>
  <c r="CV107" i="21"/>
  <c r="CV55" i="10"/>
  <c r="CV57" i="10"/>
  <c r="CV58" i="10" s="1"/>
  <c r="DA24" i="2"/>
  <c r="DA8" i="2"/>
  <c r="DA20" i="2"/>
  <c r="DE17" i="16"/>
  <c r="DE18" i="16" s="1"/>
  <c r="DE21" i="16"/>
  <c r="DA8" i="10"/>
  <c r="DA32" i="10"/>
  <c r="DA25" i="10"/>
  <c r="DK11" i="21"/>
  <c r="DB32" i="9"/>
  <c r="DB33" i="9" s="1"/>
  <c r="DB25" i="9"/>
  <c r="DB8" i="9"/>
  <c r="CY46" i="10"/>
  <c r="CY43" i="10"/>
  <c r="CY44" i="10" s="1"/>
  <c r="CP225" i="117"/>
  <c r="CP191" i="117"/>
  <c r="CP226" i="117" s="1"/>
  <c r="CY46" i="9"/>
  <c r="CY43" i="9"/>
  <c r="CY44" i="9" s="1"/>
  <c r="CT154" i="117"/>
  <c r="CT206" i="117"/>
  <c r="DD21" i="16"/>
  <c r="DD67" i="16"/>
  <c r="DD64" i="16" s="1"/>
  <c r="DC69" i="17"/>
  <c r="DC70" i="17" s="1"/>
  <c r="CR182" i="117"/>
  <c r="CT181" i="117"/>
  <c r="CX110" i="17"/>
  <c r="CW62" i="2"/>
  <c r="CY61" i="2"/>
  <c r="DG7" i="17"/>
  <c r="DH4" i="17"/>
  <c r="DH6" i="17" s="1"/>
  <c r="DJ198" i="21"/>
  <c r="DJ199" i="21" s="1"/>
  <c r="DJ53" i="8"/>
  <c r="DA62" i="16"/>
  <c r="CY18" i="2"/>
  <c r="CT151" i="117"/>
  <c r="CT152" i="117" s="1"/>
  <c r="CT203" i="117"/>
  <c r="DE159" i="3"/>
  <c r="DE160" i="3" s="1"/>
  <c r="CQ264" i="117" l="1"/>
  <c r="CQ272" i="117" s="1"/>
  <c r="CW58" i="2"/>
  <c r="CW59" i="2" s="1"/>
  <c r="CW49" i="2"/>
  <c r="CW50" i="2" s="1"/>
  <c r="CW47" i="2"/>
  <c r="DE64" i="16"/>
  <c r="DE65" i="16" s="1"/>
  <c r="DE67" i="16"/>
  <c r="DA46" i="16"/>
  <c r="DA49" i="16" s="1"/>
  <c r="DA50" i="16" s="1"/>
  <c r="DC187" i="3"/>
  <c r="DC32" i="21" s="1"/>
  <c r="DB32" i="21"/>
  <c r="DB188" i="3"/>
  <c r="DB190" i="3"/>
  <c r="DB191" i="3" s="1"/>
  <c r="DB45" i="9"/>
  <c r="DB46" i="9" s="1"/>
  <c r="DB37" i="9"/>
  <c r="DB38" i="9" s="1"/>
  <c r="DA33" i="10"/>
  <c r="CP259" i="117"/>
  <c r="CP264" i="117"/>
  <c r="CY62" i="2"/>
  <c r="CY10" i="2"/>
  <c r="CT184" i="117"/>
  <c r="CT185" i="117" s="1"/>
  <c r="CT182" i="117"/>
  <c r="DG8" i="3"/>
  <c r="DG81" i="3" s="1"/>
  <c r="DG80" i="3"/>
  <c r="DG86" i="3" s="1"/>
  <c r="DB20" i="2"/>
  <c r="DB24" i="2"/>
  <c r="DB25" i="2" s="1"/>
  <c r="DB8" i="2"/>
  <c r="DB32" i="10"/>
  <c r="DB33" i="10" s="1"/>
  <c r="DB25" i="10"/>
  <c r="DB8" i="10"/>
  <c r="DA103" i="17"/>
  <c r="DA97" i="17"/>
  <c r="DA92" i="21"/>
  <c r="DA95" i="17"/>
  <c r="CR225" i="117"/>
  <c r="CR191" i="117"/>
  <c r="CR226" i="117" s="1"/>
  <c r="DD32" i="16"/>
  <c r="DD30" i="16"/>
  <c r="DH4" i="16"/>
  <c r="DH6" i="16" s="1"/>
  <c r="DG7" i="16"/>
  <c r="DJ17" i="21"/>
  <c r="DJ179" i="21"/>
  <c r="DA25" i="2"/>
  <c r="DI4" i="3"/>
  <c r="DI6" i="3" s="1"/>
  <c r="DH7" i="3"/>
  <c r="DA131" i="21"/>
  <c r="DA53" i="16"/>
  <c r="DD4" i="2"/>
  <c r="DD6" i="2" s="1"/>
  <c r="DC7" i="2"/>
  <c r="DC32" i="16"/>
  <c r="DC30" i="16"/>
  <c r="DE29" i="16"/>
  <c r="CR315" i="117"/>
  <c r="DI36" i="21"/>
  <c r="CS188" i="117"/>
  <c r="CS223" i="117" s="1"/>
  <c r="CS309" i="117"/>
  <c r="CS222" i="117"/>
  <c r="CS190" i="117"/>
  <c r="CS199" i="117"/>
  <c r="CT187" i="117"/>
  <c r="DA69" i="9"/>
  <c r="DA70" i="9" s="1"/>
  <c r="DA73" i="9"/>
  <c r="DI4" i="17"/>
  <c r="DI6" i="17" s="1"/>
  <c r="DH7" i="17"/>
  <c r="CT155" i="117"/>
  <c r="CT156" i="117"/>
  <c r="DB28" i="9"/>
  <c r="DB26" i="9"/>
  <c r="DB75" i="9"/>
  <c r="DA28" i="10"/>
  <c r="DA29" i="10" s="1"/>
  <c r="DA26" i="10"/>
  <c r="DA75" i="10"/>
  <c r="CP232" i="117"/>
  <c r="DB94" i="17"/>
  <c r="DB86" i="17"/>
  <c r="CX52" i="2"/>
  <c r="CX33" i="2"/>
  <c r="CX8" i="21"/>
  <c r="CX40" i="2"/>
  <c r="CX41" i="2" s="1"/>
  <c r="DC38" i="16"/>
  <c r="DE37" i="16"/>
  <c r="DD38" i="17"/>
  <c r="DE37" i="17"/>
  <c r="CR231" i="117"/>
  <c r="CR232" i="117" s="1"/>
  <c r="CR258" i="117"/>
  <c r="DC132" i="21"/>
  <c r="DC61" i="17"/>
  <c r="CX70" i="10"/>
  <c r="CY69" i="10"/>
  <c r="DA45" i="9"/>
  <c r="DA37" i="9"/>
  <c r="DE6" i="9"/>
  <c r="DD7" i="9"/>
  <c r="DE7" i="9" s="1"/>
  <c r="DE8" i="9" s="1"/>
  <c r="DC61" i="16"/>
  <c r="DC195" i="3"/>
  <c r="DC56" i="21"/>
  <c r="DJ185" i="21"/>
  <c r="DJ49" i="8"/>
  <c r="DJ50" i="8" s="1"/>
  <c r="DJ47" i="8"/>
  <c r="DJ58" i="8"/>
  <c r="DJ59" i="8" s="1"/>
  <c r="DB44" i="3"/>
  <c r="DA45" i="3"/>
  <c r="DA46" i="3" s="1"/>
  <c r="DD46" i="17"/>
  <c r="DE45" i="17"/>
  <c r="DG8" i="17"/>
  <c r="DG25" i="17"/>
  <c r="DG32" i="17"/>
  <c r="DD61" i="16"/>
  <c r="DD62" i="16" s="1"/>
  <c r="DD65" i="16"/>
  <c r="DA21" i="2"/>
  <c r="DA67" i="2"/>
  <c r="DA64" i="2" s="1"/>
  <c r="DC85" i="17"/>
  <c r="DD82" i="17"/>
  <c r="DD84" i="17" s="1"/>
  <c r="DD4" i="10"/>
  <c r="DD6" i="10" s="1"/>
  <c r="DC7" i="10"/>
  <c r="DC54" i="17"/>
  <c r="CY73" i="10"/>
  <c r="CY13" i="10"/>
  <c r="DB46" i="16"/>
  <c r="DB131" i="21"/>
  <c r="DB53" i="16"/>
  <c r="DC8" i="9"/>
  <c r="DC32" i="9"/>
  <c r="DC25" i="9"/>
  <c r="CY35" i="2"/>
  <c r="CY36" i="2" s="1"/>
  <c r="CY38" i="2"/>
  <c r="CQ265" i="117" l="1"/>
  <c r="DA105" i="16"/>
  <c r="DA108" i="16" s="1"/>
  <c r="DA109" i="16" s="1"/>
  <c r="DA58" i="16"/>
  <c r="DA59" i="16" s="1"/>
  <c r="DA47" i="16"/>
  <c r="DC200" i="3"/>
  <c r="DC201" i="3" s="1"/>
  <c r="DA109" i="21"/>
  <c r="DE13" i="16"/>
  <c r="DE14" i="16" s="1"/>
  <c r="DE15" i="16"/>
  <c r="DC190" i="3"/>
  <c r="DC191" i="3" s="1"/>
  <c r="DC188" i="3"/>
  <c r="CX46" i="2"/>
  <c r="CX49" i="2" s="1"/>
  <c r="CX50" i="2" s="1"/>
  <c r="DD85" i="17"/>
  <c r="DE84" i="17"/>
  <c r="DE43" i="17"/>
  <c r="DE44" i="17" s="1"/>
  <c r="DE46" i="17"/>
  <c r="DE5" i="9"/>
  <c r="DG4" i="9"/>
  <c r="DE35" i="16"/>
  <c r="DE36" i="16" s="1"/>
  <c r="DE38" i="16"/>
  <c r="DC66" i="17"/>
  <c r="DC67" i="17" s="1"/>
  <c r="DC110" i="21"/>
  <c r="DC57" i="17"/>
  <c r="DC58" i="17" s="1"/>
  <c r="DC55" i="17"/>
  <c r="DA61" i="2"/>
  <c r="DA65" i="2"/>
  <c r="DG33" i="17"/>
  <c r="DC62" i="16"/>
  <c r="DE61" i="16"/>
  <c r="DE34" i="17"/>
  <c r="DE35" i="17" s="1"/>
  <c r="DE38" i="17"/>
  <c r="CX53" i="2"/>
  <c r="CX57" i="21"/>
  <c r="DG28" i="17"/>
  <c r="DG29" i="17" s="1"/>
  <c r="DG75" i="17"/>
  <c r="DG26" i="17"/>
  <c r="DC44" i="3"/>
  <c r="DB45" i="3"/>
  <c r="DB46" i="3" s="1"/>
  <c r="DJ213" i="21"/>
  <c r="DJ214" i="21" s="1"/>
  <c r="DJ186" i="21"/>
  <c r="DJ191" i="21"/>
  <c r="DD32" i="9"/>
  <c r="DD33" i="9" s="1"/>
  <c r="DD8" i="9"/>
  <c r="DA46" i="9"/>
  <c r="CS225" i="117"/>
  <c r="CS191" i="117"/>
  <c r="CS226" i="117" s="1"/>
  <c r="DI7" i="3"/>
  <c r="DJ4" i="3"/>
  <c r="DJ6" i="3" s="1"/>
  <c r="DB37" i="2"/>
  <c r="DB38" i="2" s="1"/>
  <c r="DB29" i="2"/>
  <c r="DB30" i="2" s="1"/>
  <c r="DC26" i="9"/>
  <c r="DC75" i="9"/>
  <c r="DC72" i="9" s="1"/>
  <c r="DC28" i="9"/>
  <c r="DC29" i="9" s="1"/>
  <c r="CY15" i="10"/>
  <c r="CY14" i="10"/>
  <c r="CY70" i="10"/>
  <c r="CY10" i="10"/>
  <c r="CY11" i="10" s="1"/>
  <c r="CR264" i="117"/>
  <c r="CR259" i="117"/>
  <c r="DB72" i="9"/>
  <c r="DB73" i="9" s="1"/>
  <c r="CS219" i="117"/>
  <c r="CS220" i="117" s="1"/>
  <c r="CS258" i="117"/>
  <c r="CT258" i="117" s="1"/>
  <c r="CT259" i="117" s="1"/>
  <c r="CS231" i="117"/>
  <c r="DC40" i="16"/>
  <c r="DC41" i="16" s="1"/>
  <c r="DC33" i="16"/>
  <c r="DC52" i="16"/>
  <c r="DC87" i="21"/>
  <c r="DE32" i="16"/>
  <c r="DE33" i="16" s="1"/>
  <c r="DD87" i="21"/>
  <c r="DD52" i="16"/>
  <c r="DD33" i="16"/>
  <c r="DB28" i="10"/>
  <c r="DB26" i="10"/>
  <c r="DB75" i="10"/>
  <c r="DB72" i="10" s="1"/>
  <c r="DB21" i="2"/>
  <c r="DB67" i="2"/>
  <c r="DC33" i="9"/>
  <c r="DB49" i="16"/>
  <c r="DB50" i="16" s="1"/>
  <c r="DB47" i="16"/>
  <c r="DB58" i="16"/>
  <c r="DB59" i="16" s="1"/>
  <c r="DB109" i="21"/>
  <c r="DB105" i="16"/>
  <c r="DC8" i="10"/>
  <c r="DC25" i="10"/>
  <c r="DC32" i="10"/>
  <c r="DC86" i="17"/>
  <c r="DA40" i="9"/>
  <c r="DA38" i="9"/>
  <c r="DA72" i="10"/>
  <c r="DA69" i="10" s="1"/>
  <c r="DH8" i="17"/>
  <c r="DH32" i="17"/>
  <c r="DH33" i="17" s="1"/>
  <c r="CT222" i="117"/>
  <c r="CT219" i="117" s="1"/>
  <c r="CT220" i="117" s="1"/>
  <c r="CT190" i="117"/>
  <c r="CT188" i="117"/>
  <c r="CT223" i="117" s="1"/>
  <c r="DJ36" i="21"/>
  <c r="DK36" i="21" s="1"/>
  <c r="CS315" i="117"/>
  <c r="DC20" i="2"/>
  <c r="DC24" i="2"/>
  <c r="DC8" i="2"/>
  <c r="DA37" i="2"/>
  <c r="DG8" i="16"/>
  <c r="DG20" i="16"/>
  <c r="DG24" i="16"/>
  <c r="DA114" i="21"/>
  <c r="DA98" i="17"/>
  <c r="DA109" i="17"/>
  <c r="DA116" i="17"/>
  <c r="DB37" i="10"/>
  <c r="DB38" i="10" s="1"/>
  <c r="DB45" i="10"/>
  <c r="DB46" i="10" s="1"/>
  <c r="DA37" i="10"/>
  <c r="DA45" i="10"/>
  <c r="DE6" i="10"/>
  <c r="DD7" i="10"/>
  <c r="DB95" i="17"/>
  <c r="DB103" i="17"/>
  <c r="DB92" i="21"/>
  <c r="DB97" i="17"/>
  <c r="DB40" i="9"/>
  <c r="DB29" i="9"/>
  <c r="DJ4" i="17"/>
  <c r="DJ6" i="17" s="1"/>
  <c r="DI7" i="17"/>
  <c r="CS200" i="117"/>
  <c r="CT199" i="117"/>
  <c r="CT200" i="117" s="1"/>
  <c r="DE30" i="16"/>
  <c r="DE26" i="16"/>
  <c r="DE27" i="16" s="1"/>
  <c r="DD7" i="2"/>
  <c r="DE6" i="2"/>
  <c r="DH80" i="3"/>
  <c r="DH86" i="3" s="1"/>
  <c r="DH8" i="3"/>
  <c r="DH81" i="3" s="1"/>
  <c r="DI4" i="16"/>
  <c r="DI6" i="16" s="1"/>
  <c r="DH7" i="16"/>
  <c r="DA136" i="21"/>
  <c r="DA104" i="17"/>
  <c r="DG159" i="3"/>
  <c r="DG87" i="3"/>
  <c r="CY11" i="2"/>
  <c r="CY13" i="2"/>
  <c r="CP272" i="117"/>
  <c r="CP265" i="117"/>
  <c r="DA106" i="16" l="1"/>
  <c r="DA113" i="16"/>
  <c r="DA114" i="16" s="1"/>
  <c r="DC46" i="16"/>
  <c r="DC49" i="16" s="1"/>
  <c r="DC50" i="16" s="1"/>
  <c r="DB32" i="2"/>
  <c r="DB52" i="2" s="1"/>
  <c r="CX33" i="21"/>
  <c r="CX47" i="2"/>
  <c r="CX58" i="2"/>
  <c r="CX59" i="2" s="1"/>
  <c r="DB69" i="9"/>
  <c r="DB70" i="9" s="1"/>
  <c r="DA70" i="10"/>
  <c r="DJ4" i="16"/>
  <c r="DJ6" i="16" s="1"/>
  <c r="DI7" i="16"/>
  <c r="DG25" i="16"/>
  <c r="DD45" i="9"/>
  <c r="DD46" i="9" s="1"/>
  <c r="DD37" i="9"/>
  <c r="DD38" i="9" s="1"/>
  <c r="DH87" i="3"/>
  <c r="DH159" i="3"/>
  <c r="DJ7" i="17"/>
  <c r="DK6" i="17"/>
  <c r="DK5" i="17" s="1"/>
  <c r="DA40" i="10"/>
  <c r="DA38" i="10"/>
  <c r="DH37" i="17"/>
  <c r="DH38" i="17" s="1"/>
  <c r="DH45" i="17"/>
  <c r="DH46" i="17" s="1"/>
  <c r="DA41" i="9"/>
  <c r="DA84" i="21"/>
  <c r="DA60" i="9"/>
  <c r="DA48" i="9"/>
  <c r="DA49" i="9" s="1"/>
  <c r="CY15" i="2"/>
  <c r="CY14" i="2"/>
  <c r="DG160" i="3"/>
  <c r="DH24" i="16"/>
  <c r="DH25" i="16" s="1"/>
  <c r="DH20" i="16"/>
  <c r="DH8" i="16"/>
  <c r="DE5" i="2"/>
  <c r="DG4" i="2"/>
  <c r="DB104" i="17"/>
  <c r="DB136" i="21"/>
  <c r="DC67" i="2"/>
  <c r="DC64" i="2" s="1"/>
  <c r="DC21" i="2"/>
  <c r="CT225" i="117"/>
  <c r="CT191" i="117"/>
  <c r="CT226" i="117" s="1"/>
  <c r="DC26" i="10"/>
  <c r="DC28" i="10"/>
  <c r="DC29" i="10" s="1"/>
  <c r="DC75" i="10"/>
  <c r="DC45" i="9"/>
  <c r="DE33" i="9"/>
  <c r="DB64" i="2"/>
  <c r="DB61" i="2" s="1"/>
  <c r="DB62" i="2" s="1"/>
  <c r="DB29" i="10"/>
  <c r="DB40" i="10"/>
  <c r="CR272" i="117"/>
  <c r="CR265" i="117"/>
  <c r="DG72" i="17"/>
  <c r="DG73" i="17" s="1"/>
  <c r="DA62" i="2"/>
  <c r="DG6" i="9"/>
  <c r="DK4" i="9"/>
  <c r="DE83" i="17"/>
  <c r="DG82" i="17"/>
  <c r="DE7" i="2"/>
  <c r="DE8" i="2" s="1"/>
  <c r="DD24" i="2"/>
  <c r="DD25" i="2" s="1"/>
  <c r="DD20" i="2"/>
  <c r="DD8" i="2"/>
  <c r="DA110" i="17"/>
  <c r="DJ7" i="3"/>
  <c r="DK6" i="3"/>
  <c r="DK5" i="3" s="1"/>
  <c r="DG37" i="17"/>
  <c r="DG45" i="17"/>
  <c r="DE85" i="17"/>
  <c r="DE86" i="17" s="1"/>
  <c r="DD94" i="17"/>
  <c r="DD86" i="17"/>
  <c r="DI8" i="17"/>
  <c r="DI32" i="17"/>
  <c r="DI33" i="17" s="1"/>
  <c r="DI25" i="17"/>
  <c r="DB98" i="17"/>
  <c r="DB114" i="21"/>
  <c r="DB109" i="17"/>
  <c r="DB110" i="17" s="1"/>
  <c r="DD32" i="10"/>
  <c r="DD33" i="10" s="1"/>
  <c r="DD8" i="10"/>
  <c r="DD25" i="10"/>
  <c r="DA46" i="10"/>
  <c r="DG67" i="16"/>
  <c r="DG21" i="16"/>
  <c r="DE7" i="10"/>
  <c r="DE8" i="10" s="1"/>
  <c r="DB113" i="16"/>
  <c r="DB114" i="16" s="1"/>
  <c r="DB108" i="16"/>
  <c r="DB109" i="16" s="1"/>
  <c r="DB106" i="16"/>
  <c r="DB69" i="10"/>
  <c r="DB70" i="10" s="1"/>
  <c r="DB73" i="10"/>
  <c r="DD131" i="21"/>
  <c r="DD53" i="16"/>
  <c r="DE87" i="21"/>
  <c r="CS232" i="117"/>
  <c r="CT231" i="117"/>
  <c r="CT232" i="117" s="1"/>
  <c r="DC69" i="9"/>
  <c r="DC70" i="9" s="1"/>
  <c r="DC73" i="9"/>
  <c r="DI80" i="3"/>
  <c r="DI86" i="3" s="1"/>
  <c r="DI8" i="3"/>
  <c r="DI81" i="3" s="1"/>
  <c r="DJ192" i="21"/>
  <c r="DJ42" i="21"/>
  <c r="DD44" i="3"/>
  <c r="DC45" i="3"/>
  <c r="DC46" i="3" s="1"/>
  <c r="DE10" i="16"/>
  <c r="DE11" i="16" s="1"/>
  <c r="DE62" i="16"/>
  <c r="DB84" i="21"/>
  <c r="DB60" i="9"/>
  <c r="DB48" i="9"/>
  <c r="DB49" i="9" s="1"/>
  <c r="DB41" i="9"/>
  <c r="DA38" i="2"/>
  <c r="DE5" i="10"/>
  <c r="DG4" i="10"/>
  <c r="DA117" i="17"/>
  <c r="DA119" i="17"/>
  <c r="DA120" i="17" s="1"/>
  <c r="DA124" i="17"/>
  <c r="DA125" i="17" s="1"/>
  <c r="DC25" i="2"/>
  <c r="DA73" i="10"/>
  <c r="DC33" i="10"/>
  <c r="DE32" i="9"/>
  <c r="DE31" i="9" s="1"/>
  <c r="DC131" i="21"/>
  <c r="DC53" i="16"/>
  <c r="DE52" i="16"/>
  <c r="DE55" i="16" s="1"/>
  <c r="CS264" i="117"/>
  <c r="CS259" i="117"/>
  <c r="DE24" i="2" l="1"/>
  <c r="DE23" i="2" s="1"/>
  <c r="DE32" i="10"/>
  <c r="DB33" i="2"/>
  <c r="DC58" i="16"/>
  <c r="DC59" i="16" s="1"/>
  <c r="DC105" i="16"/>
  <c r="DC106" i="16" s="1"/>
  <c r="DC47" i="16"/>
  <c r="DC109" i="21"/>
  <c r="DG69" i="17"/>
  <c r="DG70" i="17" s="1"/>
  <c r="DB8" i="21"/>
  <c r="DB6" i="21" s="1"/>
  <c r="DB5" i="21" s="1"/>
  <c r="DB40" i="2"/>
  <c r="DB41" i="2" s="1"/>
  <c r="DE31" i="10"/>
  <c r="CS272" i="117"/>
  <c r="CT272" i="117" s="1"/>
  <c r="CS265" i="117"/>
  <c r="CT264" i="117"/>
  <c r="CT265" i="117" s="1"/>
  <c r="DG46" i="17"/>
  <c r="DC45" i="10"/>
  <c r="DE33" i="10"/>
  <c r="DC37" i="2"/>
  <c r="DC29" i="2"/>
  <c r="DE25" i="2"/>
  <c r="DK4" i="10"/>
  <c r="DG6" i="10"/>
  <c r="DB54" i="9"/>
  <c r="DI159" i="3"/>
  <c r="DI87" i="3"/>
  <c r="DG64" i="16"/>
  <c r="DG61" i="16" s="1"/>
  <c r="DD45" i="10"/>
  <c r="DD46" i="10" s="1"/>
  <c r="DJ80" i="3"/>
  <c r="DJ86" i="3" s="1"/>
  <c r="DK86" i="3" s="1"/>
  <c r="DJ8" i="3"/>
  <c r="DJ81" i="3" s="1"/>
  <c r="DK7" i="3"/>
  <c r="DD29" i="2"/>
  <c r="DD30" i="2" s="1"/>
  <c r="DD37" i="2"/>
  <c r="DD38" i="2" s="1"/>
  <c r="DB65" i="2"/>
  <c r="DH67" i="16"/>
  <c r="DH21" i="16"/>
  <c r="DA54" i="9"/>
  <c r="DK6" i="16"/>
  <c r="DK5" i="16" s="1"/>
  <c r="DJ7" i="16"/>
  <c r="DH4" i="9"/>
  <c r="DH6" i="9" s="1"/>
  <c r="DG7" i="9"/>
  <c r="DB41" i="10"/>
  <c r="DB60" i="10"/>
  <c r="DB48" i="10"/>
  <c r="DB49" i="10" s="1"/>
  <c r="DB85" i="21"/>
  <c r="DG6" i="2"/>
  <c r="DK4" i="2"/>
  <c r="DH29" i="16"/>
  <c r="DH37" i="16"/>
  <c r="DH38" i="16" s="1"/>
  <c r="DB53" i="2"/>
  <c r="DB57" i="21"/>
  <c r="DB55" i="21" s="1"/>
  <c r="DB54" i="21" s="1"/>
  <c r="DA61" i="9"/>
  <c r="DA128" i="21"/>
  <c r="DK7" i="17"/>
  <c r="DK8" i="17" s="1"/>
  <c r="DJ8" i="17"/>
  <c r="DJ32" i="17"/>
  <c r="DJ33" i="17" s="1"/>
  <c r="DE56" i="16"/>
  <c r="DE131" i="21"/>
  <c r="DE53" i="16"/>
  <c r="DB61" i="9"/>
  <c r="DB128" i="21"/>
  <c r="DE25" i="10"/>
  <c r="DD75" i="10"/>
  <c r="DD26" i="10"/>
  <c r="DD28" i="10"/>
  <c r="DI45" i="17"/>
  <c r="DI46" i="17" s="1"/>
  <c r="DI37" i="17"/>
  <c r="DD95" i="17"/>
  <c r="DD92" i="21"/>
  <c r="DD103" i="17"/>
  <c r="DD97" i="17"/>
  <c r="DG40" i="17"/>
  <c r="DG38" i="17"/>
  <c r="DG84" i="17"/>
  <c r="DK82" i="17"/>
  <c r="DC46" i="9"/>
  <c r="DE45" i="9"/>
  <c r="DH176" i="3"/>
  <c r="DH160" i="3"/>
  <c r="DG29" i="16"/>
  <c r="DG37" i="16"/>
  <c r="DI75" i="17"/>
  <c r="DI28" i="17"/>
  <c r="DI29" i="17" s="1"/>
  <c r="DI26" i="17"/>
  <c r="DE44" i="3"/>
  <c r="DD45" i="3"/>
  <c r="DD46" i="3" s="1"/>
  <c r="DE20" i="2"/>
  <c r="DD67" i="2"/>
  <c r="DD21" i="2"/>
  <c r="DC72" i="10"/>
  <c r="DC69" i="10" s="1"/>
  <c r="DC70" i="10" s="1"/>
  <c r="DC61" i="2"/>
  <c r="DC62" i="2" s="1"/>
  <c r="DC65" i="2"/>
  <c r="DA48" i="10"/>
  <c r="DA49" i="10" s="1"/>
  <c r="DA85" i="21"/>
  <c r="DA60" i="10"/>
  <c r="DA41" i="10"/>
  <c r="DI24" i="16"/>
  <c r="DI25" i="16" s="1"/>
  <c r="DI8" i="16"/>
  <c r="DI20" i="16"/>
  <c r="DB46" i="2" l="1"/>
  <c r="DB33" i="21" s="1"/>
  <c r="DB31" i="21" s="1"/>
  <c r="DB30" i="21" s="1"/>
  <c r="DA54" i="10"/>
  <c r="DA57" i="10" s="1"/>
  <c r="DA58" i="10" s="1"/>
  <c r="DC108" i="16"/>
  <c r="DC109" i="16" s="1"/>
  <c r="DC113" i="16"/>
  <c r="DC114" i="16" s="1"/>
  <c r="DD32" i="2"/>
  <c r="DD52" i="2" s="1"/>
  <c r="DK87" i="3"/>
  <c r="DA129" i="21"/>
  <c r="DA61" i="10"/>
  <c r="DG44" i="3"/>
  <c r="DE45" i="3"/>
  <c r="DE46" i="3" s="1"/>
  <c r="DG48" i="17"/>
  <c r="DG60" i="17"/>
  <c r="DG41" i="17"/>
  <c r="DG88" i="21"/>
  <c r="DE28" i="10"/>
  <c r="DD29" i="10"/>
  <c r="DI29" i="16"/>
  <c r="DI37" i="16"/>
  <c r="DI38" i="16" s="1"/>
  <c r="DI72" i="17"/>
  <c r="DI73" i="17" s="1"/>
  <c r="DG32" i="16"/>
  <c r="DG30" i="16"/>
  <c r="DH180" i="3"/>
  <c r="DH181" i="3" s="1"/>
  <c r="DH177" i="3"/>
  <c r="DH194" i="3"/>
  <c r="DH7" i="21"/>
  <c r="DE43" i="9"/>
  <c r="DE44" i="9" s="1"/>
  <c r="DE46" i="9"/>
  <c r="DG85" i="17"/>
  <c r="DH82" i="17"/>
  <c r="DH84" i="17" s="1"/>
  <c r="DE75" i="10"/>
  <c r="DE26" i="10"/>
  <c r="DE17" i="10"/>
  <c r="DE18" i="10" s="1"/>
  <c r="DJ45" i="17"/>
  <c r="DJ46" i="17" s="1"/>
  <c r="DJ37" i="17"/>
  <c r="DK33" i="17"/>
  <c r="DH30" i="16"/>
  <c r="DH32" i="16"/>
  <c r="DG8" i="9"/>
  <c r="DG32" i="9"/>
  <c r="DG25" i="9"/>
  <c r="DA66" i="9"/>
  <c r="DA67" i="9" s="1"/>
  <c r="DA106" i="21"/>
  <c r="DA55" i="9"/>
  <c r="DA57" i="9"/>
  <c r="DA58" i="9" s="1"/>
  <c r="DK32" i="17"/>
  <c r="DK31" i="17" s="1"/>
  <c r="DI160" i="3"/>
  <c r="DI176" i="3"/>
  <c r="DC46" i="10"/>
  <c r="DE45" i="10"/>
  <c r="DI67" i="16"/>
  <c r="DI64" i="16" s="1"/>
  <c r="DI21" i="16"/>
  <c r="DD114" i="21"/>
  <c r="DD109" i="17"/>
  <c r="DD110" i="17" s="1"/>
  <c r="DD98" i="17"/>
  <c r="DH4" i="2"/>
  <c r="DH6" i="2" s="1"/>
  <c r="DG7" i="2"/>
  <c r="DB129" i="21"/>
  <c r="DB61" i="10"/>
  <c r="DJ24" i="16"/>
  <c r="DJ25" i="16" s="1"/>
  <c r="DJ8" i="16"/>
  <c r="DJ20" i="16"/>
  <c r="DK20" i="16" s="1"/>
  <c r="DH64" i="16"/>
  <c r="DH65" i="16" s="1"/>
  <c r="DG65" i="16"/>
  <c r="DB106" i="21"/>
  <c r="DB66" i="9"/>
  <c r="DB67" i="9" s="1"/>
  <c r="DB55" i="9"/>
  <c r="DB57" i="9"/>
  <c r="DB58" i="9" s="1"/>
  <c r="DC30" i="2"/>
  <c r="DC32" i="2"/>
  <c r="DI4" i="9"/>
  <c r="DI6" i="9" s="1"/>
  <c r="DH7" i="9"/>
  <c r="DJ159" i="3"/>
  <c r="DJ87" i="3"/>
  <c r="DG62" i="16"/>
  <c r="DD64" i="2"/>
  <c r="DD61" i="2" s="1"/>
  <c r="DD62" i="2" s="1"/>
  <c r="DA107" i="21"/>
  <c r="DC73" i="10"/>
  <c r="DE21" i="2"/>
  <c r="DE67" i="2"/>
  <c r="DE17" i="2"/>
  <c r="DE18" i="2" s="1"/>
  <c r="DG38" i="16"/>
  <c r="DD104" i="17"/>
  <c r="DD136" i="21"/>
  <c r="DI40" i="17"/>
  <c r="DI38" i="17"/>
  <c r="DD72" i="10"/>
  <c r="DD73" i="10" s="1"/>
  <c r="DB54" i="10"/>
  <c r="DK80" i="3"/>
  <c r="DK83" i="3" s="1"/>
  <c r="DK84" i="3" s="1"/>
  <c r="DK8" i="3"/>
  <c r="DK81" i="3" s="1"/>
  <c r="DH4" i="10"/>
  <c r="DH6" i="10" s="1"/>
  <c r="DG7" i="10"/>
  <c r="DC38" i="2"/>
  <c r="DE37" i="2"/>
  <c r="DK7" i="16"/>
  <c r="DK8" i="16" s="1"/>
  <c r="DK24" i="16" l="1"/>
  <c r="DB47" i="2"/>
  <c r="DB58" i="2"/>
  <c r="DB59" i="2" s="1"/>
  <c r="DB49" i="2"/>
  <c r="DB50" i="2" s="1"/>
  <c r="DA55" i="10"/>
  <c r="DA66" i="10"/>
  <c r="DA67" i="10" s="1"/>
  <c r="DH61" i="16"/>
  <c r="DH62" i="16" s="1"/>
  <c r="DK45" i="17"/>
  <c r="DK46" i="17" s="1"/>
  <c r="DD33" i="2"/>
  <c r="DD8" i="21"/>
  <c r="DD40" i="2"/>
  <c r="DD46" i="2" s="1"/>
  <c r="DH187" i="3"/>
  <c r="DH190" i="3" s="1"/>
  <c r="DH191" i="3" s="1"/>
  <c r="DK21" i="16"/>
  <c r="DK17" i="16"/>
  <c r="DK18" i="16" s="1"/>
  <c r="DK23" i="16"/>
  <c r="DJ160" i="3"/>
  <c r="DJ37" i="16"/>
  <c r="DJ29" i="16"/>
  <c r="DK29" i="16" s="1"/>
  <c r="DI4" i="2"/>
  <c r="DI6" i="2" s="1"/>
  <c r="DH7" i="2"/>
  <c r="DK25" i="16"/>
  <c r="DG32" i="10"/>
  <c r="DG8" i="10"/>
  <c r="DG25" i="10"/>
  <c r="DD69" i="10"/>
  <c r="DD65" i="2"/>
  <c r="DE64" i="2"/>
  <c r="DE65" i="2" s="1"/>
  <c r="DH32" i="9"/>
  <c r="DH33" i="9" s="1"/>
  <c r="DH25" i="9"/>
  <c r="DH8" i="9"/>
  <c r="DI194" i="3"/>
  <c r="DI177" i="3"/>
  <c r="DI7" i="21"/>
  <c r="DI180" i="3"/>
  <c r="DG33" i="9"/>
  <c r="DH56" i="21"/>
  <c r="DH195" i="3"/>
  <c r="DE29" i="10"/>
  <c r="DE20" i="10"/>
  <c r="DE21" i="10" s="1"/>
  <c r="DG54" i="17"/>
  <c r="DG49" i="17"/>
  <c r="DI4" i="10"/>
  <c r="DI6" i="10" s="1"/>
  <c r="DH7" i="10"/>
  <c r="DJ38" i="17"/>
  <c r="DK37" i="17"/>
  <c r="DG40" i="16"/>
  <c r="DG41" i="16" s="1"/>
  <c r="DG87" i="21"/>
  <c r="DG33" i="16"/>
  <c r="DG52" i="16"/>
  <c r="DG46" i="16"/>
  <c r="DI30" i="16"/>
  <c r="DI32" i="16"/>
  <c r="DE38" i="2"/>
  <c r="DE35" i="2"/>
  <c r="DE36" i="2" s="1"/>
  <c r="DB66" i="10"/>
  <c r="DB67" i="10" s="1"/>
  <c r="DB107" i="21"/>
  <c r="DB57" i="10"/>
  <c r="DB58" i="10" s="1"/>
  <c r="DB55" i="10"/>
  <c r="DG8" i="2"/>
  <c r="DG20" i="2"/>
  <c r="DG24" i="2"/>
  <c r="DE61" i="2"/>
  <c r="DI61" i="16"/>
  <c r="DI62" i="16" s="1"/>
  <c r="DI65" i="16"/>
  <c r="DH87" i="21"/>
  <c r="DH52" i="16"/>
  <c r="DH33" i="16"/>
  <c r="DH40" i="16"/>
  <c r="DH41" i="16" s="1"/>
  <c r="DI82" i="17"/>
  <c r="DI84" i="17" s="1"/>
  <c r="DH85" i="17"/>
  <c r="DI69" i="17"/>
  <c r="DI70" i="17" s="1"/>
  <c r="DD53" i="2"/>
  <c r="DD57" i="21"/>
  <c r="DE72" i="10"/>
  <c r="DJ4" i="9"/>
  <c r="DJ6" i="9" s="1"/>
  <c r="DI7" i="9"/>
  <c r="DJ21" i="16"/>
  <c r="DJ67" i="16"/>
  <c r="DI88" i="21"/>
  <c r="DI48" i="17"/>
  <c r="DI49" i="17" s="1"/>
  <c r="DI41" i="17"/>
  <c r="DI60" i="17"/>
  <c r="DC40" i="2"/>
  <c r="DC41" i="2" s="1"/>
  <c r="DC8" i="21"/>
  <c r="DC6" i="21" s="1"/>
  <c r="DC5" i="21" s="1"/>
  <c r="DC52" i="2"/>
  <c r="DC33" i="2"/>
  <c r="DE46" i="10"/>
  <c r="DE43" i="10"/>
  <c r="DE44" i="10" s="1"/>
  <c r="DK159" i="3"/>
  <c r="DK160" i="3" s="1"/>
  <c r="DG26" i="9"/>
  <c r="DG28" i="9"/>
  <c r="DG75" i="9"/>
  <c r="DG94" i="17"/>
  <c r="DG86" i="17"/>
  <c r="DG61" i="17"/>
  <c r="DG132" i="21"/>
  <c r="DH44" i="3"/>
  <c r="DG45" i="3"/>
  <c r="DG46" i="3" s="1"/>
  <c r="DK43" i="17" l="1"/>
  <c r="DK44" i="17" s="1"/>
  <c r="DI54" i="17"/>
  <c r="DI66" i="17" s="1"/>
  <c r="DI67" i="17" s="1"/>
  <c r="DD41" i="2"/>
  <c r="DC46" i="2"/>
  <c r="DC47" i="2" s="1"/>
  <c r="DH200" i="3"/>
  <c r="DH201" i="3" s="1"/>
  <c r="DH188" i="3"/>
  <c r="DH32" i="21"/>
  <c r="DG97" i="17"/>
  <c r="DG116" i="17" s="1"/>
  <c r="DG92" i="21"/>
  <c r="DG103" i="17"/>
  <c r="DG95" i="17"/>
  <c r="DC53" i="2"/>
  <c r="DC57" i="21"/>
  <c r="DC55" i="21" s="1"/>
  <c r="DC54" i="21" s="1"/>
  <c r="DK6" i="9"/>
  <c r="DK5" i="9" s="1"/>
  <c r="DJ7" i="9"/>
  <c r="DG29" i="9"/>
  <c r="DD33" i="21"/>
  <c r="DD47" i="2"/>
  <c r="DD58" i="2"/>
  <c r="DD59" i="2" s="1"/>
  <c r="DD49" i="2"/>
  <c r="DD50" i="2" s="1"/>
  <c r="DI8" i="9"/>
  <c r="DI25" i="9"/>
  <c r="DI32" i="9"/>
  <c r="DH86" i="17"/>
  <c r="DH94" i="17"/>
  <c r="DG57" i="17"/>
  <c r="DG58" i="17" s="1"/>
  <c r="DG55" i="17"/>
  <c r="DG66" i="17"/>
  <c r="DG67" i="17" s="1"/>
  <c r="DG110" i="21"/>
  <c r="DH26" i="9"/>
  <c r="DH28" i="9"/>
  <c r="DH75" i="9"/>
  <c r="DH72" i="9" s="1"/>
  <c r="DI7" i="2"/>
  <c r="DJ4" i="2"/>
  <c r="DJ6" i="2" s="1"/>
  <c r="DK26" i="16"/>
  <c r="DK27" i="16" s="1"/>
  <c r="DK30" i="16"/>
  <c r="DH131" i="21"/>
  <c r="DH53" i="16"/>
  <c r="DE10" i="2"/>
  <c r="DE62" i="2"/>
  <c r="DG25" i="2"/>
  <c r="DG37" i="2" s="1"/>
  <c r="DH32" i="10"/>
  <c r="DH33" i="10" s="1"/>
  <c r="DH25" i="10"/>
  <c r="DH8" i="10"/>
  <c r="DH37" i="9"/>
  <c r="DH38" i="9" s="1"/>
  <c r="DH45" i="9"/>
  <c r="DH46" i="9" s="1"/>
  <c r="DD70" i="10"/>
  <c r="DE69" i="10"/>
  <c r="DG33" i="10"/>
  <c r="DJ32" i="16"/>
  <c r="DJ30" i="16"/>
  <c r="DG72" i="9"/>
  <c r="DG73" i="9" s="1"/>
  <c r="DI132" i="21"/>
  <c r="DI61" i="17"/>
  <c r="DK67" i="16"/>
  <c r="DJ64" i="16"/>
  <c r="DJ61" i="16" s="1"/>
  <c r="DE13" i="10"/>
  <c r="DE73" i="10"/>
  <c r="DH46" i="16"/>
  <c r="DG67" i="2"/>
  <c r="DG64" i="2" s="1"/>
  <c r="DG21" i="2"/>
  <c r="DG58" i="16"/>
  <c r="DG59" i="16" s="1"/>
  <c r="DG109" i="21"/>
  <c r="DG47" i="16"/>
  <c r="DG105" i="16"/>
  <c r="DG49" i="16"/>
  <c r="DG50" i="16" s="1"/>
  <c r="DJ4" i="10"/>
  <c r="DJ6" i="10" s="1"/>
  <c r="DI7" i="10"/>
  <c r="DG45" i="9"/>
  <c r="DG37" i="9"/>
  <c r="DG38" i="9" s="1"/>
  <c r="DI56" i="21"/>
  <c r="DI195" i="3"/>
  <c r="DJ38" i="16"/>
  <c r="DK37" i="16"/>
  <c r="DI85" i="17"/>
  <c r="DJ82" i="17"/>
  <c r="DJ84" i="17" s="1"/>
  <c r="DI44" i="3"/>
  <c r="DH45" i="3"/>
  <c r="DH46" i="3" s="1"/>
  <c r="DI87" i="21"/>
  <c r="DI33" i="16"/>
  <c r="DI40" i="16"/>
  <c r="DI41" i="16" s="1"/>
  <c r="DI52" i="16"/>
  <c r="DG131" i="21"/>
  <c r="DG53" i="16"/>
  <c r="DK34" i="17"/>
  <c r="DK35" i="17" s="1"/>
  <c r="DK38" i="17"/>
  <c r="DI187" i="3"/>
  <c r="DI181" i="3"/>
  <c r="DG26" i="10"/>
  <c r="DG28" i="10"/>
  <c r="DG75" i="10"/>
  <c r="DG72" i="10" s="1"/>
  <c r="DH8" i="2"/>
  <c r="DH24" i="2"/>
  <c r="DH25" i="2" s="1"/>
  <c r="DH20" i="2"/>
  <c r="DI46" i="16" l="1"/>
  <c r="DI47" i="16" s="1"/>
  <c r="DI110" i="21"/>
  <c r="DI57" i="17"/>
  <c r="DI58" i="17" s="1"/>
  <c r="DI55" i="17"/>
  <c r="DC58" i="2"/>
  <c r="DC59" i="2" s="1"/>
  <c r="DC33" i="21"/>
  <c r="DC31" i="21" s="1"/>
  <c r="DC30" i="21" s="1"/>
  <c r="DC49" i="2"/>
  <c r="DC50" i="2" s="1"/>
  <c r="DG69" i="9"/>
  <c r="DG70" i="9" s="1"/>
  <c r="DJ62" i="16"/>
  <c r="DK61" i="16"/>
  <c r="DG119" i="17"/>
  <c r="DG120" i="17" s="1"/>
  <c r="DG124" i="17"/>
  <c r="DG125" i="17" s="1"/>
  <c r="DG117" i="17"/>
  <c r="DI8" i="10"/>
  <c r="DI25" i="10"/>
  <c r="DI32" i="10"/>
  <c r="DG69" i="10"/>
  <c r="DG73" i="10"/>
  <c r="DI200" i="3"/>
  <c r="DI201" i="3" s="1"/>
  <c r="DI32" i="21"/>
  <c r="DI190" i="3"/>
  <c r="DI191" i="3" s="1"/>
  <c r="DI188" i="3"/>
  <c r="DE14" i="10"/>
  <c r="DE15" i="10"/>
  <c r="DG45" i="10"/>
  <c r="DG37" i="10"/>
  <c r="DH29" i="2"/>
  <c r="DH30" i="2" s="1"/>
  <c r="DH37" i="2"/>
  <c r="DH38" i="2" s="1"/>
  <c r="DG29" i="10"/>
  <c r="DK84" i="17"/>
  <c r="DK83" i="17" s="1"/>
  <c r="DJ85" i="17"/>
  <c r="DK85" i="17" s="1"/>
  <c r="DK86" i="17" s="1"/>
  <c r="DK38" i="16"/>
  <c r="DK35" i="16"/>
  <c r="DK36" i="16" s="1"/>
  <c r="DG46" i="9"/>
  <c r="DG106" i="16"/>
  <c r="DG108" i="16"/>
  <c r="DG109" i="16" s="1"/>
  <c r="DG113" i="16"/>
  <c r="DG114" i="16" s="1"/>
  <c r="DG61" i="2"/>
  <c r="DG65" i="2"/>
  <c r="DE10" i="10"/>
  <c r="DE11" i="10" s="1"/>
  <c r="DE70" i="10"/>
  <c r="DG38" i="2"/>
  <c r="DH40" i="9"/>
  <c r="DH29" i="9"/>
  <c r="DI28" i="9"/>
  <c r="DI29" i="9" s="1"/>
  <c r="DI75" i="9"/>
  <c r="DI26" i="9"/>
  <c r="DK7" i="9"/>
  <c r="DK8" i="9" s="1"/>
  <c r="DJ32" i="9"/>
  <c r="DJ33" i="9" s="1"/>
  <c r="DJ8" i="9"/>
  <c r="DI86" i="17"/>
  <c r="DH105" i="16"/>
  <c r="DH58" i="16"/>
  <c r="DH59" i="16" s="1"/>
  <c r="DH49" i="16"/>
  <c r="DH50" i="16" s="1"/>
  <c r="DH47" i="16"/>
  <c r="DH109" i="21"/>
  <c r="DJ65" i="16"/>
  <c r="DK64" i="16"/>
  <c r="DJ52" i="16"/>
  <c r="DJ87" i="21"/>
  <c r="DK87" i="21" s="1"/>
  <c r="DJ33" i="16"/>
  <c r="DK32" i="16"/>
  <c r="DK33" i="16" s="1"/>
  <c r="DH75" i="10"/>
  <c r="DH26" i="10"/>
  <c r="DH28" i="10"/>
  <c r="DJ7" i="2"/>
  <c r="DK6" i="2"/>
  <c r="DK5" i="2" s="1"/>
  <c r="DH92" i="21"/>
  <c r="DH97" i="17"/>
  <c r="DH95" i="17"/>
  <c r="DH103" i="17"/>
  <c r="DG104" i="17"/>
  <c r="DG136" i="21"/>
  <c r="DI53" i="16"/>
  <c r="DI131" i="21"/>
  <c r="DK6" i="10"/>
  <c r="DK5" i="10" s="1"/>
  <c r="DJ7" i="10"/>
  <c r="DH45" i="10"/>
  <c r="DH46" i="10" s="1"/>
  <c r="DH37" i="10"/>
  <c r="DH38" i="10" s="1"/>
  <c r="DE13" i="2"/>
  <c r="DE11" i="2"/>
  <c r="DI20" i="2"/>
  <c r="DI24" i="2"/>
  <c r="DI8" i="2"/>
  <c r="DG40" i="9"/>
  <c r="DH67" i="2"/>
  <c r="DH21" i="2"/>
  <c r="DJ44" i="3"/>
  <c r="DI45" i="3"/>
  <c r="DI46" i="3" s="1"/>
  <c r="DH69" i="9"/>
  <c r="DH70" i="9" s="1"/>
  <c r="DH73" i="9"/>
  <c r="DI33" i="9"/>
  <c r="DG109" i="17"/>
  <c r="DG98" i="17"/>
  <c r="DG114" i="21"/>
  <c r="DI49" i="16" l="1"/>
  <c r="DI50" i="16" s="1"/>
  <c r="DI105" i="16"/>
  <c r="DI113" i="16" s="1"/>
  <c r="DI114" i="16" s="1"/>
  <c r="DI58" i="16"/>
  <c r="DI59" i="16" s="1"/>
  <c r="DI109" i="21"/>
  <c r="DH32" i="2"/>
  <c r="DH8" i="21" s="1"/>
  <c r="DH6" i="21" s="1"/>
  <c r="DH5" i="21" s="1"/>
  <c r="DK32" i="9"/>
  <c r="DK31" i="9"/>
  <c r="DH64" i="2"/>
  <c r="DH61" i="2" s="1"/>
  <c r="DH106" i="16"/>
  <c r="DH113" i="16"/>
  <c r="DH114" i="16" s="1"/>
  <c r="DH108" i="16"/>
  <c r="DH109" i="16" s="1"/>
  <c r="DI45" i="9"/>
  <c r="DK33" i="9"/>
  <c r="DK44" i="3"/>
  <c r="DK45" i="3" s="1"/>
  <c r="DK46" i="3" s="1"/>
  <c r="DJ45" i="3"/>
  <c r="DJ46" i="3" s="1"/>
  <c r="DG60" i="9"/>
  <c r="DG48" i="9"/>
  <c r="DG49" i="9" s="1"/>
  <c r="DG41" i="9"/>
  <c r="DG84" i="21"/>
  <c r="DH114" i="21"/>
  <c r="DH109" i="17"/>
  <c r="DH110" i="17" s="1"/>
  <c r="DH98" i="17"/>
  <c r="DH72" i="10"/>
  <c r="DJ53" i="16"/>
  <c r="DJ131" i="21"/>
  <c r="DK52" i="16"/>
  <c r="DK55" i="16" s="1"/>
  <c r="DH60" i="9"/>
  <c r="DH48" i="9"/>
  <c r="DH49" i="9" s="1"/>
  <c r="DH84" i="21"/>
  <c r="DH41" i="9"/>
  <c r="DG62" i="2"/>
  <c r="DG40" i="10"/>
  <c r="DG38" i="10"/>
  <c r="DI26" i="10"/>
  <c r="DI75" i="10"/>
  <c r="DI28" i="10"/>
  <c r="DI29" i="10" s="1"/>
  <c r="DI72" i="9"/>
  <c r="DI73" i="9" s="1"/>
  <c r="DG46" i="10"/>
  <c r="DK10" i="16"/>
  <c r="DK11" i="16" s="1"/>
  <c r="DK62" i="16"/>
  <c r="DG110" i="17"/>
  <c r="DI25" i="2"/>
  <c r="DE15" i="2"/>
  <c r="DE14" i="2"/>
  <c r="DH136" i="21"/>
  <c r="DH104" i="17"/>
  <c r="DH29" i="10"/>
  <c r="DH40" i="10"/>
  <c r="DJ37" i="9"/>
  <c r="DJ38" i="9" s="1"/>
  <c r="DJ45" i="9"/>
  <c r="DJ46" i="9" s="1"/>
  <c r="DJ86" i="17"/>
  <c r="DJ94" i="17"/>
  <c r="DG70" i="10"/>
  <c r="DJ32" i="10"/>
  <c r="DJ33" i="10" s="1"/>
  <c r="DJ8" i="10"/>
  <c r="DJ25" i="10"/>
  <c r="DK65" i="16"/>
  <c r="DK13" i="16"/>
  <c r="DK14" i="16" s="1"/>
  <c r="DK15" i="16"/>
  <c r="DI67" i="2"/>
  <c r="DI64" i="2" s="1"/>
  <c r="DI21" i="2"/>
  <c r="DK7" i="10"/>
  <c r="DK8" i="10" s="1"/>
  <c r="DK7" i="2"/>
  <c r="DK8" i="2" s="1"/>
  <c r="DJ8" i="2"/>
  <c r="DJ20" i="2"/>
  <c r="DJ24" i="2"/>
  <c r="DJ25" i="2" s="1"/>
  <c r="DI33" i="10"/>
  <c r="DI45" i="10" s="1"/>
  <c r="DI46" i="10" s="1"/>
  <c r="DI106" i="16" l="1"/>
  <c r="DI108" i="16"/>
  <c r="DI109" i="16" s="1"/>
  <c r="DH40" i="2"/>
  <c r="DH41" i="2" s="1"/>
  <c r="DH52" i="2"/>
  <c r="DH53" i="2" s="1"/>
  <c r="DH33" i="2"/>
  <c r="DH62" i="2"/>
  <c r="DJ67" i="2"/>
  <c r="DJ21" i="2"/>
  <c r="DK32" i="10"/>
  <c r="DK31" i="10" s="1"/>
  <c r="DI61" i="2"/>
  <c r="DI62" i="2" s="1"/>
  <c r="DI65" i="2"/>
  <c r="DJ28" i="10"/>
  <c r="DK28" i="10" s="1"/>
  <c r="DJ26" i="10"/>
  <c r="DJ75" i="10"/>
  <c r="DK25" i="10"/>
  <c r="DG41" i="10"/>
  <c r="DG48" i="10"/>
  <c r="DG60" i="10"/>
  <c r="DG85" i="21"/>
  <c r="DH73" i="10"/>
  <c r="DK25" i="2"/>
  <c r="DJ37" i="2"/>
  <c r="DJ38" i="2" s="1"/>
  <c r="DJ29" i="2"/>
  <c r="DJ103" i="17"/>
  <c r="DJ97" i="17"/>
  <c r="DJ95" i="17"/>
  <c r="DJ92" i="21"/>
  <c r="DH41" i="10"/>
  <c r="DH48" i="10"/>
  <c r="DH49" i="10" s="1"/>
  <c r="DH60" i="10"/>
  <c r="DH85" i="21"/>
  <c r="DI69" i="9"/>
  <c r="DI70" i="9" s="1"/>
  <c r="DI72" i="10"/>
  <c r="DI73" i="10" s="1"/>
  <c r="DG54" i="9"/>
  <c r="DG61" i="9"/>
  <c r="DG128" i="21"/>
  <c r="DI46" i="9"/>
  <c r="DK45" i="9"/>
  <c r="DK33" i="10"/>
  <c r="DJ45" i="10"/>
  <c r="DJ46" i="10" s="1"/>
  <c r="DH65" i="2"/>
  <c r="DK20" i="2"/>
  <c r="DK24" i="2"/>
  <c r="DK23" i="2" s="1"/>
  <c r="DH54" i="9"/>
  <c r="DH128" i="21"/>
  <c r="DH61" i="9"/>
  <c r="DH69" i="10"/>
  <c r="DI29" i="2"/>
  <c r="DI37" i="2"/>
  <c r="DK56" i="16"/>
  <c r="DK53" i="16"/>
  <c r="DK131" i="21"/>
  <c r="DH57" i="21" l="1"/>
  <c r="DH55" i="21" s="1"/>
  <c r="DH54" i="21" s="1"/>
  <c r="DH46" i="2"/>
  <c r="DH58" i="2" s="1"/>
  <c r="DH59" i="2" s="1"/>
  <c r="DH54" i="10"/>
  <c r="DH66" i="10" s="1"/>
  <c r="DH67" i="10" s="1"/>
  <c r="DI38" i="2"/>
  <c r="DK37" i="2"/>
  <c r="DI69" i="10"/>
  <c r="DI70" i="10" s="1"/>
  <c r="DJ104" i="17"/>
  <c r="DJ136" i="21"/>
  <c r="DG129" i="21"/>
  <c r="DG61" i="10"/>
  <c r="DJ29" i="10"/>
  <c r="DK26" i="10"/>
  <c r="DK17" i="10"/>
  <c r="DK18" i="10" s="1"/>
  <c r="DK75" i="10"/>
  <c r="DJ64" i="2"/>
  <c r="DJ61" i="2" s="1"/>
  <c r="DH70" i="10"/>
  <c r="DH61" i="10"/>
  <c r="DH129" i="21"/>
  <c r="DJ32" i="2"/>
  <c r="DJ30" i="2"/>
  <c r="DJ72" i="10"/>
  <c r="DJ73" i="10" s="1"/>
  <c r="DI30" i="2"/>
  <c r="DI32" i="2"/>
  <c r="DH106" i="21"/>
  <c r="DH66" i="9"/>
  <c r="DH67" i="9" s="1"/>
  <c r="DH57" i="9"/>
  <c r="DH58" i="9" s="1"/>
  <c r="DH55" i="9"/>
  <c r="DG54" i="10"/>
  <c r="DG49" i="10"/>
  <c r="DK29" i="10"/>
  <c r="DK20" i="10"/>
  <c r="DK21" i="10" s="1"/>
  <c r="DK17" i="2"/>
  <c r="DK21" i="2"/>
  <c r="DK67" i="2"/>
  <c r="DK46" i="9"/>
  <c r="DK43" i="9"/>
  <c r="DK44" i="9" s="1"/>
  <c r="DG66" i="9"/>
  <c r="DG67" i="9" s="1"/>
  <c r="DG57" i="9"/>
  <c r="DG58" i="9" s="1"/>
  <c r="DG55" i="9"/>
  <c r="DG106" i="21"/>
  <c r="DK45" i="10"/>
  <c r="DJ109" i="17"/>
  <c r="DJ110" i="17" s="1"/>
  <c r="DJ98" i="17"/>
  <c r="DJ114" i="21"/>
  <c r="DH47" i="2" l="1"/>
  <c r="DH33" i="21"/>
  <c r="DH31" i="21" s="1"/>
  <c r="DH30" i="21" s="1"/>
  <c r="DH49" i="2"/>
  <c r="DH50" i="2" s="1"/>
  <c r="DH55" i="10"/>
  <c r="DH57" i="10"/>
  <c r="DH58" i="10" s="1"/>
  <c r="DH107" i="21"/>
  <c r="DJ62" i="2"/>
  <c r="DK61" i="2"/>
  <c r="DK18" i="2"/>
  <c r="DJ40" i="2"/>
  <c r="DJ41" i="2" s="1"/>
  <c r="DJ52" i="2"/>
  <c r="DJ33" i="2"/>
  <c r="DJ8" i="21"/>
  <c r="DK46" i="10"/>
  <c r="DK43" i="10"/>
  <c r="DK44" i="10" s="1"/>
  <c r="DJ69" i="10"/>
  <c r="DI52" i="2"/>
  <c r="DI40" i="2"/>
  <c r="DI41" i="2" s="1"/>
  <c r="DI33" i="2"/>
  <c r="DI8" i="21"/>
  <c r="DI6" i="21" s="1"/>
  <c r="DI5" i="21" s="1"/>
  <c r="DJ65" i="2"/>
  <c r="DK64" i="2"/>
  <c r="DK65" i="2" s="1"/>
  <c r="DK72" i="10"/>
  <c r="DG66" i="10"/>
  <c r="DG67" i="10" s="1"/>
  <c r="DG55" i="10"/>
  <c r="DG57" i="10"/>
  <c r="DG58" i="10" s="1"/>
  <c r="DG107" i="21"/>
  <c r="DK35" i="2"/>
  <c r="DK36" i="2" s="1"/>
  <c r="DK38" i="2"/>
  <c r="DJ46" i="2" l="1"/>
  <c r="DJ49" i="2" s="1"/>
  <c r="DJ50" i="2" s="1"/>
  <c r="DI46" i="2"/>
  <c r="DI57" i="21"/>
  <c r="DI55" i="21" s="1"/>
  <c r="DI54" i="21" s="1"/>
  <c r="DI53" i="2"/>
  <c r="DJ57" i="21"/>
  <c r="DJ53" i="2"/>
  <c r="DK10" i="2"/>
  <c r="DK62" i="2"/>
  <c r="DK73" i="10"/>
  <c r="DK13" i="10"/>
  <c r="DJ70" i="10"/>
  <c r="DK69" i="10"/>
  <c r="DJ58" i="2" l="1"/>
  <c r="DJ59" i="2" s="1"/>
  <c r="DJ47" i="2"/>
  <c r="DJ33" i="21"/>
  <c r="DK70" i="10"/>
  <c r="DK10" i="10"/>
  <c r="DK11" i="10" s="1"/>
  <c r="DK11" i="2"/>
  <c r="DK13" i="2"/>
  <c r="DI58" i="2"/>
  <c r="DI59" i="2" s="1"/>
  <c r="DI49" i="2"/>
  <c r="DI50" i="2" s="1"/>
  <c r="DI47" i="2"/>
  <c r="DI33" i="21"/>
  <c r="DI31" i="21" s="1"/>
  <c r="DI30" i="21" s="1"/>
  <c r="DK15" i="10"/>
  <c r="DK14" i="10"/>
  <c r="DK14" i="2" l="1"/>
  <c r="DK15" i="2"/>
  <c r="BE8" i="21" l="1"/>
  <c r="BI8" i="21" s="1"/>
  <c r="BI32" i="2"/>
  <c r="BI33" i="2" s="1"/>
  <c r="BE33" i="2"/>
  <c r="BE40" i="2"/>
  <c r="BI40" i="2" s="1"/>
  <c r="BI41" i="2" s="1"/>
  <c r="BE52" i="2"/>
  <c r="BE57" i="21" l="1"/>
  <c r="BI57" i="21" s="1"/>
  <c r="BE193" i="3"/>
  <c r="BE53" i="2"/>
  <c r="BE46" i="2"/>
  <c r="BE41" i="2"/>
  <c r="BI43" i="2"/>
  <c r="BI44" i="2" s="1"/>
  <c r="BE49" i="2"/>
  <c r="BE50" i="2" s="1"/>
  <c r="BE58" i="2"/>
  <c r="BI58" i="2" s="1"/>
  <c r="BI59" i="2" s="1"/>
  <c r="BE47" i="2"/>
  <c r="BI52" i="2"/>
  <c r="BI46" i="2"/>
  <c r="BE33" i="21" l="1"/>
  <c r="BI33" i="21" s="1"/>
  <c r="BE186" i="3"/>
  <c r="BE59" i="2"/>
  <c r="BI47" i="2"/>
  <c r="BI49" i="2"/>
  <c r="BI50" i="2" s="1"/>
  <c r="K3" i="11"/>
  <c r="BI55" i="2"/>
  <c r="BI56" i="2" s="1"/>
  <c r="BI53" i="2"/>
  <c r="K4" i="11"/>
  <c r="K5" i="11" l="1"/>
  <c r="K6" i="11" l="1"/>
  <c r="BQ26" i="2"/>
  <c r="BI29" i="2"/>
  <c r="BI26" i="2" s="1"/>
  <c r="BI27" i="2" s="1"/>
  <c r="BW26" i="2" l="1"/>
  <c r="BQ29" i="2"/>
  <c r="BI30" i="2"/>
  <c r="BO29" i="2" l="1"/>
  <c r="BU29" i="2"/>
  <c r="BQ32" i="2"/>
  <c r="BQ30" i="2"/>
  <c r="CC26" i="2"/>
  <c r="BW29" i="2"/>
  <c r="BW30" i="2" l="1"/>
  <c r="CA29" i="2"/>
  <c r="BW32" i="2"/>
  <c r="BU30" i="2"/>
  <c r="BU26" i="2"/>
  <c r="CI26" i="2"/>
  <c r="CC29" i="2"/>
  <c r="BK8" i="21"/>
  <c r="BO32" i="2"/>
  <c r="BO33" i="2" s="1"/>
  <c r="BK33" i="2"/>
  <c r="BK52" i="2"/>
  <c r="BK193" i="3" s="1"/>
  <c r="BK40" i="2"/>
  <c r="BK46" i="2" s="1"/>
  <c r="BK186" i="3" s="1"/>
  <c r="BO26" i="2"/>
  <c r="BO27" i="2" s="1"/>
  <c r="BO30" i="2"/>
  <c r="BQ8" i="21"/>
  <c r="BQ40" i="2"/>
  <c r="BQ46" i="2" s="1"/>
  <c r="BU32" i="2"/>
  <c r="BQ33" i="2"/>
  <c r="BQ52" i="2"/>
  <c r="BU33" i="2" l="1"/>
  <c r="BQ33" i="21"/>
  <c r="BU46" i="2"/>
  <c r="BQ47" i="2"/>
  <c r="BQ58" i="2"/>
  <c r="BQ49" i="2"/>
  <c r="BK57" i="21"/>
  <c r="BO52" i="2"/>
  <c r="BK53" i="2"/>
  <c r="BO8" i="21"/>
  <c r="BU8" i="21"/>
  <c r="BK33" i="21"/>
  <c r="BK49" i="2"/>
  <c r="BK50" i="2" s="1"/>
  <c r="BO46" i="2"/>
  <c r="BK47" i="2"/>
  <c r="BK58" i="2"/>
  <c r="CG29" i="2"/>
  <c r="CC32" i="2"/>
  <c r="CC30" i="2"/>
  <c r="BW8" i="21"/>
  <c r="CA32" i="2"/>
  <c r="CA33" i="2" s="1"/>
  <c r="BW33" i="2"/>
  <c r="BW52" i="2"/>
  <c r="BW40" i="2"/>
  <c r="BW46" i="2" s="1"/>
  <c r="CO26" i="2"/>
  <c r="CI29" i="2"/>
  <c r="CA26" i="2"/>
  <c r="CA27" i="2" s="1"/>
  <c r="CA30" i="2"/>
  <c r="BQ57" i="21"/>
  <c r="BU52" i="2"/>
  <c r="BQ53" i="2"/>
  <c r="BU40" i="2"/>
  <c r="BQ41" i="2"/>
  <c r="BO40" i="2"/>
  <c r="BK41" i="2"/>
  <c r="BU27" i="2"/>
  <c r="BW33" i="21" l="1"/>
  <c r="BW49" i="2"/>
  <c r="BW50" i="2" s="1"/>
  <c r="CA46" i="2"/>
  <c r="BW47" i="2"/>
  <c r="BW58" i="2"/>
  <c r="BU41" i="2"/>
  <c r="BU43" i="2"/>
  <c r="BO41" i="2"/>
  <c r="BO43" i="2"/>
  <c r="BO44" i="2" s="1"/>
  <c r="BU53" i="2"/>
  <c r="BU55" i="2"/>
  <c r="M4" i="11"/>
  <c r="CI30" i="2"/>
  <c r="CM29" i="2"/>
  <c r="CI32" i="2"/>
  <c r="BU58" i="2"/>
  <c r="BQ59" i="2"/>
  <c r="CA40" i="2"/>
  <c r="BW41" i="2"/>
  <c r="CG30" i="2"/>
  <c r="CG26" i="2"/>
  <c r="CG27" i="2" s="1"/>
  <c r="BU57" i="21"/>
  <c r="CU26" i="2"/>
  <c r="CO29" i="2"/>
  <c r="CC8" i="21"/>
  <c r="CC40" i="2"/>
  <c r="CC46" i="2" s="1"/>
  <c r="CG32" i="2"/>
  <c r="CG33" i="2" s="1"/>
  <c r="CC33" i="2"/>
  <c r="CC52" i="2"/>
  <c r="BO47" i="2"/>
  <c r="BO49" i="2"/>
  <c r="BO50" i="2" s="1"/>
  <c r="L3" i="11"/>
  <c r="BO53" i="2"/>
  <c r="BO55" i="2"/>
  <c r="BO56" i="2" s="1"/>
  <c r="L4" i="11"/>
  <c r="BO57" i="21"/>
  <c r="BU49" i="2"/>
  <c r="BU47" i="2"/>
  <c r="M3" i="11"/>
  <c r="BW57" i="21"/>
  <c r="CA52" i="2"/>
  <c r="BW53" i="2"/>
  <c r="CA8" i="21"/>
  <c r="BO58" i="2"/>
  <c r="BO59" i="2" s="1"/>
  <c r="BK59" i="2"/>
  <c r="BO33" i="21"/>
  <c r="BQ50" i="2"/>
  <c r="BU33" i="21"/>
  <c r="M5" i="11" l="1"/>
  <c r="M6" i="11" s="1"/>
  <c r="BU44" i="2"/>
  <c r="BU50" i="2"/>
  <c r="L5" i="11"/>
  <c r="L6" i="11" s="1"/>
  <c r="CA53" i="2"/>
  <c r="CA55" i="2"/>
  <c r="CA56" i="2" s="1"/>
  <c r="N4" i="11"/>
  <c r="DA26" i="2"/>
  <c r="CU29" i="2"/>
  <c r="BU59" i="2"/>
  <c r="CC33" i="21"/>
  <c r="CG46" i="2"/>
  <c r="CC47" i="2"/>
  <c r="CC58" i="2"/>
  <c r="CC49" i="2"/>
  <c r="CC50" i="2" s="1"/>
  <c r="CC57" i="21"/>
  <c r="CG52" i="2"/>
  <c r="CC53" i="2"/>
  <c r="CG40" i="2"/>
  <c r="CC41" i="2"/>
  <c r="CI8" i="21"/>
  <c r="CM32" i="2"/>
  <c r="CM33" i="2" s="1"/>
  <c r="CI33" i="2"/>
  <c r="CI52" i="2"/>
  <c r="CI40" i="2"/>
  <c r="CI46" i="2" s="1"/>
  <c r="BU56" i="2"/>
  <c r="CA47" i="2"/>
  <c r="CA49" i="2"/>
  <c r="CA50" i="2" s="1"/>
  <c r="N3" i="11"/>
  <c r="CG8" i="21"/>
  <c r="CA43" i="2"/>
  <c r="CA44" i="2" s="1"/>
  <c r="CA41" i="2"/>
  <c r="CM26" i="2"/>
  <c r="CM27" i="2" s="1"/>
  <c r="CM30" i="2"/>
  <c r="CA57" i="21"/>
  <c r="CS29" i="2"/>
  <c r="CO32" i="2"/>
  <c r="CO30" i="2"/>
  <c r="CA58" i="2"/>
  <c r="CA59" i="2" s="1"/>
  <c r="BW59" i="2"/>
  <c r="CA33" i="21"/>
  <c r="M14" i="11" l="1"/>
  <c r="L14" i="11"/>
  <c r="N5" i="11"/>
  <c r="N6" i="11" s="1"/>
  <c r="N9" i="11" s="1"/>
  <c r="CI33" i="21"/>
  <c r="CI49" i="2"/>
  <c r="CI50" i="2" s="1"/>
  <c r="CM46" i="2"/>
  <c r="CI47" i="2"/>
  <c r="CI58" i="2"/>
  <c r="CI57" i="21"/>
  <c r="CM52" i="2"/>
  <c r="CI53" i="2"/>
  <c r="CM8" i="21"/>
  <c r="CG55" i="2"/>
  <c r="CG56" i="2" s="1"/>
  <c r="CG53" i="2"/>
  <c r="O4" i="11"/>
  <c r="CG49" i="2"/>
  <c r="CG50" i="2" s="1"/>
  <c r="CG47" i="2"/>
  <c r="O3" i="11"/>
  <c r="DG26" i="2"/>
  <c r="DG29" i="2" s="1"/>
  <c r="DA29" i="2"/>
  <c r="CU30" i="2"/>
  <c r="CY29" i="2"/>
  <c r="CU32" i="2"/>
  <c r="CO8" i="21"/>
  <c r="CO40" i="2"/>
  <c r="CS32" i="2"/>
  <c r="CS33" i="2" s="1"/>
  <c r="CO33" i="2"/>
  <c r="CO52" i="2"/>
  <c r="CG57" i="21"/>
  <c r="CG33" i="21"/>
  <c r="CM40" i="2"/>
  <c r="CI41" i="2"/>
  <c r="CS30" i="2"/>
  <c r="CS26" i="2"/>
  <c r="CS27" i="2" s="1"/>
  <c r="CG41" i="2"/>
  <c r="CG43" i="2"/>
  <c r="CG44" i="2" s="1"/>
  <c r="CG58" i="2"/>
  <c r="CG59" i="2" s="1"/>
  <c r="CC59" i="2"/>
  <c r="O5" i="11" l="1"/>
  <c r="O6" i="11" s="1"/>
  <c r="O9" i="11" s="1"/>
  <c r="CO57" i="21"/>
  <c r="CS52" i="2"/>
  <c r="CO53" i="2"/>
  <c r="DG30" i="2"/>
  <c r="DK29" i="2"/>
  <c r="DG32" i="2"/>
  <c r="CM41" i="2"/>
  <c r="CM43" i="2"/>
  <c r="CM44" i="2" s="1"/>
  <c r="CS40" i="2"/>
  <c r="CO41" i="2"/>
  <c r="CO46" i="2"/>
  <c r="CS8" i="21"/>
  <c r="CU8" i="21"/>
  <c r="CY32" i="2"/>
  <c r="CY33" i="2" s="1"/>
  <c r="CU33" i="2"/>
  <c r="CU52" i="2"/>
  <c r="CU40" i="2"/>
  <c r="N14" i="11"/>
  <c r="CM53" i="2"/>
  <c r="CM55" i="2"/>
  <c r="CM56" i="2" s="1"/>
  <c r="P4" i="11"/>
  <c r="CM47" i="2"/>
  <c r="CM49" i="2"/>
  <c r="CM50" i="2" s="1"/>
  <c r="P3" i="11"/>
  <c r="CY26" i="2"/>
  <c r="CY27" i="2" s="1"/>
  <c r="CY30" i="2"/>
  <c r="CM57" i="21"/>
  <c r="DE29" i="2"/>
  <c r="DA32" i="2"/>
  <c r="DA30" i="2"/>
  <c r="CM58" i="2"/>
  <c r="CM59" i="2" s="1"/>
  <c r="CI59" i="2"/>
  <c r="CM33" i="21"/>
  <c r="P5" i="11" l="1"/>
  <c r="P6" i="11" s="1"/>
  <c r="P9" i="11" s="1"/>
  <c r="DA8" i="21"/>
  <c r="DA40" i="2"/>
  <c r="DA46" i="2" s="1"/>
  <c r="DE32" i="2"/>
  <c r="DE33" i="2" s="1"/>
  <c r="DA33" i="2"/>
  <c r="DA52" i="2"/>
  <c r="CY40" i="2"/>
  <c r="CU41" i="2"/>
  <c r="CO33" i="21"/>
  <c r="CS46" i="2"/>
  <c r="CO47" i="2"/>
  <c r="CO58" i="2"/>
  <c r="CO49" i="2"/>
  <c r="CO50" i="2" s="1"/>
  <c r="DG8" i="21"/>
  <c r="DK32" i="2"/>
  <c r="DG33" i="2"/>
  <c r="DG52" i="2"/>
  <c r="DG40" i="2"/>
  <c r="DG46" i="2" s="1"/>
  <c r="CS53" i="2"/>
  <c r="CS55" i="2"/>
  <c r="CS56" i="2" s="1"/>
  <c r="Q4" i="11"/>
  <c r="DE30" i="2"/>
  <c r="DE26" i="2"/>
  <c r="DE27" i="2" s="1"/>
  <c r="CU57" i="21"/>
  <c r="CY52" i="2"/>
  <c r="CU53" i="2"/>
  <c r="CY8" i="21"/>
  <c r="DK26" i="2"/>
  <c r="DK30" i="2"/>
  <c r="CS57" i="21"/>
  <c r="CU46" i="2"/>
  <c r="CS41" i="2"/>
  <c r="CS43" i="2"/>
  <c r="CS44" i="2" s="1"/>
  <c r="DK27" i="2" l="1"/>
  <c r="DK33" i="2"/>
  <c r="DA33" i="21"/>
  <c r="DE46" i="2"/>
  <c r="DA47" i="2"/>
  <c r="DA58" i="2"/>
  <c r="DA49" i="2"/>
  <c r="DE8" i="21"/>
  <c r="DK40" i="2"/>
  <c r="DG41" i="2"/>
  <c r="CY43" i="2"/>
  <c r="CY44" i="2" s="1"/>
  <c r="CY41" i="2"/>
  <c r="CY57" i="21"/>
  <c r="CU33" i="21"/>
  <c r="CU49" i="2"/>
  <c r="CU50" i="2" s="1"/>
  <c r="CY46" i="2"/>
  <c r="CU47" i="2"/>
  <c r="CU58" i="2"/>
  <c r="CY53" i="2"/>
  <c r="CY55" i="2"/>
  <c r="CY56" i="2" s="1"/>
  <c r="R4" i="11"/>
  <c r="DG57" i="21"/>
  <c r="DK52" i="2"/>
  <c r="DG53" i="2"/>
  <c r="DK8" i="21"/>
  <c r="CS49" i="2"/>
  <c r="CS50" i="2" s="1"/>
  <c r="CS47" i="2"/>
  <c r="Q3" i="11"/>
  <c r="Q5" i="11" s="1"/>
  <c r="Q6" i="11" s="1"/>
  <c r="Q9" i="11" s="1"/>
  <c r="DA57" i="21"/>
  <c r="DE52" i="2"/>
  <c r="DA53" i="2"/>
  <c r="DE40" i="2"/>
  <c r="DA41" i="2"/>
  <c r="DG33" i="21"/>
  <c r="DG49" i="2"/>
  <c r="DK46" i="2"/>
  <c r="DG47" i="2"/>
  <c r="DG58" i="2"/>
  <c r="CS33" i="21"/>
  <c r="CS58" i="2"/>
  <c r="CS59" i="2" s="1"/>
  <c r="CO59" i="2"/>
  <c r="DG50" i="2" l="1"/>
  <c r="DE41" i="2"/>
  <c r="DE43" i="2"/>
  <c r="DE44" i="2" s="1"/>
  <c r="DA50" i="2"/>
  <c r="DE33" i="21"/>
  <c r="DK47" i="2"/>
  <c r="DK49" i="2"/>
  <c r="CY47" i="2"/>
  <c r="CY49" i="2"/>
  <c r="CY50" i="2" s="1"/>
  <c r="R3" i="11"/>
  <c r="R5" i="11" s="1"/>
  <c r="R6" i="11" s="1"/>
  <c r="DK41" i="2"/>
  <c r="DK43" i="2"/>
  <c r="DE58" i="2"/>
  <c r="DA59" i="2"/>
  <c r="DE55" i="2"/>
  <c r="DE56" i="2" s="1"/>
  <c r="DE53" i="2"/>
  <c r="DK53" i="2"/>
  <c r="DK55" i="2"/>
  <c r="DK58" i="2"/>
  <c r="DG59" i="2"/>
  <c r="DK33" i="21"/>
  <c r="DE57" i="21"/>
  <c r="DK57" i="21"/>
  <c r="CY58" i="2"/>
  <c r="CY59" i="2" s="1"/>
  <c r="CU59" i="2"/>
  <c r="CY33" i="21"/>
  <c r="DE49" i="2"/>
  <c r="DE47" i="2"/>
  <c r="DE50" i="2" l="1"/>
  <c r="DK59" i="2"/>
  <c r="DK50" i="2"/>
  <c r="DE59" i="2"/>
  <c r="DK44" i="2"/>
  <c r="DK56" i="2"/>
  <c r="S9" i="11"/>
  <c r="V9" i="11" s="1"/>
  <c r="R9" i="11"/>
  <c r="V8" i="11" s="1"/>
  <c r="V10" i="11" l="1"/>
  <c r="M11" i="11" s="1"/>
  <c r="F6" i="12" s="1"/>
  <c r="C6" i="12" l="1"/>
  <c r="N13" i="11"/>
  <c r="M13" i="11"/>
  <c r="H6" i="12" s="1"/>
  <c r="L13" i="11"/>
  <c r="N12" i="11"/>
  <c r="M12" i="11"/>
  <c r="G6" i="12" s="1"/>
  <c r="L12" i="11"/>
  <c r="L11" i="11"/>
  <c r="N11" i="11"/>
  <c r="E6" i="12" l="1"/>
  <c r="BI171" i="3" l="1"/>
  <c r="BI172" i="3" s="1"/>
  <c r="BO171" i="3"/>
  <c r="BE176" i="3"/>
  <c r="BE7" i="21" l="1"/>
  <c r="BI7" i="21" s="1"/>
  <c r="BE183" i="3"/>
  <c r="BO172" i="3"/>
  <c r="BE194" i="3"/>
  <c r="BE56" i="21" s="1"/>
  <c r="BI56" i="21" s="1"/>
  <c r="BF179" i="3"/>
  <c r="BK176" i="3"/>
  <c r="BI176" i="3"/>
  <c r="BE6" i="21"/>
  <c r="BQ171" i="3"/>
  <c r="BI6" i="21" l="1"/>
  <c r="BO176" i="3"/>
  <c r="BO177" i="3" s="1"/>
  <c r="BK183" i="3"/>
  <c r="BE55" i="21"/>
  <c r="BE54" i="21" s="1"/>
  <c r="BI194" i="3"/>
  <c r="BI197" i="3" s="1"/>
  <c r="BI180" i="3"/>
  <c r="BJ180" i="3" s="1"/>
  <c r="BE187" i="3"/>
  <c r="BE190" i="3" s="1"/>
  <c r="BK7" i="21"/>
  <c r="BK194" i="3"/>
  <c r="BK177" i="3"/>
  <c r="BW171" i="3"/>
  <c r="BQ176" i="3"/>
  <c r="BU171" i="3"/>
  <c r="BU172" i="3" s="1"/>
  <c r="BK184" i="3" l="1"/>
  <c r="BQ183" i="3"/>
  <c r="BW183" i="3" s="1"/>
  <c r="CC183" i="3" s="1"/>
  <c r="CI183" i="3" s="1"/>
  <c r="CO183" i="3" s="1"/>
  <c r="CU183" i="3" s="1"/>
  <c r="DA183" i="3" s="1"/>
  <c r="DG183" i="3" s="1"/>
  <c r="BI55" i="21"/>
  <c r="BI54" i="21" s="1"/>
  <c r="BK187" i="3"/>
  <c r="BK190" i="3" s="1"/>
  <c r="BK191" i="3" s="1"/>
  <c r="BK181" i="3"/>
  <c r="K19" i="11"/>
  <c r="BI206" i="3"/>
  <c r="BI207" i="3" s="1"/>
  <c r="BI183" i="3"/>
  <c r="BI184" i="3" s="1"/>
  <c r="BI181" i="3"/>
  <c r="BE32" i="21"/>
  <c r="BE200" i="3"/>
  <c r="BI187" i="3"/>
  <c r="BK32" i="21"/>
  <c r="BO7" i="21"/>
  <c r="BK6" i="21"/>
  <c r="BO180" i="3"/>
  <c r="BK56" i="21"/>
  <c r="BK195" i="3"/>
  <c r="BO194" i="3"/>
  <c r="BO193" i="3" s="1"/>
  <c r="BW176" i="3"/>
  <c r="CA171" i="3"/>
  <c r="CA172" i="3" s="1"/>
  <c r="CC171" i="3"/>
  <c r="BQ7" i="21"/>
  <c r="BQ177" i="3"/>
  <c r="BQ194" i="3"/>
  <c r="BQ180" i="3" l="1"/>
  <c r="BO187" i="3"/>
  <c r="L18" i="11" s="1"/>
  <c r="BK200" i="3"/>
  <c r="BO200" i="3" s="1"/>
  <c r="BK188" i="3"/>
  <c r="BI188" i="3"/>
  <c r="BI190" i="3"/>
  <c r="K18" i="11"/>
  <c r="K20" i="11" s="1"/>
  <c r="K21" i="11" s="1"/>
  <c r="M76" i="12" s="1"/>
  <c r="BI200" i="3"/>
  <c r="BE31" i="21"/>
  <c r="BI32" i="21"/>
  <c r="BK31" i="21"/>
  <c r="BO32" i="21"/>
  <c r="BO6" i="21"/>
  <c r="BO5" i="21" s="1"/>
  <c r="BK5" i="21"/>
  <c r="BO195" i="3"/>
  <c r="L19" i="11"/>
  <c r="BO206" i="3"/>
  <c r="BO207" i="3" s="1"/>
  <c r="BO197" i="3"/>
  <c r="BO198" i="3" s="1"/>
  <c r="BO183" i="3"/>
  <c r="BO184" i="3" s="1"/>
  <c r="BO181" i="3"/>
  <c r="BK55" i="21"/>
  <c r="BO56" i="21"/>
  <c r="BW7" i="21"/>
  <c r="BW177" i="3"/>
  <c r="BW180" i="3"/>
  <c r="BW187" i="3" s="1"/>
  <c r="BW194" i="3"/>
  <c r="CI171" i="3"/>
  <c r="CC176" i="3"/>
  <c r="CG171" i="3"/>
  <c r="CG172" i="3" s="1"/>
  <c r="BQ56" i="21"/>
  <c r="BQ195" i="3"/>
  <c r="BQ6" i="21"/>
  <c r="BQ181" i="3" l="1"/>
  <c r="BQ187" i="3"/>
  <c r="BQ188" i="3" s="1"/>
  <c r="BO190" i="3"/>
  <c r="BO191" i="3" s="1"/>
  <c r="BO188" i="3"/>
  <c r="BK201" i="3"/>
  <c r="BO201" i="3"/>
  <c r="BI31" i="21"/>
  <c r="L20" i="11"/>
  <c r="BK30" i="21"/>
  <c r="BO31" i="21"/>
  <c r="BO27" i="21" s="1"/>
  <c r="BO25" i="21" s="1"/>
  <c r="BO55" i="21"/>
  <c r="BO54" i="21" s="1"/>
  <c r="BK54" i="21"/>
  <c r="CC7" i="21"/>
  <c r="CC177" i="3"/>
  <c r="CC180" i="3"/>
  <c r="CC194" i="3"/>
  <c r="BW56" i="21"/>
  <c r="BW195" i="3"/>
  <c r="CI176" i="3"/>
  <c r="CM171" i="3"/>
  <c r="CM172" i="3" s="1"/>
  <c r="CO171" i="3"/>
  <c r="BW32" i="21"/>
  <c r="BW190" i="3"/>
  <c r="BW200" i="3"/>
  <c r="BW6" i="21"/>
  <c r="BQ5" i="21"/>
  <c r="BQ55" i="21"/>
  <c r="BW181" i="3"/>
  <c r="BQ200" i="3" l="1"/>
  <c r="BQ201" i="3" s="1"/>
  <c r="BW188" i="3"/>
  <c r="BQ190" i="3"/>
  <c r="BQ191" i="3" s="1"/>
  <c r="BQ32" i="21"/>
  <c r="BJ31" i="21"/>
  <c r="L21" i="11"/>
  <c r="BO30" i="21"/>
  <c r="CU171" i="3"/>
  <c r="CO176" i="3"/>
  <c r="CS171" i="3"/>
  <c r="CS172" i="3" s="1"/>
  <c r="CC181" i="3"/>
  <c r="BQ54" i="21"/>
  <c r="BW55" i="21"/>
  <c r="BW5" i="21"/>
  <c r="CI7" i="21"/>
  <c r="CI177" i="3"/>
  <c r="CI180" i="3"/>
  <c r="CI194" i="3"/>
  <c r="CC56" i="21"/>
  <c r="CC195" i="3"/>
  <c r="BW31" i="21"/>
  <c r="BW27" i="21" s="1"/>
  <c r="CC187" i="3"/>
  <c r="CC6" i="21"/>
  <c r="BW191" i="3" l="1"/>
  <c r="BQ31" i="21"/>
  <c r="BW201" i="3"/>
  <c r="L29" i="11"/>
  <c r="CI181" i="3"/>
  <c r="BW54" i="21"/>
  <c r="CO7" i="21"/>
  <c r="CO177" i="3"/>
  <c r="CO180" i="3"/>
  <c r="CO194" i="3"/>
  <c r="CC32" i="21"/>
  <c r="CC188" i="3"/>
  <c r="CC190" i="3"/>
  <c r="CC191" i="3" s="1"/>
  <c r="CC200" i="3"/>
  <c r="CC55" i="21"/>
  <c r="CU176" i="3"/>
  <c r="CY171" i="3"/>
  <c r="CY172" i="3" s="1"/>
  <c r="DA171" i="3"/>
  <c r="CC5" i="21"/>
  <c r="CI56" i="21"/>
  <c r="CI195" i="3"/>
  <c r="CI187" i="3"/>
  <c r="CI6" i="21"/>
  <c r="BQ27" i="21" l="1"/>
  <c r="BW30" i="21"/>
  <c r="BQ30" i="21"/>
  <c r="CU7" i="21"/>
  <c r="CU177" i="3"/>
  <c r="CU180" i="3"/>
  <c r="CU194" i="3"/>
  <c r="CO56" i="21"/>
  <c r="CO195" i="3"/>
  <c r="CI5" i="21"/>
  <c r="CI55" i="21"/>
  <c r="DG171" i="3"/>
  <c r="DA176" i="3"/>
  <c r="DE171" i="3"/>
  <c r="DE172" i="3" s="1"/>
  <c r="CO181" i="3"/>
  <c r="CI32" i="21"/>
  <c r="CI188" i="3"/>
  <c r="CI190" i="3"/>
  <c r="CI191" i="3" s="1"/>
  <c r="CI200" i="3"/>
  <c r="CC201" i="3"/>
  <c r="CC31" i="21"/>
  <c r="CC27" i="21" s="1"/>
  <c r="CC25" i="21" s="1"/>
  <c r="CC54" i="21"/>
  <c r="CO187" i="3"/>
  <c r="CO6" i="21"/>
  <c r="BQ25" i="21" l="1"/>
  <c r="BW25" i="21"/>
  <c r="CI201" i="3"/>
  <c r="CU56" i="21"/>
  <c r="CU195" i="3"/>
  <c r="CO32" i="21"/>
  <c r="CO188" i="3"/>
  <c r="CO190" i="3"/>
  <c r="CO191" i="3" s="1"/>
  <c r="CO200" i="3"/>
  <c r="DA7" i="21"/>
  <c r="DA177" i="3"/>
  <c r="DA180" i="3"/>
  <c r="DA194" i="3"/>
  <c r="CU181" i="3"/>
  <c r="CO5" i="21"/>
  <c r="CC30" i="21"/>
  <c r="CI31" i="21"/>
  <c r="CI27" i="21" s="1"/>
  <c r="CI25" i="21" s="1"/>
  <c r="DG176" i="3"/>
  <c r="DK171" i="3"/>
  <c r="DK172" i="3" s="1"/>
  <c r="CO55" i="21"/>
  <c r="CI54" i="21"/>
  <c r="CU187" i="3"/>
  <c r="CU6" i="21"/>
  <c r="CO54" i="21" l="1"/>
  <c r="DG7" i="21"/>
  <c r="DG177" i="3"/>
  <c r="DG180" i="3"/>
  <c r="DG187" i="3" s="1"/>
  <c r="DG194" i="3"/>
  <c r="DA181" i="3"/>
  <c r="CU55" i="21"/>
  <c r="CU5" i="21"/>
  <c r="CI30" i="21"/>
  <c r="DA56" i="21"/>
  <c r="DA195" i="3"/>
  <c r="CO201" i="3"/>
  <c r="CO31" i="21"/>
  <c r="CU32" i="21"/>
  <c r="CU188" i="3"/>
  <c r="CU190" i="3"/>
  <c r="CU191" i="3" s="1"/>
  <c r="CU200" i="3"/>
  <c r="DA187" i="3"/>
  <c r="DA6" i="21"/>
  <c r="DG32" i="21" l="1"/>
  <c r="DG188" i="3"/>
  <c r="DG190" i="3"/>
  <c r="DG200" i="3"/>
  <c r="CU31" i="21"/>
  <c r="DG6" i="21"/>
  <c r="DA5" i="21"/>
  <c r="CU201" i="3"/>
  <c r="DG181" i="3"/>
  <c r="CO30" i="21"/>
  <c r="DA32" i="21"/>
  <c r="DA188" i="3"/>
  <c r="DA190" i="3"/>
  <c r="DA191" i="3" s="1"/>
  <c r="DA200" i="3"/>
  <c r="DA55" i="21"/>
  <c r="CU54" i="21"/>
  <c r="DG56" i="21"/>
  <c r="DG195" i="3"/>
  <c r="DA54" i="21" l="1"/>
  <c r="DG5" i="21"/>
  <c r="DG191" i="3"/>
  <c r="DA201" i="3"/>
  <c r="DA31" i="21"/>
  <c r="CU30" i="21"/>
  <c r="DG31" i="21"/>
  <c r="DG55" i="21"/>
  <c r="DG201" i="3"/>
  <c r="DG30" i="21" l="1"/>
  <c r="DG54" i="21"/>
  <c r="DA30" i="21"/>
  <c r="BE26" i="8" l="1"/>
  <c r="BK27" i="8" s="1"/>
  <c r="BE27" i="8"/>
  <c r="BI29" i="8"/>
  <c r="BI26" i="8" s="1"/>
  <c r="BI27" i="8" s="1"/>
  <c r="BI30" i="8" l="1"/>
  <c r="BQ26" i="8"/>
  <c r="BO29" i="8" l="1"/>
  <c r="BW26" i="8"/>
  <c r="BQ29" i="8"/>
  <c r="CC26" i="8" l="1"/>
  <c r="BW29" i="8"/>
  <c r="BK33" i="8"/>
  <c r="BO26" i="8"/>
  <c r="BO27" i="8" s="1"/>
  <c r="BO30" i="8"/>
  <c r="BU29" i="8"/>
  <c r="BQ32" i="8"/>
  <c r="BQ172" i="21" s="1"/>
  <c r="BQ30" i="8"/>
  <c r="BQ173" i="21" l="1"/>
  <c r="BQ178" i="21"/>
  <c r="BK47" i="8"/>
  <c r="BK58" i="8"/>
  <c r="BK49" i="8"/>
  <c r="BK50" i="8" s="1"/>
  <c r="BQ40" i="8"/>
  <c r="BQ46" i="8" s="1"/>
  <c r="BQ185" i="21" s="1"/>
  <c r="BQ33" i="8"/>
  <c r="BQ52" i="8"/>
  <c r="BQ198" i="21" s="1"/>
  <c r="BU30" i="8"/>
  <c r="BU26" i="8"/>
  <c r="BU27" i="8" s="1"/>
  <c r="BW30" i="8"/>
  <c r="CA29" i="8"/>
  <c r="BW32" i="8"/>
  <c r="BW172" i="21" s="1"/>
  <c r="CI26" i="8"/>
  <c r="CC29" i="8"/>
  <c r="BQ199" i="21" l="1"/>
  <c r="BQ206" i="21"/>
  <c r="BQ213" i="21"/>
  <c r="BQ186" i="21"/>
  <c r="BQ191" i="21"/>
  <c r="BQ179" i="21"/>
  <c r="BQ17" i="21"/>
  <c r="BW173" i="21"/>
  <c r="BW178" i="21"/>
  <c r="CO26" i="8"/>
  <c r="CI29" i="8"/>
  <c r="BQ49" i="8"/>
  <c r="BQ50" i="8" s="1"/>
  <c r="BQ47" i="8"/>
  <c r="BQ58" i="8"/>
  <c r="BK59" i="8"/>
  <c r="CA26" i="8"/>
  <c r="CA27" i="8" s="1"/>
  <c r="CA30" i="8"/>
  <c r="BW33" i="8"/>
  <c r="BW40" i="8"/>
  <c r="BW46" i="8" s="1"/>
  <c r="BW185" i="21" s="1"/>
  <c r="BW52" i="8"/>
  <c r="BW198" i="21" s="1"/>
  <c r="CG29" i="8"/>
  <c r="CC32" i="8"/>
  <c r="CC172" i="21" s="1"/>
  <c r="CC30" i="8"/>
  <c r="BQ53" i="8"/>
  <c r="BQ41" i="8"/>
  <c r="BW199" i="21" l="1"/>
  <c r="CC173" i="21"/>
  <c r="CC178" i="21"/>
  <c r="BW179" i="21"/>
  <c r="BW17" i="21"/>
  <c r="BQ214" i="21"/>
  <c r="BQ219" i="21"/>
  <c r="BQ42" i="21"/>
  <c r="BQ192" i="21"/>
  <c r="BQ66" i="21"/>
  <c r="BQ207" i="21"/>
  <c r="BW186" i="21"/>
  <c r="BW213" i="21"/>
  <c r="BW191" i="21"/>
  <c r="BW47" i="8"/>
  <c r="BW58" i="8"/>
  <c r="BW49" i="8"/>
  <c r="BW50" i="8" s="1"/>
  <c r="CG30" i="8"/>
  <c r="CG26" i="8"/>
  <c r="CG27" i="8" s="1"/>
  <c r="BW53" i="8"/>
  <c r="BQ59" i="8"/>
  <c r="CI30" i="8"/>
  <c r="CM29" i="8"/>
  <c r="CI32" i="8"/>
  <c r="CI172" i="21" s="1"/>
  <c r="BW41" i="8"/>
  <c r="CU26" i="8"/>
  <c r="CO29" i="8"/>
  <c r="CC40" i="8"/>
  <c r="CC33" i="8"/>
  <c r="CC52" i="8"/>
  <c r="CC198" i="21" s="1"/>
  <c r="CC199" i="21" l="1"/>
  <c r="BW42" i="21"/>
  <c r="BW192" i="21"/>
  <c r="CC179" i="21"/>
  <c r="CC17" i="21"/>
  <c r="BW214" i="21"/>
  <c r="CI173" i="21"/>
  <c r="CI178" i="21"/>
  <c r="BQ220" i="21"/>
  <c r="CS29" i="8"/>
  <c r="CO32" i="8"/>
  <c r="CO172" i="21" s="1"/>
  <c r="CO30" i="8"/>
  <c r="CM26" i="8"/>
  <c r="CM27" i="8" s="1"/>
  <c r="CM30" i="8"/>
  <c r="BW59" i="8"/>
  <c r="DA26" i="8"/>
  <c r="CU29" i="8"/>
  <c r="CC53" i="8"/>
  <c r="CC41" i="8"/>
  <c r="CC46" i="8"/>
  <c r="CC185" i="21" s="1"/>
  <c r="CI33" i="8"/>
  <c r="CI40" i="8"/>
  <c r="CI52" i="8"/>
  <c r="CI198" i="21" s="1"/>
  <c r="CC186" i="21" l="1"/>
  <c r="CC213" i="21"/>
  <c r="CC191" i="21"/>
  <c r="CI199" i="21"/>
  <c r="CO173" i="21"/>
  <c r="CO178" i="21"/>
  <c r="CI179" i="21"/>
  <c r="CI17" i="21"/>
  <c r="CI41" i="8"/>
  <c r="CU30" i="8"/>
  <c r="CY29" i="8"/>
  <c r="CU32" i="8"/>
  <c r="CU172" i="21" s="1"/>
  <c r="CC49" i="8"/>
  <c r="CC50" i="8" s="1"/>
  <c r="CC47" i="8"/>
  <c r="CC58" i="8"/>
  <c r="CI53" i="8"/>
  <c r="CI46" i="8"/>
  <c r="CI185" i="21" s="1"/>
  <c r="DG26" i="8"/>
  <c r="DG29" i="8" s="1"/>
  <c r="DA29" i="8"/>
  <c r="CO40" i="8"/>
  <c r="CO46" i="8" s="1"/>
  <c r="CO185" i="21" s="1"/>
  <c r="CO33" i="8"/>
  <c r="CO52" i="8"/>
  <c r="CO198" i="21" s="1"/>
  <c r="CS30" i="8"/>
  <c r="CS26" i="8"/>
  <c r="CS27" i="8" s="1"/>
  <c r="CC42" i="21" l="1"/>
  <c r="CC192" i="21"/>
  <c r="CI186" i="21"/>
  <c r="CI213" i="21"/>
  <c r="CI191" i="21"/>
  <c r="CC214" i="21"/>
  <c r="CO199" i="21"/>
  <c r="CO186" i="21"/>
  <c r="CO213" i="21"/>
  <c r="CO191" i="21"/>
  <c r="CU173" i="21"/>
  <c r="CU178" i="21"/>
  <c r="CO179" i="21"/>
  <c r="CO17" i="21"/>
  <c r="DE29" i="8"/>
  <c r="DA32" i="8"/>
  <c r="DA172" i="21" s="1"/>
  <c r="DA30" i="8"/>
  <c r="CC59" i="8"/>
  <c r="CU33" i="8"/>
  <c r="CU40" i="8"/>
  <c r="CU52" i="8"/>
  <c r="CU198" i="21" s="1"/>
  <c r="DG30" i="8"/>
  <c r="DK29" i="8"/>
  <c r="DG32" i="8"/>
  <c r="DG172" i="21" s="1"/>
  <c r="CO53" i="8"/>
  <c r="CO41" i="8"/>
  <c r="CY26" i="8"/>
  <c r="CY27" i="8" s="1"/>
  <c r="CY30" i="8"/>
  <c r="CI47" i="8"/>
  <c r="CI58" i="8"/>
  <c r="CI49" i="8"/>
  <c r="CI50" i="8" s="1"/>
  <c r="CO49" i="8"/>
  <c r="CO47" i="8"/>
  <c r="CO58" i="8"/>
  <c r="CO214" i="21" l="1"/>
  <c r="CU199" i="21"/>
  <c r="CO42" i="21"/>
  <c r="CO192" i="21"/>
  <c r="CI42" i="21"/>
  <c r="CI192" i="21"/>
  <c r="DG173" i="21"/>
  <c r="DG178" i="21"/>
  <c r="CU179" i="21"/>
  <c r="CU17" i="21"/>
  <c r="CI214" i="21"/>
  <c r="DA173" i="21"/>
  <c r="DA178" i="21"/>
  <c r="CO50" i="8"/>
  <c r="CI59" i="8"/>
  <c r="DK26" i="8"/>
  <c r="DK27" i="8" s="1"/>
  <c r="DK30" i="8"/>
  <c r="CU53" i="8"/>
  <c r="DA33" i="8"/>
  <c r="DA52" i="8"/>
  <c r="DA198" i="21" s="1"/>
  <c r="DA40" i="8"/>
  <c r="CU41" i="8"/>
  <c r="CO59" i="8"/>
  <c r="DG33" i="8"/>
  <c r="DG40" i="8"/>
  <c r="DG46" i="8" s="1"/>
  <c r="DG185" i="21" s="1"/>
  <c r="DG52" i="8"/>
  <c r="DG198" i="21" s="1"/>
  <c r="CU46" i="8"/>
  <c r="CU185" i="21" s="1"/>
  <c r="DE30" i="8"/>
  <c r="DE26" i="8"/>
  <c r="DE27" i="8" s="1"/>
  <c r="CU186" i="21" l="1"/>
  <c r="CU213" i="21"/>
  <c r="CU191" i="21"/>
  <c r="DG199" i="21"/>
  <c r="DG213" i="21"/>
  <c r="DG191" i="21"/>
  <c r="DA199" i="21"/>
  <c r="DA179" i="21"/>
  <c r="DA17" i="21"/>
  <c r="DG17" i="21"/>
  <c r="DG179" i="21"/>
  <c r="DG53" i="8"/>
  <c r="DA41" i="8"/>
  <c r="DG41" i="8"/>
  <c r="DA53" i="8"/>
  <c r="DG58" i="8"/>
  <c r="DG49" i="8"/>
  <c r="CU47" i="8"/>
  <c r="CU58" i="8"/>
  <c r="CU49" i="8"/>
  <c r="CU50" i="8" s="1"/>
  <c r="DA46" i="8"/>
  <c r="CU42" i="21" l="1"/>
  <c r="CU192" i="21"/>
  <c r="DG42" i="21"/>
  <c r="DG47" i="8"/>
  <c r="DA185" i="21"/>
  <c r="CU214" i="21"/>
  <c r="CU59" i="8"/>
  <c r="DA49" i="8"/>
  <c r="DA50" i="8" s="1"/>
  <c r="DA47" i="8"/>
  <c r="DA58" i="8"/>
  <c r="DG59" i="8" s="1"/>
  <c r="DA213" i="21" l="1"/>
  <c r="DA186" i="21"/>
  <c r="DA191" i="21"/>
  <c r="DG186" i="21"/>
  <c r="DA59" i="8"/>
  <c r="DG50" i="8"/>
  <c r="DA42" i="21" l="1"/>
  <c r="DA192" i="21"/>
  <c r="DG192" i="21"/>
  <c r="DA214" i="21"/>
  <c r="DG214" i="21"/>
  <c r="BE41" i="15"/>
  <c r="BE61" i="15"/>
  <c r="BE86" i="21"/>
  <c r="BE94" i="21" s="1"/>
  <c r="BE13" i="21"/>
  <c r="BE23" i="21" s="1"/>
  <c r="BE130" i="21"/>
  <c r="BE57" i="15" l="1"/>
  <c r="BE58" i="15" s="1"/>
  <c r="BE66" i="15"/>
  <c r="BE55" i="15"/>
  <c r="BE108" i="21"/>
  <c r="BE116" i="21" s="1"/>
  <c r="BE116" i="15"/>
  <c r="BE67" i="15" l="1"/>
  <c r="BE117" i="15"/>
  <c r="BE119" i="15"/>
  <c r="BE120" i="15" s="1"/>
  <c r="BE38" i="21"/>
  <c r="BE48" i="21" s="1"/>
  <c r="BE49" i="21" l="1"/>
  <c r="BE144" i="21"/>
  <c r="BE51" i="21" l="1"/>
  <c r="BE150" i="21"/>
  <c r="BI28" i="15"/>
  <c r="BI20" i="15" s="1"/>
  <c r="BI21" i="15" s="1"/>
  <c r="BE29" i="15"/>
  <c r="AS17" i="15"/>
  <c r="AW25" i="15"/>
  <c r="AW17" i="15" s="1"/>
  <c r="AS75" i="15"/>
  <c r="AW75" i="15"/>
  <c r="BI29" i="15" l="1"/>
  <c r="AS72" i="15"/>
  <c r="AS13" i="15"/>
  <c r="AW72" i="15" l="1"/>
  <c r="AS10" i="15"/>
  <c r="AS69" i="15"/>
  <c r="AW13" i="15" l="1"/>
  <c r="AW69" i="15"/>
  <c r="AW10" i="15" l="1"/>
  <c r="AW15" i="15"/>
  <c r="AY17" i="15"/>
  <c r="BE18" i="15" s="1"/>
  <c r="BC25" i="15"/>
  <c r="BC17" i="15" s="1"/>
  <c r="BC18" i="15" s="1"/>
  <c r="AY26" i="15"/>
  <c r="AY75" i="15"/>
  <c r="AY72" i="15" s="1"/>
  <c r="BC72" i="15" s="1"/>
  <c r="AY18" i="15" l="1"/>
  <c r="BC75" i="15"/>
  <c r="BC26" i="15"/>
  <c r="AY69" i="15"/>
  <c r="BC69" i="15" s="1"/>
  <c r="AY73" i="15"/>
  <c r="BC13" i="15"/>
  <c r="BC73" i="15"/>
  <c r="AY13" i="15"/>
  <c r="AY10" i="15" l="1"/>
  <c r="BE11" i="15" s="1"/>
  <c r="BE14" i="15"/>
  <c r="AY70" i="15"/>
  <c r="BC14" i="15"/>
  <c r="BC15" i="15"/>
  <c r="AY14" i="15"/>
  <c r="BC10" i="15"/>
  <c r="BC11" i="15" s="1"/>
  <c r="BC70" i="15"/>
  <c r="AY11" i="15" l="1"/>
  <c r="BQ13" i="15"/>
  <c r="BQ10" i="15"/>
  <c r="BI25" i="15" l="1"/>
  <c r="BE26" i="15"/>
  <c r="BE75" i="15"/>
  <c r="BW10" i="15"/>
  <c r="BQ17" i="15"/>
  <c r="BW13" i="15"/>
  <c r="BO25" i="15" l="1"/>
  <c r="BK75" i="15"/>
  <c r="BQ25" i="15"/>
  <c r="BQ18" i="15"/>
  <c r="CC10" i="15"/>
  <c r="BW17" i="15"/>
  <c r="BW15" i="15" s="1"/>
  <c r="BE72" i="15"/>
  <c r="CC13" i="15"/>
  <c r="BQ15" i="15"/>
  <c r="BI17" i="15"/>
  <c r="BI18" i="15" s="1"/>
  <c r="BI26" i="15"/>
  <c r="BI75" i="15"/>
  <c r="BW25" i="15" l="1"/>
  <c r="BW18" i="15"/>
  <c r="BK72" i="15"/>
  <c r="BK69" i="15" s="1"/>
  <c r="CI10" i="15"/>
  <c r="CC17" i="15"/>
  <c r="CC15" i="15" s="1"/>
  <c r="BO17" i="15"/>
  <c r="BO18" i="15" s="1"/>
  <c r="BO26" i="15"/>
  <c r="BO75" i="15"/>
  <c r="CI13" i="15"/>
  <c r="BI72" i="15"/>
  <c r="BE73" i="15"/>
  <c r="BK29" i="15"/>
  <c r="BO28" i="15"/>
  <c r="BE69" i="15"/>
  <c r="BQ28" i="15"/>
  <c r="BU25" i="15"/>
  <c r="BQ26" i="15"/>
  <c r="BQ75" i="15"/>
  <c r="BQ72" i="15" l="1"/>
  <c r="BU17" i="15"/>
  <c r="BU18" i="15" s="1"/>
  <c r="BU26" i="15"/>
  <c r="BU75" i="15"/>
  <c r="BK41" i="15"/>
  <c r="BK86" i="21"/>
  <c r="BK94" i="21" s="1"/>
  <c r="BI13" i="15"/>
  <c r="BI73" i="15"/>
  <c r="BO69" i="15"/>
  <c r="BK70" i="15"/>
  <c r="BQ40" i="15"/>
  <c r="BU28" i="15"/>
  <c r="BQ29" i="15"/>
  <c r="BQ20" i="15"/>
  <c r="BQ21" i="15" s="1"/>
  <c r="BO72" i="15"/>
  <c r="BK73" i="15"/>
  <c r="BI69" i="15"/>
  <c r="BE70" i="15"/>
  <c r="CO13" i="15"/>
  <c r="CC25" i="15"/>
  <c r="CC18" i="15"/>
  <c r="BO29" i="15"/>
  <c r="BO20" i="15"/>
  <c r="BO21" i="15" s="1"/>
  <c r="CO10" i="15"/>
  <c r="CI17" i="15"/>
  <c r="BW26" i="15"/>
  <c r="BW28" i="15"/>
  <c r="CA25" i="15"/>
  <c r="BW75" i="15"/>
  <c r="CU10" i="15" l="1"/>
  <c r="CO17" i="15"/>
  <c r="CO15" i="15" s="1"/>
  <c r="BI10" i="15"/>
  <c r="BI11" i="15" s="1"/>
  <c r="BI70" i="15"/>
  <c r="CU13" i="15"/>
  <c r="BO13" i="15"/>
  <c r="BO73" i="15"/>
  <c r="BQ48" i="15"/>
  <c r="BQ54" i="15" s="1"/>
  <c r="BQ41" i="15"/>
  <c r="BQ60" i="15"/>
  <c r="BQ86" i="21"/>
  <c r="BI14" i="15"/>
  <c r="BI15" i="15"/>
  <c r="CA17" i="15"/>
  <c r="CA18" i="15" s="1"/>
  <c r="CA26" i="15"/>
  <c r="CA75" i="15"/>
  <c r="BW72" i="15"/>
  <c r="CI25" i="15"/>
  <c r="CI18" i="15"/>
  <c r="BK57" i="15"/>
  <c r="BK58" i="15" s="1"/>
  <c r="BK66" i="15"/>
  <c r="BK116" i="15"/>
  <c r="BK55" i="15"/>
  <c r="BK108" i="21"/>
  <c r="BK116" i="21" s="1"/>
  <c r="CC28" i="15"/>
  <c r="CG25" i="15"/>
  <c r="CC26" i="15"/>
  <c r="CC75" i="15"/>
  <c r="BO10" i="15"/>
  <c r="BO70" i="15"/>
  <c r="BK130" i="21"/>
  <c r="BU72" i="15"/>
  <c r="BQ73" i="15"/>
  <c r="BW29" i="15"/>
  <c r="BW20" i="15"/>
  <c r="BW21" i="15" s="1"/>
  <c r="BW40" i="15"/>
  <c r="CA28" i="15"/>
  <c r="CI15" i="15"/>
  <c r="BU20" i="15"/>
  <c r="BU21" i="15" s="1"/>
  <c r="BU29" i="15"/>
  <c r="BQ69" i="15"/>
  <c r="BO11" i="15" l="1"/>
  <c r="BQ96" i="21"/>
  <c r="BU69" i="15"/>
  <c r="BQ70" i="15"/>
  <c r="CC40" i="15"/>
  <c r="CG28" i="15"/>
  <c r="CC29" i="15"/>
  <c r="CC20" i="15"/>
  <c r="CC21" i="15" s="1"/>
  <c r="BK67" i="15"/>
  <c r="CA72" i="15"/>
  <c r="BW73" i="15"/>
  <c r="BQ61" i="15"/>
  <c r="BQ130" i="21"/>
  <c r="CA29" i="15"/>
  <c r="CA20" i="15"/>
  <c r="CA21" i="15" s="1"/>
  <c r="CC72" i="15"/>
  <c r="CC69" i="15" s="1"/>
  <c r="BK38" i="21"/>
  <c r="BK48" i="21" s="1"/>
  <c r="BO15" i="15"/>
  <c r="BO14" i="15"/>
  <c r="CI26" i="15"/>
  <c r="CI28" i="15"/>
  <c r="CM25" i="15"/>
  <c r="CI75" i="15"/>
  <c r="CO25" i="15"/>
  <c r="CO18" i="15"/>
  <c r="BW41" i="15"/>
  <c r="BW48" i="15"/>
  <c r="BW54" i="15" s="1"/>
  <c r="BW86" i="21"/>
  <c r="BW60" i="15"/>
  <c r="BU13" i="15"/>
  <c r="BU73" i="15"/>
  <c r="CG17" i="15"/>
  <c r="CG18" i="15" s="1"/>
  <c r="CG26" i="15"/>
  <c r="CG75" i="15"/>
  <c r="BK119" i="15"/>
  <c r="BK120" i="15" s="1"/>
  <c r="BK117" i="15"/>
  <c r="BK13" i="21"/>
  <c r="BK23" i="21" s="1"/>
  <c r="BW69" i="15"/>
  <c r="BQ55" i="15"/>
  <c r="BQ57" i="15"/>
  <c r="BQ58" i="15" s="1"/>
  <c r="BQ66" i="15"/>
  <c r="BQ108" i="21"/>
  <c r="BQ116" i="15"/>
  <c r="BQ49" i="15"/>
  <c r="DA13" i="15"/>
  <c r="DA10" i="15"/>
  <c r="CU17" i="15"/>
  <c r="CU15" i="15" s="1"/>
  <c r="BQ118" i="21" l="1"/>
  <c r="BQ38" i="21" s="1"/>
  <c r="BQ48" i="21" s="1"/>
  <c r="CC94" i="21"/>
  <c r="CC116" i="21"/>
  <c r="CI116" i="21" s="1"/>
  <c r="CO116" i="21" s="1"/>
  <c r="CU116" i="21" s="1"/>
  <c r="DA116" i="21" s="1"/>
  <c r="DG116" i="21" s="1"/>
  <c r="BW57" i="15"/>
  <c r="BW58" i="15" s="1"/>
  <c r="BW66" i="15"/>
  <c r="BW116" i="15"/>
  <c r="BW108" i="21"/>
  <c r="BW55" i="15"/>
  <c r="CG69" i="15"/>
  <c r="CC70" i="15"/>
  <c r="DG13" i="15"/>
  <c r="BU14" i="15"/>
  <c r="BU15" i="15"/>
  <c r="CO28" i="15"/>
  <c r="CS25" i="15"/>
  <c r="CO26" i="15"/>
  <c r="CO75" i="15"/>
  <c r="CG20" i="15"/>
  <c r="CG21" i="15" s="1"/>
  <c r="CG29" i="15"/>
  <c r="DG10" i="15"/>
  <c r="DA17" i="15"/>
  <c r="CU25" i="15"/>
  <c r="CU18" i="15"/>
  <c r="BQ67" i="15"/>
  <c r="CA69" i="15"/>
  <c r="BW70" i="15"/>
  <c r="BW61" i="15"/>
  <c r="BW130" i="21"/>
  <c r="CI72" i="15"/>
  <c r="CG72" i="15"/>
  <c r="CC73" i="15"/>
  <c r="CC48" i="15"/>
  <c r="CC54" i="15" s="1"/>
  <c r="CC41" i="15"/>
  <c r="CC60" i="15"/>
  <c r="CC86" i="21"/>
  <c r="BU10" i="15"/>
  <c r="BU11" i="15" s="1"/>
  <c r="BU70" i="15"/>
  <c r="CM17" i="15"/>
  <c r="CM18" i="15" s="1"/>
  <c r="CM26" i="15"/>
  <c r="CM75" i="15"/>
  <c r="BW96" i="21"/>
  <c r="BQ117" i="15"/>
  <c r="BQ119" i="15"/>
  <c r="BQ120" i="15" s="1"/>
  <c r="BW49" i="15"/>
  <c r="CI29" i="15"/>
  <c r="CI20" i="15"/>
  <c r="CI21" i="15" s="1"/>
  <c r="CI40" i="15"/>
  <c r="CM28" i="15"/>
  <c r="CA13" i="15"/>
  <c r="CA73" i="15"/>
  <c r="BQ13" i="21"/>
  <c r="BQ23" i="21" s="1"/>
  <c r="BW118" i="21" l="1"/>
  <c r="BW38" i="21" s="1"/>
  <c r="BW48" i="21" s="1"/>
  <c r="CI94" i="21"/>
  <c r="BK49" i="21"/>
  <c r="BK51" i="21" s="1"/>
  <c r="DG17" i="15"/>
  <c r="DG25" i="15" s="1"/>
  <c r="CA14" i="15"/>
  <c r="CA15" i="15"/>
  <c r="BW13" i="21"/>
  <c r="BW23" i="21" s="1"/>
  <c r="CC55" i="15"/>
  <c r="CC57" i="15"/>
  <c r="CC58" i="15" s="1"/>
  <c r="CC116" i="15"/>
  <c r="CC108" i="21"/>
  <c r="CC118" i="21" s="1"/>
  <c r="CC66" i="15"/>
  <c r="CC49" i="15"/>
  <c r="CM72" i="15"/>
  <c r="CI73" i="15"/>
  <c r="CS17" i="15"/>
  <c r="CS18" i="15" s="1"/>
  <c r="CS26" i="15"/>
  <c r="CS75" i="15"/>
  <c r="BW119" i="15"/>
  <c r="BW120" i="15" s="1"/>
  <c r="BW117" i="15"/>
  <c r="CM29" i="15"/>
  <c r="CM20" i="15"/>
  <c r="CM21" i="15" s="1"/>
  <c r="CI41" i="15"/>
  <c r="CI48" i="15"/>
  <c r="CI54" i="15" s="1"/>
  <c r="CI86" i="21"/>
  <c r="CI60" i="15"/>
  <c r="CC130" i="21"/>
  <c r="CC61" i="15"/>
  <c r="CO40" i="15"/>
  <c r="CS28" i="15"/>
  <c r="CO29" i="15"/>
  <c r="CO20" i="15"/>
  <c r="CO21" i="15" s="1"/>
  <c r="CG10" i="15"/>
  <c r="CG70" i="15"/>
  <c r="BW67" i="15"/>
  <c r="CO72" i="15"/>
  <c r="CO69" i="15" s="1"/>
  <c r="BK144" i="21"/>
  <c r="CG13" i="15"/>
  <c r="CG73" i="15"/>
  <c r="DA25" i="15"/>
  <c r="DA18" i="15"/>
  <c r="DA15" i="15"/>
  <c r="CC96" i="21"/>
  <c r="CI69" i="15"/>
  <c r="CA10" i="15"/>
  <c r="CA11" i="15" s="1"/>
  <c r="CA70" i="15"/>
  <c r="CU26" i="15"/>
  <c r="CU28" i="15"/>
  <c r="CY25" i="15"/>
  <c r="CU75" i="15"/>
  <c r="CO94" i="21" l="1"/>
  <c r="DG15" i="15"/>
  <c r="BQ49" i="21"/>
  <c r="BQ51" i="21" s="1"/>
  <c r="DG18" i="15"/>
  <c r="CU29" i="15"/>
  <c r="CU20" i="15"/>
  <c r="CU21" i="15" s="1"/>
  <c r="CU40" i="15"/>
  <c r="CY28" i="15"/>
  <c r="CI61" i="15"/>
  <c r="CI130" i="21"/>
  <c r="CM13" i="15"/>
  <c r="CM73" i="15"/>
  <c r="CC38" i="21"/>
  <c r="CC48" i="21" s="1"/>
  <c r="DG26" i="15"/>
  <c r="DG28" i="15"/>
  <c r="DK25" i="15"/>
  <c r="DG75" i="15"/>
  <c r="DA28" i="15"/>
  <c r="DE25" i="15"/>
  <c r="DA26" i="15"/>
  <c r="DA75" i="15"/>
  <c r="BK150" i="21"/>
  <c r="CS20" i="15"/>
  <c r="CS21" i="15" s="1"/>
  <c r="CS29" i="15"/>
  <c r="CI96" i="21"/>
  <c r="CC117" i="15"/>
  <c r="CC119" i="15"/>
  <c r="CC120" i="15" s="1"/>
  <c r="CY17" i="15"/>
  <c r="CY18" i="15" s="1"/>
  <c r="CY26" i="15"/>
  <c r="CY75" i="15"/>
  <c r="CM69" i="15"/>
  <c r="CI70" i="15"/>
  <c r="CI57" i="15"/>
  <c r="CI58" i="15" s="1"/>
  <c r="CI55" i="15"/>
  <c r="CI66" i="15"/>
  <c r="CI116" i="15"/>
  <c r="CI108" i="21"/>
  <c r="CI118" i="21" s="1"/>
  <c r="CU72" i="15"/>
  <c r="CU69" i="15" s="1"/>
  <c r="CC13" i="21"/>
  <c r="CC23" i="21" s="1"/>
  <c r="CS72" i="15"/>
  <c r="CO73" i="15"/>
  <c r="CG11" i="15"/>
  <c r="CO48" i="15"/>
  <c r="CO54" i="15" s="1"/>
  <c r="CO60" i="15"/>
  <c r="CO41" i="15"/>
  <c r="CO86" i="21"/>
  <c r="CI49" i="15"/>
  <c r="BQ144" i="21"/>
  <c r="CG14" i="15"/>
  <c r="CG15" i="15"/>
  <c r="CS69" i="15"/>
  <c r="CO70" i="15"/>
  <c r="CC67" i="15"/>
  <c r="CU94" i="21" l="1"/>
  <c r="CO55" i="15"/>
  <c r="CO57" i="15"/>
  <c r="CO58" i="15" s="1"/>
  <c r="CO66" i="15"/>
  <c r="CO116" i="15"/>
  <c r="CO108" i="21"/>
  <c r="CO118" i="21" s="1"/>
  <c r="CI38" i="21"/>
  <c r="CI48" i="21" s="1"/>
  <c r="DA40" i="15"/>
  <c r="DE28" i="15"/>
  <c r="DA29" i="15"/>
  <c r="DA20" i="15"/>
  <c r="DA21" i="15" s="1"/>
  <c r="CY29" i="15"/>
  <c r="CY20" i="15"/>
  <c r="CY21" i="15" s="1"/>
  <c r="CS10" i="15"/>
  <c r="CS70" i="15"/>
  <c r="CO96" i="21"/>
  <c r="CS13" i="15"/>
  <c r="CS73" i="15"/>
  <c r="CI119" i="15"/>
  <c r="CI120" i="15" s="1"/>
  <c r="CI117" i="15"/>
  <c r="CI13" i="21"/>
  <c r="CI23" i="21" s="1"/>
  <c r="DA72" i="15"/>
  <c r="DG72" i="15"/>
  <c r="DG69" i="15" s="1"/>
  <c r="CU41" i="15"/>
  <c r="CU86" i="21"/>
  <c r="CU48" i="15"/>
  <c r="CU54" i="15" s="1"/>
  <c r="CU60" i="15"/>
  <c r="CO49" i="15"/>
  <c r="DK17" i="15"/>
  <c r="DK26" i="15"/>
  <c r="DK75" i="15"/>
  <c r="CM14" i="15"/>
  <c r="CM15" i="15"/>
  <c r="BQ150" i="21"/>
  <c r="CY69" i="15"/>
  <c r="CU70" i="15"/>
  <c r="CI67" i="15"/>
  <c r="BW144" i="21"/>
  <c r="CO130" i="21"/>
  <c r="CO61" i="15"/>
  <c r="CY72" i="15"/>
  <c r="CU73" i="15"/>
  <c r="CM10" i="15"/>
  <c r="CM11" i="15" s="1"/>
  <c r="CM70" i="15"/>
  <c r="DE17" i="15"/>
  <c r="DE18" i="15" s="1"/>
  <c r="DE26" i="15"/>
  <c r="DE75" i="15"/>
  <c r="DG29" i="15"/>
  <c r="DG20" i="15"/>
  <c r="DK28" i="15"/>
  <c r="DG40" i="15"/>
  <c r="DA94" i="21" l="1"/>
  <c r="DG21" i="15"/>
  <c r="CS11" i="15"/>
  <c r="CU96" i="21"/>
  <c r="DE72" i="15"/>
  <c r="DA73" i="15"/>
  <c r="DG41" i="15"/>
  <c r="DG48" i="15"/>
  <c r="DG54" i="15" s="1"/>
  <c r="DG60" i="15"/>
  <c r="DG86" i="21"/>
  <c r="BW150" i="21"/>
  <c r="CU61" i="15"/>
  <c r="CU130" i="21"/>
  <c r="CU57" i="15"/>
  <c r="CU58" i="15" s="1"/>
  <c r="CU55" i="15"/>
  <c r="CU66" i="15"/>
  <c r="CU116" i="15"/>
  <c r="CU108" i="21"/>
  <c r="CU118" i="21" s="1"/>
  <c r="DK69" i="15"/>
  <c r="CO13" i="21"/>
  <c r="CO23" i="21" s="1"/>
  <c r="CO67" i="15"/>
  <c r="DK18" i="15"/>
  <c r="DK29" i="15"/>
  <c r="DK20" i="15"/>
  <c r="CY13" i="15"/>
  <c r="CY73" i="15"/>
  <c r="CY10" i="15"/>
  <c r="CY11" i="15" s="1"/>
  <c r="CY70" i="15"/>
  <c r="CU49" i="15"/>
  <c r="DK72" i="15"/>
  <c r="DG73" i="15"/>
  <c r="CC144" i="21"/>
  <c r="DE20" i="15"/>
  <c r="DE21" i="15" s="1"/>
  <c r="DE29" i="15"/>
  <c r="DA48" i="15"/>
  <c r="DA54" i="15" s="1"/>
  <c r="DA60" i="15"/>
  <c r="DA41" i="15"/>
  <c r="DA86" i="21"/>
  <c r="CO38" i="21"/>
  <c r="CO48" i="21" s="1"/>
  <c r="CS14" i="15"/>
  <c r="CS15" i="15"/>
  <c r="DA69" i="15"/>
  <c r="DG70" i="15" s="1"/>
  <c r="CO117" i="15"/>
  <c r="CO119" i="15"/>
  <c r="CO120" i="15" s="1"/>
  <c r="DG94" i="21" l="1"/>
  <c r="DG96" i="21" s="1"/>
  <c r="DK21" i="15"/>
  <c r="DG66" i="15"/>
  <c r="DG116" i="15"/>
  <c r="DG55" i="15"/>
  <c r="DG108" i="21"/>
  <c r="DG118" i="21" s="1"/>
  <c r="DG57" i="15"/>
  <c r="CI144" i="21"/>
  <c r="DA61" i="15"/>
  <c r="DA130" i="21"/>
  <c r="CU38" i="21"/>
  <c r="CU48" i="21" s="1"/>
  <c r="CU13" i="21"/>
  <c r="CU23" i="21" s="1"/>
  <c r="DA55" i="15"/>
  <c r="DA57" i="15"/>
  <c r="DA58" i="15" s="1"/>
  <c r="DA66" i="15"/>
  <c r="DA116" i="15"/>
  <c r="DA108" i="21"/>
  <c r="DA118" i="21" s="1"/>
  <c r="CC150" i="21"/>
  <c r="DK13" i="15"/>
  <c r="DK73" i="15"/>
  <c r="CU119" i="15"/>
  <c r="CU120" i="15" s="1"/>
  <c r="CU117" i="15"/>
  <c r="DG61" i="15"/>
  <c r="DG130" i="21"/>
  <c r="DA96" i="21"/>
  <c r="CU67" i="15"/>
  <c r="DG49" i="15"/>
  <c r="DE69" i="15"/>
  <c r="DK70" i="15" s="1"/>
  <c r="DA70" i="15"/>
  <c r="DA49" i="15"/>
  <c r="CY14" i="15"/>
  <c r="CY15" i="15"/>
  <c r="DK10" i="15"/>
  <c r="DE13" i="15"/>
  <c r="DE73" i="15"/>
  <c r="DG58" i="15" l="1"/>
  <c r="CO144" i="21"/>
  <c r="DA38" i="21"/>
  <c r="DA48" i="21" s="1"/>
  <c r="CI150" i="21"/>
  <c r="DE10" i="15"/>
  <c r="DE11" i="15" s="1"/>
  <c r="DE70" i="15"/>
  <c r="DK14" i="15"/>
  <c r="DK15" i="15"/>
  <c r="DA117" i="15"/>
  <c r="DA119" i="15"/>
  <c r="DA120" i="15" s="1"/>
  <c r="DG119" i="15"/>
  <c r="DG117" i="15"/>
  <c r="DG13" i="21"/>
  <c r="DG23" i="21" s="1"/>
  <c r="DG67" i="15"/>
  <c r="DE14" i="15"/>
  <c r="DE15" i="15"/>
  <c r="DA67" i="15"/>
  <c r="DA13" i="21"/>
  <c r="DA23" i="21" s="1"/>
  <c r="DG38" i="21"/>
  <c r="DG48" i="21" s="1"/>
  <c r="DG120" i="15" l="1"/>
  <c r="CU144" i="21"/>
  <c r="DK11" i="15"/>
  <c r="CO150" i="21"/>
  <c r="DA144" i="21" l="1"/>
  <c r="CU150" i="21"/>
  <c r="DG144" i="21"/>
  <c r="DG150" i="21" l="1"/>
  <c r="DA150" i="21"/>
  <c r="BE104" i="15" l="1"/>
  <c r="BE109" i="15"/>
  <c r="BE112" i="15"/>
  <c r="BE124" i="15"/>
  <c r="BE134" i="21"/>
  <c r="BI103" i="15"/>
  <c r="BQ106" i="15"/>
  <c r="BQ103" i="15" l="1"/>
  <c r="BW106" i="15"/>
  <c r="BE125" i="15"/>
  <c r="BO103" i="15"/>
  <c r="BK124" i="15"/>
  <c r="BK134" i="21"/>
  <c r="BK138" i="21" s="1"/>
  <c r="BK109" i="15"/>
  <c r="BI104" i="15"/>
  <c r="BI106" i="15"/>
  <c r="BI107" i="15" s="1"/>
  <c r="BI134" i="21"/>
  <c r="K201" i="11"/>
  <c r="K202" i="11" s="1"/>
  <c r="K203" i="11" s="1"/>
  <c r="BE110" i="15"/>
  <c r="BI109" i="15"/>
  <c r="BI110" i="15" s="1"/>
  <c r="BO104" i="15" l="1"/>
  <c r="BO106" i="15"/>
  <c r="BO107" i="15" s="1"/>
  <c r="BO134" i="21"/>
  <c r="L201" i="11"/>
  <c r="L202" i="11" s="1"/>
  <c r="BW103" i="15"/>
  <c r="CC106" i="15"/>
  <c r="BO109" i="15"/>
  <c r="BO110" i="15" s="1"/>
  <c r="BK110" i="15"/>
  <c r="BK125" i="15"/>
  <c r="BQ104" i="15"/>
  <c r="BU103" i="15"/>
  <c r="BQ109" i="15"/>
  <c r="BQ124" i="15"/>
  <c r="BQ134" i="21"/>
  <c r="BU106" i="15" l="1"/>
  <c r="BU107" i="15" s="1"/>
  <c r="BU134" i="21"/>
  <c r="BU104" i="15"/>
  <c r="M201" i="11"/>
  <c r="M202" i="11" s="1"/>
  <c r="CC103" i="15"/>
  <c r="CI106" i="15"/>
  <c r="BQ125" i="15"/>
  <c r="L203" i="11"/>
  <c r="CA103" i="15"/>
  <c r="BW104" i="15"/>
  <c r="BW124" i="15"/>
  <c r="BW109" i="15"/>
  <c r="BW134" i="21"/>
  <c r="BQ110" i="15"/>
  <c r="BU109" i="15"/>
  <c r="BU110" i="15" s="1"/>
  <c r="CA109" i="15" l="1"/>
  <c r="CA110" i="15" s="1"/>
  <c r="BW110" i="15"/>
  <c r="L211" i="11"/>
  <c r="BW125" i="15"/>
  <c r="CI103" i="15"/>
  <c r="CO106" i="15"/>
  <c r="M203" i="11"/>
  <c r="CA104" i="15"/>
  <c r="CA106" i="15"/>
  <c r="CA107" i="15" s="1"/>
  <c r="CA134" i="21"/>
  <c r="N201" i="11"/>
  <c r="N202" i="11" s="1"/>
  <c r="CC109" i="15"/>
  <c r="CC104" i="15"/>
  <c r="CC124" i="15"/>
  <c r="CG103" i="15"/>
  <c r="CC134" i="21"/>
  <c r="N203" i="11" l="1"/>
  <c r="N206" i="11" s="1"/>
  <c r="CC125" i="15"/>
  <c r="CM103" i="15"/>
  <c r="CI104" i="15"/>
  <c r="CI124" i="15"/>
  <c r="CI109" i="15"/>
  <c r="CI134" i="21"/>
  <c r="CG106" i="15"/>
  <c r="CG107" i="15" s="1"/>
  <c r="CG134" i="21"/>
  <c r="CG104" i="15"/>
  <c r="O201" i="11"/>
  <c r="O202" i="11" s="1"/>
  <c r="O203" i="11" s="1"/>
  <c r="O206" i="11" s="1"/>
  <c r="CO103" i="15"/>
  <c r="CU106" i="15"/>
  <c r="CC110" i="15"/>
  <c r="CG109" i="15"/>
  <c r="CG110" i="15" s="1"/>
  <c r="M211" i="11"/>
  <c r="N211" i="11" l="1"/>
  <c r="CU103" i="15"/>
  <c r="DA106" i="15"/>
  <c r="CI125" i="15"/>
  <c r="CS103" i="15"/>
  <c r="CO109" i="15"/>
  <c r="CO104" i="15"/>
  <c r="CO124" i="15"/>
  <c r="CO134" i="21"/>
  <c r="CM104" i="15"/>
  <c r="CM106" i="15"/>
  <c r="CM107" i="15" s="1"/>
  <c r="CM134" i="21"/>
  <c r="P201" i="11"/>
  <c r="P202" i="11" s="1"/>
  <c r="P203" i="11" s="1"/>
  <c r="P206" i="11" s="1"/>
  <c r="CM109" i="15"/>
  <c r="CM110" i="15" s="1"/>
  <c r="CI110" i="15"/>
  <c r="DA103" i="15" l="1"/>
  <c r="DG106" i="15"/>
  <c r="DG103" i="15" s="1"/>
  <c r="CO110" i="15"/>
  <c r="CS109" i="15"/>
  <c r="CS110" i="15" s="1"/>
  <c r="CY103" i="15"/>
  <c r="CU104" i="15"/>
  <c r="CU124" i="15"/>
  <c r="CU109" i="15"/>
  <c r="CU134" i="21"/>
  <c r="CS106" i="15"/>
  <c r="CS107" i="15" s="1"/>
  <c r="CS134" i="21"/>
  <c r="CS104" i="15"/>
  <c r="Q201" i="11"/>
  <c r="Q202" i="11" s="1"/>
  <c r="Q203" i="11" s="1"/>
  <c r="Q206" i="11" s="1"/>
  <c r="CO125" i="15"/>
  <c r="DK103" i="15" l="1"/>
  <c r="DG104" i="15"/>
  <c r="DG124" i="15"/>
  <c r="DG134" i="21"/>
  <c r="DG109" i="15"/>
  <c r="CY109" i="15"/>
  <c r="CY110" i="15" s="1"/>
  <c r="CU110" i="15"/>
  <c r="CU125" i="15"/>
  <c r="CY104" i="15"/>
  <c r="CY106" i="15"/>
  <c r="CY107" i="15" s="1"/>
  <c r="CY134" i="21"/>
  <c r="R201" i="11"/>
  <c r="R202" i="11" s="1"/>
  <c r="R203" i="11" s="1"/>
  <c r="DA109" i="15"/>
  <c r="DA104" i="15"/>
  <c r="DA124" i="15"/>
  <c r="DE103" i="15"/>
  <c r="DA134" i="21"/>
  <c r="DK104" i="15" l="1"/>
  <c r="DK106" i="15"/>
  <c r="DK134" i="21"/>
  <c r="DA110" i="15"/>
  <c r="DE109" i="15"/>
  <c r="DE110" i="15" s="1"/>
  <c r="DG125" i="15"/>
  <c r="DE106" i="15"/>
  <c r="DE107" i="15" s="1"/>
  <c r="DE134" i="21"/>
  <c r="DE104" i="15"/>
  <c r="S206" i="11"/>
  <c r="V206" i="11" s="1"/>
  <c r="R206" i="11"/>
  <c r="V205" i="11" s="1"/>
  <c r="DA125" i="15"/>
  <c r="DK109" i="15"/>
  <c r="DG110" i="15"/>
  <c r="DK107" i="15" l="1"/>
  <c r="DK110" i="15"/>
  <c r="V207" i="11"/>
  <c r="C25" i="12" l="1"/>
  <c r="M208" i="11"/>
  <c r="N208" i="11"/>
  <c r="L210" i="11"/>
  <c r="L208" i="11"/>
  <c r="M209" i="11"/>
  <c r="N210" i="11"/>
  <c r="N209" i="11"/>
  <c r="M210" i="11"/>
  <c r="L209" i="11"/>
  <c r="E25" i="12" l="1"/>
  <c r="BE62" i="21"/>
  <c r="BE72" i="21" s="1"/>
  <c r="BE138" i="21"/>
  <c r="BW138" i="21" l="1"/>
  <c r="BQ140" i="21"/>
  <c r="BK62" i="21"/>
  <c r="BK72" i="21" s="1"/>
  <c r="BQ62" i="21" l="1"/>
  <c r="BQ72" i="21" s="1"/>
  <c r="BW140" i="21"/>
  <c r="CC138" i="21"/>
  <c r="CI138" i="21" l="1"/>
  <c r="CC140" i="21"/>
  <c r="BW62" i="21"/>
  <c r="CI140" i="21" l="1"/>
  <c r="CO138" i="21"/>
  <c r="CC62" i="21"/>
  <c r="CU138" i="21" l="1"/>
  <c r="CO140" i="21"/>
  <c r="CI62" i="21"/>
  <c r="CO62" i="21" l="1"/>
  <c r="CU140" i="21"/>
  <c r="DA138" i="21"/>
  <c r="CU62" i="21" l="1"/>
  <c r="DG138" i="21"/>
  <c r="DA140" i="21"/>
  <c r="DA62" i="21" l="1"/>
  <c r="DG140" i="21"/>
  <c r="DG62" i="21" l="1"/>
  <c r="AN236" i="117" l="1"/>
  <c r="AN243" i="117" s="1"/>
  <c r="AN248" i="117" s="1"/>
  <c r="AN278" i="117"/>
  <c r="AN282" i="117" s="1"/>
  <c r="AN286" i="117" l="1"/>
  <c r="AN287" i="117" l="1"/>
  <c r="AN289" i="117" s="1"/>
  <c r="AO285" i="117"/>
  <c r="AX239" i="117" l="1"/>
  <c r="AW276" i="117"/>
  <c r="AX276" i="117" s="1"/>
  <c r="BF105" i="21" l="1"/>
  <c r="BI40" i="7"/>
  <c r="BI46" i="7"/>
  <c r="BI105" i="21" s="1"/>
  <c r="BF47" i="7"/>
  <c r="BF49" i="7"/>
  <c r="BF50" i="7" s="1"/>
  <c r="BI58" i="7"/>
  <c r="BF38" i="21" l="1"/>
  <c r="BF48" i="21" s="1"/>
  <c r="BF116" i="21"/>
  <c r="BI41" i="7"/>
  <c r="BI43" i="7"/>
  <c r="K95" i="11"/>
  <c r="K97" i="11" s="1"/>
  <c r="K98" i="11" s="1"/>
  <c r="BI49" i="7"/>
  <c r="BI50" i="7" s="1"/>
  <c r="BI47" i="7"/>
  <c r="BI59" i="7"/>
  <c r="BI44" i="7" l="1"/>
  <c r="BF144" i="21"/>
  <c r="BF49" i="21"/>
  <c r="BF51" i="21" l="1"/>
  <c r="BF150" i="21"/>
  <c r="CD116" i="21" l="1"/>
  <c r="AO236" i="117"/>
  <c r="AO237" i="117" s="1"/>
  <c r="AO278" i="117"/>
  <c r="AO282" i="117" s="1"/>
  <c r="AO286" i="117" s="1"/>
  <c r="AO287" i="117" s="1"/>
  <c r="AO289" i="117" s="1"/>
  <c r="AO243" i="117" l="1"/>
  <c r="CJ116" i="21"/>
  <c r="AP285" i="117"/>
  <c r="BA276" i="117"/>
  <c r="BB276" i="117"/>
  <c r="BD276" i="117" s="1"/>
  <c r="BD239" i="117"/>
  <c r="BC276" i="117"/>
  <c r="BG276" i="117"/>
  <c r="BH276" i="117"/>
  <c r="BJ239" i="117"/>
  <c r="BI276" i="117"/>
  <c r="AO248" i="117" l="1"/>
  <c r="AO244" i="117"/>
  <c r="BJ276" i="117"/>
  <c r="CP116" i="21"/>
  <c r="AP236" i="117"/>
  <c r="AP237" i="117" s="1"/>
  <c r="CV116" i="21" l="1"/>
  <c r="AP243" i="117"/>
  <c r="AP278" i="117"/>
  <c r="DB116" i="21" l="1"/>
  <c r="AP244" i="117"/>
  <c r="AP248" i="117"/>
  <c r="AP282" i="117"/>
  <c r="DH116" i="21" l="1"/>
  <c r="AP286" i="117"/>
  <c r="AQ285" i="117" l="1"/>
  <c r="AP287" i="117"/>
  <c r="BG34" i="10" l="1"/>
  <c r="BI37" i="10"/>
  <c r="BI34" i="10" s="1"/>
  <c r="BI35" i="10" s="1"/>
  <c r="BI38" i="10" l="1"/>
  <c r="BG35" i="10"/>
  <c r="BS34" i="10" l="1"/>
  <c r="BY34" i="10" l="1"/>
  <c r="BS37" i="10"/>
  <c r="BS40" i="10" s="1"/>
  <c r="BM85" i="21" l="1"/>
  <c r="BO40" i="10"/>
  <c r="BO41" i="10" s="1"/>
  <c r="BM41" i="10"/>
  <c r="BS38" i="10"/>
  <c r="CE34" i="10"/>
  <c r="BY37" i="10"/>
  <c r="CK34" i="10" l="1"/>
  <c r="CE37" i="10"/>
  <c r="BM129" i="21"/>
  <c r="BO60" i="10"/>
  <c r="BO85" i="21"/>
  <c r="BS41" i="10"/>
  <c r="BS60" i="10"/>
  <c r="BS85" i="21"/>
  <c r="BY38" i="10"/>
  <c r="BY40" i="10"/>
  <c r="CE40" i="10" l="1"/>
  <c r="CE38" i="10"/>
  <c r="BY85" i="21"/>
  <c r="BY41" i="10"/>
  <c r="BY60" i="10"/>
  <c r="BO61" i="10"/>
  <c r="BO63" i="10"/>
  <c r="BO64" i="10" s="1"/>
  <c r="BO129" i="21"/>
  <c r="L126" i="11"/>
  <c r="CQ34" i="10"/>
  <c r="CK37" i="10"/>
  <c r="BS61" i="10"/>
  <c r="BS129" i="21"/>
  <c r="CW34" i="10" l="1"/>
  <c r="CQ37" i="10"/>
  <c r="CE85" i="21"/>
  <c r="CE41" i="10"/>
  <c r="CE60" i="10"/>
  <c r="BY129" i="21"/>
  <c r="BY61" i="10"/>
  <c r="CK38" i="10"/>
  <c r="CK40" i="10"/>
  <c r="CE61" i="10" l="1"/>
  <c r="CE129" i="21"/>
  <c r="CK85" i="21"/>
  <c r="CK41" i="10"/>
  <c r="CK60" i="10"/>
  <c r="CQ40" i="10"/>
  <c r="CQ38" i="10"/>
  <c r="DC34" i="10"/>
  <c r="CW37" i="10"/>
  <c r="CQ41" i="10" l="1"/>
  <c r="CQ60" i="10"/>
  <c r="CQ85" i="21"/>
  <c r="CW38" i="10"/>
  <c r="CW40" i="10"/>
  <c r="DI34" i="10"/>
  <c r="DI37" i="10" s="1"/>
  <c r="DC37" i="10"/>
  <c r="CK129" i="21"/>
  <c r="CK61" i="10"/>
  <c r="DC40" i="10" l="1"/>
  <c r="DC38" i="10"/>
  <c r="DI38" i="10"/>
  <c r="DI40" i="10"/>
  <c r="CW85" i="21"/>
  <c r="CW41" i="10"/>
  <c r="CW60" i="10"/>
  <c r="CQ61" i="10"/>
  <c r="CQ129" i="21"/>
  <c r="DI85" i="21" l="1"/>
  <c r="DI41" i="10"/>
  <c r="DI60" i="10"/>
  <c r="CW129" i="21"/>
  <c r="CW61" i="10"/>
  <c r="DC85" i="21"/>
  <c r="DC41" i="10"/>
  <c r="DC60" i="10"/>
  <c r="DC61" i="10" l="1"/>
  <c r="DC129" i="21"/>
  <c r="DI129" i="21"/>
  <c r="DI61" i="10"/>
  <c r="BS34" i="9" l="1"/>
  <c r="BI37" i="9"/>
  <c r="BI34" i="9" s="1"/>
  <c r="BI35" i="9" s="1"/>
  <c r="BI38" i="9" l="1"/>
  <c r="BY34" i="9"/>
  <c r="BS37" i="9"/>
  <c r="BO37" i="9" l="1"/>
  <c r="BM38" i="9"/>
  <c r="BS38" i="9"/>
  <c r="BU37" i="9"/>
  <c r="BS40" i="9"/>
  <c r="CE34" i="9"/>
  <c r="BY37" i="9"/>
  <c r="BM84" i="21" l="1"/>
  <c r="BM41" i="9"/>
  <c r="BO38" i="9"/>
  <c r="BO34" i="9"/>
  <c r="BO35" i="9" s="1"/>
  <c r="CK34" i="9"/>
  <c r="CE37" i="9"/>
  <c r="BS84" i="21"/>
  <c r="BS41" i="9"/>
  <c r="BS60" i="9"/>
  <c r="BS48" i="9"/>
  <c r="BY40" i="9"/>
  <c r="BY38" i="9"/>
  <c r="CA37" i="9"/>
  <c r="BU38" i="9"/>
  <c r="BU34" i="9"/>
  <c r="BU35" i="9" l="1"/>
  <c r="BM128" i="21"/>
  <c r="BS49" i="9"/>
  <c r="BS128" i="21"/>
  <c r="BS61" i="9"/>
  <c r="CE38" i="9"/>
  <c r="CG37" i="9"/>
  <c r="CE40" i="9"/>
  <c r="BS54" i="9"/>
  <c r="CQ34" i="9"/>
  <c r="CK37" i="9"/>
  <c r="BY84" i="21"/>
  <c r="BY48" i="9"/>
  <c r="BY41" i="9"/>
  <c r="BY60" i="9"/>
  <c r="CA34" i="9"/>
  <c r="CA35" i="9" s="1"/>
  <c r="CA38" i="9"/>
  <c r="BM13" i="21" l="1"/>
  <c r="BM106" i="21"/>
  <c r="BM55" i="9"/>
  <c r="BM57" i="9"/>
  <c r="BM58" i="9" s="1"/>
  <c r="CK40" i="9"/>
  <c r="CK38" i="9"/>
  <c r="CM37" i="9"/>
  <c r="CE84" i="21"/>
  <c r="CE41" i="9"/>
  <c r="CE60" i="9"/>
  <c r="CE48" i="9"/>
  <c r="BY128" i="21"/>
  <c r="BY61" i="9"/>
  <c r="BY49" i="9"/>
  <c r="CW34" i="9"/>
  <c r="CQ37" i="9"/>
  <c r="CG38" i="9"/>
  <c r="CG34" i="9"/>
  <c r="CG35" i="9" s="1"/>
  <c r="BY54" i="9"/>
  <c r="BS106" i="21"/>
  <c r="BS57" i="9"/>
  <c r="BS55" i="9"/>
  <c r="BS66" i="9"/>
  <c r="BS58" i="9" l="1"/>
  <c r="CE49" i="9"/>
  <c r="CQ38" i="9"/>
  <c r="CS37" i="9"/>
  <c r="CQ40" i="9"/>
  <c r="CE128" i="21"/>
  <c r="CE61" i="9"/>
  <c r="CM34" i="9"/>
  <c r="CM35" i="9" s="1"/>
  <c r="CM38" i="9"/>
  <c r="DC34" i="9"/>
  <c r="CW37" i="9"/>
  <c r="CE54" i="9"/>
  <c r="BY106" i="21"/>
  <c r="BY55" i="9"/>
  <c r="BY66" i="9"/>
  <c r="BY57" i="9"/>
  <c r="BY58" i="9" s="1"/>
  <c r="BS67" i="9"/>
  <c r="CK84" i="21"/>
  <c r="CK48" i="9"/>
  <c r="CK54" i="9" s="1"/>
  <c r="CK41" i="9"/>
  <c r="CK60" i="9"/>
  <c r="CW40" i="9" l="1"/>
  <c r="CW38" i="9"/>
  <c r="CY37" i="9"/>
  <c r="CK128" i="21"/>
  <c r="CK61" i="9"/>
  <c r="CK49" i="9"/>
  <c r="DI34" i="9"/>
  <c r="DI37" i="9" s="1"/>
  <c r="DC37" i="9"/>
  <c r="CQ84" i="21"/>
  <c r="CQ41" i="9"/>
  <c r="CQ60" i="9"/>
  <c r="CQ48" i="9"/>
  <c r="CQ54" i="9" s="1"/>
  <c r="CE106" i="21"/>
  <c r="CE57" i="9"/>
  <c r="CE58" i="9" s="1"/>
  <c r="CE55" i="9"/>
  <c r="CE66" i="9"/>
  <c r="CK106" i="21"/>
  <c r="CK55" i="9"/>
  <c r="CK66" i="9"/>
  <c r="CK57" i="9"/>
  <c r="BY67" i="9"/>
  <c r="CS38" i="9"/>
  <c r="CS34" i="9"/>
  <c r="CS35" i="9" s="1"/>
  <c r="CQ128" i="21" l="1"/>
  <c r="CQ61" i="9"/>
  <c r="DC38" i="9"/>
  <c r="DE37" i="9"/>
  <c r="DC40" i="9"/>
  <c r="CK58" i="9"/>
  <c r="CE67" i="9"/>
  <c r="CQ106" i="21"/>
  <c r="CQ57" i="9"/>
  <c r="CQ58" i="9" s="1"/>
  <c r="CQ55" i="9"/>
  <c r="CQ66" i="9"/>
  <c r="DI40" i="9"/>
  <c r="DI38" i="9"/>
  <c r="DK37" i="9"/>
  <c r="CW84" i="21"/>
  <c r="CW48" i="9"/>
  <c r="CW54" i="9" s="1"/>
  <c r="CW41" i="9"/>
  <c r="CW60" i="9"/>
  <c r="CK67" i="9"/>
  <c r="CQ49" i="9"/>
  <c r="CY34" i="9"/>
  <c r="CY35" i="9" s="1"/>
  <c r="CY38" i="9"/>
  <c r="CW106" i="21" l="1"/>
  <c r="CW55" i="9"/>
  <c r="CW66" i="9"/>
  <c r="CW57" i="9"/>
  <c r="CW58" i="9" s="1"/>
  <c r="DC84" i="21"/>
  <c r="DC41" i="9"/>
  <c r="DC60" i="9"/>
  <c r="DC48" i="9"/>
  <c r="DC54" i="9" s="1"/>
  <c r="DK34" i="9"/>
  <c r="DK38" i="9"/>
  <c r="DE38" i="9"/>
  <c r="DE34" i="9"/>
  <c r="DE35" i="9" s="1"/>
  <c r="CW128" i="21"/>
  <c r="CW61" i="9"/>
  <c r="CW49" i="9"/>
  <c r="DI84" i="21"/>
  <c r="DI48" i="9"/>
  <c r="DI41" i="9"/>
  <c r="DI60" i="9"/>
  <c r="CQ67" i="9"/>
  <c r="DI49" i="9" l="1"/>
  <c r="DI54" i="9"/>
  <c r="DK35" i="9"/>
  <c r="DC49" i="9"/>
  <c r="DI128" i="21"/>
  <c r="DI61" i="9"/>
  <c r="DC128" i="21"/>
  <c r="DC61" i="9"/>
  <c r="DC106" i="21"/>
  <c r="DC57" i="9"/>
  <c r="DC58" i="9" s="1"/>
  <c r="DC55" i="9"/>
  <c r="DC66" i="9"/>
  <c r="CW67" i="9"/>
  <c r="DC67" i="9" l="1"/>
  <c r="DI106" i="21"/>
  <c r="DI55" i="9"/>
  <c r="DI66" i="9"/>
  <c r="DI57" i="9"/>
  <c r="DI58" i="9" s="1"/>
  <c r="DI67" i="9" l="1"/>
  <c r="BG55" i="15" l="1"/>
  <c r="BG66" i="15"/>
  <c r="BG67" i="15" s="1"/>
  <c r="BG116" i="15"/>
  <c r="BG108" i="21"/>
  <c r="BG116" i="21" s="1"/>
  <c r="BY116" i="21" l="1"/>
  <c r="CE116" i="21" s="1"/>
  <c r="CK116" i="21" s="1"/>
  <c r="CQ116" i="21" s="1"/>
  <c r="CW116" i="21" s="1"/>
  <c r="DC116" i="21" s="1"/>
  <c r="DI116" i="21" s="1"/>
  <c r="BG117" i="15"/>
  <c r="BG124" i="15"/>
  <c r="BG119" i="15"/>
  <c r="BG38" i="21"/>
  <c r="BG48" i="21" s="1"/>
  <c r="BG125" i="15" l="1"/>
  <c r="BG120" i="15"/>
  <c r="BG49" i="21" l="1"/>
  <c r="BG51" i="21" s="1"/>
  <c r="BG76" i="21"/>
  <c r="BG144" i="21"/>
  <c r="BG150" i="21" l="1"/>
  <c r="BH13" i="9" l="1"/>
  <c r="BH10" i="9" s="1"/>
  <c r="BH14" i="9"/>
  <c r="BT13" i="9" l="1"/>
  <c r="BZ13" i="9" s="1"/>
  <c r="CF13" i="9" s="1"/>
  <c r="BT10" i="9"/>
  <c r="BH11" i="9"/>
  <c r="BZ10" i="9" l="1"/>
  <c r="BT17" i="9"/>
  <c r="CL13" i="9"/>
  <c r="BO25" i="9" l="1"/>
  <c r="CR13" i="9"/>
  <c r="BT18" i="9"/>
  <c r="BT20" i="9"/>
  <c r="BT21" i="9" s="1"/>
  <c r="BT25" i="9"/>
  <c r="BT15" i="9"/>
  <c r="BZ17" i="9"/>
  <c r="CF10" i="9"/>
  <c r="BN75" i="9" l="1"/>
  <c r="BN72" i="9" s="1"/>
  <c r="BN69" i="9" s="1"/>
  <c r="CL10" i="9"/>
  <c r="CF17" i="9"/>
  <c r="BT26" i="9"/>
  <c r="BU25" i="9"/>
  <c r="BT28" i="9"/>
  <c r="BT75" i="9"/>
  <c r="CX13" i="9"/>
  <c r="BO17" i="9"/>
  <c r="BO18" i="9" s="1"/>
  <c r="BO26" i="9"/>
  <c r="BO75" i="9"/>
  <c r="BZ20" i="9"/>
  <c r="BZ21" i="9" s="1"/>
  <c r="BZ25" i="9"/>
  <c r="BZ18" i="9"/>
  <c r="BZ15" i="9"/>
  <c r="BN29" i="9" l="1"/>
  <c r="BO28" i="9"/>
  <c r="BO29" i="9" s="1"/>
  <c r="BO69" i="9"/>
  <c r="BN70" i="9"/>
  <c r="BT72" i="9"/>
  <c r="CF18" i="9"/>
  <c r="CF20" i="9"/>
  <c r="CF21" i="9" s="1"/>
  <c r="CF25" i="9"/>
  <c r="CF15" i="9"/>
  <c r="BZ28" i="9"/>
  <c r="CA25" i="9"/>
  <c r="BZ75" i="9"/>
  <c r="BZ26" i="9"/>
  <c r="BT29" i="9"/>
  <c r="BU28" i="9"/>
  <c r="BT40" i="9"/>
  <c r="CL17" i="9"/>
  <c r="CR10" i="9"/>
  <c r="BN84" i="21"/>
  <c r="BO40" i="9"/>
  <c r="BO41" i="9" s="1"/>
  <c r="BN41" i="9"/>
  <c r="DD13" i="9"/>
  <c r="BU26" i="9"/>
  <c r="BU17" i="9"/>
  <c r="BU18" i="9" s="1"/>
  <c r="BU75" i="9"/>
  <c r="BO72" i="9"/>
  <c r="BN73" i="9"/>
  <c r="BO20" i="9" l="1"/>
  <c r="BO21" i="9" s="1"/>
  <c r="BO10" i="9"/>
  <c r="BO11" i="9" s="1"/>
  <c r="BO70" i="9"/>
  <c r="BO84" i="21"/>
  <c r="BU29" i="9"/>
  <c r="BU20" i="9"/>
  <c r="CA17" i="9"/>
  <c r="CA18" i="9" s="1"/>
  <c r="CA26" i="9"/>
  <c r="CA75" i="9"/>
  <c r="BT73" i="9"/>
  <c r="BU72" i="9"/>
  <c r="BO13" i="9"/>
  <c r="BO73" i="9"/>
  <c r="CX10" i="9"/>
  <c r="CR17" i="9"/>
  <c r="BZ40" i="9"/>
  <c r="CA28" i="9"/>
  <c r="BZ29" i="9"/>
  <c r="CF26" i="9"/>
  <c r="CG25" i="9"/>
  <c r="CF75" i="9"/>
  <c r="CF28" i="9"/>
  <c r="BT69" i="9"/>
  <c r="BT84" i="21"/>
  <c r="BT41" i="9"/>
  <c r="BU40" i="9"/>
  <c r="BU41" i="9" s="1"/>
  <c r="BT60" i="9"/>
  <c r="BZ72" i="9"/>
  <c r="BN128" i="21"/>
  <c r="BO60" i="9"/>
  <c r="DJ13" i="9"/>
  <c r="CL20" i="9"/>
  <c r="CL21" i="9" s="1"/>
  <c r="CL25" i="9"/>
  <c r="CL18" i="9"/>
  <c r="CL15" i="9"/>
  <c r="BU21" i="9" l="1"/>
  <c r="BU84" i="21"/>
  <c r="BO128" i="21"/>
  <c r="BO61" i="9"/>
  <c r="BO63" i="9"/>
  <c r="BO64" i="9" s="1"/>
  <c r="L111" i="11"/>
  <c r="BT128" i="21"/>
  <c r="BU60" i="9"/>
  <c r="BT61" i="9"/>
  <c r="CF72" i="9"/>
  <c r="CA20" i="9"/>
  <c r="CA21" i="9" s="1"/>
  <c r="CA29" i="9"/>
  <c r="CG26" i="9"/>
  <c r="CG17" i="9"/>
  <c r="CG18" i="9" s="1"/>
  <c r="CG75" i="9"/>
  <c r="CA72" i="9"/>
  <c r="BZ73" i="9"/>
  <c r="BT70" i="9"/>
  <c r="BU69" i="9"/>
  <c r="CR18" i="9"/>
  <c r="CR20" i="9"/>
  <c r="CR21" i="9" s="1"/>
  <c r="CR25" i="9"/>
  <c r="CR15" i="9"/>
  <c r="BO14" i="9"/>
  <c r="BO15" i="9"/>
  <c r="BZ84" i="21"/>
  <c r="CA40" i="9"/>
  <c r="CA41" i="9" s="1"/>
  <c r="BZ41" i="9"/>
  <c r="BZ60" i="9"/>
  <c r="CL28" i="9"/>
  <c r="CM25" i="9"/>
  <c r="CL75" i="9"/>
  <c r="CL26" i="9"/>
  <c r="BZ69" i="9"/>
  <c r="CF29" i="9"/>
  <c r="CG28" i="9"/>
  <c r="CF40" i="9"/>
  <c r="CX17" i="9"/>
  <c r="DD10" i="9"/>
  <c r="BU13" i="9"/>
  <c r="BU73" i="9"/>
  <c r="CG29" i="9" l="1"/>
  <c r="CG20" i="9"/>
  <c r="CG21" i="9" s="1"/>
  <c r="CL72" i="9"/>
  <c r="CA13" i="9"/>
  <c r="CA73" i="9"/>
  <c r="BU128" i="21"/>
  <c r="BU61" i="9"/>
  <c r="BU63" i="9"/>
  <c r="BU64" i="9" s="1"/>
  <c r="M111" i="11"/>
  <c r="DJ10" i="9"/>
  <c r="DJ17" i="9" s="1"/>
  <c r="DD17" i="9"/>
  <c r="CM17" i="9"/>
  <c r="CM18" i="9" s="1"/>
  <c r="CM26" i="9"/>
  <c r="CM75" i="9"/>
  <c r="CF73" i="9"/>
  <c r="CG72" i="9"/>
  <c r="BU15" i="9"/>
  <c r="BU14" i="9"/>
  <c r="CA84" i="21"/>
  <c r="CR26" i="9"/>
  <c r="CS25" i="9"/>
  <c r="CR28" i="9"/>
  <c r="CR75" i="9"/>
  <c r="CL40" i="9"/>
  <c r="CM28" i="9"/>
  <c r="CL29" i="9"/>
  <c r="CF69" i="9"/>
  <c r="CX20" i="9"/>
  <c r="CX21" i="9" s="1"/>
  <c r="CX25" i="9"/>
  <c r="CX18" i="9"/>
  <c r="CX15" i="9"/>
  <c r="CA69" i="9"/>
  <c r="BZ70" i="9"/>
  <c r="CF41" i="9"/>
  <c r="CF84" i="21"/>
  <c r="CG40" i="9"/>
  <c r="CG41" i="9" s="1"/>
  <c r="CF60" i="9"/>
  <c r="BZ128" i="21"/>
  <c r="CA60" i="9"/>
  <c r="BZ61" i="9"/>
  <c r="BU10" i="9"/>
  <c r="BU11" i="9" s="1"/>
  <c r="BU70" i="9"/>
  <c r="CF70" i="9" l="1"/>
  <c r="CG69" i="9"/>
  <c r="CM20" i="9"/>
  <c r="CM21" i="9" s="1"/>
  <c r="CM29" i="9"/>
  <c r="CS26" i="9"/>
  <c r="CS17" i="9"/>
  <c r="CS18" i="9" s="1"/>
  <c r="CS75" i="9"/>
  <c r="CM72" i="9"/>
  <c r="CL73" i="9"/>
  <c r="CF128" i="21"/>
  <c r="CG60" i="9"/>
  <c r="CG63" i="9" s="1"/>
  <c r="CF61" i="9"/>
  <c r="CL84" i="21"/>
  <c r="CM40" i="9"/>
  <c r="CM41" i="9" s="1"/>
  <c r="CL41" i="9"/>
  <c r="CL60" i="9"/>
  <c r="CG13" i="9"/>
  <c r="CG73" i="9"/>
  <c r="CA14" i="9"/>
  <c r="CA15" i="9"/>
  <c r="CL69" i="9"/>
  <c r="CR29" i="9"/>
  <c r="CS28" i="9"/>
  <c r="CR40" i="9"/>
  <c r="CG84" i="21"/>
  <c r="CA128" i="21"/>
  <c r="CA61" i="9"/>
  <c r="CA63" i="9"/>
  <c r="CA64" i="9" s="1"/>
  <c r="N111" i="11"/>
  <c r="CX28" i="9"/>
  <c r="CY25" i="9"/>
  <c r="CX26" i="9"/>
  <c r="CX75" i="9"/>
  <c r="CR72" i="9"/>
  <c r="CR69" i="9" s="1"/>
  <c r="DD18" i="9"/>
  <c r="DD25" i="9"/>
  <c r="DD20" i="9"/>
  <c r="DD21" i="9" s="1"/>
  <c r="DD15" i="9"/>
  <c r="CA10" i="9"/>
  <c r="CA11" i="9" s="1"/>
  <c r="CA70" i="9"/>
  <c r="DJ20" i="9"/>
  <c r="DJ25" i="9"/>
  <c r="DJ18" i="9"/>
  <c r="DJ15" i="9"/>
  <c r="DJ21" i="9" l="1"/>
  <c r="CX72" i="9"/>
  <c r="CG14" i="9"/>
  <c r="CG15" i="9"/>
  <c r="CR70" i="9"/>
  <c r="CS69" i="9"/>
  <c r="CX40" i="9"/>
  <c r="CY28" i="9"/>
  <c r="CX29" i="9"/>
  <c r="CM69" i="9"/>
  <c r="CL70" i="9"/>
  <c r="CL128" i="21"/>
  <c r="CM60" i="9"/>
  <c r="CM63" i="9" s="1"/>
  <c r="CL61" i="9"/>
  <c r="CG128" i="21"/>
  <c r="CG61" i="9"/>
  <c r="CG64" i="9"/>
  <c r="O111" i="11"/>
  <c r="CG10" i="9"/>
  <c r="CG11" i="9" s="1"/>
  <c r="CG70" i="9"/>
  <c r="CR84" i="21"/>
  <c r="CR41" i="9"/>
  <c r="CS40" i="9"/>
  <c r="CS41" i="9" s="1"/>
  <c r="CR60" i="9"/>
  <c r="DJ28" i="9"/>
  <c r="DK25" i="9"/>
  <c r="DJ75" i="9"/>
  <c r="DJ26" i="9"/>
  <c r="CS29" i="9"/>
  <c r="CS20" i="9"/>
  <c r="CS21" i="9" s="1"/>
  <c r="CM84" i="21"/>
  <c r="DD26" i="9"/>
  <c r="DE25" i="9"/>
  <c r="DD28" i="9"/>
  <c r="DD75" i="9"/>
  <c r="CR73" i="9"/>
  <c r="CS72" i="9"/>
  <c r="CY17" i="9"/>
  <c r="CY18" i="9" s="1"/>
  <c r="CY26" i="9"/>
  <c r="CY75" i="9"/>
  <c r="CM13" i="9"/>
  <c r="CM73" i="9"/>
  <c r="DE26" i="9" l="1"/>
  <c r="DE17" i="9"/>
  <c r="DE18" i="9" s="1"/>
  <c r="DE75" i="9"/>
  <c r="DK17" i="9"/>
  <c r="DK26" i="9"/>
  <c r="DK75" i="9"/>
  <c r="CM61" i="9"/>
  <c r="CM128" i="21"/>
  <c r="CM64" i="9"/>
  <c r="P111" i="11"/>
  <c r="CM14" i="9"/>
  <c r="CM15" i="9"/>
  <c r="DD29" i="9"/>
  <c r="DE28" i="9"/>
  <c r="DD40" i="9"/>
  <c r="DJ40" i="9"/>
  <c r="DK28" i="9"/>
  <c r="DJ29" i="9"/>
  <c r="CR128" i="21"/>
  <c r="CS60" i="9"/>
  <c r="CS63" i="9" s="1"/>
  <c r="CR61" i="9"/>
  <c r="CY20" i="9"/>
  <c r="CY21" i="9" s="1"/>
  <c r="CY29" i="9"/>
  <c r="CS13" i="9"/>
  <c r="CS73" i="9"/>
  <c r="CS84" i="21"/>
  <c r="CX84" i="21"/>
  <c r="CY40" i="9"/>
  <c r="CY41" i="9" s="1"/>
  <c r="CX41" i="9"/>
  <c r="CX60" i="9"/>
  <c r="CY72" i="9"/>
  <c r="CX73" i="9"/>
  <c r="DJ72" i="9"/>
  <c r="CM10" i="9"/>
  <c r="CM11" i="9" s="1"/>
  <c r="CM70" i="9"/>
  <c r="CS10" i="9"/>
  <c r="CS70" i="9"/>
  <c r="CX69" i="9"/>
  <c r="DD72" i="9"/>
  <c r="DK18" i="9" l="1"/>
  <c r="CY69" i="9"/>
  <c r="CX70" i="9"/>
  <c r="DE29" i="9"/>
  <c r="DE20" i="9"/>
  <c r="DE21" i="9" s="1"/>
  <c r="DK72" i="9"/>
  <c r="DJ73" i="9"/>
  <c r="CX128" i="21"/>
  <c r="CY60" i="9"/>
  <c r="CY63" i="9" s="1"/>
  <c r="CX61" i="9"/>
  <c r="DD73" i="9"/>
  <c r="DE72" i="9"/>
  <c r="CS11" i="9"/>
  <c r="DJ69" i="9"/>
  <c r="CY84" i="21"/>
  <c r="CS15" i="9"/>
  <c r="CS14" i="9"/>
  <c r="DK20" i="9"/>
  <c r="DK29" i="9"/>
  <c r="DD69" i="9"/>
  <c r="CY13" i="9"/>
  <c r="CY73" i="9"/>
  <c r="CS128" i="21"/>
  <c r="CS61" i="9"/>
  <c r="CS64" i="9"/>
  <c r="Q111" i="11"/>
  <c r="DJ84" i="21"/>
  <c r="DK40" i="9"/>
  <c r="DJ60" i="9"/>
  <c r="DJ41" i="9"/>
  <c r="DD84" i="21"/>
  <c r="DD41" i="9"/>
  <c r="DE40" i="9"/>
  <c r="DE41" i="9" s="1"/>
  <c r="DD60" i="9"/>
  <c r="DK41" i="9" l="1"/>
  <c r="DK21" i="9"/>
  <c r="DD128" i="21"/>
  <c r="DE60" i="9"/>
  <c r="DE63" i="9" s="1"/>
  <c r="DD61" i="9"/>
  <c r="DJ128" i="21"/>
  <c r="DK60" i="9"/>
  <c r="DK63" i="9" s="1"/>
  <c r="DJ61" i="9"/>
  <c r="DK84" i="21"/>
  <c r="CY14" i="9"/>
  <c r="CY15" i="9"/>
  <c r="DK69" i="9"/>
  <c r="DJ70" i="9"/>
  <c r="DD70" i="9"/>
  <c r="DE69" i="9"/>
  <c r="DE13" i="9"/>
  <c r="DE73" i="9"/>
  <c r="CY128" i="21"/>
  <c r="CY64" i="9"/>
  <c r="CY61" i="9"/>
  <c r="R111" i="11"/>
  <c r="DE84" i="21"/>
  <c r="DK13" i="9"/>
  <c r="DK73" i="9"/>
  <c r="CY10" i="9"/>
  <c r="CY11" i="9" s="1"/>
  <c r="CY70" i="9"/>
  <c r="DK10" i="9" l="1"/>
  <c r="DK70" i="9"/>
  <c r="DK128" i="21"/>
  <c r="DK61" i="9"/>
  <c r="DE128" i="21"/>
  <c r="DE64" i="9"/>
  <c r="DE61" i="9"/>
  <c r="DE10" i="9"/>
  <c r="DE11" i="9" s="1"/>
  <c r="DE70" i="9"/>
  <c r="DK14" i="9"/>
  <c r="DK15" i="9"/>
  <c r="DE14" i="9"/>
  <c r="DE15" i="9"/>
  <c r="DK11" i="9" l="1"/>
  <c r="DK64" i="9"/>
  <c r="BH17" i="17" l="1"/>
  <c r="BH13" i="17" s="1"/>
  <c r="BI25" i="17"/>
  <c r="BI17" i="17" s="1"/>
  <c r="BI18" i="17" s="1"/>
  <c r="BH75" i="17"/>
  <c r="BI26" i="17" l="1"/>
  <c r="BI75" i="17"/>
  <c r="BH18" i="17"/>
  <c r="BH72" i="17"/>
  <c r="BH14" i="17"/>
  <c r="BH10" i="17"/>
  <c r="BT13" i="17" l="1"/>
  <c r="BH11" i="17"/>
  <c r="BH73" i="17"/>
  <c r="BI72" i="17"/>
  <c r="BH69" i="17"/>
  <c r="BZ13" i="17" l="1"/>
  <c r="BT10" i="17"/>
  <c r="BI13" i="17"/>
  <c r="BI73" i="17"/>
  <c r="BH70" i="17"/>
  <c r="BI69" i="17"/>
  <c r="CF13" i="17" l="1"/>
  <c r="BI10" i="17"/>
  <c r="BI11" i="17" s="1"/>
  <c r="BI70" i="17"/>
  <c r="BT17" i="17"/>
  <c r="BZ10" i="17"/>
  <c r="BI14" i="17"/>
  <c r="BI15" i="17"/>
  <c r="BO25" i="17" l="1"/>
  <c r="BN75" i="17"/>
  <c r="BZ17" i="17"/>
  <c r="CF10" i="17"/>
  <c r="BT20" i="17"/>
  <c r="BT21" i="17" s="1"/>
  <c r="BT25" i="17"/>
  <c r="BT18" i="17"/>
  <c r="BT15" i="17"/>
  <c r="CL13" i="17"/>
  <c r="CR13" i="17" l="1"/>
  <c r="BO28" i="17"/>
  <c r="BT26" i="17"/>
  <c r="BT28" i="17"/>
  <c r="BT75" i="17"/>
  <c r="BN72" i="17"/>
  <c r="CF17" i="17"/>
  <c r="CL10" i="17"/>
  <c r="BZ18" i="17"/>
  <c r="BZ20" i="17"/>
  <c r="BZ21" i="17" s="1"/>
  <c r="BZ25" i="17"/>
  <c r="BZ15" i="17"/>
  <c r="BO17" i="17"/>
  <c r="BO18" i="17" s="1"/>
  <c r="BO26" i="17"/>
  <c r="BO75" i="17"/>
  <c r="CX13" i="17" l="1"/>
  <c r="BZ28" i="17"/>
  <c r="BZ26" i="17"/>
  <c r="BZ75" i="17"/>
  <c r="CF20" i="17"/>
  <c r="CF21" i="17" s="1"/>
  <c r="CF25" i="17"/>
  <c r="CF18" i="17"/>
  <c r="CF15" i="17"/>
  <c r="BT29" i="17"/>
  <c r="BT40" i="17"/>
  <c r="BO20" i="17"/>
  <c r="BO21" i="17" s="1"/>
  <c r="BO29" i="17"/>
  <c r="CL17" i="17"/>
  <c r="CR10" i="17"/>
  <c r="BT72" i="17"/>
  <c r="BN73" i="17"/>
  <c r="BO72" i="17"/>
  <c r="BO40" i="17"/>
  <c r="BO41" i="17" s="1"/>
  <c r="BN41" i="17"/>
  <c r="BN88" i="21"/>
  <c r="BN69" i="17"/>
  <c r="BN70" i="17" l="1"/>
  <c r="BO69" i="17"/>
  <c r="BN66" i="17"/>
  <c r="BN116" i="17"/>
  <c r="BN110" i="21"/>
  <c r="CL18" i="17"/>
  <c r="CL20" i="17"/>
  <c r="CL21" i="17" s="1"/>
  <c r="CL25" i="17"/>
  <c r="CL15" i="17"/>
  <c r="BT41" i="17"/>
  <c r="BT48" i="17"/>
  <c r="BT60" i="17"/>
  <c r="BT88" i="21"/>
  <c r="CF26" i="17"/>
  <c r="CF28" i="17"/>
  <c r="CF75" i="17"/>
  <c r="BZ40" i="17"/>
  <c r="BZ29" i="17"/>
  <c r="BT73" i="17"/>
  <c r="BO88" i="21"/>
  <c r="BT69" i="17"/>
  <c r="BZ72" i="17"/>
  <c r="BN132" i="21"/>
  <c r="BO13" i="17"/>
  <c r="BO73" i="17"/>
  <c r="CR17" i="17"/>
  <c r="CX10" i="17"/>
  <c r="DD13" i="17"/>
  <c r="BT70" i="17" l="1"/>
  <c r="BT61" i="17"/>
  <c r="BT132" i="21"/>
  <c r="CX17" i="17"/>
  <c r="DD10" i="17"/>
  <c r="BO15" i="17"/>
  <c r="BO14" i="17"/>
  <c r="CF29" i="17"/>
  <c r="CF40" i="17"/>
  <c r="DJ13" i="17"/>
  <c r="BZ73" i="17"/>
  <c r="BZ48" i="17"/>
  <c r="BZ41" i="17"/>
  <c r="BZ60" i="17"/>
  <c r="BZ88" i="21"/>
  <c r="BT49" i="17"/>
  <c r="CL28" i="17"/>
  <c r="CL26" i="17"/>
  <c r="CL75" i="17"/>
  <c r="BN117" i="17"/>
  <c r="BN119" i="17"/>
  <c r="BN120" i="17" s="1"/>
  <c r="BN124" i="17"/>
  <c r="CR20" i="17"/>
  <c r="CR21" i="17" s="1"/>
  <c r="CR25" i="17"/>
  <c r="CR18" i="17"/>
  <c r="CR15" i="17"/>
  <c r="BZ69" i="17"/>
  <c r="CF72" i="17"/>
  <c r="BT54" i="17"/>
  <c r="BN67" i="17"/>
  <c r="BO10" i="17"/>
  <c r="BO11" i="17" s="1"/>
  <c r="BO70" i="17"/>
  <c r="BZ61" i="17" l="1"/>
  <c r="BZ132" i="21"/>
  <c r="BZ49" i="17"/>
  <c r="CF41" i="17"/>
  <c r="CF48" i="17"/>
  <c r="CF60" i="17"/>
  <c r="CF88" i="21"/>
  <c r="CR26" i="17"/>
  <c r="CR28" i="17"/>
  <c r="CR75" i="17"/>
  <c r="CL40" i="17"/>
  <c r="CL29" i="17"/>
  <c r="CF73" i="17"/>
  <c r="BT55" i="17"/>
  <c r="BT66" i="17"/>
  <c r="BT116" i="17"/>
  <c r="BT57" i="17"/>
  <c r="BT58" i="17" s="1"/>
  <c r="BT110" i="21"/>
  <c r="CF69" i="17"/>
  <c r="CL72" i="17"/>
  <c r="CL69" i="17" s="1"/>
  <c r="BZ54" i="17"/>
  <c r="DD17" i="17"/>
  <c r="DJ10" i="17"/>
  <c r="DJ17" i="17" s="1"/>
  <c r="DJ15" i="17" s="1"/>
  <c r="BZ70" i="17"/>
  <c r="BN125" i="17"/>
  <c r="CX18" i="17"/>
  <c r="CX20" i="17"/>
  <c r="CX21" i="17" s="1"/>
  <c r="CX25" i="17"/>
  <c r="CX15" i="17"/>
  <c r="CL70" i="17" l="1"/>
  <c r="CL48" i="17"/>
  <c r="CL41" i="17"/>
  <c r="CL60" i="17"/>
  <c r="CL88" i="21"/>
  <c r="CF61" i="17"/>
  <c r="CF132" i="21"/>
  <c r="CF70" i="17"/>
  <c r="BT67" i="17"/>
  <c r="CR72" i="17"/>
  <c r="BT119" i="17"/>
  <c r="BT120" i="17" s="1"/>
  <c r="BT124" i="17"/>
  <c r="BT117" i="17"/>
  <c r="DJ18" i="17"/>
  <c r="DJ20" i="17"/>
  <c r="DJ25" i="17"/>
  <c r="BZ57" i="17"/>
  <c r="BZ58" i="17" s="1"/>
  <c r="BZ55" i="17"/>
  <c r="BZ66" i="17"/>
  <c r="BZ116" i="17"/>
  <c r="BZ110" i="21"/>
  <c r="CR29" i="17"/>
  <c r="CR40" i="17"/>
  <c r="CF49" i="17"/>
  <c r="CX28" i="17"/>
  <c r="CX26" i="17"/>
  <c r="CX75" i="17"/>
  <c r="CL73" i="17"/>
  <c r="DD20" i="17"/>
  <c r="DD21" i="17" s="1"/>
  <c r="DD25" i="17"/>
  <c r="DD18" i="17"/>
  <c r="DD15" i="17"/>
  <c r="CF54" i="17"/>
  <c r="CF55" i="17" l="1"/>
  <c r="CF66" i="17"/>
  <c r="CF116" i="17"/>
  <c r="CF57" i="17"/>
  <c r="CF58" i="17" s="1"/>
  <c r="CF110" i="21"/>
  <c r="BZ67" i="17"/>
  <c r="CR73" i="17"/>
  <c r="CL49" i="17"/>
  <c r="CX40" i="17"/>
  <c r="CX29" i="17"/>
  <c r="BZ117" i="17"/>
  <c r="BZ119" i="17"/>
  <c r="BZ120" i="17" s="1"/>
  <c r="BZ124" i="17"/>
  <c r="CR41" i="17"/>
  <c r="CR48" i="17"/>
  <c r="CR54" i="17" s="1"/>
  <c r="CR60" i="17"/>
  <c r="CR88" i="21"/>
  <c r="CL61" i="17"/>
  <c r="CL132" i="21"/>
  <c r="CX72" i="17"/>
  <c r="DJ21" i="17"/>
  <c r="BT125" i="17"/>
  <c r="CR69" i="17"/>
  <c r="CL54" i="17"/>
  <c r="DJ28" i="17"/>
  <c r="DJ26" i="17"/>
  <c r="DJ75" i="17"/>
  <c r="DD26" i="17"/>
  <c r="DD28" i="17"/>
  <c r="DD75" i="17"/>
  <c r="DJ72" i="17" l="1"/>
  <c r="DJ69" i="17" s="1"/>
  <c r="CX73" i="17"/>
  <c r="CR61" i="17"/>
  <c r="CR132" i="21"/>
  <c r="CF119" i="17"/>
  <c r="CF120" i="17" s="1"/>
  <c r="CF124" i="17"/>
  <c r="CF117" i="17"/>
  <c r="DD72" i="17"/>
  <c r="DJ40" i="17"/>
  <c r="DJ29" i="17"/>
  <c r="CL57" i="17"/>
  <c r="CL58" i="17" s="1"/>
  <c r="CL55" i="17"/>
  <c r="CL66" i="17"/>
  <c r="CL116" i="17"/>
  <c r="CL110" i="21"/>
  <c r="CX69" i="17"/>
  <c r="CF67" i="17"/>
  <c r="DD29" i="17"/>
  <c r="DD40" i="17"/>
  <c r="CR70" i="17"/>
  <c r="CR49" i="17"/>
  <c r="CX48" i="17"/>
  <c r="CX41" i="17"/>
  <c r="CX60" i="17"/>
  <c r="CX88" i="21"/>
  <c r="CR55" i="17"/>
  <c r="CR66" i="17"/>
  <c r="CR116" i="17"/>
  <c r="CR57" i="17"/>
  <c r="CR110" i="21"/>
  <c r="BZ125" i="17"/>
  <c r="CR58" i="17" l="1"/>
  <c r="CX49" i="17"/>
  <c r="CF125" i="17"/>
  <c r="CR119" i="17"/>
  <c r="CR124" i="17"/>
  <c r="CR117" i="17"/>
  <c r="CL117" i="17"/>
  <c r="CL119" i="17"/>
  <c r="CL120" i="17" s="1"/>
  <c r="CL124" i="17"/>
  <c r="DD73" i="17"/>
  <c r="CX54" i="17"/>
  <c r="CL67" i="17"/>
  <c r="DD69" i="17"/>
  <c r="DJ48" i="17"/>
  <c r="DJ41" i="17"/>
  <c r="DJ60" i="17"/>
  <c r="DJ88" i="21"/>
  <c r="CR67" i="17"/>
  <c r="DD41" i="17"/>
  <c r="DD48" i="17"/>
  <c r="DD54" i="17" s="1"/>
  <c r="DD60" i="17"/>
  <c r="DD88" i="21"/>
  <c r="CX70" i="17"/>
  <c r="DJ73" i="17"/>
  <c r="CX61" i="17"/>
  <c r="CX132" i="21"/>
  <c r="DD55" i="17" l="1"/>
  <c r="DD66" i="17"/>
  <c r="DD116" i="17"/>
  <c r="DD57" i="17"/>
  <c r="DD110" i="21"/>
  <c r="DD70" i="17"/>
  <c r="CR125" i="17"/>
  <c r="DJ49" i="17"/>
  <c r="CX57" i="17"/>
  <c r="CX58" i="17" s="1"/>
  <c r="CX55" i="17"/>
  <c r="CX66" i="17"/>
  <c r="CX116" i="17"/>
  <c r="CX110" i="21"/>
  <c r="CR120" i="17"/>
  <c r="DJ61" i="17"/>
  <c r="DJ132" i="21"/>
  <c r="DJ54" i="17"/>
  <c r="DD49" i="17"/>
  <c r="DD61" i="17"/>
  <c r="DD132" i="21"/>
  <c r="DJ70" i="17"/>
  <c r="CL125" i="17"/>
  <c r="DD58" i="17" l="1"/>
  <c r="DD119" i="17"/>
  <c r="DD124" i="17"/>
  <c r="DD117" i="17"/>
  <c r="CX117" i="17"/>
  <c r="CX119" i="17"/>
  <c r="CX120" i="17" s="1"/>
  <c r="CX124" i="17"/>
  <c r="DD67" i="17"/>
  <c r="DJ57" i="17"/>
  <c r="DJ58" i="17" s="1"/>
  <c r="DJ55" i="17"/>
  <c r="DJ66" i="17"/>
  <c r="DJ116" i="17"/>
  <c r="DJ110" i="21"/>
  <c r="CX67" i="17"/>
  <c r="DD120" i="17" l="1"/>
  <c r="DJ117" i="17"/>
  <c r="DJ119" i="17"/>
  <c r="DJ120" i="17" s="1"/>
  <c r="DJ124" i="17"/>
  <c r="DJ67" i="17"/>
  <c r="CX125" i="17"/>
  <c r="DD125" i="17"/>
  <c r="DJ125" i="17" l="1"/>
  <c r="BI40" i="15" l="1"/>
  <c r="BH41" i="15"/>
  <c r="BI41" i="15"/>
  <c r="BI48" i="15"/>
  <c r="BI54" i="15"/>
  <c r="K140" i="11" s="1"/>
  <c r="BH55" i="15"/>
  <c r="BI60" i="15"/>
  <c r="K141" i="11" s="1"/>
  <c r="BH86" i="21"/>
  <c r="BI96" i="21"/>
  <c r="BH130" i="21"/>
  <c r="BH138" i="21" s="1"/>
  <c r="BH62" i="21"/>
  <c r="BH72" i="21" s="1"/>
  <c r="K142" i="11" l="1"/>
  <c r="K143" i="11" s="1"/>
  <c r="BI86" i="21"/>
  <c r="BH94" i="21"/>
  <c r="BI138" i="21"/>
  <c r="BH66" i="15"/>
  <c r="BH116" i="15"/>
  <c r="BI116" i="15" s="1"/>
  <c r="BI119" i="15" s="1"/>
  <c r="BI120" i="15" s="1"/>
  <c r="BH108" i="21"/>
  <c r="BI72" i="21"/>
  <c r="BI62" i="21"/>
  <c r="BI63" i="15"/>
  <c r="BI64" i="15" s="1"/>
  <c r="BI130" i="21"/>
  <c r="BI61" i="15"/>
  <c r="BI55" i="15"/>
  <c r="BI57" i="15"/>
  <c r="BI58" i="15" s="1"/>
  <c r="BI108" i="21"/>
  <c r="BI51" i="15"/>
  <c r="BI52" i="15" s="1"/>
  <c r="BI49" i="15"/>
  <c r="BH13" i="21"/>
  <c r="BH23" i="21" s="1"/>
  <c r="BI23" i="21" s="1"/>
  <c r="BI140" i="21"/>
  <c r="BI94" i="21" l="1"/>
  <c r="K314" i="14"/>
  <c r="BI117" i="15"/>
  <c r="BH119" i="15"/>
  <c r="BH120" i="15" s="1"/>
  <c r="BH124" i="15"/>
  <c r="BH125" i="15" s="1"/>
  <c r="BH117" i="15"/>
  <c r="BI66" i="15"/>
  <c r="BI67" i="15" s="1"/>
  <c r="BH67" i="15"/>
  <c r="BI124" i="15"/>
  <c r="BI125" i="15" s="1"/>
  <c r="K6" i="14"/>
  <c r="BI13" i="21"/>
  <c r="K252" i="14"/>
  <c r="BO94" i="21" l="1"/>
  <c r="BZ138" i="21"/>
  <c r="K7" i="14"/>
  <c r="K208" i="14"/>
  <c r="CF138" i="21" l="1"/>
  <c r="BZ94" i="21"/>
  <c r="BU94" i="21"/>
  <c r="K243" i="14"/>
  <c r="BI37" i="15"/>
  <c r="BI38" i="15" s="1"/>
  <c r="BI34" i="15" l="1"/>
  <c r="BI35" i="15" s="1"/>
  <c r="CF94" i="21"/>
  <c r="CA94" i="21"/>
  <c r="CL138" i="21"/>
  <c r="BT34" i="15"/>
  <c r="CR138" i="21" l="1"/>
  <c r="CL94" i="21"/>
  <c r="CG94" i="21"/>
  <c r="BO37" i="15"/>
  <c r="BZ34" i="15"/>
  <c r="BT37" i="15"/>
  <c r="CR94" i="21" l="1"/>
  <c r="CM94" i="21"/>
  <c r="CX138" i="21"/>
  <c r="CF34" i="15"/>
  <c r="BZ37" i="15"/>
  <c r="BO34" i="15"/>
  <c r="BO35" i="15" s="1"/>
  <c r="BO38" i="15"/>
  <c r="BN41" i="15"/>
  <c r="BO40" i="15"/>
  <c r="BO41" i="15" s="1"/>
  <c r="BN86" i="21"/>
  <c r="BT40" i="15"/>
  <c r="BT38" i="15"/>
  <c r="BU37" i="15"/>
  <c r="DD138" i="21" l="1"/>
  <c r="CX94" i="21"/>
  <c r="CS94" i="21"/>
  <c r="BO86" i="21"/>
  <c r="BZ38" i="15"/>
  <c r="BZ40" i="15"/>
  <c r="CA37" i="15"/>
  <c r="BT41" i="15"/>
  <c r="BT60" i="15"/>
  <c r="BU40" i="15"/>
  <c r="BU41" i="15" s="1"/>
  <c r="BT86" i="21"/>
  <c r="BU38" i="15"/>
  <c r="BU34" i="15"/>
  <c r="BU35" i="15" s="1"/>
  <c r="BO60" i="15"/>
  <c r="BN130" i="21"/>
  <c r="CL34" i="15"/>
  <c r="CF37" i="15"/>
  <c r="DD94" i="21" l="1"/>
  <c r="CY94" i="21"/>
  <c r="DJ138" i="21"/>
  <c r="CR34" i="15"/>
  <c r="CL37" i="15"/>
  <c r="BU60" i="15"/>
  <c r="BT61" i="15"/>
  <c r="BT130" i="21"/>
  <c r="BN62" i="21"/>
  <c r="BZ41" i="15"/>
  <c r="CA40" i="15"/>
  <c r="CA41" i="15" s="1"/>
  <c r="BZ60" i="15"/>
  <c r="BZ86" i="21"/>
  <c r="CA34" i="15"/>
  <c r="CA35" i="15" s="1"/>
  <c r="CA38" i="15"/>
  <c r="BO61" i="15"/>
  <c r="BO63" i="15"/>
  <c r="BO64" i="15" s="1"/>
  <c r="BO130" i="21"/>
  <c r="L141" i="11"/>
  <c r="CF40" i="15"/>
  <c r="CF38" i="15"/>
  <c r="CG37" i="15"/>
  <c r="BU86" i="21"/>
  <c r="DJ94" i="21" l="1"/>
  <c r="DK94" i="21" s="1"/>
  <c r="DE94" i="21"/>
  <c r="CA86" i="21"/>
  <c r="CG38" i="15"/>
  <c r="CG34" i="15"/>
  <c r="CG35" i="15" s="1"/>
  <c r="BZ61" i="15"/>
  <c r="CA60" i="15"/>
  <c r="BZ130" i="21"/>
  <c r="CL38" i="15"/>
  <c r="CL40" i="15"/>
  <c r="CM37" i="15"/>
  <c r="CF41" i="15"/>
  <c r="CF60" i="15"/>
  <c r="CG40" i="15"/>
  <c r="CG41" i="15" s="1"/>
  <c r="CF86" i="21"/>
  <c r="BU61" i="15"/>
  <c r="BU63" i="15"/>
  <c r="BU64" i="15" s="1"/>
  <c r="BU130" i="21"/>
  <c r="M141" i="11"/>
  <c r="CX34" i="15"/>
  <c r="CR37" i="15"/>
  <c r="DD34" i="15" l="1"/>
  <c r="CX37" i="15"/>
  <c r="CG86" i="21"/>
  <c r="CM34" i="15"/>
  <c r="CM35" i="15" s="1"/>
  <c r="CM38" i="15"/>
  <c r="CA63" i="15"/>
  <c r="CA64" i="15" s="1"/>
  <c r="CA61" i="15"/>
  <c r="CA130" i="21"/>
  <c r="N141" i="11"/>
  <c r="CL41" i="15"/>
  <c r="CM40" i="15"/>
  <c r="CM41" i="15" s="1"/>
  <c r="CL60" i="15"/>
  <c r="CL86" i="21"/>
  <c r="CR40" i="15"/>
  <c r="CR38" i="15"/>
  <c r="CS37" i="15"/>
  <c r="CG60" i="15"/>
  <c r="CF61" i="15"/>
  <c r="CF130" i="21"/>
  <c r="CS38" i="15" l="1"/>
  <c r="CS34" i="15"/>
  <c r="CS35" i="15" s="1"/>
  <c r="CR41" i="15"/>
  <c r="CS40" i="15"/>
  <c r="CS41" i="15" s="1"/>
  <c r="CR60" i="15"/>
  <c r="CR86" i="21"/>
  <c r="CM86" i="21"/>
  <c r="CL61" i="15"/>
  <c r="CM60" i="15"/>
  <c r="CL130" i="21"/>
  <c r="CX38" i="15"/>
  <c r="CX40" i="15"/>
  <c r="CY37" i="15"/>
  <c r="CG63" i="15"/>
  <c r="CG64" i="15" s="1"/>
  <c r="CG61" i="15"/>
  <c r="CG130" i="21"/>
  <c r="O141" i="11"/>
  <c r="DJ34" i="15"/>
  <c r="DJ37" i="15" s="1"/>
  <c r="DD37" i="15"/>
  <c r="DJ38" i="15" l="1"/>
  <c r="DJ40" i="15"/>
  <c r="DK37" i="15"/>
  <c r="CY34" i="15"/>
  <c r="CY35" i="15" s="1"/>
  <c r="CY38" i="15"/>
  <c r="CM61" i="15"/>
  <c r="CM63" i="15"/>
  <c r="CM64" i="15" s="1"/>
  <c r="CM130" i="21"/>
  <c r="P141" i="11"/>
  <c r="CX41" i="15"/>
  <c r="CY40" i="15"/>
  <c r="CY41" i="15" s="1"/>
  <c r="CX60" i="15"/>
  <c r="CX86" i="21"/>
  <c r="CS86" i="21"/>
  <c r="DD40" i="15"/>
  <c r="DD38" i="15"/>
  <c r="DE37" i="15"/>
  <c r="CS60" i="15"/>
  <c r="CS63" i="15" s="1"/>
  <c r="CR61" i="15"/>
  <c r="CR130" i="21"/>
  <c r="DE38" i="15" l="1"/>
  <c r="DE34" i="15"/>
  <c r="DE35" i="15" s="1"/>
  <c r="CS61" i="15"/>
  <c r="CS64" i="15"/>
  <c r="CS130" i="21"/>
  <c r="Q141" i="11"/>
  <c r="DD41" i="15"/>
  <c r="DD60" i="15"/>
  <c r="DE40" i="15"/>
  <c r="DE41" i="15" s="1"/>
  <c r="DD86" i="21"/>
  <c r="CY86" i="21"/>
  <c r="DJ41" i="15"/>
  <c r="DK40" i="15"/>
  <c r="DJ60" i="15"/>
  <c r="DJ86" i="21"/>
  <c r="CX61" i="15"/>
  <c r="CY60" i="15"/>
  <c r="CY63" i="15" s="1"/>
  <c r="CX130" i="21"/>
  <c r="DK34" i="15"/>
  <c r="DK38" i="15"/>
  <c r="DK35" i="15" l="1"/>
  <c r="DK41" i="15"/>
  <c r="DK86" i="21"/>
  <c r="DE60" i="15"/>
  <c r="DE63" i="15" s="1"/>
  <c r="DD61" i="15"/>
  <c r="DD130" i="21"/>
  <c r="DJ61" i="15"/>
  <c r="DK60" i="15"/>
  <c r="DK63" i="15" s="1"/>
  <c r="DJ130" i="21"/>
  <c r="DE86" i="21"/>
  <c r="CY64" i="15"/>
  <c r="CY61" i="15"/>
  <c r="CY130" i="21"/>
  <c r="R141" i="11"/>
  <c r="DK61" i="15" l="1"/>
  <c r="DK130" i="21"/>
  <c r="DE64" i="15"/>
  <c r="DE61" i="15"/>
  <c r="DE130" i="21"/>
  <c r="DK64" i="15" l="1"/>
  <c r="AR234" i="117" l="1"/>
  <c r="AQ236" i="117"/>
  <c r="AR236" i="117" s="1"/>
  <c r="K325" i="14" s="1"/>
  <c r="K326" i="14" s="1"/>
  <c r="K333" i="14" s="1"/>
  <c r="AQ237" i="117"/>
  <c r="AQ243" i="117"/>
  <c r="AR243" i="117"/>
  <c r="AQ244" i="117"/>
  <c r="AQ248" i="117"/>
  <c r="AR248" i="117" s="1"/>
  <c r="AR252" i="117" s="1"/>
  <c r="AR274" i="117"/>
  <c r="K318" i="14" s="1"/>
  <c r="K320" i="14" s="1"/>
  <c r="AQ278" i="117"/>
  <c r="AQ282" i="117" l="1"/>
  <c r="AR278" i="117"/>
  <c r="K257" i="14"/>
  <c r="K212" i="14"/>
  <c r="K198" i="14"/>
  <c r="AQ286" i="117" l="1"/>
  <c r="AR282" i="117"/>
  <c r="AQ287" i="117" l="1"/>
  <c r="AR286" i="117"/>
  <c r="K262" i="14" l="1"/>
  <c r="K263" i="14" s="1"/>
  <c r="AT285" i="117"/>
  <c r="AX285" i="117" l="1"/>
  <c r="BH38" i="21"/>
  <c r="BH48" i="21" s="1"/>
  <c r="BI38" i="21"/>
  <c r="BI118" i="21"/>
  <c r="BH49" i="21" l="1"/>
  <c r="BH51" i="21" s="1"/>
  <c r="BI48" i="21"/>
  <c r="K39" i="138" s="1"/>
  <c r="K40" i="138" s="1"/>
  <c r="BH76" i="21"/>
  <c r="BI76" i="21" s="1"/>
  <c r="BJ73" i="21"/>
  <c r="BH144" i="21"/>
  <c r="K250" i="14" l="1"/>
  <c r="C40" i="138" s="1"/>
  <c r="K15" i="14"/>
  <c r="K9" i="14" s="1"/>
  <c r="K313" i="14"/>
  <c r="K315" i="14" s="1"/>
  <c r="BJ36" i="21"/>
  <c r="BI49" i="21"/>
  <c r="BI51" i="21" s="1"/>
  <c r="BJ48" i="21"/>
  <c r="BI73" i="21"/>
  <c r="BI144" i="21"/>
  <c r="BH150" i="21"/>
  <c r="BI150" i="21" s="1"/>
  <c r="K205" i="14" l="1"/>
  <c r="K18" i="14"/>
  <c r="K19" i="14" s="1"/>
  <c r="C39" i="138"/>
  <c r="K16" i="14"/>
  <c r="K24" i="14"/>
  <c r="K246" i="14" s="1"/>
  <c r="K12" i="14"/>
  <c r="K13" i="14" s="1"/>
  <c r="K10" i="14"/>
  <c r="K25" i="14" l="1"/>
  <c r="K30" i="14"/>
  <c r="K35" i="14" s="1"/>
  <c r="K210" i="14"/>
  <c r="K37" i="14" l="1"/>
  <c r="K211" i="14" l="1"/>
  <c r="K217" i="14" s="1"/>
  <c r="M77" i="12"/>
  <c r="M78" i="12" s="1"/>
  <c r="K39" i="14"/>
  <c r="K154" i="14"/>
  <c r="K158" i="14" s="1"/>
  <c r="K193" i="14" s="1"/>
  <c r="K219" i="14"/>
  <c r="K221" i="14" l="1"/>
  <c r="K194" i="14" l="1"/>
  <c r="K200" i="14"/>
  <c r="C41" i="138"/>
  <c r="K222" i="14"/>
  <c r="K258" i="14"/>
  <c r="K226" i="14"/>
  <c r="K113" i="14"/>
  <c r="K125" i="14" s="1"/>
  <c r="K122" i="14"/>
  <c r="K242" i="14"/>
  <c r="L190" i="14"/>
  <c r="K73" i="14" l="1"/>
  <c r="K90" i="14" s="1"/>
  <c r="K126" i="14" s="1"/>
  <c r="C36" i="138"/>
  <c r="K41" i="138"/>
  <c r="K36" i="138" s="1"/>
  <c r="K261" i="14" l="1"/>
  <c r="K260" i="14" s="1"/>
  <c r="K129" i="14"/>
  <c r="J51" i="14"/>
  <c r="J62" i="14" l="1"/>
  <c r="J64" i="14" s="1"/>
  <c r="J65" i="14" s="1"/>
  <c r="K55" i="14" s="1"/>
  <c r="K62" i="14" s="1"/>
  <c r="K64" i="14" s="1"/>
  <c r="K65" i="14" s="1"/>
  <c r="L55" i="14" s="1"/>
  <c r="K52" i="14"/>
  <c r="K58" i="14" l="1"/>
  <c r="E43" i="12"/>
  <c r="L56" i="14"/>
  <c r="L58" i="14"/>
  <c r="M181" i="14" s="1"/>
  <c r="K56" i="14"/>
  <c r="M55" i="14"/>
  <c r="K48" i="14"/>
  <c r="K241" i="14"/>
  <c r="K59" i="14"/>
  <c r="L241" i="14" l="1"/>
  <c r="L59" i="14"/>
  <c r="AF70" i="12"/>
  <c r="AG70" i="12"/>
  <c r="AF57" i="12"/>
  <c r="AG57" i="12"/>
  <c r="O270" i="14"/>
  <c r="O272" i="14" s="1"/>
  <c r="P270" i="14"/>
  <c r="P272" i="14" s="1"/>
  <c r="M270" i="14"/>
  <c r="M272" i="14" s="1"/>
  <c r="H228" i="14"/>
  <c r="H230" i="14" s="1"/>
  <c r="D270" i="14"/>
  <c r="D272" i="14" s="1"/>
  <c r="F270" i="14"/>
  <c r="F272" i="14" s="1"/>
  <c r="I270" i="14"/>
  <c r="I272" i="14" s="1"/>
  <c r="K270" i="14"/>
  <c r="K272" i="14" s="1"/>
  <c r="L270" i="14"/>
  <c r="L272" i="14" s="1"/>
  <c r="N270" i="14"/>
  <c r="N272" i="14" s="1"/>
  <c r="G270" i="14"/>
  <c r="G272" i="14" s="1"/>
  <c r="H270" i="14"/>
  <c r="H272" i="14" s="1"/>
  <c r="J270" i="14"/>
  <c r="J272" i="14" s="1"/>
  <c r="J265" i="14" s="1"/>
  <c r="J267" i="14" s="1"/>
  <c r="E270" i="14"/>
  <c r="E272" i="14" s="1"/>
  <c r="M58" i="14"/>
  <c r="M59" i="14" s="1"/>
  <c r="M56" i="14"/>
  <c r="L184" i="14"/>
  <c r="N55" i="14"/>
  <c r="N56" i="14" s="1"/>
  <c r="M184" i="14"/>
  <c r="K53" i="14"/>
  <c r="H268" i="14" l="1"/>
  <c r="H265" i="14"/>
  <c r="H267" i="14" s="1"/>
  <c r="K268" i="14"/>
  <c r="K265" i="14"/>
  <c r="K267" i="14" s="1"/>
  <c r="I268" i="14"/>
  <c r="I265" i="14"/>
  <c r="I267" i="14" s="1"/>
  <c r="N181" i="14"/>
  <c r="M241" i="14"/>
  <c r="O55" i="14"/>
  <c r="N58" i="14"/>
  <c r="N184" i="14"/>
  <c r="O58" i="14" l="1"/>
  <c r="P181" i="14" s="1"/>
  <c r="O56" i="14"/>
  <c r="O181" i="14"/>
  <c r="N59" i="14"/>
  <c r="N241" i="14"/>
  <c r="P55" i="14"/>
  <c r="P56" i="14" l="1"/>
  <c r="Q55" i="14"/>
  <c r="O241" i="14"/>
  <c r="O59" i="14"/>
  <c r="P58" i="14"/>
  <c r="P184" i="14"/>
  <c r="O184" i="14"/>
  <c r="M280" i="14"/>
  <c r="M282" i="14" s="1"/>
  <c r="M301" i="14"/>
  <c r="M303" i="14" s="1"/>
  <c r="Q58" i="14" l="1"/>
  <c r="R55" i="14"/>
  <c r="Q56" i="14"/>
  <c r="P59" i="14"/>
  <c r="Q181" i="14"/>
  <c r="Q184" i="14" s="1"/>
  <c r="P241" i="14"/>
  <c r="BP276" i="117"/>
  <c r="BP239" i="117"/>
  <c r="R56" i="14" l="1"/>
  <c r="S55" i="14"/>
  <c r="R58" i="14"/>
  <c r="Q59" i="14"/>
  <c r="R181" i="14"/>
  <c r="R184" i="14" s="1"/>
  <c r="AT236" i="117"/>
  <c r="AT278" i="117"/>
  <c r="R59" i="14" l="1"/>
  <c r="S181" i="14"/>
  <c r="S184" i="14" s="1"/>
  <c r="S58" i="14"/>
  <c r="T58" i="14"/>
  <c r="T59" i="14" s="1"/>
  <c r="T55" i="14"/>
  <c r="T56" i="14" s="1"/>
  <c r="S56" i="14"/>
  <c r="AT237" i="117"/>
  <c r="AT243" i="117"/>
  <c r="AT282" i="117"/>
  <c r="S59" i="14" l="1"/>
  <c r="T181" i="14"/>
  <c r="T184" i="14" s="1"/>
  <c r="AT248" i="117"/>
  <c r="AT244" i="117"/>
  <c r="AT286" i="117"/>
  <c r="AT289" i="117" s="1"/>
  <c r="AU285" i="117" l="1"/>
  <c r="AT287" i="117"/>
  <c r="BL216" i="21" l="1"/>
  <c r="BO175" i="21"/>
  <c r="BO176" i="21" s="1"/>
  <c r="BR175" i="21"/>
  <c r="BR201" i="21" s="1"/>
  <c r="BL17" i="21"/>
  <c r="BL66" i="21" l="1"/>
  <c r="BL207" i="21"/>
  <c r="BL23" i="21"/>
  <c r="BL217" i="21"/>
  <c r="BR202" i="21"/>
  <c r="BU201" i="21"/>
  <c r="BR216" i="21"/>
  <c r="BR206" i="21"/>
  <c r="BL179" i="21"/>
  <c r="BR178" i="21"/>
  <c r="BR17" i="21" s="1"/>
  <c r="BX175" i="21"/>
  <c r="BX201" i="21" s="1"/>
  <c r="BU175" i="21"/>
  <c r="BU176" i="21" s="1"/>
  <c r="BX202" i="21" l="1"/>
  <c r="CA201" i="21"/>
  <c r="BU216" i="21"/>
  <c r="BR217" i="21"/>
  <c r="BL72" i="21"/>
  <c r="BR66" i="21"/>
  <c r="BR207" i="21"/>
  <c r="BU204" i="21"/>
  <c r="M35" i="11"/>
  <c r="M36" i="11" s="1"/>
  <c r="M37" i="11" s="1"/>
  <c r="CD175" i="21"/>
  <c r="CD201" i="21" s="1"/>
  <c r="BX178" i="21"/>
  <c r="BX17" i="21" s="1"/>
  <c r="CA175" i="21"/>
  <c r="CA176" i="21" s="1"/>
  <c r="BR179" i="21"/>
  <c r="CD202" i="21" l="1"/>
  <c r="CG201" i="21"/>
  <c r="CG202" i="21" s="1"/>
  <c r="N35" i="11"/>
  <c r="N36" i="11" s="1"/>
  <c r="N37" i="11" s="1"/>
  <c r="N40" i="11" s="1"/>
  <c r="CA202" i="21"/>
  <c r="CA204" i="21"/>
  <c r="BX179" i="21"/>
  <c r="CD178" i="21"/>
  <c r="CD17" i="21" s="1"/>
  <c r="CJ175" i="21"/>
  <c r="CJ201" i="21" s="1"/>
  <c r="CM201" i="21" s="1"/>
  <c r="CG175" i="21"/>
  <c r="CG176" i="21" s="1"/>
  <c r="CJ202" i="21" l="1"/>
  <c r="CG204" i="21"/>
  <c r="O35" i="11"/>
  <c r="O36" i="11" s="1"/>
  <c r="O37" i="11" s="1"/>
  <c r="O40" i="11" s="1"/>
  <c r="P35" i="11"/>
  <c r="P36" i="11" s="1"/>
  <c r="P37" i="11" s="1"/>
  <c r="P40" i="11" s="1"/>
  <c r="CM202" i="21"/>
  <c r="CJ178" i="21"/>
  <c r="CJ17" i="21" s="1"/>
  <c r="CP175" i="21"/>
  <c r="CP201" i="21" s="1"/>
  <c r="CM175" i="21"/>
  <c r="CM176" i="21" s="1"/>
  <c r="CD179" i="21"/>
  <c r="CM204" i="21" l="1"/>
  <c r="CP202" i="21"/>
  <c r="CS201" i="21"/>
  <c r="CP178" i="21"/>
  <c r="CP17" i="21" s="1"/>
  <c r="CV175" i="21"/>
  <c r="CV201" i="21" s="1"/>
  <c r="CS175" i="21"/>
  <c r="CS176" i="21" s="1"/>
  <c r="CJ179" i="21"/>
  <c r="CV202" i="21" l="1"/>
  <c r="CY201" i="21"/>
  <c r="Q35" i="11"/>
  <c r="Q36" i="11" s="1"/>
  <c r="Q37" i="11" s="1"/>
  <c r="Q40" i="11" s="1"/>
  <c r="CS202" i="21"/>
  <c r="CS204" i="21"/>
  <c r="CV178" i="21"/>
  <c r="CV17" i="21" s="1"/>
  <c r="DB175" i="21"/>
  <c r="DB201" i="21" s="1"/>
  <c r="DE201" i="21" s="1"/>
  <c r="CY175" i="21"/>
  <c r="CY176" i="21" s="1"/>
  <c r="CP179" i="21"/>
  <c r="DE202" i="21" l="1"/>
  <c r="CY204" i="21"/>
  <c r="R35" i="11"/>
  <c r="R36" i="11" s="1"/>
  <c r="R37" i="11" s="1"/>
  <c r="CY202" i="21"/>
  <c r="DB202" i="21"/>
  <c r="DH175" i="21"/>
  <c r="DH201" i="21" s="1"/>
  <c r="DB178" i="21"/>
  <c r="DB17" i="21" s="1"/>
  <c r="DE175" i="21"/>
  <c r="DE176" i="21" s="1"/>
  <c r="CV179" i="21"/>
  <c r="DE204" i="21" l="1"/>
  <c r="R40" i="11"/>
  <c r="V39" i="11" s="1"/>
  <c r="S40" i="11"/>
  <c r="V40" i="11" s="1"/>
  <c r="DH202" i="21"/>
  <c r="DK201" i="21"/>
  <c r="DB179" i="21"/>
  <c r="DH178" i="21"/>
  <c r="DH17" i="21" s="1"/>
  <c r="DK175" i="21"/>
  <c r="DK176" i="21" s="1"/>
  <c r="V41" i="11" l="1"/>
  <c r="DK204" i="21"/>
  <c r="DK202" i="21"/>
  <c r="DH179" i="21"/>
  <c r="BW206" i="21"/>
  <c r="BX206" i="21"/>
  <c r="BX66" i="21" s="1"/>
  <c r="BZ206" i="21"/>
  <c r="BW216" i="21"/>
  <c r="BW219" i="21" s="1"/>
  <c r="BX216" i="21"/>
  <c r="BX217" i="21" s="1"/>
  <c r="BY216" i="21"/>
  <c r="BY217" i="21" s="1"/>
  <c r="BZ216" i="21"/>
  <c r="BX207" i="21" l="1"/>
  <c r="N42" i="11"/>
  <c r="N44" i="11"/>
  <c r="C7" i="12"/>
  <c r="E7" i="12" s="1"/>
  <c r="M42" i="11"/>
  <c r="F7" i="12" s="1"/>
  <c r="M44" i="11"/>
  <c r="H7" i="12" s="1"/>
  <c r="M43" i="11"/>
  <c r="G7" i="12" s="1"/>
  <c r="L42" i="11"/>
  <c r="N43" i="11"/>
  <c r="BZ207" i="21"/>
  <c r="BZ66" i="21"/>
  <c r="BW207" i="21"/>
  <c r="BW66" i="21"/>
  <c r="CA216" i="21"/>
  <c r="CA217" i="21" s="1"/>
  <c r="BW220" i="21"/>
  <c r="BW217" i="21"/>
  <c r="BZ219" i="21"/>
  <c r="BZ220" i="21" s="1"/>
  <c r="BZ217" i="21"/>
  <c r="CC206" i="21"/>
  <c r="CD206" i="21"/>
  <c r="CD66" i="21" s="1"/>
  <c r="CF206" i="21"/>
  <c r="CF66" i="21" s="1"/>
  <c r="CC216" i="21"/>
  <c r="CC217" i="21" s="1"/>
  <c r="CD216" i="21"/>
  <c r="CE216" i="21"/>
  <c r="CE217" i="21" s="1"/>
  <c r="CF216" i="21"/>
  <c r="CF219" i="21" s="1"/>
  <c r="CC219" i="21" l="1"/>
  <c r="CC220" i="21" s="1"/>
  <c r="CD207" i="21"/>
  <c r="CC207" i="21"/>
  <c r="CC66" i="21"/>
  <c r="BW72" i="21"/>
  <c r="CD217" i="21"/>
  <c r="CF220" i="21"/>
  <c r="CF217" i="21"/>
  <c r="CG216" i="21"/>
  <c r="CG217" i="21" s="1"/>
  <c r="CF207" i="21"/>
  <c r="CI206" i="21"/>
  <c r="CI66" i="21" s="1"/>
  <c r="CJ206" i="21"/>
  <c r="CL206" i="21"/>
  <c r="CI216" i="21"/>
  <c r="CI219" i="21" s="1"/>
  <c r="CJ216" i="21"/>
  <c r="CJ217" i="21" s="1"/>
  <c r="CK216" i="21"/>
  <c r="CK217" i="21" s="1"/>
  <c r="CL216" i="21"/>
  <c r="CI207" i="21" l="1"/>
  <c r="CI220" i="21"/>
  <c r="CI72" i="21"/>
  <c r="CL207" i="21"/>
  <c r="CL66" i="21"/>
  <c r="CC72" i="21"/>
  <c r="CJ207" i="21"/>
  <c r="CJ66" i="21"/>
  <c r="CI217" i="21"/>
  <c r="CM216" i="21"/>
  <c r="CM217" i="21" s="1"/>
  <c r="CL217" i="21"/>
  <c r="CL219" i="21"/>
  <c r="CL220" i="21" s="1"/>
  <c r="CO206" i="21"/>
  <c r="CO66" i="21" s="1"/>
  <c r="CP206" i="21"/>
  <c r="CR206" i="21"/>
  <c r="CR66" i="21" s="1"/>
  <c r="CO216" i="21"/>
  <c r="CO217" i="21" s="1"/>
  <c r="CP216" i="21"/>
  <c r="CP217" i="21" s="1"/>
  <c r="CQ216" i="21"/>
  <c r="CR216" i="21"/>
  <c r="CR219" i="21" s="1"/>
  <c r="CU206" i="21"/>
  <c r="CV206" i="21"/>
  <c r="CV66" i="21" s="1"/>
  <c r="CX206" i="21"/>
  <c r="CX66" i="21" s="1"/>
  <c r="CU216" i="21"/>
  <c r="CU219" i="21" s="1"/>
  <c r="CV216" i="21"/>
  <c r="CW216" i="21"/>
  <c r="CX216" i="21"/>
  <c r="CX219" i="21" s="1"/>
  <c r="CV217" i="21" l="1"/>
  <c r="CO207" i="21"/>
  <c r="CR207" i="21"/>
  <c r="CU207" i="21"/>
  <c r="CU66" i="21"/>
  <c r="CQ217" i="21"/>
  <c r="CP207" i="21"/>
  <c r="CP66" i="21"/>
  <c r="CO72" i="21"/>
  <c r="CX207" i="21"/>
  <c r="CX217" i="21"/>
  <c r="CR217" i="21"/>
  <c r="CS216" i="21"/>
  <c r="CS217" i="21" s="1"/>
  <c r="CX220" i="21"/>
  <c r="CV207" i="21"/>
  <c r="CO219" i="21"/>
  <c r="CU220" i="21" s="1"/>
  <c r="CU217" i="21"/>
  <c r="CR220" i="21"/>
  <c r="CY216" i="21"/>
  <c r="CW217" i="21"/>
  <c r="DA206" i="21"/>
  <c r="DA66" i="21" s="1"/>
  <c r="DB206" i="21"/>
  <c r="DB66" i="21" s="1"/>
  <c r="DD206" i="21"/>
  <c r="DA216" i="21"/>
  <c r="DA219" i="21" s="1"/>
  <c r="DA220" i="21" s="1"/>
  <c r="DB216" i="21"/>
  <c r="DC216" i="21"/>
  <c r="DD216" i="21"/>
  <c r="DD219" i="21" s="1"/>
  <c r="DD220" i="21" s="1"/>
  <c r="CY217" i="21" l="1"/>
  <c r="DD217" i="21"/>
  <c r="DA207" i="21"/>
  <c r="DA217" i="21"/>
  <c r="DA72" i="21"/>
  <c r="CU72" i="21"/>
  <c r="DD207" i="21"/>
  <c r="DD66" i="21"/>
  <c r="DC217" i="21"/>
  <c r="CO220" i="21"/>
  <c r="DB217" i="21"/>
  <c r="DE216" i="21"/>
  <c r="DE217" i="21" s="1"/>
  <c r="DB207" i="21"/>
  <c r="DG206" i="21" l="1"/>
  <c r="DH206" i="21"/>
  <c r="DJ206" i="21"/>
  <c r="DG216" i="21"/>
  <c r="DG217" i="21" s="1"/>
  <c r="DH216" i="21"/>
  <c r="DH217" i="21" s="1"/>
  <c r="DI216" i="21"/>
  <c r="DJ216" i="21"/>
  <c r="DJ217" i="21" s="1"/>
  <c r="DJ207" i="21" l="1"/>
  <c r="DJ66" i="21"/>
  <c r="DH207" i="21"/>
  <c r="DH66" i="21"/>
  <c r="DG207" i="21"/>
  <c r="DG66" i="21"/>
  <c r="DJ219" i="21"/>
  <c r="DJ220" i="21" s="1"/>
  <c r="DG219" i="21"/>
  <c r="DG220" i="21" s="1"/>
  <c r="DI217" i="21"/>
  <c r="DK216" i="21"/>
  <c r="DK217" i="21" s="1"/>
  <c r="DG72" i="21" l="1"/>
  <c r="AU236" i="117" l="1"/>
  <c r="AU237" i="117"/>
  <c r="AU243" i="117"/>
  <c r="AU244" i="117"/>
  <c r="AU248" i="117"/>
  <c r="AU278" i="117"/>
  <c r="AU282" i="117" s="1"/>
  <c r="AU286" i="117" s="1"/>
  <c r="AU289" i="117" s="1"/>
  <c r="AV285" i="117" l="1"/>
  <c r="AU287" i="117"/>
  <c r="BL185" i="21"/>
  <c r="BL186" i="21"/>
  <c r="BL42" i="21"/>
  <c r="BL192" i="21"/>
  <c r="BL213" i="21"/>
  <c r="BR43" i="8"/>
  <c r="BX43" i="8" s="1"/>
  <c r="BX40" i="8" s="1"/>
  <c r="BL47" i="8"/>
  <c r="BL58" i="8"/>
  <c r="BL59" i="8"/>
  <c r="BR40" i="8" l="1"/>
  <c r="BL219" i="21"/>
  <c r="BL214" i="21"/>
  <c r="CD43" i="8"/>
  <c r="CJ43" i="8" s="1"/>
  <c r="BX46" i="8"/>
  <c r="BR46" i="8" l="1"/>
  <c r="BR49" i="8" s="1"/>
  <c r="BR50" i="8" s="1"/>
  <c r="BX41" i="8"/>
  <c r="BR41" i="8"/>
  <c r="BL220" i="21"/>
  <c r="CD40" i="8"/>
  <c r="CD41" i="8" s="1"/>
  <c r="BX185" i="21"/>
  <c r="BX49" i="8"/>
  <c r="BX58" i="8"/>
  <c r="CJ40" i="8"/>
  <c r="CP43" i="8"/>
  <c r="BR47" i="8" l="1"/>
  <c r="BR58" i="8"/>
  <c r="BR59" i="8" s="1"/>
  <c r="BR185" i="21"/>
  <c r="BR186" i="21" s="1"/>
  <c r="BX47" i="8"/>
  <c r="CD46" i="8"/>
  <c r="CD185" i="21" s="1"/>
  <c r="BX191" i="21"/>
  <c r="BX213" i="21"/>
  <c r="BX50" i="8"/>
  <c r="CJ46" i="8"/>
  <c r="CJ41" i="8"/>
  <c r="CV43" i="8"/>
  <c r="CP40" i="8"/>
  <c r="BX186" i="21" l="1"/>
  <c r="BR213" i="21"/>
  <c r="BX214" i="21" s="1"/>
  <c r="BR191" i="21"/>
  <c r="BX192" i="21" s="1"/>
  <c r="BX59" i="8"/>
  <c r="CD58" i="8"/>
  <c r="CD59" i="8" s="1"/>
  <c r="CD47" i="8"/>
  <c r="CD49" i="8"/>
  <c r="CD50" i="8" s="1"/>
  <c r="CP41" i="8"/>
  <c r="CP46" i="8"/>
  <c r="CV40" i="8"/>
  <c r="DB43" i="8"/>
  <c r="BX219" i="21"/>
  <c r="CD186" i="21"/>
  <c r="CD191" i="21"/>
  <c r="CD213" i="21"/>
  <c r="BX42" i="21"/>
  <c r="CJ185" i="21"/>
  <c r="CJ47" i="8"/>
  <c r="CJ49" i="8"/>
  <c r="CJ58" i="8"/>
  <c r="BR219" i="21" l="1"/>
  <c r="BR220" i="21" s="1"/>
  <c r="BR214" i="21"/>
  <c r="BR192" i="21"/>
  <c r="BR42" i="21"/>
  <c r="CJ50" i="8"/>
  <c r="CD42" i="21"/>
  <c r="CD192" i="21"/>
  <c r="CP185" i="21"/>
  <c r="CP47" i="8"/>
  <c r="CP49" i="8"/>
  <c r="CP50" i="8" s="1"/>
  <c r="CP58" i="8"/>
  <c r="CJ59" i="8"/>
  <c r="CJ191" i="21"/>
  <c r="CJ213" i="21"/>
  <c r="CJ186" i="21"/>
  <c r="CV46" i="8"/>
  <c r="CV41" i="8"/>
  <c r="DH43" i="8"/>
  <c r="DH40" i="8" s="1"/>
  <c r="DB40" i="8"/>
  <c r="CD214" i="21"/>
  <c r="CD219" i="21"/>
  <c r="BX220" i="21" l="1"/>
  <c r="CV185" i="21"/>
  <c r="CV47" i="8"/>
  <c r="CV49" i="8"/>
  <c r="CV50" i="8" s="1"/>
  <c r="CV58" i="8"/>
  <c r="CP59" i="8"/>
  <c r="DB41" i="8"/>
  <c r="DB46" i="8"/>
  <c r="CJ214" i="21"/>
  <c r="CJ219" i="21"/>
  <c r="CD220" i="21"/>
  <c r="DH46" i="8"/>
  <c r="DH41" i="8"/>
  <c r="CJ42" i="21"/>
  <c r="CJ192" i="21"/>
  <c r="CP186" i="21"/>
  <c r="CP191" i="21"/>
  <c r="CP213" i="21"/>
  <c r="CV59" i="8" l="1"/>
  <c r="CV191" i="21"/>
  <c r="CV213" i="21"/>
  <c r="CV186" i="21"/>
  <c r="CP42" i="21"/>
  <c r="CP192" i="21"/>
  <c r="CP214" i="21"/>
  <c r="CP219" i="21"/>
  <c r="DB185" i="21"/>
  <c r="DB49" i="8"/>
  <c r="DB50" i="8" s="1"/>
  <c r="DB58" i="8"/>
  <c r="DB47" i="8"/>
  <c r="DH185" i="21"/>
  <c r="DH47" i="8"/>
  <c r="DH49" i="8"/>
  <c r="DH58" i="8"/>
  <c r="CJ220" i="21"/>
  <c r="DH50" i="8" l="1"/>
  <c r="DH191" i="21"/>
  <c r="DH213" i="21"/>
  <c r="DH186" i="21"/>
  <c r="DB59" i="8"/>
  <c r="DH59" i="8"/>
  <c r="CP220" i="21"/>
  <c r="CV42" i="21"/>
  <c r="CV192" i="21"/>
  <c r="DB186" i="21"/>
  <c r="DB191" i="21"/>
  <c r="DB213" i="21"/>
  <c r="CV214" i="21"/>
  <c r="CV219" i="21"/>
  <c r="DB214" i="21" l="1"/>
  <c r="DB219" i="21"/>
  <c r="DH42" i="21"/>
  <c r="DH192" i="21"/>
  <c r="DB42" i="21"/>
  <c r="DB192" i="21"/>
  <c r="CV220" i="21"/>
  <c r="DH214" i="21"/>
  <c r="DH219" i="21"/>
  <c r="DB220" i="21" l="1"/>
  <c r="DH220" i="21"/>
  <c r="BO48" i="10" l="1"/>
  <c r="BO51" i="10" s="1"/>
  <c r="BO52" i="10" s="1"/>
  <c r="BS51" i="10"/>
  <c r="BS48" i="10" s="1"/>
  <c r="BM107" i="21"/>
  <c r="BM66" i="10" l="1"/>
  <c r="BM57" i="10"/>
  <c r="BM58" i="10" s="1"/>
  <c r="BM55" i="10"/>
  <c r="BO49" i="10"/>
  <c r="BS49" i="10"/>
  <c r="BS54" i="10"/>
  <c r="BS79" i="10" s="1"/>
  <c r="BS80" i="10" s="1"/>
  <c r="BO54" i="10"/>
  <c r="BY51" i="10"/>
  <c r="BM67" i="10" l="1"/>
  <c r="BO66" i="10"/>
  <c r="BO67" i="10" s="1"/>
  <c r="BS107" i="21"/>
  <c r="BS55" i="10"/>
  <c r="BS57" i="10"/>
  <c r="BS58" i="10" s="1"/>
  <c r="BS66" i="10"/>
  <c r="BO107" i="21"/>
  <c r="BO55" i="10"/>
  <c r="BO57" i="10"/>
  <c r="BO58" i="10" s="1"/>
  <c r="L125" i="11"/>
  <c r="L127" i="11" s="1"/>
  <c r="BY48" i="10"/>
  <c r="CE51" i="10"/>
  <c r="BY49" i="10" l="1"/>
  <c r="BY54" i="10"/>
  <c r="BY79" i="10" s="1"/>
  <c r="BY80" i="10" s="1"/>
  <c r="CE48" i="10"/>
  <c r="CK51" i="10"/>
  <c r="L128" i="11"/>
  <c r="L136" i="11" s="1"/>
  <c r="BS67" i="10"/>
  <c r="CK48" i="10" l="1"/>
  <c r="CQ51" i="10"/>
  <c r="CE49" i="10"/>
  <c r="CE54" i="10"/>
  <c r="BY107" i="21"/>
  <c r="BY55" i="10"/>
  <c r="BY57" i="10"/>
  <c r="BY58" i="10" s="1"/>
  <c r="BY66" i="10"/>
  <c r="CE107" i="21" l="1"/>
  <c r="CE57" i="10"/>
  <c r="CE58" i="10" s="1"/>
  <c r="CE66" i="10"/>
  <c r="CE55" i="10"/>
  <c r="CQ48" i="10"/>
  <c r="CW51" i="10"/>
  <c r="BY67" i="10"/>
  <c r="CK49" i="10"/>
  <c r="CK54" i="10"/>
  <c r="CE67" i="10" l="1"/>
  <c r="CW48" i="10"/>
  <c r="DC51" i="10"/>
  <c r="CQ49" i="10"/>
  <c r="CQ54" i="10"/>
  <c r="CK107" i="21"/>
  <c r="CK57" i="10"/>
  <c r="CK58" i="10" s="1"/>
  <c r="CK66" i="10"/>
  <c r="CK55" i="10"/>
  <c r="DC48" i="10" l="1"/>
  <c r="DI51" i="10"/>
  <c r="DI48" i="10" s="1"/>
  <c r="CK67" i="10"/>
  <c r="CQ107" i="21"/>
  <c r="CQ55" i="10"/>
  <c r="CQ57" i="10"/>
  <c r="CQ58" i="10" s="1"/>
  <c r="CQ66" i="10"/>
  <c r="CW49" i="10"/>
  <c r="CW54" i="10"/>
  <c r="CQ67" i="10" l="1"/>
  <c r="CW107" i="21"/>
  <c r="CW55" i="10"/>
  <c r="CW57" i="10"/>
  <c r="CW58" i="10" s="1"/>
  <c r="CW66" i="10"/>
  <c r="DI49" i="10"/>
  <c r="DI54" i="10"/>
  <c r="DC49" i="10"/>
  <c r="DC54" i="10"/>
  <c r="DC107" i="21" l="1"/>
  <c r="DC57" i="10"/>
  <c r="DC58" i="10" s="1"/>
  <c r="DC66" i="10"/>
  <c r="DC55" i="10"/>
  <c r="DI107" i="21"/>
  <c r="DI55" i="10"/>
  <c r="DI57" i="10"/>
  <c r="DI66" i="10"/>
  <c r="CW67" i="10"/>
  <c r="DI58" i="10" l="1"/>
  <c r="DI67" i="10"/>
  <c r="DC67" i="10"/>
  <c r="BL105" i="21" l="1"/>
  <c r="BL40" i="7"/>
  <c r="BO40" i="7"/>
  <c r="BO41" i="7" s="1"/>
  <c r="BL41" i="7"/>
  <c r="BL43" i="7"/>
  <c r="BR43" i="7" s="1"/>
  <c r="BL44" i="7"/>
  <c r="BO46" i="7"/>
  <c r="BO105" i="21" s="1"/>
  <c r="BL47" i="7"/>
  <c r="BO58" i="7"/>
  <c r="BO59" i="7" s="1"/>
  <c r="L95" i="11" l="1"/>
  <c r="L97" i="11" s="1"/>
  <c r="L98" i="11" s="1"/>
  <c r="L106" i="11" s="1"/>
  <c r="BO47" i="7"/>
  <c r="BO49" i="7"/>
  <c r="BO50" i="7" s="1"/>
  <c r="BO43" i="7"/>
  <c r="BO44" i="7" s="1"/>
  <c r="BX43" i="7"/>
  <c r="BR40" i="7"/>
  <c r="BX40" i="7" l="1"/>
  <c r="CD43" i="7"/>
  <c r="BR41" i="7"/>
  <c r="BR46" i="7"/>
  <c r="BR105" i="21" l="1"/>
  <c r="BR49" i="7"/>
  <c r="BR50" i="7" s="1"/>
  <c r="BR58" i="7"/>
  <c r="BR47" i="7"/>
  <c r="CJ43" i="7"/>
  <c r="CD40" i="7"/>
  <c r="BX41" i="7"/>
  <c r="BX46" i="7"/>
  <c r="CJ40" i="7" l="1"/>
  <c r="CP43" i="7"/>
  <c r="BX105" i="21"/>
  <c r="BX47" i="7"/>
  <c r="BX49" i="7"/>
  <c r="BX50" i="7" s="1"/>
  <c r="BX58" i="7"/>
  <c r="CD41" i="7"/>
  <c r="CD46" i="7"/>
  <c r="BR59" i="7"/>
  <c r="CV43" i="7" l="1"/>
  <c r="CP40" i="7"/>
  <c r="BX59" i="7"/>
  <c r="CJ41" i="7"/>
  <c r="CJ46" i="7"/>
  <c r="CD105" i="21"/>
  <c r="CD49" i="7"/>
  <c r="CD50" i="7" s="1"/>
  <c r="CD58" i="7"/>
  <c r="CD47" i="7"/>
  <c r="CD59" i="7" l="1"/>
  <c r="CP41" i="7"/>
  <c r="CP46" i="7"/>
  <c r="CJ105" i="21"/>
  <c r="CJ47" i="7"/>
  <c r="CJ49" i="7"/>
  <c r="CJ50" i="7" s="1"/>
  <c r="CJ58" i="7"/>
  <c r="CV40" i="7"/>
  <c r="DB43" i="7"/>
  <c r="CP105" i="21" l="1"/>
  <c r="CP49" i="7"/>
  <c r="CP50" i="7" s="1"/>
  <c r="CP58" i="7"/>
  <c r="CP47" i="7"/>
  <c r="CV41" i="7"/>
  <c r="CV46" i="7"/>
  <c r="DH43" i="7"/>
  <c r="DH40" i="7" s="1"/>
  <c r="DB40" i="7"/>
  <c r="CJ59" i="7"/>
  <c r="DH41" i="7" l="1"/>
  <c r="DH46" i="7"/>
  <c r="DB41" i="7"/>
  <c r="DB46" i="7"/>
  <c r="CV105" i="21"/>
  <c r="CV47" i="7"/>
  <c r="CV49" i="7"/>
  <c r="CV50" i="7" s="1"/>
  <c r="CV58" i="7"/>
  <c r="CP59" i="7"/>
  <c r="DB105" i="21" l="1"/>
  <c r="DB49" i="7"/>
  <c r="DB50" i="7" s="1"/>
  <c r="DB58" i="7"/>
  <c r="DB47" i="7"/>
  <c r="DH105" i="21"/>
  <c r="DH47" i="7"/>
  <c r="DH49" i="7"/>
  <c r="DH58" i="7"/>
  <c r="CV59" i="7"/>
  <c r="DH50" i="7" l="1"/>
  <c r="DB59" i="7"/>
  <c r="DH59" i="7"/>
  <c r="BL13" i="17" l="1"/>
  <c r="BR13" i="17" l="1"/>
  <c r="BL14" i="17"/>
  <c r="BL10" i="17"/>
  <c r="BR10" i="17" l="1"/>
  <c r="BL11" i="17"/>
  <c r="BX13" i="17"/>
  <c r="CD13" i="17" l="1"/>
  <c r="BX10" i="17"/>
  <c r="BR17" i="17"/>
  <c r="CD10" i="17" l="1"/>
  <c r="BX17" i="17"/>
  <c r="BR18" i="17"/>
  <c r="BR20" i="17"/>
  <c r="BR21" i="17" s="1"/>
  <c r="BR25" i="17"/>
  <c r="BR15" i="17"/>
  <c r="CJ13" i="17"/>
  <c r="BX18" i="17" l="1"/>
  <c r="BX20" i="17"/>
  <c r="BX21" i="17" s="1"/>
  <c r="BX25" i="17"/>
  <c r="BX15" i="17"/>
  <c r="BR26" i="17"/>
  <c r="BR28" i="17"/>
  <c r="BU25" i="17"/>
  <c r="BR75" i="17"/>
  <c r="CJ10" i="17"/>
  <c r="CD17" i="17"/>
  <c r="CP13" i="17"/>
  <c r="CP10" i="17" l="1"/>
  <c r="CJ17" i="17"/>
  <c r="BR72" i="17"/>
  <c r="BR69" i="17" s="1"/>
  <c r="CV13" i="17"/>
  <c r="BU17" i="17"/>
  <c r="BU18" i="17" s="1"/>
  <c r="BU26" i="17"/>
  <c r="BU75" i="17"/>
  <c r="CA25" i="17"/>
  <c r="BX75" i="17"/>
  <c r="BX26" i="17"/>
  <c r="BX28" i="17"/>
  <c r="CD18" i="17"/>
  <c r="CD20" i="17"/>
  <c r="CD21" i="17" s="1"/>
  <c r="CD25" i="17"/>
  <c r="CD15" i="17"/>
  <c r="BR29" i="17"/>
  <c r="BR40" i="17"/>
  <c r="BU28" i="17"/>
  <c r="CV10" i="17" l="1"/>
  <c r="CP17" i="17"/>
  <c r="BU20" i="17"/>
  <c r="BU21" i="17" s="1"/>
  <c r="BU29" i="17"/>
  <c r="CD26" i="17"/>
  <c r="CD28" i="17"/>
  <c r="CG25" i="17"/>
  <c r="CD75" i="17"/>
  <c r="BU72" i="17"/>
  <c r="BR73" i="17"/>
  <c r="CA28" i="17"/>
  <c r="BX29" i="17"/>
  <c r="BX40" i="17"/>
  <c r="BR41" i="17"/>
  <c r="BU40" i="17"/>
  <c r="BU41" i="17" s="1"/>
  <c r="BR60" i="17"/>
  <c r="BR88" i="21"/>
  <c r="BX72" i="17"/>
  <c r="BU69" i="17"/>
  <c r="BR70" i="17"/>
  <c r="CA17" i="17"/>
  <c r="CA18" i="17" s="1"/>
  <c r="CA26" i="17"/>
  <c r="CA75" i="17"/>
  <c r="DB13" i="17"/>
  <c r="CJ25" i="17"/>
  <c r="CJ18" i="17"/>
  <c r="CJ20" i="17"/>
  <c r="CJ21" i="17" s="1"/>
  <c r="CJ15" i="17"/>
  <c r="CM25" i="17" l="1"/>
  <c r="CJ75" i="17"/>
  <c r="CJ26" i="17"/>
  <c r="CJ28" i="17"/>
  <c r="BX73" i="17"/>
  <c r="CA72" i="17"/>
  <c r="CA40" i="17"/>
  <c r="CA41" i="17" s="1"/>
  <c r="BX60" i="17"/>
  <c r="BX41" i="17"/>
  <c r="BX88" i="21"/>
  <c r="BU13" i="17"/>
  <c r="BU73" i="17"/>
  <c r="DB10" i="17"/>
  <c r="CV17" i="17"/>
  <c r="BX69" i="17"/>
  <c r="CD72" i="17"/>
  <c r="BR96" i="21"/>
  <c r="BU88" i="21"/>
  <c r="CA20" i="17"/>
  <c r="CA21" i="17" s="1"/>
  <c r="CA29" i="17"/>
  <c r="CG17" i="17"/>
  <c r="CG18" i="17" s="1"/>
  <c r="CG26" i="17"/>
  <c r="CG75" i="17"/>
  <c r="DH13" i="17"/>
  <c r="BU70" i="17"/>
  <c r="BU10" i="17"/>
  <c r="BU11" i="17" s="1"/>
  <c r="BU60" i="17"/>
  <c r="BR61" i="17"/>
  <c r="BR132" i="21"/>
  <c r="BR140" i="21" s="1"/>
  <c r="CD29" i="17"/>
  <c r="CD40" i="17"/>
  <c r="CG28" i="17"/>
  <c r="CP18" i="17"/>
  <c r="CP20" i="17"/>
  <c r="CP21" i="17" s="1"/>
  <c r="CP25" i="17"/>
  <c r="CP15" i="17"/>
  <c r="BR62" i="21" l="1"/>
  <c r="CG72" i="17"/>
  <c r="CD73" i="17"/>
  <c r="CG20" i="17"/>
  <c r="CG21" i="17" s="1"/>
  <c r="CG29" i="17"/>
  <c r="CD69" i="17"/>
  <c r="CA13" i="17"/>
  <c r="CA73" i="17"/>
  <c r="CJ72" i="17"/>
  <c r="CJ69" i="17" s="1"/>
  <c r="DH10" i="17"/>
  <c r="DH17" i="17" s="1"/>
  <c r="DB17" i="17"/>
  <c r="CP26" i="17"/>
  <c r="CP28" i="17"/>
  <c r="CS25" i="17"/>
  <c r="CP75" i="17"/>
  <c r="CD41" i="17"/>
  <c r="CG40" i="17"/>
  <c r="CG41" i="17" s="1"/>
  <c r="CD60" i="17"/>
  <c r="CD88" i="21"/>
  <c r="BU63" i="17"/>
  <c r="BU132" i="21"/>
  <c r="M171" i="11"/>
  <c r="BX70" i="17"/>
  <c r="CA69" i="17"/>
  <c r="BU14" i="17"/>
  <c r="BU15" i="17"/>
  <c r="CM17" i="17"/>
  <c r="CM18" i="17" s="1"/>
  <c r="CM26" i="17"/>
  <c r="CM75" i="17"/>
  <c r="BR13" i="21"/>
  <c r="CV18" i="17"/>
  <c r="CV20" i="17"/>
  <c r="CV21" i="17" s="1"/>
  <c r="CV25" i="17"/>
  <c r="CV15" i="17"/>
  <c r="BX96" i="21"/>
  <c r="CA88" i="21"/>
  <c r="BX61" i="17"/>
  <c r="CA60" i="17"/>
  <c r="BX132" i="21"/>
  <c r="BX140" i="21" s="1"/>
  <c r="CM28" i="17"/>
  <c r="CJ29" i="17"/>
  <c r="CJ40" i="17"/>
  <c r="CM40" i="17" l="1"/>
  <c r="CM41" i="17" s="1"/>
  <c r="CJ60" i="17"/>
  <c r="CJ41" i="17"/>
  <c r="CJ88" i="21"/>
  <c r="BR23" i="21"/>
  <c r="BR72" i="21"/>
  <c r="CY25" i="17"/>
  <c r="CV26" i="17"/>
  <c r="CV28" i="17"/>
  <c r="CV75" i="17"/>
  <c r="CD96" i="21"/>
  <c r="CG88" i="21"/>
  <c r="CP29" i="17"/>
  <c r="CP40" i="17"/>
  <c r="CS28" i="17"/>
  <c r="DB18" i="17"/>
  <c r="DB20" i="17"/>
  <c r="DB21" i="17" s="1"/>
  <c r="DB25" i="17"/>
  <c r="DB15" i="17"/>
  <c r="CG69" i="17"/>
  <c r="CD70" i="17"/>
  <c r="CA63" i="17"/>
  <c r="CA64" i="17" s="1"/>
  <c r="CA61" i="17"/>
  <c r="CA132" i="21"/>
  <c r="N171" i="11"/>
  <c r="CS17" i="17"/>
  <c r="CS18" i="17" s="1"/>
  <c r="CS26" i="17"/>
  <c r="CS75" i="17"/>
  <c r="CM20" i="17"/>
  <c r="CM21" i="17" s="1"/>
  <c r="CM29" i="17"/>
  <c r="CG60" i="17"/>
  <c r="CD61" i="17"/>
  <c r="CD132" i="21"/>
  <c r="CD140" i="21" s="1"/>
  <c r="DH18" i="17"/>
  <c r="DH20" i="17"/>
  <c r="DH25" i="17"/>
  <c r="CA15" i="17"/>
  <c r="CA14" i="17"/>
  <c r="DH15" i="17"/>
  <c r="CG13" i="17"/>
  <c r="CG73" i="17"/>
  <c r="BX62" i="21"/>
  <c r="BX13" i="21"/>
  <c r="CA10" i="17"/>
  <c r="CA11" i="17" s="1"/>
  <c r="CA70" i="17"/>
  <c r="CP72" i="17"/>
  <c r="CJ73" i="17"/>
  <c r="CM72" i="17"/>
  <c r="CJ70" i="17"/>
  <c r="CM69" i="17"/>
  <c r="DH21" i="17" l="1"/>
  <c r="CG61" i="17"/>
  <c r="CG63" i="17"/>
  <c r="CG64" i="17" s="1"/>
  <c r="CG132" i="21"/>
  <c r="O171" i="11"/>
  <c r="BX23" i="21"/>
  <c r="DB26" i="17"/>
  <c r="DB28" i="17"/>
  <c r="DE25" i="17"/>
  <c r="DB75" i="17"/>
  <c r="CP41" i="17"/>
  <c r="CS40" i="17"/>
  <c r="CS41" i="17" s="1"/>
  <c r="CP60" i="17"/>
  <c r="CP88" i="21"/>
  <c r="CS72" i="17"/>
  <c r="CP73" i="17"/>
  <c r="CY28" i="17"/>
  <c r="CV29" i="17"/>
  <c r="CV40" i="17"/>
  <c r="CP69" i="17"/>
  <c r="CD62" i="21"/>
  <c r="CD13" i="21"/>
  <c r="CY17" i="17"/>
  <c r="CY18" i="17" s="1"/>
  <c r="CY26" i="17"/>
  <c r="CY75" i="17"/>
  <c r="CJ61" i="17"/>
  <c r="CM60" i="17"/>
  <c r="CJ132" i="21"/>
  <c r="CJ140" i="21" s="1"/>
  <c r="CS20" i="17"/>
  <c r="CS21" i="17" s="1"/>
  <c r="CS29" i="17"/>
  <c r="CM13" i="17"/>
  <c r="CM73" i="17"/>
  <c r="BX72" i="21"/>
  <c r="CG15" i="17"/>
  <c r="CG14" i="17"/>
  <c r="DK25" i="17"/>
  <c r="DH26" i="17"/>
  <c r="DH28" i="17"/>
  <c r="DH75" i="17"/>
  <c r="CG70" i="17"/>
  <c r="CG10" i="17"/>
  <c r="CG11" i="17" s="1"/>
  <c r="CV72" i="17"/>
  <c r="CV69" i="17" s="1"/>
  <c r="CJ96" i="21"/>
  <c r="CM88" i="21"/>
  <c r="CM10" i="17"/>
  <c r="CM11" i="17" s="1"/>
  <c r="CM70" i="17"/>
  <c r="CJ62" i="21" l="1"/>
  <c r="CY20" i="17"/>
  <c r="CY21" i="17" s="1"/>
  <c r="CY29" i="17"/>
  <c r="CP96" i="21"/>
  <c r="CS88" i="21"/>
  <c r="DB29" i="17"/>
  <c r="DB40" i="17"/>
  <c r="DE28" i="17"/>
  <c r="CJ13" i="21"/>
  <c r="DK17" i="17"/>
  <c r="DK26" i="17"/>
  <c r="DK75" i="17"/>
  <c r="CM14" i="17"/>
  <c r="CM15" i="17"/>
  <c r="CM61" i="17"/>
  <c r="CM63" i="17"/>
  <c r="CM64" i="17" s="1"/>
  <c r="CM132" i="21"/>
  <c r="P171" i="11"/>
  <c r="CS69" i="17"/>
  <c r="CP70" i="17"/>
  <c r="CS60" i="17"/>
  <c r="CP61" i="17"/>
  <c r="CP132" i="21"/>
  <c r="CP140" i="21" s="1"/>
  <c r="CV70" i="17"/>
  <c r="CY69" i="17"/>
  <c r="DK28" i="17"/>
  <c r="DH29" i="17"/>
  <c r="DH40" i="17"/>
  <c r="DE17" i="17"/>
  <c r="DE18" i="17" s="1"/>
  <c r="DE26" i="17"/>
  <c r="DE75" i="17"/>
  <c r="CV73" i="17"/>
  <c r="CY72" i="17"/>
  <c r="DH72" i="17"/>
  <c r="CD23" i="21"/>
  <c r="CD72" i="21"/>
  <c r="CY40" i="17"/>
  <c r="CY41" i="17" s="1"/>
  <c r="CV41" i="17"/>
  <c r="CV60" i="17"/>
  <c r="CV88" i="21"/>
  <c r="CS13" i="17"/>
  <c r="CS73" i="17"/>
  <c r="DB72" i="17"/>
  <c r="DB69" i="17" s="1"/>
  <c r="CV96" i="21" l="1"/>
  <c r="CY88" i="21"/>
  <c r="DE72" i="17"/>
  <c r="DB73" i="17"/>
  <c r="DK20" i="17"/>
  <c r="DK29" i="17"/>
  <c r="CP62" i="21"/>
  <c r="CS70" i="17"/>
  <c r="CS10" i="17"/>
  <c r="CS11" i="17" s="1"/>
  <c r="CP13" i="21"/>
  <c r="DH73" i="17"/>
  <c r="DK72" i="17"/>
  <c r="CY10" i="17"/>
  <c r="CY11" i="17" s="1"/>
  <c r="CY70" i="17"/>
  <c r="DK18" i="17"/>
  <c r="CJ23" i="21"/>
  <c r="CY13" i="17"/>
  <c r="CY73" i="17"/>
  <c r="CV61" i="17"/>
  <c r="CY60" i="17"/>
  <c r="CV132" i="21"/>
  <c r="CV140" i="21" s="1"/>
  <c r="CS14" i="17"/>
  <c r="CS15" i="17"/>
  <c r="DH69" i="17"/>
  <c r="DK40" i="17"/>
  <c r="DH41" i="17"/>
  <c r="DH60" i="17"/>
  <c r="DH88" i="21"/>
  <c r="CS61" i="17"/>
  <c r="CS63" i="17"/>
  <c r="CS64" i="17" s="1"/>
  <c r="CS132" i="21"/>
  <c r="Q171" i="11"/>
  <c r="DE20" i="17"/>
  <c r="DE21" i="17" s="1"/>
  <c r="DE29" i="17"/>
  <c r="CJ72" i="21"/>
  <c r="DE69" i="17"/>
  <c r="DB70" i="17"/>
  <c r="DB41" i="17"/>
  <c r="DE40" i="17"/>
  <c r="DE41" i="17" s="1"/>
  <c r="DB60" i="17"/>
  <c r="DB88" i="21"/>
  <c r="CY15" i="17" l="1"/>
  <c r="CY14" i="17"/>
  <c r="DK73" i="17"/>
  <c r="DK13" i="17"/>
  <c r="DE10" i="17"/>
  <c r="DE11" i="17" s="1"/>
  <c r="DE70" i="17"/>
  <c r="DB96" i="21"/>
  <c r="DE88" i="21"/>
  <c r="DH96" i="21"/>
  <c r="DK88" i="21"/>
  <c r="CV62" i="21"/>
  <c r="DK21" i="17"/>
  <c r="DE13" i="17"/>
  <c r="DE73" i="17"/>
  <c r="CV13" i="21"/>
  <c r="DH70" i="17"/>
  <c r="DK69" i="17"/>
  <c r="DE60" i="17"/>
  <c r="DB132" i="21"/>
  <c r="DB140" i="21" s="1"/>
  <c r="DB61" i="17"/>
  <c r="DH61" i="17"/>
  <c r="DK60" i="17"/>
  <c r="DH132" i="21"/>
  <c r="DH140" i="21" s="1"/>
  <c r="DK41" i="17"/>
  <c r="CY63" i="17"/>
  <c r="CY64" i="17" s="1"/>
  <c r="CY61" i="17"/>
  <c r="CY132" i="21"/>
  <c r="R171" i="11"/>
  <c r="CP23" i="21"/>
  <c r="CP72" i="21"/>
  <c r="DH13" i="21" l="1"/>
  <c r="DH62" i="21"/>
  <c r="DE61" i="17"/>
  <c r="DE63" i="17"/>
  <c r="DE64" i="17" s="1"/>
  <c r="DE132" i="21"/>
  <c r="DB13" i="21"/>
  <c r="DK61" i="17"/>
  <c r="DK63" i="17"/>
  <c r="DK132" i="21"/>
  <c r="DK10" i="17"/>
  <c r="DK11" i="17" s="1"/>
  <c r="DK70" i="17"/>
  <c r="DE15" i="17"/>
  <c r="DE14" i="17"/>
  <c r="DK14" i="17"/>
  <c r="DK15" i="17"/>
  <c r="DB62" i="21"/>
  <c r="CV23" i="21"/>
  <c r="CV72" i="21"/>
  <c r="DK64" i="17" l="1"/>
  <c r="DB72" i="21"/>
  <c r="DB23" i="21"/>
  <c r="DH72" i="21"/>
  <c r="DH23" i="21"/>
  <c r="BR51" i="17"/>
  <c r="BO54" i="17"/>
  <c r="BO55" i="17" s="1"/>
  <c r="BL55" i="17"/>
  <c r="BL66" i="17"/>
  <c r="BL67" i="17" s="1"/>
  <c r="BL116" i="17"/>
  <c r="BL117" i="17" s="1"/>
  <c r="BL110" i="21"/>
  <c r="L170" i="11" l="1"/>
  <c r="BO116" i="17"/>
  <c r="BO117" i="17" s="1"/>
  <c r="BL124" i="17"/>
  <c r="BL119" i="17"/>
  <c r="BL120" i="17" s="1"/>
  <c r="BO57" i="17"/>
  <c r="BO58" i="17" s="1"/>
  <c r="BO48" i="17"/>
  <c r="BO110" i="21"/>
  <c r="BL38" i="21"/>
  <c r="BR48" i="17"/>
  <c r="BX51" i="17"/>
  <c r="BO119" i="17" l="1"/>
  <c r="BO120" i="17" s="1"/>
  <c r="BL125" i="17"/>
  <c r="BO49" i="17"/>
  <c r="BO51" i="17"/>
  <c r="BO52" i="17" s="1"/>
  <c r="CD51" i="17"/>
  <c r="BX48" i="17"/>
  <c r="BL48" i="21"/>
  <c r="BU48" i="17"/>
  <c r="BR49" i="17"/>
  <c r="BR54" i="17"/>
  <c r="BU51" i="17" l="1"/>
  <c r="BU52" i="17" s="1"/>
  <c r="BU49" i="17"/>
  <c r="BX49" i="17"/>
  <c r="BX54" i="17"/>
  <c r="CA48" i="17"/>
  <c r="BU54" i="17"/>
  <c r="BR55" i="17"/>
  <c r="BR57" i="17"/>
  <c r="BR58" i="17" s="1"/>
  <c r="BR66" i="17"/>
  <c r="BR116" i="17"/>
  <c r="BR110" i="21"/>
  <c r="BR118" i="21" s="1"/>
  <c r="BL49" i="21"/>
  <c r="BL51" i="21" s="1"/>
  <c r="BL144" i="21"/>
  <c r="CD48" i="17"/>
  <c r="CJ51" i="17"/>
  <c r="BX57" i="17" l="1"/>
  <c r="BX58" i="17" s="1"/>
  <c r="BX66" i="17"/>
  <c r="BX116" i="17"/>
  <c r="CA54" i="17"/>
  <c r="BX55" i="17"/>
  <c r="BX110" i="21"/>
  <c r="BX118" i="21" s="1"/>
  <c r="BR38" i="21"/>
  <c r="BL150" i="21"/>
  <c r="BR117" i="17"/>
  <c r="BR119" i="17"/>
  <c r="BR120" i="17" s="1"/>
  <c r="BR124" i="17"/>
  <c r="BU57" i="17"/>
  <c r="BU58" i="17" s="1"/>
  <c r="BU55" i="17"/>
  <c r="BU110" i="21"/>
  <c r="M170" i="11"/>
  <c r="M172" i="11" s="1"/>
  <c r="CP51" i="17"/>
  <c r="CJ48" i="17"/>
  <c r="CG48" i="17"/>
  <c r="CD49" i="17"/>
  <c r="CD54" i="17"/>
  <c r="BU66" i="17"/>
  <c r="BR67" i="17"/>
  <c r="CA49" i="17"/>
  <c r="CA51" i="17"/>
  <c r="CA52" i="17" s="1"/>
  <c r="BR48" i="21" l="1"/>
  <c r="CA55" i="17"/>
  <c r="CA57" i="17"/>
  <c r="CA58" i="17" s="1"/>
  <c r="CA110" i="21"/>
  <c r="N170" i="11"/>
  <c r="N172" i="11" s="1"/>
  <c r="CG54" i="17"/>
  <c r="CD55" i="17"/>
  <c r="CD57" i="17"/>
  <c r="CD58" i="17" s="1"/>
  <c r="CD66" i="17"/>
  <c r="CD116" i="17"/>
  <c r="CD110" i="21"/>
  <c r="CD118" i="21" s="1"/>
  <c r="CP48" i="17"/>
  <c r="CV51" i="17"/>
  <c r="BX119" i="17"/>
  <c r="BX120" i="17" s="1"/>
  <c r="BX124" i="17"/>
  <c r="BX117" i="17"/>
  <c r="CJ49" i="17"/>
  <c r="CJ54" i="17"/>
  <c r="CM48" i="17"/>
  <c r="BR125" i="17"/>
  <c r="BX38" i="21"/>
  <c r="CA66" i="17"/>
  <c r="CA67" i="17" s="1"/>
  <c r="BX67" i="17"/>
  <c r="M173" i="11"/>
  <c r="CG51" i="17"/>
  <c r="CG52" i="17" s="1"/>
  <c r="CG49" i="17"/>
  <c r="CD38" i="21" l="1"/>
  <c r="M181" i="11"/>
  <c r="BX48" i="21"/>
  <c r="CM49" i="17"/>
  <c r="CM51" i="17"/>
  <c r="CM52" i="17" s="1"/>
  <c r="CD117" i="17"/>
  <c r="CD119" i="17"/>
  <c r="CD120" i="17" s="1"/>
  <c r="CD124" i="17"/>
  <c r="CG57" i="17"/>
  <c r="CG58" i="17" s="1"/>
  <c r="CG55" i="17"/>
  <c r="CG110" i="21"/>
  <c r="O170" i="11"/>
  <c r="O172" i="11" s="1"/>
  <c r="O173" i="11" s="1"/>
  <c r="O176" i="11" s="1"/>
  <c r="CJ57" i="17"/>
  <c r="CJ58" i="17" s="1"/>
  <c r="CJ66" i="17"/>
  <c r="CJ116" i="17"/>
  <c r="CM54" i="17"/>
  <c r="CJ55" i="17"/>
  <c r="CJ110" i="21"/>
  <c r="CJ118" i="21" s="1"/>
  <c r="BX125" i="17"/>
  <c r="DB51" i="17"/>
  <c r="CV48" i="17"/>
  <c r="CG66" i="17"/>
  <c r="CG67" i="17" s="1"/>
  <c r="CD67" i="17"/>
  <c r="N173" i="11"/>
  <c r="N176" i="11" s="1"/>
  <c r="BR49" i="21"/>
  <c r="BR51" i="21" s="1"/>
  <c r="BR144" i="21"/>
  <c r="CS48" i="17"/>
  <c r="CP49" i="17"/>
  <c r="CP54" i="17"/>
  <c r="CJ38" i="21" l="1"/>
  <c r="CM66" i="17"/>
  <c r="CM67" i="17" s="1"/>
  <c r="CJ67" i="17"/>
  <c r="CV49" i="17"/>
  <c r="CV54" i="17"/>
  <c r="CY48" i="17"/>
  <c r="N181" i="11"/>
  <c r="DB48" i="17"/>
  <c r="DH51" i="17"/>
  <c r="DH48" i="17" s="1"/>
  <c r="CS51" i="17"/>
  <c r="CS52" i="17" s="1"/>
  <c r="CS49" i="17"/>
  <c r="CS54" i="17"/>
  <c r="CP55" i="17"/>
  <c r="CP57" i="17"/>
  <c r="CP58" i="17" s="1"/>
  <c r="CP66" i="17"/>
  <c r="CP116" i="17"/>
  <c r="CP110" i="21"/>
  <c r="CP118" i="21" s="1"/>
  <c r="BR150" i="21"/>
  <c r="CM55" i="17"/>
  <c r="CM57" i="17"/>
  <c r="CM58" i="17" s="1"/>
  <c r="CM110" i="21"/>
  <c r="P170" i="11"/>
  <c r="P172" i="11" s="1"/>
  <c r="P173" i="11" s="1"/>
  <c r="P176" i="11" s="1"/>
  <c r="CD125" i="17"/>
  <c r="CD48" i="21"/>
  <c r="CJ119" i="17"/>
  <c r="CJ120" i="17" s="1"/>
  <c r="CJ124" i="17"/>
  <c r="CJ117" i="17"/>
  <c r="BX144" i="21"/>
  <c r="CP117" i="17" l="1"/>
  <c r="CP119" i="17"/>
  <c r="CP120" i="17" s="1"/>
  <c r="CP124" i="17"/>
  <c r="CS57" i="17"/>
  <c r="CS58" i="17" s="1"/>
  <c r="CS55" i="17"/>
  <c r="CS110" i="21"/>
  <c r="Q170" i="11"/>
  <c r="Q172" i="11" s="1"/>
  <c r="Q173" i="11" s="1"/>
  <c r="Q176" i="11" s="1"/>
  <c r="CY49" i="17"/>
  <c r="CY51" i="17"/>
  <c r="CY52" i="17" s="1"/>
  <c r="BX150" i="21"/>
  <c r="CS66" i="17"/>
  <c r="CS67" i="17" s="1"/>
  <c r="CP67" i="17"/>
  <c r="DH49" i="17"/>
  <c r="DH54" i="17"/>
  <c r="DK48" i="17"/>
  <c r="CV57" i="17"/>
  <c r="CV58" i="17" s="1"/>
  <c r="CV66" i="17"/>
  <c r="CV116" i="17"/>
  <c r="CY54" i="17"/>
  <c r="CV55" i="17"/>
  <c r="CV110" i="21"/>
  <c r="CV118" i="21" s="1"/>
  <c r="CJ48" i="21"/>
  <c r="CD144" i="21"/>
  <c r="DE48" i="17"/>
  <c r="DB49" i="17"/>
  <c r="DB54" i="17"/>
  <c r="CJ125" i="17"/>
  <c r="CP38" i="21"/>
  <c r="CD150" i="21" l="1"/>
  <c r="CV38" i="21"/>
  <c r="CY66" i="17"/>
  <c r="CY67" i="17" s="1"/>
  <c r="CV67" i="17"/>
  <c r="CP48" i="21"/>
  <c r="DE54" i="17"/>
  <c r="DB55" i="17"/>
  <c r="DB57" i="17"/>
  <c r="DB58" i="17" s="1"/>
  <c r="DB66" i="17"/>
  <c r="DB116" i="17"/>
  <c r="DB110" i="21"/>
  <c r="DB118" i="21" s="1"/>
  <c r="CJ144" i="21"/>
  <c r="CY55" i="17"/>
  <c r="CY57" i="17"/>
  <c r="CY58" i="17" s="1"/>
  <c r="CY110" i="21"/>
  <c r="R170" i="11"/>
  <c r="R172" i="11" s="1"/>
  <c r="R173" i="11" s="1"/>
  <c r="DK49" i="17"/>
  <c r="DK51" i="17"/>
  <c r="DE51" i="17"/>
  <c r="DE52" i="17" s="1"/>
  <c r="DE49" i="17"/>
  <c r="CV119" i="17"/>
  <c r="CV120" i="17" s="1"/>
  <c r="CV124" i="17"/>
  <c r="CV117" i="17"/>
  <c r="DH57" i="17"/>
  <c r="DH66" i="17"/>
  <c r="DH116" i="17"/>
  <c r="DK54" i="17"/>
  <c r="DH55" i="17"/>
  <c r="DH110" i="21"/>
  <c r="DH118" i="21" s="1"/>
  <c r="CP125" i="17"/>
  <c r="DK52" i="17" l="1"/>
  <c r="DH58" i="17"/>
  <c r="DK55" i="17"/>
  <c r="DK57" i="17"/>
  <c r="DK110" i="21"/>
  <c r="DB38" i="21"/>
  <c r="CV48" i="21"/>
  <c r="DH119" i="17"/>
  <c r="DH124" i="17"/>
  <c r="DH117" i="17"/>
  <c r="DB117" i="17"/>
  <c r="DB119" i="17"/>
  <c r="DB120" i="17" s="1"/>
  <c r="DB124" i="17"/>
  <c r="DE57" i="17"/>
  <c r="DE58" i="17" s="1"/>
  <c r="DE55" i="17"/>
  <c r="DE110" i="21"/>
  <c r="DH38" i="21"/>
  <c r="CV125" i="17"/>
  <c r="R176" i="11"/>
  <c r="V175" i="11" s="1"/>
  <c r="S176" i="11"/>
  <c r="V176" i="11" s="1"/>
  <c r="CJ150" i="21"/>
  <c r="DE66" i="17"/>
  <c r="DE67" i="17" s="1"/>
  <c r="DB67" i="17"/>
  <c r="CP144" i="21"/>
  <c r="DK66" i="17"/>
  <c r="DH67" i="17"/>
  <c r="DK67" i="17" l="1"/>
  <c r="DH120" i="17"/>
  <c r="DB48" i="21"/>
  <c r="CP150" i="21"/>
  <c r="DH48" i="21"/>
  <c r="CV144" i="21"/>
  <c r="DK58" i="17"/>
  <c r="V177" i="11"/>
  <c r="DB125" i="17"/>
  <c r="DH125" i="17"/>
  <c r="DH144" i="21" l="1"/>
  <c r="DB144" i="21"/>
  <c r="C22" i="12"/>
  <c r="N178" i="11"/>
  <c r="M180" i="11"/>
  <c r="H22" i="12" s="1"/>
  <c r="L178" i="11"/>
  <c r="M179" i="11"/>
  <c r="G22" i="12" s="1"/>
  <c r="N180" i="11"/>
  <c r="M178" i="11"/>
  <c r="F22" i="12" s="1"/>
  <c r="N179" i="11"/>
  <c r="CV150" i="21"/>
  <c r="DB150" i="21" l="1"/>
  <c r="DH150" i="21"/>
  <c r="E22" i="12"/>
  <c r="BO20" i="8" l="1"/>
  <c r="BO17" i="8" s="1"/>
  <c r="BM21" i="8"/>
  <c r="BM172" i="21"/>
  <c r="BM185" i="21"/>
  <c r="BM198" i="21"/>
  <c r="BM67" i="8"/>
  <c r="BO21" i="8" l="1"/>
  <c r="BO67" i="8"/>
  <c r="BM58" i="8"/>
  <c r="BO58" i="8" s="1"/>
  <c r="BO59" i="8" s="1"/>
  <c r="BO40" i="8"/>
  <c r="BO41" i="8" s="1"/>
  <c r="BO52" i="8"/>
  <c r="L81" i="11" s="1"/>
  <c r="BM33" i="8"/>
  <c r="BM59" i="8"/>
  <c r="BO46" i="8"/>
  <c r="BO47" i="8" s="1"/>
  <c r="BO18" i="8"/>
  <c r="BO198" i="21"/>
  <c r="BO199" i="21" s="1"/>
  <c r="BM199" i="21"/>
  <c r="BM213" i="21"/>
  <c r="BO185" i="21"/>
  <c r="BO186" i="21" s="1"/>
  <c r="BM186" i="21"/>
  <c r="BO32" i="8"/>
  <c r="BM64" i="8"/>
  <c r="BM61" i="8" s="1"/>
  <c r="BO172" i="21"/>
  <c r="BO173" i="21" s="1"/>
  <c r="BM173" i="21"/>
  <c r="BO53" i="8" l="1"/>
  <c r="L80" i="11"/>
  <c r="L82" i="11" s="1"/>
  <c r="L83" i="11" s="1"/>
  <c r="BO44" i="8"/>
  <c r="BO55" i="8"/>
  <c r="BO56" i="8" s="1"/>
  <c r="BO61" i="8"/>
  <c r="BM62" i="8"/>
  <c r="BM219" i="21"/>
  <c r="BO213" i="21"/>
  <c r="BO214" i="21" s="1"/>
  <c r="BM214" i="21"/>
  <c r="BM66" i="21"/>
  <c r="BM207" i="21"/>
  <c r="BO64" i="8"/>
  <c r="BO65" i="8" s="1"/>
  <c r="BM65" i="8"/>
  <c r="BO43" i="8"/>
  <c r="BO33" i="8"/>
  <c r="BM42" i="21"/>
  <c r="BO191" i="21"/>
  <c r="BO192" i="21" s="1"/>
  <c r="BM192" i="21"/>
  <c r="BM17" i="21"/>
  <c r="BO178" i="21"/>
  <c r="BO179" i="21" s="1"/>
  <c r="BM179" i="21"/>
  <c r="BO49" i="8"/>
  <c r="BO50" i="8" s="1"/>
  <c r="L91" i="11" l="1"/>
  <c r="BM220" i="21"/>
  <c r="BO42" i="21"/>
  <c r="BM23" i="21"/>
  <c r="BO17" i="21"/>
  <c r="BO10" i="8"/>
  <c r="BO62" i="8"/>
  <c r="BO11" i="8" l="1"/>
  <c r="BO13" i="8"/>
  <c r="BO15" i="8" l="1"/>
  <c r="BO14" i="8"/>
  <c r="BS10" i="8" l="1"/>
  <c r="BS13" i="8"/>
  <c r="BS17" i="8" l="1"/>
  <c r="BY10" i="8"/>
  <c r="BY13" i="8"/>
  <c r="BS18" i="8" l="1"/>
  <c r="BS20" i="8"/>
  <c r="CE13" i="8"/>
  <c r="BS15" i="8"/>
  <c r="CE10" i="8"/>
  <c r="BY17" i="8"/>
  <c r="BY18" i="8" l="1"/>
  <c r="BY20" i="8"/>
  <c r="BY15" i="8"/>
  <c r="CK13" i="8"/>
  <c r="CE17" i="8"/>
  <c r="CE15" i="8" s="1"/>
  <c r="CK10" i="8"/>
  <c r="BS21" i="8"/>
  <c r="BS32" i="8"/>
  <c r="BU20" i="8"/>
  <c r="BS67" i="8"/>
  <c r="BS64" i="8" l="1"/>
  <c r="CQ10" i="8"/>
  <c r="CK17" i="8"/>
  <c r="CK15" i="8" s="1"/>
  <c r="BU17" i="8"/>
  <c r="BU21" i="8"/>
  <c r="BU67" i="8"/>
  <c r="CE18" i="8"/>
  <c r="CE20" i="8"/>
  <c r="BY21" i="8"/>
  <c r="BY32" i="8"/>
  <c r="CA20" i="8"/>
  <c r="BY67" i="8"/>
  <c r="BS33" i="8"/>
  <c r="BS40" i="8"/>
  <c r="BS46" i="8" s="1"/>
  <c r="BS52" i="8"/>
  <c r="BU32" i="8"/>
  <c r="BU33" i="8" s="1"/>
  <c r="BS172" i="21"/>
  <c r="CQ13" i="8"/>
  <c r="CK18" i="8" l="1"/>
  <c r="CK20" i="8"/>
  <c r="BU172" i="21"/>
  <c r="BU173" i="21" s="1"/>
  <c r="BS173" i="21"/>
  <c r="BS178" i="21"/>
  <c r="BY172" i="21"/>
  <c r="BY33" i="8"/>
  <c r="BY40" i="8"/>
  <c r="BY52" i="8"/>
  <c r="CA32" i="8"/>
  <c r="CA33" i="8" s="1"/>
  <c r="CQ17" i="8"/>
  <c r="CW10" i="8"/>
  <c r="BS47" i="8"/>
  <c r="BS49" i="8"/>
  <c r="BS50" i="8" s="1"/>
  <c r="BU46" i="8"/>
  <c r="BS185" i="21"/>
  <c r="BS58" i="8"/>
  <c r="BS41" i="8"/>
  <c r="BU40" i="8"/>
  <c r="BS65" i="8"/>
  <c r="BU64" i="8"/>
  <c r="BU65" i="8" s="1"/>
  <c r="CA17" i="8"/>
  <c r="CA21" i="8"/>
  <c r="CA67" i="8"/>
  <c r="CW13" i="8"/>
  <c r="BS53" i="8"/>
  <c r="BU52" i="8"/>
  <c r="BS198" i="21"/>
  <c r="BY64" i="8"/>
  <c r="CE21" i="8"/>
  <c r="CE32" i="8"/>
  <c r="CG20" i="8"/>
  <c r="CE67" i="8"/>
  <c r="BU18" i="8"/>
  <c r="BS61" i="8"/>
  <c r="BU43" i="8" l="1"/>
  <c r="BU44" i="8"/>
  <c r="BU41" i="8"/>
  <c r="BU47" i="8"/>
  <c r="BU49" i="8"/>
  <c r="BU50" i="8" s="1"/>
  <c r="M80" i="11"/>
  <c r="CQ18" i="8"/>
  <c r="CQ20" i="8"/>
  <c r="BY41" i="8"/>
  <c r="CA40" i="8"/>
  <c r="DC13" i="8"/>
  <c r="CA18" i="8"/>
  <c r="CE64" i="8"/>
  <c r="CG17" i="8"/>
  <c r="CG21" i="8"/>
  <c r="CG67" i="8"/>
  <c r="CE33" i="8"/>
  <c r="CE40" i="8"/>
  <c r="CE52" i="8"/>
  <c r="CG32" i="8"/>
  <c r="CG33" i="8" s="1"/>
  <c r="CE172" i="21"/>
  <c r="BU198" i="21"/>
  <c r="BU199" i="21" s="1"/>
  <c r="BS199" i="21"/>
  <c r="BS206" i="21"/>
  <c r="CQ15" i="8"/>
  <c r="BS59" i="8"/>
  <c r="BU58" i="8"/>
  <c r="BU59" i="8" s="1"/>
  <c r="BY198" i="21"/>
  <c r="BY53" i="8"/>
  <c r="CA52" i="8"/>
  <c r="BY173" i="21"/>
  <c r="BY178" i="21"/>
  <c r="CA172" i="21"/>
  <c r="CA173" i="21" s="1"/>
  <c r="CK21" i="8"/>
  <c r="CK32" i="8"/>
  <c r="CM20" i="8"/>
  <c r="CK67" i="8"/>
  <c r="BY65" i="8"/>
  <c r="CA64" i="8"/>
  <c r="CA65" i="8" s="1"/>
  <c r="BS62" i="8"/>
  <c r="BU61" i="8"/>
  <c r="BY61" i="8"/>
  <c r="BU55" i="8"/>
  <c r="BU56" i="8" s="1"/>
  <c r="BU53" i="8"/>
  <c r="M81" i="11"/>
  <c r="BU185" i="21"/>
  <c r="BU186" i="21" s="1"/>
  <c r="BS186" i="21"/>
  <c r="BS191" i="21"/>
  <c r="BS213" i="21"/>
  <c r="DC10" i="8"/>
  <c r="CW17" i="8"/>
  <c r="BY46" i="8"/>
  <c r="BS17" i="21"/>
  <c r="BU178" i="21"/>
  <c r="BU179" i="21" s="1"/>
  <c r="BS179" i="21"/>
  <c r="BU213" i="21" l="1"/>
  <c r="BU214" i="21" s="1"/>
  <c r="BS214" i="21"/>
  <c r="BS219" i="21"/>
  <c r="CG172" i="21"/>
  <c r="CG173" i="21" s="1"/>
  <c r="CE173" i="21"/>
  <c r="CE178" i="21"/>
  <c r="CE41" i="8"/>
  <c r="CG40" i="8"/>
  <c r="BS42" i="21"/>
  <c r="BU191" i="21"/>
  <c r="BU192" i="21" s="1"/>
  <c r="BS192" i="21"/>
  <c r="CM17" i="8"/>
  <c r="CM21" i="8"/>
  <c r="CM67" i="8"/>
  <c r="BY17" i="21"/>
  <c r="BY179" i="21"/>
  <c r="CA178" i="21"/>
  <c r="CA179" i="21" s="1"/>
  <c r="BY199" i="21"/>
  <c r="BY206" i="21"/>
  <c r="CA198" i="21"/>
  <c r="CA199" i="21" s="1"/>
  <c r="BS66" i="21"/>
  <c r="BU206" i="21"/>
  <c r="BS207" i="21"/>
  <c r="CE65" i="8"/>
  <c r="CG64" i="8"/>
  <c r="CG65" i="8" s="1"/>
  <c r="DI13" i="8"/>
  <c r="CQ21" i="8"/>
  <c r="CQ32" i="8"/>
  <c r="CS20" i="8"/>
  <c r="CQ67" i="8"/>
  <c r="BU10" i="8"/>
  <c r="BU62" i="8"/>
  <c r="CW18" i="8"/>
  <c r="CW20" i="8"/>
  <c r="CK172" i="21"/>
  <c r="CK33" i="8"/>
  <c r="CK40" i="8"/>
  <c r="CK46" i="8" s="1"/>
  <c r="CK52" i="8"/>
  <c r="CM32" i="8"/>
  <c r="CM33" i="8" s="1"/>
  <c r="CE53" i="8"/>
  <c r="CG52" i="8"/>
  <c r="CE198" i="21"/>
  <c r="CE61" i="8"/>
  <c r="CW15" i="8"/>
  <c r="BU17" i="21"/>
  <c r="BY185" i="21"/>
  <c r="BY47" i="8"/>
  <c r="BY49" i="8"/>
  <c r="BY50" i="8" s="1"/>
  <c r="CA46" i="8"/>
  <c r="BY58" i="8"/>
  <c r="DC17" i="8"/>
  <c r="DI10" i="8"/>
  <c r="BY62" i="8"/>
  <c r="CA61" i="8"/>
  <c r="CA55" i="8"/>
  <c r="CA56" i="8" s="1"/>
  <c r="CA53" i="8"/>
  <c r="N81" i="11"/>
  <c r="CE46" i="8"/>
  <c r="CA43" i="8"/>
  <c r="CA44" i="8"/>
  <c r="CA41" i="8"/>
  <c r="M82" i="11"/>
  <c r="CK64" i="8"/>
  <c r="CG18" i="8"/>
  <c r="DI17" i="8" l="1"/>
  <c r="DI15" i="8" s="1"/>
  <c r="CA10" i="8"/>
  <c r="CA62" i="8"/>
  <c r="BY186" i="21"/>
  <c r="BY191" i="21"/>
  <c r="BY213" i="21"/>
  <c r="CA185" i="21"/>
  <c r="CA186" i="21" s="1"/>
  <c r="CA47" i="8"/>
  <c r="CA49" i="8"/>
  <c r="CA50" i="8" s="1"/>
  <c r="N80" i="11"/>
  <c r="N82" i="11" s="1"/>
  <c r="CG198" i="21"/>
  <c r="CG199" i="21" s="1"/>
  <c r="CE199" i="21"/>
  <c r="CE206" i="21"/>
  <c r="CK198" i="21"/>
  <c r="CK53" i="8"/>
  <c r="CM52" i="8"/>
  <c r="CK173" i="21"/>
  <c r="CK178" i="21"/>
  <c r="CM172" i="21"/>
  <c r="CM173" i="21" s="1"/>
  <c r="BU11" i="8"/>
  <c r="BU13" i="8"/>
  <c r="CM18" i="8"/>
  <c r="CG41" i="8"/>
  <c r="CG43" i="8"/>
  <c r="CG44" i="8"/>
  <c r="CE47" i="8"/>
  <c r="CE49" i="8"/>
  <c r="CE50" i="8" s="1"/>
  <c r="CG46" i="8"/>
  <c r="CE185" i="21"/>
  <c r="CE58" i="8"/>
  <c r="CE62" i="8"/>
  <c r="CG61" i="8"/>
  <c r="CQ33" i="8"/>
  <c r="CQ40" i="8"/>
  <c r="CQ46" i="8" s="1"/>
  <c r="CQ52" i="8"/>
  <c r="CS32" i="8"/>
  <c r="CS33" i="8" s="1"/>
  <c r="CQ172" i="21"/>
  <c r="BU66" i="21"/>
  <c r="CK65" i="8"/>
  <c r="CM64" i="8"/>
  <c r="CM65" i="8" s="1"/>
  <c r="CG53" i="8"/>
  <c r="CG55" i="8"/>
  <c r="CG56" i="8" s="1"/>
  <c r="O81" i="11"/>
  <c r="CK185" i="21"/>
  <c r="CK47" i="8"/>
  <c r="CK49" i="8"/>
  <c r="CM46" i="8"/>
  <c r="CK58" i="8"/>
  <c r="CW21" i="8"/>
  <c r="CW32" i="8"/>
  <c r="CY20" i="8"/>
  <c r="CW67" i="8"/>
  <c r="CQ64" i="8"/>
  <c r="BY66" i="21"/>
  <c r="BY207" i="21"/>
  <c r="CA206" i="21"/>
  <c r="CA207" i="21" s="1"/>
  <c r="CA17" i="21"/>
  <c r="BU219" i="21"/>
  <c r="BS220" i="21"/>
  <c r="M83" i="11"/>
  <c r="BY59" i="8"/>
  <c r="CA58" i="8"/>
  <c r="CA59" i="8" s="1"/>
  <c r="BU42" i="21"/>
  <c r="CK61" i="8"/>
  <c r="DC18" i="8"/>
  <c r="DC20" i="8"/>
  <c r="CK41" i="8"/>
  <c r="CM40" i="8"/>
  <c r="CS17" i="8"/>
  <c r="CS21" i="8"/>
  <c r="CS67" i="8"/>
  <c r="DC15" i="8"/>
  <c r="CE17" i="21"/>
  <c r="CG178" i="21"/>
  <c r="CG179" i="21" s="1"/>
  <c r="CE179" i="21"/>
  <c r="DI18" i="8" l="1"/>
  <c r="DI20" i="8"/>
  <c r="DI21" i="8" s="1"/>
  <c r="CK50" i="8"/>
  <c r="M91" i="11"/>
  <c r="CQ47" i="8"/>
  <c r="CQ49" i="8"/>
  <c r="CQ50" i="8" s="1"/>
  <c r="CS46" i="8"/>
  <c r="CQ185" i="21"/>
  <c r="CQ58" i="8"/>
  <c r="CY17" i="8"/>
  <c r="CY21" i="8"/>
  <c r="CY67" i="8"/>
  <c r="CM47" i="8"/>
  <c r="CM49" i="8"/>
  <c r="P80" i="11"/>
  <c r="CG185" i="21"/>
  <c r="CG186" i="21" s="1"/>
  <c r="CE186" i="21"/>
  <c r="CE191" i="21"/>
  <c r="CE213" i="21"/>
  <c r="CK17" i="21"/>
  <c r="CK179" i="21"/>
  <c r="CM178" i="21"/>
  <c r="CM179" i="21" s="1"/>
  <c r="CK199" i="21"/>
  <c r="CK206" i="21"/>
  <c r="CM198" i="21"/>
  <c r="CM199" i="21" s="1"/>
  <c r="BY42" i="21"/>
  <c r="BY192" i="21"/>
  <c r="CA191" i="21"/>
  <c r="CA192" i="21" s="1"/>
  <c r="CK186" i="21"/>
  <c r="CK191" i="21"/>
  <c r="CK213" i="21"/>
  <c r="CM185" i="21"/>
  <c r="CM41" i="8"/>
  <c r="CM43" i="8"/>
  <c r="CM44" i="8"/>
  <c r="CK62" i="8"/>
  <c r="CM61" i="8"/>
  <c r="CQ65" i="8"/>
  <c r="CS64" i="8"/>
  <c r="CS65" i="8" s="1"/>
  <c r="CW172" i="21"/>
  <c r="CW33" i="8"/>
  <c r="CW40" i="8"/>
  <c r="CW46" i="8" s="1"/>
  <c r="CW52" i="8"/>
  <c r="CY32" i="8"/>
  <c r="CY33" i="8" s="1"/>
  <c r="CQ53" i="8"/>
  <c r="CS52" i="8"/>
  <c r="CS55" i="8" s="1"/>
  <c r="CQ198" i="21"/>
  <c r="CG10" i="8"/>
  <c r="CG11" i="8" s="1"/>
  <c r="CG62" i="8"/>
  <c r="CG47" i="8"/>
  <c r="CG49" i="8"/>
  <c r="CG50" i="8" s="1"/>
  <c r="O80" i="11"/>
  <c r="O82" i="11" s="1"/>
  <c r="O83" i="11" s="1"/>
  <c r="O86" i="11" s="1"/>
  <c r="BU14" i="8"/>
  <c r="BU15" i="8"/>
  <c r="CE66" i="21"/>
  <c r="CG206" i="21"/>
  <c r="CG207" i="21" s="1"/>
  <c r="CE207" i="21"/>
  <c r="CW64" i="8"/>
  <c r="CW61" i="8" s="1"/>
  <c r="DI32" i="8"/>
  <c r="DI67" i="8"/>
  <c r="DC21" i="8"/>
  <c r="DC32" i="8"/>
  <c r="DE20" i="8"/>
  <c r="DC67" i="8"/>
  <c r="CQ61" i="8"/>
  <c r="CM53" i="8"/>
  <c r="CM55" i="8"/>
  <c r="CM56" i="8" s="1"/>
  <c r="P81" i="11"/>
  <c r="CG17" i="21"/>
  <c r="CS18" i="8"/>
  <c r="CA66" i="21"/>
  <c r="CK59" i="8"/>
  <c r="CM58" i="8"/>
  <c r="CS172" i="21"/>
  <c r="CS173" i="21" s="1"/>
  <c r="CQ173" i="21"/>
  <c r="CQ178" i="21"/>
  <c r="CQ41" i="8"/>
  <c r="CS40" i="8"/>
  <c r="CE59" i="8"/>
  <c r="CG58" i="8"/>
  <c r="CG59" i="8" s="1"/>
  <c r="N83" i="11"/>
  <c r="N86" i="11" s="1"/>
  <c r="BY214" i="21"/>
  <c r="BY219" i="21"/>
  <c r="CA213" i="21"/>
  <c r="CA214" i="21" s="1"/>
  <c r="CA11" i="8"/>
  <c r="CA13" i="8"/>
  <c r="DK20" i="8" l="1"/>
  <c r="DK67" i="8" s="1"/>
  <c r="CM186" i="21"/>
  <c r="CW185" i="21"/>
  <c r="CW47" i="8"/>
  <c r="CW49" i="8"/>
  <c r="CW50" i="8" s="1"/>
  <c r="CY46" i="8"/>
  <c r="CW58" i="8"/>
  <c r="CA14" i="8"/>
  <c r="CA15" i="8"/>
  <c r="DC33" i="8"/>
  <c r="DC40" i="8"/>
  <c r="DC46" i="8" s="1"/>
  <c r="DC52" i="8"/>
  <c r="DE32" i="8"/>
  <c r="DE33" i="8" s="1"/>
  <c r="DC172" i="21"/>
  <c r="DI172" i="21"/>
  <c r="DI33" i="8"/>
  <c r="DI40" i="8"/>
  <c r="DI46" i="8" s="1"/>
  <c r="DI52" i="8"/>
  <c r="DK32" i="8"/>
  <c r="CG13" i="8"/>
  <c r="CM10" i="8"/>
  <c r="CM11" i="8" s="1"/>
  <c r="CM62" i="8"/>
  <c r="CK66" i="21"/>
  <c r="CK207" i="21"/>
  <c r="CM206" i="21"/>
  <c r="CM207" i="21" s="1"/>
  <c r="CM17" i="21"/>
  <c r="CS185" i="21"/>
  <c r="CS186" i="21" s="1"/>
  <c r="CQ186" i="21"/>
  <c r="CQ191" i="21"/>
  <c r="CQ213" i="21"/>
  <c r="BY220" i="21"/>
  <c r="CA219" i="21"/>
  <c r="CA220" i="21" s="1"/>
  <c r="CS43" i="8"/>
  <c r="CS44" i="8"/>
  <c r="CS41" i="8"/>
  <c r="CQ62" i="8"/>
  <c r="CS61" i="8"/>
  <c r="CG66" i="21"/>
  <c r="CS198" i="21"/>
  <c r="CS199" i="21" s="1"/>
  <c r="CQ199" i="21"/>
  <c r="CQ206" i="21"/>
  <c r="CW198" i="21"/>
  <c r="CW53" i="8"/>
  <c r="CY52" i="8"/>
  <c r="CW173" i="21"/>
  <c r="CW178" i="21"/>
  <c r="CY172" i="21"/>
  <c r="CY173" i="21" s="1"/>
  <c r="CG213" i="21"/>
  <c r="CG214" i="21" s="1"/>
  <c r="CE214" i="21"/>
  <c r="CE219" i="21"/>
  <c r="P82" i="11"/>
  <c r="P83" i="11" s="1"/>
  <c r="P86" i="11" s="1"/>
  <c r="CS47" i="8"/>
  <c r="CS49" i="8"/>
  <c r="CS50" i="8" s="1"/>
  <c r="Q80" i="11"/>
  <c r="N91" i="11"/>
  <c r="CM59" i="8"/>
  <c r="DC64" i="8"/>
  <c r="DC61" i="8" s="1"/>
  <c r="DI64" i="8"/>
  <c r="CW65" i="8"/>
  <c r="CY64" i="8"/>
  <c r="CY65" i="8" s="1"/>
  <c r="CS56" i="8"/>
  <c r="CS53" i="8"/>
  <c r="Q81" i="11"/>
  <c r="CK214" i="21"/>
  <c r="CK219" i="21"/>
  <c r="CM213" i="21"/>
  <c r="CA42" i="21"/>
  <c r="CE42" i="21"/>
  <c r="CG191" i="21"/>
  <c r="CG192" i="21" s="1"/>
  <c r="CE192" i="21"/>
  <c r="CM50" i="8"/>
  <c r="CY18" i="8"/>
  <c r="CQ17" i="21"/>
  <c r="CS178" i="21"/>
  <c r="CS179" i="21" s="1"/>
  <c r="CQ179" i="21"/>
  <c r="DE17" i="8"/>
  <c r="DE21" i="8"/>
  <c r="DE67" i="8"/>
  <c r="CW62" i="8"/>
  <c r="CY61" i="8"/>
  <c r="CW41" i="8"/>
  <c r="CY40" i="8"/>
  <c r="CK42" i="21"/>
  <c r="CK192" i="21"/>
  <c r="CM191" i="21"/>
  <c r="CQ59" i="8"/>
  <c r="CS58" i="8"/>
  <c r="CS59" i="8" s="1"/>
  <c r="DK21" i="8" l="1"/>
  <c r="DK17" i="8"/>
  <c r="DK18" i="8" s="1"/>
  <c r="CM192" i="21"/>
  <c r="DC47" i="8"/>
  <c r="DC49" i="8"/>
  <c r="DC50" i="8" s="1"/>
  <c r="DE46" i="8"/>
  <c r="DC185" i="21"/>
  <c r="DC58" i="8"/>
  <c r="CG42" i="21"/>
  <c r="CQ66" i="21"/>
  <c r="CS206" i="21"/>
  <c r="CS207" i="21" s="1"/>
  <c r="CQ207" i="21"/>
  <c r="DI41" i="8"/>
  <c r="DK40" i="8"/>
  <c r="DI65" i="8"/>
  <c r="DK64" i="8"/>
  <c r="DI61" i="8"/>
  <c r="CY43" i="8"/>
  <c r="CY44" i="8"/>
  <c r="CY41" i="8"/>
  <c r="CS17" i="21"/>
  <c r="DC65" i="8"/>
  <c r="DE64" i="8"/>
  <c r="DE65" i="8" s="1"/>
  <c r="Q82" i="11"/>
  <c r="Q83" i="11" s="1"/>
  <c r="Q86" i="11" s="1"/>
  <c r="CG219" i="21"/>
  <c r="CG220" i="21" s="1"/>
  <c r="CE220" i="21"/>
  <c r="CY55" i="8"/>
  <c r="CY56" i="8" s="1"/>
  <c r="CY53" i="8"/>
  <c r="R81" i="11"/>
  <c r="CS213" i="21"/>
  <c r="CS214" i="21" s="1"/>
  <c r="CQ214" i="21"/>
  <c r="CQ219" i="21"/>
  <c r="CM66" i="21"/>
  <c r="DK33" i="8"/>
  <c r="DC53" i="8"/>
  <c r="DE52" i="8"/>
  <c r="DC198" i="21"/>
  <c r="CY10" i="8"/>
  <c r="CY11" i="8" s="1"/>
  <c r="CY62" i="8"/>
  <c r="CK220" i="21"/>
  <c r="CM219" i="21"/>
  <c r="CM42" i="21"/>
  <c r="DE18" i="8"/>
  <c r="CM214" i="21"/>
  <c r="DC62" i="8"/>
  <c r="DE61" i="8"/>
  <c r="CS10" i="8"/>
  <c r="CS11" i="8" s="1"/>
  <c r="CS62" i="8"/>
  <c r="CQ42" i="21"/>
  <c r="CS191" i="21"/>
  <c r="CS192" i="21" s="1"/>
  <c r="CQ192" i="21"/>
  <c r="DI198" i="21"/>
  <c r="DI53" i="8"/>
  <c r="DK52" i="8"/>
  <c r="DI173" i="21"/>
  <c r="DI178" i="21"/>
  <c r="DK172" i="21"/>
  <c r="CW59" i="8"/>
  <c r="CY58" i="8"/>
  <c r="CY59" i="8" s="1"/>
  <c r="CW186" i="21"/>
  <c r="CW191" i="21"/>
  <c r="CW213" i="21"/>
  <c r="CY185" i="21"/>
  <c r="CY186" i="21" s="1"/>
  <c r="CW17" i="21"/>
  <c r="CW179" i="21"/>
  <c r="CY178" i="21"/>
  <c r="CY179" i="21" s="1"/>
  <c r="CW199" i="21"/>
  <c r="CW206" i="21"/>
  <c r="CY198" i="21"/>
  <c r="CY199" i="21" s="1"/>
  <c r="CM13" i="8"/>
  <c r="CG15" i="8"/>
  <c r="CG14" i="8"/>
  <c r="DI185" i="21"/>
  <c r="DI47" i="8"/>
  <c r="DI49" i="8"/>
  <c r="DK46" i="8"/>
  <c r="DI58" i="8"/>
  <c r="DE172" i="21"/>
  <c r="DE173" i="21" s="1"/>
  <c r="DC173" i="21"/>
  <c r="DC178" i="21"/>
  <c r="DC41" i="8"/>
  <c r="DE40" i="8"/>
  <c r="CY47" i="8"/>
  <c r="CY49" i="8"/>
  <c r="CY50" i="8" s="1"/>
  <c r="R80" i="11"/>
  <c r="R82" i="11" l="1"/>
  <c r="R83" i="11" s="1"/>
  <c r="R86" i="11" s="1"/>
  <c r="V85" i="11" s="1"/>
  <c r="CM220" i="21"/>
  <c r="DI50" i="8"/>
  <c r="DI59" i="8"/>
  <c r="DK58" i="8"/>
  <c r="CS42" i="21"/>
  <c r="CS219" i="21"/>
  <c r="CS220" i="21" s="1"/>
  <c r="CQ220" i="21"/>
  <c r="DK41" i="8"/>
  <c r="DK43" i="8"/>
  <c r="DK44" i="8"/>
  <c r="CS66" i="21"/>
  <c r="CM14" i="8"/>
  <c r="CM15" i="8"/>
  <c r="DI17" i="21"/>
  <c r="DI179" i="21"/>
  <c r="DK178" i="21"/>
  <c r="DI186" i="21"/>
  <c r="DI191" i="21"/>
  <c r="DI213" i="21"/>
  <c r="DK185" i="21"/>
  <c r="DC17" i="21"/>
  <c r="DE178" i="21"/>
  <c r="DE179" i="21" s="1"/>
  <c r="DC179" i="21"/>
  <c r="DK47" i="8"/>
  <c r="DK49" i="8"/>
  <c r="CW66" i="21"/>
  <c r="CW207" i="21"/>
  <c r="CY206" i="21"/>
  <c r="CY207" i="21" s="1"/>
  <c r="CY17" i="21"/>
  <c r="CW214" i="21"/>
  <c r="CW219" i="21"/>
  <c r="CY213" i="21"/>
  <c r="CY214" i="21" s="1"/>
  <c r="DK53" i="8"/>
  <c r="DK55" i="8"/>
  <c r="CY13" i="8"/>
  <c r="DI62" i="8"/>
  <c r="DK61" i="8"/>
  <c r="DC59" i="8"/>
  <c r="DE58" i="8"/>
  <c r="DE59" i="8" s="1"/>
  <c r="DE41" i="8"/>
  <c r="DE43" i="8"/>
  <c r="DE44" i="8"/>
  <c r="CW42" i="21"/>
  <c r="CW192" i="21"/>
  <c r="CY191" i="21"/>
  <c r="CY192" i="21" s="1"/>
  <c r="DK173" i="21"/>
  <c r="CS13" i="8"/>
  <c r="DE198" i="21"/>
  <c r="DE199" i="21" s="1"/>
  <c r="DC199" i="21"/>
  <c r="DC206" i="21"/>
  <c r="DK65" i="8"/>
  <c r="DE185" i="21"/>
  <c r="DE186" i="21" s="1"/>
  <c r="DC186" i="21"/>
  <c r="DC191" i="21"/>
  <c r="DC213" i="21"/>
  <c r="DI199" i="21"/>
  <c r="DI206" i="21"/>
  <c r="DK198" i="21"/>
  <c r="DE10" i="8"/>
  <c r="DE11" i="8" s="1"/>
  <c r="DE62" i="8"/>
  <c r="DE53" i="8"/>
  <c r="DE55" i="8"/>
  <c r="DE56" i="8" s="1"/>
  <c r="DE47" i="8"/>
  <c r="DE49" i="8"/>
  <c r="DE50" i="8" s="1"/>
  <c r="S86" i="11" l="1"/>
  <c r="V86" i="11" s="1"/>
  <c r="V87" i="11" s="1"/>
  <c r="L90" i="11" s="1"/>
  <c r="DK199" i="21"/>
  <c r="DK56" i="8"/>
  <c r="DI214" i="21"/>
  <c r="DI219" i="21"/>
  <c r="DK213" i="21"/>
  <c r="DC42" i="21"/>
  <c r="DE191" i="21"/>
  <c r="DE192" i="21" s="1"/>
  <c r="DC192" i="21"/>
  <c r="DC66" i="21"/>
  <c r="DE206" i="21"/>
  <c r="DE207" i="21" s="1"/>
  <c r="DC207" i="21"/>
  <c r="CY42" i="21"/>
  <c r="CY14" i="8"/>
  <c r="CY15" i="8"/>
  <c r="CY66" i="21"/>
  <c r="DI42" i="21"/>
  <c r="DI192" i="21"/>
  <c r="DK191" i="21"/>
  <c r="DK179" i="21"/>
  <c r="DE13" i="8"/>
  <c r="DI66" i="21"/>
  <c r="DI207" i="21"/>
  <c r="DK206" i="21"/>
  <c r="DK50" i="8"/>
  <c r="DE17" i="21"/>
  <c r="DK59" i="8"/>
  <c r="DE213" i="21"/>
  <c r="DE214" i="21" s="1"/>
  <c r="DC214" i="21"/>
  <c r="DC219" i="21"/>
  <c r="DK10" i="8"/>
  <c r="DK11" i="8" s="1"/>
  <c r="DK62" i="8"/>
  <c r="CW220" i="21"/>
  <c r="CY219" i="21"/>
  <c r="CY220" i="21" s="1"/>
  <c r="DK186" i="21"/>
  <c r="DK17" i="21"/>
  <c r="CS14" i="8"/>
  <c r="CS15" i="8"/>
  <c r="DK207" i="21" l="1"/>
  <c r="N88" i="11"/>
  <c r="L88" i="11"/>
  <c r="N89" i="11"/>
  <c r="M88" i="11"/>
  <c r="F17" i="12" s="1"/>
  <c r="M90" i="11"/>
  <c r="H17" i="12" s="1"/>
  <c r="C17" i="12"/>
  <c r="N90" i="11"/>
  <c r="L89" i="11"/>
  <c r="M89" i="11"/>
  <c r="G17" i="12" s="1"/>
  <c r="DK192" i="21"/>
  <c r="DK214" i="21"/>
  <c r="DE219" i="21"/>
  <c r="DE220" i="21" s="1"/>
  <c r="DC220" i="21"/>
  <c r="DE15" i="8"/>
  <c r="DE14" i="8"/>
  <c r="DI220" i="21"/>
  <c r="DK219" i="21"/>
  <c r="DK42" i="21"/>
  <c r="DK66" i="21"/>
  <c r="DE66" i="21"/>
  <c r="DK13" i="8"/>
  <c r="DE42" i="21"/>
  <c r="E17" i="12" l="1"/>
  <c r="DK220" i="21"/>
  <c r="DK14" i="8"/>
  <c r="DK15" i="8"/>
  <c r="BM13" i="7"/>
  <c r="BM10" i="7" s="1"/>
  <c r="BM64" i="7"/>
  <c r="BM61" i="7" s="1"/>
  <c r="BM65" i="7"/>
  <c r="BO61" i="7" l="1"/>
  <c r="BM62" i="7"/>
  <c r="BO64" i="7"/>
  <c r="BO65" i="7" s="1"/>
  <c r="BS10" i="7"/>
  <c r="BM11" i="7"/>
  <c r="BM14" i="7"/>
  <c r="BS13" i="7"/>
  <c r="BY10" i="7" l="1"/>
  <c r="BS17" i="7"/>
  <c r="BO10" i="7"/>
  <c r="BO62" i="7"/>
  <c r="BY13" i="7"/>
  <c r="BS15" i="7"/>
  <c r="CE13" i="7" l="1"/>
  <c r="CE10" i="7"/>
  <c r="BY17" i="7"/>
  <c r="BO13" i="7"/>
  <c r="BO11" i="7"/>
  <c r="BS18" i="7"/>
  <c r="BS20" i="7"/>
  <c r="BO15" i="7" l="1"/>
  <c r="BO14" i="7"/>
  <c r="BY18" i="7"/>
  <c r="BY20" i="7"/>
  <c r="CK13" i="7"/>
  <c r="BS21" i="7"/>
  <c r="BS67" i="7"/>
  <c r="BU20" i="7"/>
  <c r="CK10" i="7"/>
  <c r="CE17" i="7"/>
  <c r="BY15" i="7"/>
  <c r="BS64" i="7" l="1"/>
  <c r="BS61" i="7" s="1"/>
  <c r="CA20" i="7"/>
  <c r="BY21" i="7"/>
  <c r="BY67" i="7"/>
  <c r="CQ13" i="7"/>
  <c r="CE18" i="7"/>
  <c r="CE20" i="7"/>
  <c r="CQ10" i="7"/>
  <c r="CK17" i="7"/>
  <c r="CK15" i="7" s="1"/>
  <c r="BU17" i="7"/>
  <c r="BU21" i="7"/>
  <c r="BU67" i="7"/>
  <c r="CE15" i="7"/>
  <c r="BU61" i="7" l="1"/>
  <c r="BS62" i="7"/>
  <c r="CK18" i="7"/>
  <c r="CK20" i="7"/>
  <c r="BU18" i="7"/>
  <c r="CW10" i="7"/>
  <c r="CQ17" i="7"/>
  <c r="CQ15" i="7" s="1"/>
  <c r="CW13" i="7"/>
  <c r="CA21" i="7"/>
  <c r="CA67" i="7"/>
  <c r="CA17" i="7"/>
  <c r="CE21" i="7"/>
  <c r="CE67" i="7"/>
  <c r="CG20" i="7"/>
  <c r="BY64" i="7"/>
  <c r="BY61" i="7" s="1"/>
  <c r="BU64" i="7"/>
  <c r="BU65" i="7" s="1"/>
  <c r="BS65" i="7"/>
  <c r="CG17" i="7" l="1"/>
  <c r="CG21" i="7"/>
  <c r="CG67" i="7"/>
  <c r="DC13" i="7"/>
  <c r="CE64" i="7"/>
  <c r="CQ18" i="7"/>
  <c r="CQ20" i="7"/>
  <c r="CA61" i="7"/>
  <c r="BY62" i="7"/>
  <c r="CM20" i="7"/>
  <c r="CK21" i="7"/>
  <c r="CK67" i="7"/>
  <c r="CA18" i="7"/>
  <c r="CA64" i="7"/>
  <c r="CA65" i="7" s="1"/>
  <c r="BY65" i="7"/>
  <c r="DC10" i="7"/>
  <c r="CW17" i="7"/>
  <c r="CW15" i="7" s="1"/>
  <c r="BU10" i="7"/>
  <c r="BU62" i="7"/>
  <c r="CM21" i="7" l="1"/>
  <c r="CM67" i="7"/>
  <c r="CM17" i="7"/>
  <c r="CK64" i="7"/>
  <c r="DI13" i="7"/>
  <c r="DI10" i="7"/>
  <c r="DC17" i="7"/>
  <c r="DC15" i="7" s="1"/>
  <c r="CG18" i="7"/>
  <c r="CA10" i="7"/>
  <c r="CA62" i="7"/>
  <c r="CG64" i="7"/>
  <c r="CG65" i="7" s="1"/>
  <c r="CE65" i="7"/>
  <c r="BU11" i="7"/>
  <c r="BU13" i="7"/>
  <c r="CQ21" i="7"/>
  <c r="CQ67" i="7"/>
  <c r="CS20" i="7"/>
  <c r="CW18" i="7"/>
  <c r="CW20" i="7"/>
  <c r="CE61" i="7"/>
  <c r="DI17" i="7" l="1"/>
  <c r="DI18" i="7" s="1"/>
  <c r="CA11" i="7"/>
  <c r="CA13" i="7"/>
  <c r="CM18" i="7"/>
  <c r="BU14" i="7"/>
  <c r="BU15" i="7"/>
  <c r="CG61" i="7"/>
  <c r="CE62" i="7"/>
  <c r="CS21" i="7"/>
  <c r="CS67" i="7"/>
  <c r="CS17" i="7"/>
  <c r="DC18" i="7"/>
  <c r="DC20" i="7"/>
  <c r="CM64" i="7"/>
  <c r="CM65" i="7" s="1"/>
  <c r="CK65" i="7"/>
  <c r="CQ64" i="7"/>
  <c r="CQ61" i="7" s="1"/>
  <c r="CK61" i="7"/>
  <c r="CY20" i="7"/>
  <c r="CW21" i="7"/>
  <c r="CW67" i="7"/>
  <c r="DI15" i="7" l="1"/>
  <c r="DI20" i="7"/>
  <c r="DI21" i="7" s="1"/>
  <c r="CM61" i="7"/>
  <c r="CK62" i="7"/>
  <c r="CS64" i="7"/>
  <c r="CS65" i="7" s="1"/>
  <c r="CQ65" i="7"/>
  <c r="CA14" i="7"/>
  <c r="CA15" i="7"/>
  <c r="CY17" i="7"/>
  <c r="CY21" i="7"/>
  <c r="CY67" i="7"/>
  <c r="DC21" i="7"/>
  <c r="DC67" i="7"/>
  <c r="DE20" i="7"/>
  <c r="CS61" i="7"/>
  <c r="CQ62" i="7"/>
  <c r="CW64" i="7"/>
  <c r="CS18" i="7"/>
  <c r="CG10" i="7"/>
  <c r="CG62" i="7"/>
  <c r="DK20" i="7" l="1"/>
  <c r="DK17" i="7" s="1"/>
  <c r="DI67" i="7"/>
  <c r="DI64" i="7" s="1"/>
  <c r="CY64" i="7"/>
  <c r="CY65" i="7" s="1"/>
  <c r="CW65" i="7"/>
  <c r="DE17" i="7"/>
  <c r="DE21" i="7"/>
  <c r="DE67" i="7"/>
  <c r="CS10" i="7"/>
  <c r="CS62" i="7"/>
  <c r="CG11" i="7"/>
  <c r="CG13" i="7"/>
  <c r="CW61" i="7"/>
  <c r="DC64" i="7"/>
  <c r="DC61" i="7" s="1"/>
  <c r="CY18" i="7"/>
  <c r="CM10" i="7"/>
  <c r="CM62" i="7"/>
  <c r="DK21" i="7" l="1"/>
  <c r="DK67" i="7"/>
  <c r="DE61" i="7"/>
  <c r="DC62" i="7"/>
  <c r="DK64" i="7"/>
  <c r="DI65" i="7"/>
  <c r="DI61" i="7"/>
  <c r="CG14" i="7"/>
  <c r="CG15" i="7"/>
  <c r="DE64" i="7"/>
  <c r="DE65" i="7" s="1"/>
  <c r="DC65" i="7"/>
  <c r="CM11" i="7"/>
  <c r="CM13" i="7"/>
  <c r="DK18" i="7"/>
  <c r="DE18" i="7"/>
  <c r="CY61" i="7"/>
  <c r="CW62" i="7"/>
  <c r="CS11" i="7"/>
  <c r="CS13" i="7"/>
  <c r="CM14" i="7" l="1"/>
  <c r="CM15" i="7"/>
  <c r="DK61" i="7"/>
  <c r="DI62" i="7"/>
  <c r="CY10" i="7"/>
  <c r="CY62" i="7"/>
  <c r="CS14" i="7"/>
  <c r="CS15" i="7"/>
  <c r="DK65" i="7"/>
  <c r="DE10" i="7"/>
  <c r="DE62" i="7"/>
  <c r="DK10" i="7" l="1"/>
  <c r="DK62" i="7"/>
  <c r="DE11" i="7"/>
  <c r="DE13" i="7"/>
  <c r="CY11" i="7"/>
  <c r="CY13" i="7"/>
  <c r="DK11" i="7" l="1"/>
  <c r="DK13" i="7"/>
  <c r="CY14" i="7"/>
  <c r="CY15" i="7"/>
  <c r="DE14" i="7"/>
  <c r="DE15" i="7"/>
  <c r="DK14" i="7" l="1"/>
  <c r="DK15" i="7"/>
  <c r="BS26" i="7"/>
  <c r="BY26" i="7" l="1"/>
  <c r="BS29" i="7"/>
  <c r="BY29" i="7" l="1"/>
  <c r="CE26" i="7"/>
  <c r="BS30" i="7"/>
  <c r="BS32" i="7"/>
  <c r="BY30" i="7" l="1"/>
  <c r="BY32" i="7"/>
  <c r="BS83" i="21"/>
  <c r="BS33" i="7"/>
  <c r="BS40" i="7"/>
  <c r="BS46" i="7" s="1"/>
  <c r="BS52" i="7"/>
  <c r="CK26" i="7"/>
  <c r="CE29" i="7"/>
  <c r="BS105" i="21" l="1"/>
  <c r="BS47" i="7"/>
  <c r="BS49" i="7"/>
  <c r="BS50" i="7" s="1"/>
  <c r="BS58" i="7"/>
  <c r="BY83" i="21"/>
  <c r="BY33" i="7"/>
  <c r="BY40" i="7"/>
  <c r="BY46" i="7" s="1"/>
  <c r="BY52" i="7"/>
  <c r="BS41" i="7"/>
  <c r="CE30" i="7"/>
  <c r="CE32" i="7"/>
  <c r="CK29" i="7"/>
  <c r="CQ26" i="7"/>
  <c r="BS127" i="21"/>
  <c r="BS53" i="7"/>
  <c r="BY41" i="7" l="1"/>
  <c r="CE83" i="21"/>
  <c r="CE33" i="7"/>
  <c r="CE40" i="7"/>
  <c r="CE46" i="7" s="1"/>
  <c r="CE52" i="7"/>
  <c r="BY105" i="21"/>
  <c r="BY47" i="7"/>
  <c r="BY49" i="7"/>
  <c r="BY50" i="7" s="1"/>
  <c r="BY58" i="7"/>
  <c r="CW26" i="7"/>
  <c r="CQ29" i="7"/>
  <c r="BS59" i="7"/>
  <c r="CK30" i="7"/>
  <c r="CK32" i="7"/>
  <c r="BY127" i="21"/>
  <c r="BY53" i="7"/>
  <c r="CE105" i="21" l="1"/>
  <c r="CE47" i="7"/>
  <c r="CE49" i="7"/>
  <c r="CE50" i="7" s="1"/>
  <c r="CE58" i="7"/>
  <c r="CE127" i="21"/>
  <c r="CE53" i="7"/>
  <c r="CK83" i="21"/>
  <c r="CK33" i="7"/>
  <c r="CK40" i="7"/>
  <c r="CK46" i="7" s="1"/>
  <c r="CK52" i="7"/>
  <c r="BY59" i="7"/>
  <c r="CQ30" i="7"/>
  <c r="CQ32" i="7"/>
  <c r="CE41" i="7"/>
  <c r="CW29" i="7"/>
  <c r="DC26" i="7"/>
  <c r="CQ83" i="21" l="1"/>
  <c r="CQ33" i="7"/>
  <c r="CQ40" i="7"/>
  <c r="CQ46" i="7" s="1"/>
  <c r="CQ52" i="7"/>
  <c r="CE59" i="7"/>
  <c r="CK127" i="21"/>
  <c r="CK53" i="7"/>
  <c r="CW30" i="7"/>
  <c r="CW32" i="7"/>
  <c r="CK105" i="21"/>
  <c r="CK47" i="7"/>
  <c r="CK49" i="7"/>
  <c r="CK50" i="7" s="1"/>
  <c r="CK58" i="7"/>
  <c r="DI26" i="7"/>
  <c r="DI29" i="7" s="1"/>
  <c r="DC29" i="7"/>
  <c r="CK41" i="7"/>
  <c r="CW83" i="21" l="1"/>
  <c r="CW33" i="7"/>
  <c r="CW40" i="7"/>
  <c r="CW46" i="7" s="1"/>
  <c r="CW52" i="7"/>
  <c r="CQ127" i="21"/>
  <c r="CQ53" i="7"/>
  <c r="DC30" i="7"/>
  <c r="DC32" i="7"/>
  <c r="CQ105" i="21"/>
  <c r="CQ47" i="7"/>
  <c r="CQ49" i="7"/>
  <c r="CQ50" i="7" s="1"/>
  <c r="CQ58" i="7"/>
  <c r="DI30" i="7"/>
  <c r="DI32" i="7"/>
  <c r="CK59" i="7"/>
  <c r="CQ41" i="7"/>
  <c r="CW105" i="21" l="1"/>
  <c r="CW47" i="7"/>
  <c r="CW49" i="7"/>
  <c r="CW50" i="7" s="1"/>
  <c r="CW58" i="7"/>
  <c r="DI83" i="21"/>
  <c r="DI33" i="7"/>
  <c r="DI40" i="7"/>
  <c r="DI46" i="7" s="1"/>
  <c r="DI52" i="7"/>
  <c r="CQ59" i="7"/>
  <c r="CW127" i="21"/>
  <c r="CW53" i="7"/>
  <c r="DC83" i="21"/>
  <c r="DC33" i="7"/>
  <c r="DC40" i="7"/>
  <c r="DC46" i="7" s="1"/>
  <c r="DC52" i="7"/>
  <c r="CW41" i="7"/>
  <c r="DC105" i="21" l="1"/>
  <c r="DC47" i="7"/>
  <c r="DC49" i="7"/>
  <c r="DC50" i="7" s="1"/>
  <c r="DC58" i="7"/>
  <c r="DI105" i="21"/>
  <c r="DI47" i="7"/>
  <c r="DI49" i="7"/>
  <c r="DI58" i="7"/>
  <c r="DI41" i="7"/>
  <c r="CW59" i="7"/>
  <c r="DC127" i="21"/>
  <c r="DC53" i="7"/>
  <c r="DC41" i="7"/>
  <c r="DI127" i="21"/>
  <c r="DI53" i="7"/>
  <c r="DI50" i="7" l="1"/>
  <c r="DC59" i="7"/>
  <c r="DI59" i="7"/>
  <c r="BS91" i="17" l="1"/>
  <c r="BO91" i="17"/>
  <c r="BO92" i="17" s="1"/>
  <c r="BU91" i="17" l="1"/>
  <c r="BU92" i="17" s="1"/>
  <c r="BY91" i="17"/>
  <c r="BS88" i="17"/>
  <c r="BS94" i="17" l="1"/>
  <c r="BS89" i="17"/>
  <c r="BY88" i="17"/>
  <c r="CE91" i="17"/>
  <c r="CA91" i="17"/>
  <c r="CA92" i="17" s="1"/>
  <c r="CG91" i="17" l="1"/>
  <c r="CG92" i="17" s="1"/>
  <c r="CK91" i="17"/>
  <c r="CE88" i="17"/>
  <c r="BU94" i="17"/>
  <c r="BS95" i="17"/>
  <c r="BS97" i="17"/>
  <c r="BS103" i="17"/>
  <c r="BS92" i="21"/>
  <c r="BY89" i="17"/>
  <c r="BY94" i="17"/>
  <c r="BU103" i="17" l="1"/>
  <c r="BS104" i="17"/>
  <c r="BS136" i="21"/>
  <c r="BS96" i="21"/>
  <c r="BU92" i="21"/>
  <c r="CE89" i="17"/>
  <c r="CE94" i="17"/>
  <c r="BU97" i="17"/>
  <c r="BS98" i="17"/>
  <c r="BS109" i="17"/>
  <c r="BS116" i="17"/>
  <c r="BS114" i="21"/>
  <c r="CK88" i="17"/>
  <c r="CQ91" i="17"/>
  <c r="CM91" i="17"/>
  <c r="CM92" i="17" s="1"/>
  <c r="BU88" i="17"/>
  <c r="BU89" i="17" s="1"/>
  <c r="BU95" i="17"/>
  <c r="BY95" i="17"/>
  <c r="BY97" i="17"/>
  <c r="BY103" i="17"/>
  <c r="CA94" i="17"/>
  <c r="BY92" i="21"/>
  <c r="BY104" i="17" l="1"/>
  <c r="CA103" i="17"/>
  <c r="BY136" i="21"/>
  <c r="BU98" i="17"/>
  <c r="BU100" i="17"/>
  <c r="BU101" i="17" s="1"/>
  <c r="BU114" i="21"/>
  <c r="M230" i="11"/>
  <c r="BS13" i="21"/>
  <c r="BY98" i="17"/>
  <c r="BY109" i="17"/>
  <c r="BY116" i="17"/>
  <c r="CA97" i="17"/>
  <c r="BY114" i="21"/>
  <c r="CA92" i="21"/>
  <c r="BY96" i="21"/>
  <c r="CS91" i="17"/>
  <c r="CS92" i="17" s="1"/>
  <c r="CQ88" i="17"/>
  <c r="CW91" i="17"/>
  <c r="BU109" i="17"/>
  <c r="BU110" i="17" s="1"/>
  <c r="BS110" i="17"/>
  <c r="BU116" i="17"/>
  <c r="BS117" i="17"/>
  <c r="BS119" i="17"/>
  <c r="BS120" i="17" s="1"/>
  <c r="BS124" i="17"/>
  <c r="CG94" i="17"/>
  <c r="CE97" i="17"/>
  <c r="CE95" i="17"/>
  <c r="CE103" i="17"/>
  <c r="CE92" i="21"/>
  <c r="CA88" i="17"/>
  <c r="CA89" i="17" s="1"/>
  <c r="CA95" i="17"/>
  <c r="CK89" i="17"/>
  <c r="CK94" i="17"/>
  <c r="BU104" i="17"/>
  <c r="BU106" i="17"/>
  <c r="BU107" i="17" s="1"/>
  <c r="BU136" i="21"/>
  <c r="M231" i="11"/>
  <c r="BY13" i="21" l="1"/>
  <c r="CG97" i="17"/>
  <c r="CE116" i="17"/>
  <c r="CE98" i="17"/>
  <c r="CE109" i="17"/>
  <c r="CE114" i="21"/>
  <c r="CW88" i="17"/>
  <c r="DC91" i="17"/>
  <c r="CY91" i="17"/>
  <c r="CY92" i="17" s="1"/>
  <c r="CA98" i="17"/>
  <c r="CA100" i="17"/>
  <c r="CA101" i="17" s="1"/>
  <c r="CA114" i="21"/>
  <c r="N230" i="11"/>
  <c r="BS23" i="21"/>
  <c r="CK95" i="17"/>
  <c r="CK97" i="17"/>
  <c r="CK103" i="17"/>
  <c r="CM94" i="17"/>
  <c r="CK92" i="21"/>
  <c r="CE96" i="21"/>
  <c r="CG92" i="21"/>
  <c r="CG88" i="17"/>
  <c r="CG89" i="17" s="1"/>
  <c r="CG95" i="17"/>
  <c r="BU117" i="17"/>
  <c r="BU119" i="17"/>
  <c r="BU120" i="17" s="1"/>
  <c r="CQ89" i="17"/>
  <c r="CQ94" i="17"/>
  <c r="BY117" i="17"/>
  <c r="BY119" i="17"/>
  <c r="BY120" i="17" s="1"/>
  <c r="BY124" i="17"/>
  <c r="CA116" i="17"/>
  <c r="CA104" i="17"/>
  <c r="CA106" i="17"/>
  <c r="CA107" i="17" s="1"/>
  <c r="CA136" i="21"/>
  <c r="N231" i="11"/>
  <c r="CG103" i="17"/>
  <c r="CE104" i="17"/>
  <c r="CE136" i="21"/>
  <c r="BU124" i="17"/>
  <c r="BY110" i="17"/>
  <c r="CA109" i="17"/>
  <c r="CA110" i="17" s="1"/>
  <c r="M232" i="11"/>
  <c r="CG106" i="17" l="1"/>
  <c r="CG107" i="17" s="1"/>
  <c r="CG104" i="17"/>
  <c r="CG136" i="21"/>
  <c r="O231" i="11"/>
  <c r="BY125" i="17"/>
  <c r="CA124" i="17"/>
  <c r="CA125" i="17" s="1"/>
  <c r="CM88" i="17"/>
  <c r="CM89" i="17" s="1"/>
  <c r="CM95" i="17"/>
  <c r="CW89" i="17"/>
  <c r="CW94" i="17"/>
  <c r="CG116" i="17"/>
  <c r="CE124" i="17"/>
  <c r="CE117" i="17"/>
  <c r="CE119" i="17"/>
  <c r="CE120" i="17" s="1"/>
  <c r="CK104" i="17"/>
  <c r="CM103" i="17"/>
  <c r="CK136" i="21"/>
  <c r="CG100" i="17"/>
  <c r="CG101" i="17" s="1"/>
  <c r="CG98" i="17"/>
  <c r="CG114" i="21"/>
  <c r="O230" i="11"/>
  <c r="CE13" i="21"/>
  <c r="CK98" i="17"/>
  <c r="CK109" i="17"/>
  <c r="CK116" i="17"/>
  <c r="CM97" i="17"/>
  <c r="CK114" i="21"/>
  <c r="N232" i="11"/>
  <c r="CG109" i="17"/>
  <c r="CG110" i="17" s="1"/>
  <c r="CE110" i="17"/>
  <c r="BY23" i="21"/>
  <c r="M233" i="11"/>
  <c r="CA117" i="17"/>
  <c r="CA119" i="17"/>
  <c r="CA120" i="17" s="1"/>
  <c r="CS94" i="17"/>
  <c r="CQ95" i="17"/>
  <c r="CQ97" i="17"/>
  <c r="CQ103" i="17"/>
  <c r="CQ92" i="21"/>
  <c r="CM92" i="21"/>
  <c r="CK96" i="21"/>
  <c r="DE91" i="17"/>
  <c r="DE92" i="17" s="1"/>
  <c r="DC88" i="17"/>
  <c r="DI91" i="17"/>
  <c r="O232" i="11" l="1"/>
  <c r="O233" i="11" s="1"/>
  <c r="O236" i="11" s="1"/>
  <c r="CS88" i="17"/>
  <c r="CS89" i="17" s="1"/>
  <c r="CS95" i="17"/>
  <c r="N233" i="11"/>
  <c r="N236" i="11" s="1"/>
  <c r="CK110" i="17"/>
  <c r="CM109" i="17"/>
  <c r="CM110" i="17" s="1"/>
  <c r="CQ96" i="21"/>
  <c r="CS92" i="21"/>
  <c r="CS103" i="17"/>
  <c r="CQ104" i="17"/>
  <c r="CQ136" i="21"/>
  <c r="CM104" i="17"/>
  <c r="CM106" i="17"/>
  <c r="CM107" i="17" s="1"/>
  <c r="CM136" i="21"/>
  <c r="P231" i="11"/>
  <c r="CG124" i="17"/>
  <c r="CG125" i="17" s="1"/>
  <c r="CE125" i="17"/>
  <c r="DC94" i="17"/>
  <c r="DC89" i="17"/>
  <c r="CS97" i="17"/>
  <c r="CQ98" i="17"/>
  <c r="CQ109" i="17"/>
  <c r="CQ116" i="17"/>
  <c r="CQ114" i="21"/>
  <c r="CM98" i="17"/>
  <c r="CM100" i="17"/>
  <c r="CM101" i="17" s="1"/>
  <c r="CM114" i="21"/>
  <c r="P230" i="11"/>
  <c r="CE23" i="21"/>
  <c r="CG117" i="17"/>
  <c r="CG119" i="17"/>
  <c r="CG120" i="17" s="1"/>
  <c r="CK13" i="21"/>
  <c r="DI88" i="17"/>
  <c r="DK91" i="17"/>
  <c r="DK92" i="17" s="1"/>
  <c r="M241" i="11"/>
  <c r="CK117" i="17"/>
  <c r="CK119" i="17"/>
  <c r="CK120" i="17" s="1"/>
  <c r="CK124" i="17"/>
  <c r="CM116" i="17"/>
  <c r="CW95" i="17"/>
  <c r="CW97" i="17"/>
  <c r="CW103" i="17"/>
  <c r="CY94" i="17"/>
  <c r="CW92" i="21"/>
  <c r="CQ13" i="21" l="1"/>
  <c r="CW98" i="17"/>
  <c r="CW109" i="17"/>
  <c r="CW116" i="17"/>
  <c r="CY97" i="17"/>
  <c r="CW114" i="21"/>
  <c r="CS98" i="17"/>
  <c r="CS100" i="17"/>
  <c r="CS101" i="17" s="1"/>
  <c r="CS114" i="21"/>
  <c r="Q230" i="11"/>
  <c r="CK125" i="17"/>
  <c r="CM124" i="17"/>
  <c r="CM125" i="17" s="1"/>
  <c r="P232" i="11"/>
  <c r="P233" i="11" s="1"/>
  <c r="P236" i="11" s="1"/>
  <c r="CS116" i="17"/>
  <c r="CQ117" i="17"/>
  <c r="CQ119" i="17"/>
  <c r="CQ120" i="17" s="1"/>
  <c r="CQ124" i="17"/>
  <c r="CS104" i="17"/>
  <c r="CS106" i="17"/>
  <c r="CS107" i="17" s="1"/>
  <c r="CS136" i="21"/>
  <c r="Q231" i="11"/>
  <c r="N241" i="11"/>
  <c r="CK23" i="21"/>
  <c r="CY92" i="21"/>
  <c r="CW96" i="21"/>
  <c r="CY88" i="17"/>
  <c r="CY89" i="17" s="1"/>
  <c r="CY95" i="17"/>
  <c r="CM117" i="17"/>
  <c r="CM119" i="17"/>
  <c r="CM120" i="17" s="1"/>
  <c r="DI89" i="17"/>
  <c r="DI94" i="17"/>
  <c r="CS109" i="17"/>
  <c r="CS110" i="17" s="1"/>
  <c r="CQ110" i="17"/>
  <c r="DE94" i="17"/>
  <c r="DC95" i="17"/>
  <c r="DC97" i="17"/>
  <c r="DC103" i="17"/>
  <c r="DC92" i="21"/>
  <c r="CW104" i="17"/>
  <c r="CY103" i="17"/>
  <c r="CW136" i="21"/>
  <c r="DE97" i="17" l="1"/>
  <c r="DC98" i="17"/>
  <c r="DC109" i="17"/>
  <c r="DC116" i="17"/>
  <c r="DC114" i="21"/>
  <c r="DE103" i="17"/>
  <c r="DC104" i="17"/>
  <c r="DC136" i="21"/>
  <c r="CW110" i="17"/>
  <c r="CY109" i="17"/>
  <c r="CY110" i="17" s="1"/>
  <c r="DI95" i="17"/>
  <c r="DI97" i="17"/>
  <c r="DI103" i="17"/>
  <c r="DK94" i="17"/>
  <c r="DI92" i="21"/>
  <c r="CS117" i="17"/>
  <c r="CS119" i="17"/>
  <c r="CS120" i="17" s="1"/>
  <c r="CY98" i="17"/>
  <c r="CY100" i="17"/>
  <c r="CY101" i="17" s="1"/>
  <c r="CY114" i="21"/>
  <c r="R230" i="11"/>
  <c r="CQ23" i="21"/>
  <c r="CW13" i="21"/>
  <c r="CY104" i="17"/>
  <c r="CY106" i="17"/>
  <c r="CY107" i="17" s="1"/>
  <c r="CY136" i="21"/>
  <c r="R231" i="11"/>
  <c r="DC96" i="21"/>
  <c r="DE92" i="21"/>
  <c r="DE88" i="17"/>
  <c r="DE89" i="17" s="1"/>
  <c r="DE95" i="17"/>
  <c r="CS124" i="17"/>
  <c r="CS125" i="17" s="1"/>
  <c r="CQ125" i="17"/>
  <c r="Q232" i="11"/>
  <c r="Q233" i="11" s="1"/>
  <c r="Q236" i="11" s="1"/>
  <c r="CW117" i="17"/>
  <c r="CW119" i="17"/>
  <c r="CW120" i="17" s="1"/>
  <c r="CW124" i="17"/>
  <c r="CY116" i="17"/>
  <c r="CW125" i="17" l="1"/>
  <c r="CY124" i="17"/>
  <c r="CY125" i="17" s="1"/>
  <c r="CW23" i="21"/>
  <c r="R232" i="11"/>
  <c r="R233" i="11" s="1"/>
  <c r="DI98" i="17"/>
  <c r="DI109" i="17"/>
  <c r="DI116" i="17"/>
  <c r="DK97" i="17"/>
  <c r="DI114" i="21"/>
  <c r="CY117" i="17"/>
  <c r="CY119" i="17"/>
  <c r="CY120" i="17" s="1"/>
  <c r="DK92" i="21"/>
  <c r="DI96" i="21"/>
  <c r="DE109" i="17"/>
  <c r="DE110" i="17" s="1"/>
  <c r="DC110" i="17"/>
  <c r="DK88" i="17"/>
  <c r="DK89" i="17" s="1"/>
  <c r="DK95" i="17"/>
  <c r="DE106" i="17"/>
  <c r="DE107" i="17" s="1"/>
  <c r="DE104" i="17"/>
  <c r="DE136" i="21"/>
  <c r="DC13" i="21"/>
  <c r="DI104" i="17"/>
  <c r="DK103" i="17"/>
  <c r="DI136" i="21"/>
  <c r="DE100" i="17"/>
  <c r="DE101" i="17" s="1"/>
  <c r="DE98" i="17"/>
  <c r="DE114" i="21"/>
  <c r="DE116" i="17"/>
  <c r="DC117" i="17"/>
  <c r="DC119" i="17"/>
  <c r="DC120" i="17" s="1"/>
  <c r="DC124" i="17"/>
  <c r="DE124" i="17" l="1"/>
  <c r="DE125" i="17" s="1"/>
  <c r="DC125" i="17"/>
  <c r="DI117" i="17"/>
  <c r="DI119" i="17"/>
  <c r="DI120" i="17" s="1"/>
  <c r="DI124" i="17"/>
  <c r="DK116" i="17"/>
  <c r="DK104" i="17"/>
  <c r="DK106" i="17"/>
  <c r="DK107" i="17" s="1"/>
  <c r="DK136" i="21"/>
  <c r="DC23" i="21"/>
  <c r="DI13" i="21"/>
  <c r="DI110" i="17"/>
  <c r="DK109" i="17"/>
  <c r="DK110" i="17" s="1"/>
  <c r="DE117" i="17"/>
  <c r="DE119" i="17"/>
  <c r="DE120" i="17" s="1"/>
  <c r="DK98" i="17"/>
  <c r="DK100" i="17"/>
  <c r="DK101" i="17" s="1"/>
  <c r="DK114" i="21"/>
  <c r="R236" i="11"/>
  <c r="V235" i="11" s="1"/>
  <c r="S236" i="11"/>
  <c r="V236" i="11" s="1"/>
  <c r="DK117" i="17" l="1"/>
  <c r="DK119" i="17"/>
  <c r="DK120" i="17" s="1"/>
  <c r="V237" i="11"/>
  <c r="DI23" i="21"/>
  <c r="DI125" i="17"/>
  <c r="DK124" i="17"/>
  <c r="DK125" i="17" s="1"/>
  <c r="C27" i="12" l="1"/>
  <c r="L239" i="11"/>
  <c r="M240" i="11"/>
  <c r="N238" i="11"/>
  <c r="L238" i="11"/>
  <c r="M239" i="11"/>
  <c r="N240" i="11"/>
  <c r="M238" i="11"/>
  <c r="N239" i="11"/>
  <c r="L240" i="11"/>
  <c r="E27" i="12" l="1"/>
  <c r="BM52" i="16"/>
  <c r="BS53" i="16" s="1"/>
  <c r="BM56" i="16"/>
  <c r="BS56" i="16"/>
  <c r="BM113" i="16" l="1"/>
  <c r="BM131" i="21"/>
  <c r="BO52" i="16"/>
  <c r="BM58" i="16"/>
  <c r="BM53" i="16"/>
  <c r="BS59" i="16" l="1"/>
  <c r="BM59" i="16"/>
  <c r="BM114" i="16"/>
  <c r="BS114" i="16"/>
  <c r="BO131" i="21"/>
  <c r="BU53" i="16"/>
  <c r="BO55" i="16"/>
  <c r="BO53" i="16"/>
  <c r="L156" i="11"/>
  <c r="BM62" i="21"/>
  <c r="BO140" i="21"/>
  <c r="BU56" i="16" l="1"/>
  <c r="BO56" i="16"/>
  <c r="BM72" i="21"/>
  <c r="BO62" i="21"/>
  <c r="BM55" i="15" l="1"/>
  <c r="BM66" i="15"/>
  <c r="BM116" i="15"/>
  <c r="BM117" i="15" s="1"/>
  <c r="BM108" i="21"/>
  <c r="BM38" i="21" s="1"/>
  <c r="BM119" i="15" l="1"/>
  <c r="BM120" i="15" s="1"/>
  <c r="BM124" i="15"/>
  <c r="BM67" i="15"/>
  <c r="BM48" i="21"/>
  <c r="BS51" i="15" l="1"/>
  <c r="BM125" i="15"/>
  <c r="BM49" i="21"/>
  <c r="BM51" i="21" s="1"/>
  <c r="BM144" i="21"/>
  <c r="BY51" i="15" l="1"/>
  <c r="BS48" i="15"/>
  <c r="BS49" i="15" l="1"/>
  <c r="BS54" i="15"/>
  <c r="CE51" i="15"/>
  <c r="BY48" i="15"/>
  <c r="CE48" i="15" l="1"/>
  <c r="CK51" i="15"/>
  <c r="BS66" i="15"/>
  <c r="BS116" i="15"/>
  <c r="BS55" i="15"/>
  <c r="BS57" i="15"/>
  <c r="BS58" i="15" s="1"/>
  <c r="BS108" i="21"/>
  <c r="BS118" i="21" s="1"/>
  <c r="BS38" i="21" s="1"/>
  <c r="BS48" i="21" s="1"/>
  <c r="BY54" i="15"/>
  <c r="BY49" i="15"/>
  <c r="BS67" i="15" l="1"/>
  <c r="CQ51" i="15"/>
  <c r="CK48" i="15"/>
  <c r="BY57" i="15"/>
  <c r="BY58" i="15" s="1"/>
  <c r="BY55" i="15"/>
  <c r="BY116" i="15"/>
  <c r="BY66" i="15"/>
  <c r="BY108" i="21"/>
  <c r="BY118" i="21" s="1"/>
  <c r="BY38" i="21" s="1"/>
  <c r="BY48" i="21" s="1"/>
  <c r="BY144" i="21" s="1"/>
  <c r="BS124" i="15"/>
  <c r="BS119" i="15"/>
  <c r="BS120" i="15" s="1"/>
  <c r="BS117" i="15"/>
  <c r="CE54" i="15"/>
  <c r="CE49" i="15"/>
  <c r="BS49" i="21"/>
  <c r="BS51" i="21" s="1"/>
  <c r="BS144" i="21"/>
  <c r="CK54" i="15" l="1"/>
  <c r="CK49" i="15"/>
  <c r="BY124" i="15"/>
  <c r="BY117" i="15"/>
  <c r="BY119" i="15"/>
  <c r="BY120" i="15" s="1"/>
  <c r="CQ48" i="15"/>
  <c r="CW51" i="15"/>
  <c r="CE55" i="15"/>
  <c r="CE57" i="15"/>
  <c r="CE58" i="15" s="1"/>
  <c r="CE116" i="15"/>
  <c r="CE66" i="15"/>
  <c r="CE108" i="21"/>
  <c r="CE118" i="21" s="1"/>
  <c r="CE38" i="21" s="1"/>
  <c r="CE48" i="21" s="1"/>
  <c r="CE144" i="21" s="1"/>
  <c r="BS125" i="15"/>
  <c r="BY67" i="15"/>
  <c r="CE67" i="15" l="1"/>
  <c r="CK116" i="15"/>
  <c r="CK108" i="21"/>
  <c r="CK118" i="21" s="1"/>
  <c r="CK38" i="21" s="1"/>
  <c r="CK48" i="21" s="1"/>
  <c r="CK144" i="21" s="1"/>
  <c r="CK57" i="15"/>
  <c r="CK58" i="15" s="1"/>
  <c r="CK66" i="15"/>
  <c r="CK55" i="15"/>
  <c r="DC51" i="15"/>
  <c r="CW48" i="15"/>
  <c r="CE119" i="15"/>
  <c r="CE120" i="15" s="1"/>
  <c r="CE124" i="15"/>
  <c r="CE117" i="15"/>
  <c r="CQ49" i="15"/>
  <c r="CQ54" i="15"/>
  <c r="BY125" i="15"/>
  <c r="CE125" i="15" l="1"/>
  <c r="CK67" i="15"/>
  <c r="CW49" i="15"/>
  <c r="CW54" i="15"/>
  <c r="DC48" i="15"/>
  <c r="DI51" i="15"/>
  <c r="DI48" i="15" s="1"/>
  <c r="CK119" i="15"/>
  <c r="CK120" i="15" s="1"/>
  <c r="CK124" i="15"/>
  <c r="CK117" i="15"/>
  <c r="CQ55" i="15"/>
  <c r="CQ116" i="15"/>
  <c r="CQ66" i="15"/>
  <c r="CQ108" i="21"/>
  <c r="CQ118" i="21" s="1"/>
  <c r="CQ38" i="21" s="1"/>
  <c r="CQ48" i="21" s="1"/>
  <c r="CQ144" i="21" s="1"/>
  <c r="CQ57" i="15"/>
  <c r="CQ58" i="15" s="1"/>
  <c r="CQ119" i="15" l="1"/>
  <c r="CQ120" i="15" s="1"/>
  <c r="CQ117" i="15"/>
  <c r="CQ124" i="15"/>
  <c r="CK125" i="15"/>
  <c r="DC54" i="15"/>
  <c r="DC49" i="15"/>
  <c r="CW116" i="15"/>
  <c r="CW57" i="15"/>
  <c r="CW58" i="15" s="1"/>
  <c r="CW66" i="15"/>
  <c r="CW55" i="15"/>
  <c r="CW108" i="21"/>
  <c r="CW118" i="21" s="1"/>
  <c r="CW38" i="21" s="1"/>
  <c r="CW48" i="21" s="1"/>
  <c r="CW144" i="21" s="1"/>
  <c r="CQ67" i="15"/>
  <c r="DI54" i="15"/>
  <c r="DI49" i="15"/>
  <c r="CQ125" i="15" l="1"/>
  <c r="DC57" i="15"/>
  <c r="DC58" i="15" s="1"/>
  <c r="DC108" i="21"/>
  <c r="DC118" i="21" s="1"/>
  <c r="DC38" i="21" s="1"/>
  <c r="DC48" i="21" s="1"/>
  <c r="DC144" i="21" s="1"/>
  <c r="DC66" i="15"/>
  <c r="DC116" i="15"/>
  <c r="DC55" i="15"/>
  <c r="DI66" i="15"/>
  <c r="DI55" i="15"/>
  <c r="DI108" i="21"/>
  <c r="DI118" i="21" s="1"/>
  <c r="DI38" i="21" s="1"/>
  <c r="DI48" i="21" s="1"/>
  <c r="DI144" i="21" s="1"/>
  <c r="DI116" i="15"/>
  <c r="DI57" i="15"/>
  <c r="CW124" i="15"/>
  <c r="CW117" i="15"/>
  <c r="CW119" i="15"/>
  <c r="CW120" i="15" s="1"/>
  <c r="CW67" i="15"/>
  <c r="DI58" i="15" l="1"/>
  <c r="DI117" i="15"/>
  <c r="DI119" i="15"/>
  <c r="DI124" i="15"/>
  <c r="DC67" i="15"/>
  <c r="DI67" i="15"/>
  <c r="CW125" i="15"/>
  <c r="DC119" i="15"/>
  <c r="DC120" i="15" s="1"/>
  <c r="DC117" i="15"/>
  <c r="DC124" i="15"/>
  <c r="DI120" i="15" l="1"/>
  <c r="DI125" i="15"/>
  <c r="DC125" i="15"/>
  <c r="AV236" i="117" l="1"/>
  <c r="AV243" i="117"/>
  <c r="AV244" i="117"/>
  <c r="AV248" i="117"/>
  <c r="AV278" i="117"/>
  <c r="AV282" i="117" s="1"/>
  <c r="AV286" i="117" s="1"/>
  <c r="AW285" i="117" l="1"/>
  <c r="AV289" i="117"/>
  <c r="AV287" i="117"/>
  <c r="AV237" i="117"/>
  <c r="BO201" i="21" l="1"/>
  <c r="L35" i="11" s="1"/>
  <c r="BN216" i="21"/>
  <c r="BT217" i="21" s="1"/>
  <c r="L36" i="11" l="1"/>
  <c r="L37" i="11" s="1"/>
  <c r="L44" i="11"/>
  <c r="BN217" i="21"/>
  <c r="BN207" i="21"/>
  <c r="BN219" i="21"/>
  <c r="BO216" i="21"/>
  <c r="BT202" i="21"/>
  <c r="L43" i="11"/>
  <c r="BU202" i="21"/>
  <c r="BO204" i="21"/>
  <c r="BO202" i="21"/>
  <c r="BO206" i="21" l="1"/>
  <c r="BO207" i="21" s="1"/>
  <c r="BN220" i="21"/>
  <c r="BT220" i="21"/>
  <c r="BO219" i="21"/>
  <c r="BU220" i="21" s="1"/>
  <c r="BN66" i="21"/>
  <c r="BT207" i="21"/>
  <c r="BO217" i="21"/>
  <c r="BU217" i="21"/>
  <c r="BO220" i="21" l="1"/>
  <c r="BU207" i="21"/>
  <c r="BO66" i="21"/>
  <c r="BN72" i="21"/>
  <c r="BO72" i="21" s="1"/>
  <c r="L252" i="14" l="1"/>
  <c r="L314" i="14"/>
  <c r="L175" i="14" l="1"/>
  <c r="L208" i="14"/>
  <c r="BM146" i="21"/>
  <c r="BM147" i="21"/>
  <c r="BM148" i="21"/>
  <c r="BM150" i="21"/>
  <c r="BM158" i="21"/>
  <c r="BS158" i="21"/>
  <c r="BY158" i="21" s="1"/>
  <c r="CE158" i="21" s="1"/>
  <c r="BM159" i="21"/>
  <c r="BM162" i="21"/>
  <c r="BY161" i="21" l="1"/>
  <c r="BS161" i="21"/>
  <c r="BS146" i="21" s="1"/>
  <c r="CK158" i="21"/>
  <c r="CK161" i="21" s="1"/>
  <c r="CE161" i="21"/>
  <c r="CE162" i="21" s="1"/>
  <c r="CQ158" i="21"/>
  <c r="CW158" i="21" s="1"/>
  <c r="BY146" i="21"/>
  <c r="BS162" i="21" l="1"/>
  <c r="BY162" i="21"/>
  <c r="CK146" i="21"/>
  <c r="CK150" i="21" s="1"/>
  <c r="CE146" i="21"/>
  <c r="CE147" i="21" s="1"/>
  <c r="CK162" i="21"/>
  <c r="CQ161" i="21"/>
  <c r="CQ146" i="21" s="1"/>
  <c r="BS147" i="21"/>
  <c r="BS148" i="21"/>
  <c r="BS150" i="21"/>
  <c r="BY150" i="21"/>
  <c r="BY147" i="21"/>
  <c r="BY148" i="21"/>
  <c r="DC158" i="21"/>
  <c r="CW161" i="21"/>
  <c r="CK148" i="21" l="1"/>
  <c r="CK147" i="21"/>
  <c r="CE150" i="21"/>
  <c r="CE148" i="21"/>
  <c r="CQ162" i="21"/>
  <c r="CW146" i="21"/>
  <c r="CW162" i="21"/>
  <c r="DI158" i="21"/>
  <c r="DI161" i="21" s="1"/>
  <c r="DC161" i="21"/>
  <c r="CQ147" i="21"/>
  <c r="CQ148" i="21"/>
  <c r="CQ150" i="21"/>
  <c r="DC146" i="21" l="1"/>
  <c r="DC162" i="21"/>
  <c r="DI146" i="21"/>
  <c r="DI162" i="21"/>
  <c r="CW150" i="21"/>
  <c r="CW147" i="21"/>
  <c r="CW148" i="21"/>
  <c r="DI147" i="21" l="1"/>
  <c r="DI148" i="21"/>
  <c r="DI150" i="21"/>
  <c r="DC147" i="21"/>
  <c r="DC148" i="21"/>
  <c r="DC150" i="21"/>
  <c r="BN34" i="10" l="1"/>
  <c r="BO37" i="10"/>
  <c r="BT34" i="10" l="1"/>
  <c r="BN35" i="10"/>
  <c r="BO34" i="10"/>
  <c r="BO35" i="10" s="1"/>
  <c r="BO38" i="10"/>
  <c r="BT37" i="10" l="1"/>
  <c r="BZ34" i="10"/>
  <c r="BU37" i="10" l="1"/>
  <c r="BT38" i="10"/>
  <c r="BT40" i="10"/>
  <c r="CF34" i="10"/>
  <c r="BZ37" i="10"/>
  <c r="BU34" i="10" l="1"/>
  <c r="BU35" i="10" s="1"/>
  <c r="BU38" i="10"/>
  <c r="BT85" i="21"/>
  <c r="BT41" i="10"/>
  <c r="BT48" i="10"/>
  <c r="BT54" i="10" s="1"/>
  <c r="BU40" i="10"/>
  <c r="BU41" i="10" s="1"/>
  <c r="BT60" i="10"/>
  <c r="CA37" i="10"/>
  <c r="BZ38" i="10"/>
  <c r="BZ40" i="10"/>
  <c r="CF37" i="10"/>
  <c r="CL34" i="10"/>
  <c r="BT107" i="21" l="1"/>
  <c r="BT55" i="10"/>
  <c r="BT57" i="10"/>
  <c r="BT58" i="10" s="1"/>
  <c r="BT66" i="10"/>
  <c r="BT79" i="10"/>
  <c r="BT80" i="10" s="1"/>
  <c r="BU54" i="10"/>
  <c r="CR34" i="10"/>
  <c r="CL37" i="10"/>
  <c r="BT129" i="21"/>
  <c r="BT61" i="10"/>
  <c r="BU60" i="10"/>
  <c r="BZ85" i="21"/>
  <c r="CA40" i="10"/>
  <c r="CA41" i="10" s="1"/>
  <c r="BZ41" i="10"/>
  <c r="BZ48" i="10"/>
  <c r="BZ54" i="10" s="1"/>
  <c r="BZ60" i="10"/>
  <c r="BU85" i="21"/>
  <c r="CA34" i="10"/>
  <c r="CA35" i="10" s="1"/>
  <c r="CA38" i="10"/>
  <c r="BU48" i="10"/>
  <c r="BT49" i="10"/>
  <c r="CG37" i="10"/>
  <c r="CF38" i="10"/>
  <c r="CF40" i="10"/>
  <c r="BZ107" i="21" l="1"/>
  <c r="BZ79" i="10"/>
  <c r="BZ80" i="10" s="1"/>
  <c r="BZ55" i="10"/>
  <c r="BZ57" i="10"/>
  <c r="BZ58" i="10" s="1"/>
  <c r="BZ66" i="10"/>
  <c r="CA54" i="10"/>
  <c r="BZ129" i="21"/>
  <c r="BZ61" i="10"/>
  <c r="CA60" i="10"/>
  <c r="CG34" i="10"/>
  <c r="CG35" i="10" s="1"/>
  <c r="CG38" i="10"/>
  <c r="CA85" i="21"/>
  <c r="CM37" i="10"/>
  <c r="CL38" i="10"/>
  <c r="CL40" i="10"/>
  <c r="BT67" i="10"/>
  <c r="BU66" i="10"/>
  <c r="BU67" i="10" s="1"/>
  <c r="BU129" i="21"/>
  <c r="BU63" i="10"/>
  <c r="BU64" i="10" s="1"/>
  <c r="BU61" i="10"/>
  <c r="M126" i="11"/>
  <c r="CF85" i="21"/>
  <c r="CF41" i="10"/>
  <c r="CF48" i="10"/>
  <c r="CF54" i="10" s="1"/>
  <c r="CG40" i="10"/>
  <c r="CG41" i="10" s="1"/>
  <c r="CF60" i="10"/>
  <c r="BU49" i="10"/>
  <c r="BU51" i="10"/>
  <c r="BU52" i="10" s="1"/>
  <c r="BU107" i="21"/>
  <c r="BU55" i="10"/>
  <c r="BU57" i="10"/>
  <c r="BU58" i="10" s="1"/>
  <c r="M125" i="11"/>
  <c r="CA48" i="10"/>
  <c r="BZ49" i="10"/>
  <c r="CR37" i="10"/>
  <c r="CX34" i="10"/>
  <c r="M127" i="11" l="1"/>
  <c r="M128" i="11" s="1"/>
  <c r="M136" i="11" s="1"/>
  <c r="CS37" i="10"/>
  <c r="CR38" i="10"/>
  <c r="CR40" i="10"/>
  <c r="CF107" i="21"/>
  <c r="CF55" i="10"/>
  <c r="CF57" i="10"/>
  <c r="CF58" i="10" s="1"/>
  <c r="CF66" i="10"/>
  <c r="CG54" i="10"/>
  <c r="DD34" i="10"/>
  <c r="CX37" i="10"/>
  <c r="CF129" i="21"/>
  <c r="CF61" i="10"/>
  <c r="CG60" i="10"/>
  <c r="CL85" i="21"/>
  <c r="CM40" i="10"/>
  <c r="CM41" i="10" s="1"/>
  <c r="CL41" i="10"/>
  <c r="CL48" i="10"/>
  <c r="CL60" i="10"/>
  <c r="CM34" i="10"/>
  <c r="CM35" i="10" s="1"/>
  <c r="CM38" i="10"/>
  <c r="CA107" i="21"/>
  <c r="CA55" i="10"/>
  <c r="CA57" i="10"/>
  <c r="CA58" i="10" s="1"/>
  <c r="N125" i="11"/>
  <c r="CG85" i="21"/>
  <c r="CA49" i="10"/>
  <c r="CA51" i="10"/>
  <c r="CA52" i="10" s="1"/>
  <c r="CG48" i="10"/>
  <c r="CF49" i="10"/>
  <c r="CA129" i="21"/>
  <c r="CA63" i="10"/>
  <c r="CA64" i="10" s="1"/>
  <c r="CA61" i="10"/>
  <c r="N126" i="11"/>
  <c r="BZ67" i="10"/>
  <c r="CA66" i="10"/>
  <c r="CA67" i="10" s="1"/>
  <c r="CM48" i="10" l="1"/>
  <c r="CL49" i="10"/>
  <c r="CL54" i="10"/>
  <c r="CM85" i="21"/>
  <c r="CG107" i="21"/>
  <c r="CG55" i="10"/>
  <c r="CG57" i="10"/>
  <c r="CG58" i="10" s="1"/>
  <c r="O125" i="11"/>
  <c r="CF67" i="10"/>
  <c r="CG66" i="10"/>
  <c r="CG67" i="10" s="1"/>
  <c r="CG49" i="10"/>
  <c r="CG51" i="10"/>
  <c r="CG52" i="10" s="1"/>
  <c r="CY37" i="10"/>
  <c r="CX38" i="10"/>
  <c r="CX40" i="10"/>
  <c r="CG129" i="21"/>
  <c r="CG61" i="10"/>
  <c r="CG63" i="10"/>
  <c r="CG64" i="10" s="1"/>
  <c r="O126" i="11"/>
  <c r="CR85" i="21"/>
  <c r="CR41" i="10"/>
  <c r="CR48" i="10"/>
  <c r="CS40" i="10"/>
  <c r="CS41" i="10" s="1"/>
  <c r="CR60" i="10"/>
  <c r="N127" i="11"/>
  <c r="CL129" i="21"/>
  <c r="CL61" i="10"/>
  <c r="CM60" i="10"/>
  <c r="DD37" i="10"/>
  <c r="DJ34" i="10"/>
  <c r="DJ37" i="10" s="1"/>
  <c r="CS34" i="10"/>
  <c r="CS35" i="10" s="1"/>
  <c r="CS38" i="10"/>
  <c r="DE37" i="10" l="1"/>
  <c r="DD38" i="10"/>
  <c r="DD40" i="10"/>
  <c r="CS48" i="10"/>
  <c r="CR49" i="10"/>
  <c r="O127" i="11"/>
  <c r="O128" i="11" s="1"/>
  <c r="O131" i="11" s="1"/>
  <c r="N128" i="11"/>
  <c r="N131" i="11" s="1"/>
  <c r="CR54" i="10"/>
  <c r="CS85" i="21"/>
  <c r="CL107" i="21"/>
  <c r="CL55" i="10"/>
  <c r="CL57" i="10"/>
  <c r="CL58" i="10" s="1"/>
  <c r="CL66" i="10"/>
  <c r="CM54" i="10"/>
  <c r="CM49" i="10"/>
  <c r="CM51" i="10"/>
  <c r="CM52" i="10" s="1"/>
  <c r="CR129" i="21"/>
  <c r="CR61" i="10"/>
  <c r="CS60" i="10"/>
  <c r="CY34" i="10"/>
  <c r="CY35" i="10" s="1"/>
  <c r="CY38" i="10"/>
  <c r="DK37" i="10"/>
  <c r="DJ38" i="10"/>
  <c r="DJ40" i="10"/>
  <c r="CM129" i="21"/>
  <c r="CM61" i="10"/>
  <c r="CM63" i="10"/>
  <c r="CM64" i="10" s="1"/>
  <c r="P126" i="11"/>
  <c r="CX85" i="21"/>
  <c r="CY40" i="10"/>
  <c r="CY41" i="10" s="1"/>
  <c r="CX60" i="10"/>
  <c r="CX41" i="10"/>
  <c r="CX48" i="10"/>
  <c r="N136" i="11" l="1"/>
  <c r="CY48" i="10"/>
  <c r="CX49" i="10"/>
  <c r="DK34" i="10"/>
  <c r="DK38" i="10"/>
  <c r="DE34" i="10"/>
  <c r="DE35" i="10" s="1"/>
  <c r="DE38" i="10"/>
  <c r="CR107" i="21"/>
  <c r="CR55" i="10"/>
  <c r="CR57" i="10"/>
  <c r="CR58" i="10" s="1"/>
  <c r="CR66" i="10"/>
  <c r="CS54" i="10"/>
  <c r="CX129" i="21"/>
  <c r="CX61" i="10"/>
  <c r="CY60" i="10"/>
  <c r="DJ85" i="21"/>
  <c r="DK40" i="10"/>
  <c r="DJ41" i="10"/>
  <c r="DJ48" i="10"/>
  <c r="DJ54" i="10" s="1"/>
  <c r="DJ60" i="10"/>
  <c r="CM107" i="21"/>
  <c r="CM55" i="10"/>
  <c r="CM57" i="10"/>
  <c r="CM58" i="10" s="1"/>
  <c r="P125" i="11"/>
  <c r="P127" i="11" s="1"/>
  <c r="P128" i="11" s="1"/>
  <c r="P131" i="11" s="1"/>
  <c r="CY85" i="21"/>
  <c r="CL67" i="10"/>
  <c r="CM66" i="10"/>
  <c r="CM67" i="10" s="1"/>
  <c r="CX54" i="10"/>
  <c r="CS129" i="21"/>
  <c r="CS63" i="10"/>
  <c r="CS64" i="10" s="1"/>
  <c r="CS61" i="10"/>
  <c r="Q126" i="11"/>
  <c r="CS49" i="10"/>
  <c r="CS51" i="10"/>
  <c r="CS52" i="10" s="1"/>
  <c r="DD85" i="21"/>
  <c r="DD41" i="10"/>
  <c r="DD48" i="10"/>
  <c r="DE40" i="10"/>
  <c r="DE41" i="10" s="1"/>
  <c r="DD60" i="10"/>
  <c r="DK41" i="10" l="1"/>
  <c r="DJ107" i="21"/>
  <c r="DJ57" i="10"/>
  <c r="DJ66" i="10"/>
  <c r="DK54" i="10"/>
  <c r="DE48" i="10"/>
  <c r="DD49" i="10"/>
  <c r="DJ129" i="21"/>
  <c r="DJ61" i="10"/>
  <c r="DK60" i="10"/>
  <c r="DD129" i="21"/>
  <c r="DD61" i="10"/>
  <c r="DE60" i="10"/>
  <c r="DK85" i="21"/>
  <c r="DK35" i="10"/>
  <c r="DK48" i="10"/>
  <c r="DJ49" i="10"/>
  <c r="CY129" i="21"/>
  <c r="CY63" i="10"/>
  <c r="CY64" i="10" s="1"/>
  <c r="CY61" i="10"/>
  <c r="R126" i="11"/>
  <c r="CX107" i="21"/>
  <c r="CX55" i="10"/>
  <c r="CX57" i="10"/>
  <c r="CX58" i="10" s="1"/>
  <c r="CX66" i="10"/>
  <c r="CY54" i="10"/>
  <c r="CR67" i="10"/>
  <c r="CS66" i="10"/>
  <c r="CS67" i="10" s="1"/>
  <c r="DD54" i="10"/>
  <c r="DJ55" i="10" s="1"/>
  <c r="DE85" i="21"/>
  <c r="CS107" i="21"/>
  <c r="CS55" i="10"/>
  <c r="CS57" i="10"/>
  <c r="CS58" i="10" s="1"/>
  <c r="Q125" i="11"/>
  <c r="Q127" i="11" s="1"/>
  <c r="Q128" i="11" s="1"/>
  <c r="Q131" i="11" s="1"/>
  <c r="CY51" i="10"/>
  <c r="CY52" i="10" s="1"/>
  <c r="CY49" i="10"/>
  <c r="DK49" i="10" l="1"/>
  <c r="DK51" i="10"/>
  <c r="DE49" i="10"/>
  <c r="DE51" i="10"/>
  <c r="DE52" i="10" s="1"/>
  <c r="DE129" i="21"/>
  <c r="DE61" i="10"/>
  <c r="DE63" i="10"/>
  <c r="DE64" i="10" s="1"/>
  <c r="DK66" i="10"/>
  <c r="CY107" i="21"/>
  <c r="CY55" i="10"/>
  <c r="CY57" i="10"/>
  <c r="CY58" i="10" s="1"/>
  <c r="R125" i="11"/>
  <c r="R127" i="11" s="1"/>
  <c r="R128" i="11" s="1"/>
  <c r="DD107" i="21"/>
  <c r="DD55" i="10"/>
  <c r="DD57" i="10"/>
  <c r="DD58" i="10" s="1"/>
  <c r="DD66" i="10"/>
  <c r="DE54" i="10"/>
  <c r="CX67" i="10"/>
  <c r="CY66" i="10"/>
  <c r="CY67" i="10" s="1"/>
  <c r="DK129" i="21"/>
  <c r="DK61" i="10"/>
  <c r="DK63" i="10"/>
  <c r="DK107" i="21"/>
  <c r="DK57" i="10"/>
  <c r="DK64" i="10" l="1"/>
  <c r="DE107" i="21"/>
  <c r="DE55" i="10"/>
  <c r="DE57" i="10"/>
  <c r="DE58" i="10" s="1"/>
  <c r="R131" i="11"/>
  <c r="V130" i="11" s="1"/>
  <c r="S131" i="11"/>
  <c r="V131" i="11" s="1"/>
  <c r="DK52" i="10"/>
  <c r="DD67" i="10"/>
  <c r="DE66" i="10"/>
  <c r="DE67" i="10" s="1"/>
  <c r="DK55" i="10"/>
  <c r="DJ67" i="10"/>
  <c r="DJ58" i="10"/>
  <c r="V132" i="11" l="1"/>
  <c r="L133" i="11" s="1"/>
  <c r="DK58" i="10"/>
  <c r="DK67" i="10"/>
  <c r="N135" i="11" l="1"/>
  <c r="N133" i="11"/>
  <c r="M133" i="11"/>
  <c r="F16" i="12" s="1"/>
  <c r="M135" i="11"/>
  <c r="H16" i="12" s="1"/>
  <c r="C16" i="12"/>
  <c r="L134" i="11"/>
  <c r="N134" i="11"/>
  <c r="M134" i="11"/>
  <c r="G16" i="12" s="1"/>
  <c r="L135" i="11"/>
  <c r="E16" i="12" l="1"/>
  <c r="BT26" i="7"/>
  <c r="BO29" i="7"/>
  <c r="BO26" i="7" s="1"/>
  <c r="BO27" i="7" s="1"/>
  <c r="BO30" i="7"/>
  <c r="BZ26" i="7" l="1"/>
  <c r="BT29" i="7"/>
  <c r="BU29" i="7" l="1"/>
  <c r="BT30" i="7"/>
  <c r="BT32" i="7"/>
  <c r="BZ29" i="7"/>
  <c r="CF26" i="7"/>
  <c r="CL26" i="7" l="1"/>
  <c r="CF29" i="7"/>
  <c r="BU26" i="7"/>
  <c r="BU27" i="7" s="1"/>
  <c r="BU30" i="7"/>
  <c r="CA29" i="7"/>
  <c r="BZ30" i="7"/>
  <c r="BZ32" i="7"/>
  <c r="BT83" i="21"/>
  <c r="BU32" i="7"/>
  <c r="BU33" i="7" s="1"/>
  <c r="BT33" i="7"/>
  <c r="BT40" i="7"/>
  <c r="BT52" i="7"/>
  <c r="BU40" i="7" l="1"/>
  <c r="BT41" i="7"/>
  <c r="BZ83" i="21"/>
  <c r="BZ33" i="7"/>
  <c r="BZ40" i="7"/>
  <c r="BZ46" i="7" s="1"/>
  <c r="BZ52" i="7"/>
  <c r="CA32" i="7"/>
  <c r="CA33" i="7" s="1"/>
  <c r="CG29" i="7"/>
  <c r="CF30" i="7"/>
  <c r="CF32" i="7"/>
  <c r="BT127" i="21"/>
  <c r="BU52" i="7"/>
  <c r="BT53" i="7"/>
  <c r="CA26" i="7"/>
  <c r="CA27" i="7" s="1"/>
  <c r="CA30" i="7"/>
  <c r="CL29" i="7"/>
  <c r="CR26" i="7"/>
  <c r="BT46" i="7"/>
  <c r="BU83" i="21"/>
  <c r="BZ127" i="21" l="1"/>
  <c r="BZ53" i="7"/>
  <c r="CA52" i="7"/>
  <c r="CA83" i="21"/>
  <c r="CF83" i="21"/>
  <c r="CG32" i="7"/>
  <c r="CG33" i="7" s="1"/>
  <c r="CF33" i="7"/>
  <c r="CF40" i="7"/>
  <c r="CF46" i="7" s="1"/>
  <c r="CF52" i="7"/>
  <c r="CX26" i="7"/>
  <c r="CR29" i="7"/>
  <c r="BZ105" i="21"/>
  <c r="BZ47" i="7"/>
  <c r="BZ49" i="7"/>
  <c r="BZ58" i="7"/>
  <c r="CA46" i="7"/>
  <c r="BT105" i="21"/>
  <c r="BU46" i="7"/>
  <c r="BT47" i="7"/>
  <c r="BT49" i="7"/>
  <c r="BT50" i="7" s="1"/>
  <c r="BT58" i="7"/>
  <c r="CM29" i="7"/>
  <c r="CL30" i="7"/>
  <c r="CL32" i="7"/>
  <c r="BU127" i="21"/>
  <c r="BU53" i="7"/>
  <c r="BU55" i="7"/>
  <c r="BU56" i="7" s="1"/>
  <c r="M96" i="11"/>
  <c r="CG26" i="7"/>
  <c r="CG27" i="7" s="1"/>
  <c r="CG30" i="7"/>
  <c r="BZ41" i="7"/>
  <c r="CA40" i="7"/>
  <c r="BU41" i="7"/>
  <c r="BU43" i="7"/>
  <c r="BU44" i="7" s="1"/>
  <c r="BU105" i="21" l="1"/>
  <c r="BU47" i="7"/>
  <c r="BU49" i="7"/>
  <c r="BU50" i="7" s="1"/>
  <c r="M95" i="11"/>
  <c r="M97" i="11" s="1"/>
  <c r="CF105" i="21"/>
  <c r="CG46" i="7"/>
  <c r="CF47" i="7"/>
  <c r="CF49" i="7"/>
  <c r="CF50" i="7" s="1"/>
  <c r="CF58" i="7"/>
  <c r="BU58" i="7"/>
  <c r="BU59" i="7" s="1"/>
  <c r="BT59" i="7"/>
  <c r="BZ59" i="7"/>
  <c r="CA58" i="7"/>
  <c r="CS29" i="7"/>
  <c r="CR30" i="7"/>
  <c r="CR32" i="7"/>
  <c r="CG40" i="7"/>
  <c r="CF41" i="7"/>
  <c r="CL83" i="21"/>
  <c r="CL33" i="7"/>
  <c r="CL40" i="7"/>
  <c r="CL46" i="7" s="1"/>
  <c r="CL52" i="7"/>
  <c r="CM32" i="7"/>
  <c r="CM33" i="7" s="1"/>
  <c r="BZ50" i="7"/>
  <c r="CX29" i="7"/>
  <c r="DD26" i="7"/>
  <c r="CM26" i="7"/>
  <c r="CM27" i="7" s="1"/>
  <c r="CM30" i="7"/>
  <c r="CA105" i="21"/>
  <c r="CA47" i="7"/>
  <c r="CA49" i="7"/>
  <c r="N95" i="11"/>
  <c r="CG83" i="21"/>
  <c r="CA43" i="7"/>
  <c r="CA44" i="7" s="1"/>
  <c r="CA41" i="7"/>
  <c r="CF127" i="21"/>
  <c r="CG52" i="7"/>
  <c r="CF53" i="7"/>
  <c r="CA127" i="21"/>
  <c r="CA55" i="7"/>
  <c r="CA56" i="7" s="1"/>
  <c r="CA53" i="7"/>
  <c r="N96" i="11"/>
  <c r="CA50" i="7" l="1"/>
  <c r="CA59" i="7"/>
  <c r="CY29" i="7"/>
  <c r="CX30" i="7"/>
  <c r="CX32" i="7"/>
  <c r="CG58" i="7"/>
  <c r="CG59" i="7" s="1"/>
  <c r="CF59" i="7"/>
  <c r="CL41" i="7"/>
  <c r="CM40" i="7"/>
  <c r="CR83" i="21"/>
  <c r="CS32" i="7"/>
  <c r="CS33" i="7" s="1"/>
  <c r="CR33" i="7"/>
  <c r="CR40" i="7"/>
  <c r="CR46" i="7" s="1"/>
  <c r="CR52" i="7"/>
  <c r="M98" i="11"/>
  <c r="M106" i="11" s="1"/>
  <c r="CG127" i="21"/>
  <c r="CG53" i="7"/>
  <c r="CG55" i="7"/>
  <c r="CG56" i="7" s="1"/>
  <c r="O96" i="11"/>
  <c r="CL105" i="21"/>
  <c r="CL47" i="7"/>
  <c r="CL49" i="7"/>
  <c r="CL50" i="7" s="1"/>
  <c r="CL58" i="7"/>
  <c r="CM46" i="7"/>
  <c r="N97" i="11"/>
  <c r="DJ26" i="7"/>
  <c r="DJ29" i="7" s="1"/>
  <c r="DD29" i="7"/>
  <c r="CL127" i="21"/>
  <c r="CL53" i="7"/>
  <c r="CM52" i="7"/>
  <c r="CM83" i="21"/>
  <c r="CS26" i="7"/>
  <c r="CS27" i="7" s="1"/>
  <c r="CS30" i="7"/>
  <c r="CG105" i="21"/>
  <c r="CG47" i="7"/>
  <c r="CG49" i="7"/>
  <c r="CG50" i="7" s="1"/>
  <c r="O95" i="11"/>
  <c r="CG41" i="7"/>
  <c r="CG43" i="7"/>
  <c r="CG44" i="7" s="1"/>
  <c r="O97" i="11" l="1"/>
  <c r="O98" i="11" s="1"/>
  <c r="O101" i="11" s="1"/>
  <c r="CR127" i="21"/>
  <c r="CS52" i="7"/>
  <c r="CR53" i="7"/>
  <c r="CR105" i="21"/>
  <c r="CS46" i="7"/>
  <c r="CR47" i="7"/>
  <c r="CR49" i="7"/>
  <c r="CR50" i="7" s="1"/>
  <c r="CR58" i="7"/>
  <c r="CS83" i="21"/>
  <c r="DE29" i="7"/>
  <c r="DD30" i="7"/>
  <c r="DD32" i="7"/>
  <c r="CM105" i="21"/>
  <c r="CM47" i="7"/>
  <c r="CM49" i="7"/>
  <c r="CM50" i="7" s="1"/>
  <c r="P95" i="11"/>
  <c r="CS40" i="7"/>
  <c r="CR41" i="7"/>
  <c r="CM41" i="7"/>
  <c r="CM43" i="7"/>
  <c r="CM44" i="7" s="1"/>
  <c r="CX83" i="21"/>
  <c r="CX33" i="7"/>
  <c r="CX40" i="7"/>
  <c r="CX52" i="7"/>
  <c r="CY32" i="7"/>
  <c r="CY33" i="7" s="1"/>
  <c r="N98" i="11"/>
  <c r="N101" i="11" s="1"/>
  <c r="CY26" i="7"/>
  <c r="CY27" i="7" s="1"/>
  <c r="CY30" i="7"/>
  <c r="CM127" i="21"/>
  <c r="CM53" i="7"/>
  <c r="CM55" i="7"/>
  <c r="CM56" i="7" s="1"/>
  <c r="P96" i="11"/>
  <c r="DK29" i="7"/>
  <c r="DJ30" i="7"/>
  <c r="DJ32" i="7"/>
  <c r="CL59" i="7"/>
  <c r="CM58" i="7"/>
  <c r="CM59" i="7" s="1"/>
  <c r="CS127" i="21" l="1"/>
  <c r="CS53" i="7"/>
  <c r="CS55" i="7"/>
  <c r="CS56" i="7" s="1"/>
  <c r="Q96" i="11"/>
  <c r="DD83" i="21"/>
  <c r="DE32" i="7"/>
  <c r="DE33" i="7" s="1"/>
  <c r="DD33" i="7"/>
  <c r="DD40" i="7"/>
  <c r="DD46" i="7" s="1"/>
  <c r="DD52" i="7"/>
  <c r="CX127" i="21"/>
  <c r="CX53" i="7"/>
  <c r="CY52" i="7"/>
  <c r="CY83" i="21"/>
  <c r="CS41" i="7"/>
  <c r="CS43" i="7"/>
  <c r="CS44" i="7" s="1"/>
  <c r="P97" i="11"/>
  <c r="P98" i="11" s="1"/>
  <c r="P101" i="11" s="1"/>
  <c r="DE26" i="7"/>
  <c r="DE27" i="7" s="1"/>
  <c r="DE30" i="7"/>
  <c r="CS105" i="21"/>
  <c r="CS47" i="7"/>
  <c r="CS49" i="7"/>
  <c r="CS50" i="7" s="1"/>
  <c r="Q95" i="11"/>
  <c r="DK26" i="7"/>
  <c r="DK30" i="7"/>
  <c r="CX41" i="7"/>
  <c r="CY40" i="7"/>
  <c r="DJ83" i="21"/>
  <c r="DJ33" i="7"/>
  <c r="DJ40" i="7"/>
  <c r="DJ52" i="7"/>
  <c r="DK32" i="7"/>
  <c r="DK33" i="7" s="1"/>
  <c r="N106" i="11"/>
  <c r="CX46" i="7"/>
  <c r="CS58" i="7"/>
  <c r="CS59" i="7" s="1"/>
  <c r="CR59" i="7"/>
  <c r="Q97" i="11" l="1"/>
  <c r="Q98" i="11" s="1"/>
  <c r="Q101" i="11" s="1"/>
  <c r="DD105" i="21"/>
  <c r="DE46" i="7"/>
  <c r="DD47" i="7"/>
  <c r="DD49" i="7"/>
  <c r="DD58" i="7"/>
  <c r="DJ41" i="7"/>
  <c r="DK40" i="7"/>
  <c r="CX105" i="21"/>
  <c r="CX47" i="7"/>
  <c r="CX49" i="7"/>
  <c r="CX50" i="7" s="1"/>
  <c r="CX58" i="7"/>
  <c r="CY46" i="7"/>
  <c r="DK83" i="21"/>
  <c r="DK27" i="7"/>
  <c r="DE83" i="21"/>
  <c r="CY127" i="21"/>
  <c r="CY55" i="7"/>
  <c r="CY56" i="7" s="1"/>
  <c r="CY53" i="7"/>
  <c r="R96" i="11"/>
  <c r="DD127" i="21"/>
  <c r="DE52" i="7"/>
  <c r="DD53" i="7"/>
  <c r="DJ127" i="21"/>
  <c r="DJ53" i="7"/>
  <c r="DK52" i="7"/>
  <c r="DJ46" i="7"/>
  <c r="CY43" i="7"/>
  <c r="CY44" i="7" s="1"/>
  <c r="CY41" i="7"/>
  <c r="DE40" i="7"/>
  <c r="DD41" i="7"/>
  <c r="DJ105" i="21" l="1"/>
  <c r="DJ47" i="7"/>
  <c r="DJ49" i="7"/>
  <c r="DJ50" i="7" s="1"/>
  <c r="DJ58" i="7"/>
  <c r="DK46" i="7"/>
  <c r="DK127" i="21"/>
  <c r="DK53" i="7"/>
  <c r="DK55" i="7"/>
  <c r="DE105" i="21"/>
  <c r="DE47" i="7"/>
  <c r="DE49" i="7"/>
  <c r="DE41" i="7"/>
  <c r="DE43" i="7"/>
  <c r="DE44" i="7" s="1"/>
  <c r="DE58" i="7"/>
  <c r="DD59" i="7"/>
  <c r="DE127" i="21"/>
  <c r="DE53" i="7"/>
  <c r="DE55" i="7"/>
  <c r="DE56" i="7" s="1"/>
  <c r="CY105" i="21"/>
  <c r="CY47" i="7"/>
  <c r="CY49" i="7"/>
  <c r="CY50" i="7" s="1"/>
  <c r="R95" i="11"/>
  <c r="R97" i="11" s="1"/>
  <c r="R98" i="11" s="1"/>
  <c r="DD50" i="7"/>
  <c r="CX59" i="7"/>
  <c r="CY58" i="7"/>
  <c r="CY59" i="7" s="1"/>
  <c r="DK41" i="7"/>
  <c r="DK43" i="7"/>
  <c r="DK44" i="7" l="1"/>
  <c r="DE50" i="7"/>
  <c r="DJ59" i="7"/>
  <c r="DK58" i="7"/>
  <c r="DK59" i="7" s="1"/>
  <c r="R101" i="11"/>
  <c r="V100" i="11" s="1"/>
  <c r="S101" i="11"/>
  <c r="V101" i="11" s="1"/>
  <c r="DK56" i="7"/>
  <c r="DE59" i="7"/>
  <c r="DK105" i="21"/>
  <c r="DK47" i="7"/>
  <c r="DK49" i="7"/>
  <c r="DK50" i="7" s="1"/>
  <c r="V102" i="11" l="1"/>
  <c r="C19" i="12" l="1"/>
  <c r="L104" i="11"/>
  <c r="M104" i="11"/>
  <c r="G19" i="12" s="1"/>
  <c r="L103" i="11"/>
  <c r="L105" i="11"/>
  <c r="M103" i="11"/>
  <c r="F19" i="12" s="1"/>
  <c r="M105" i="11"/>
  <c r="H19" i="12" s="1"/>
  <c r="E19" i="12" l="1"/>
  <c r="BN106" i="21" l="1"/>
  <c r="BN48" i="9"/>
  <c r="BO48" i="9" s="1"/>
  <c r="BO51" i="9" s="1"/>
  <c r="BO49" i="9"/>
  <c r="BN51" i="9"/>
  <c r="BO52" i="9"/>
  <c r="BO54" i="9"/>
  <c r="BO57" i="9" s="1"/>
  <c r="BO58" i="9" s="1"/>
  <c r="BN55" i="9"/>
  <c r="BN57" i="9"/>
  <c r="BN58" i="9" s="1"/>
  <c r="BN66" i="9"/>
  <c r="BO66" i="9" s="1"/>
  <c r="BO67" i="9" s="1"/>
  <c r="BN79" i="9"/>
  <c r="BN80" i="9" s="1"/>
  <c r="L110" i="11"/>
  <c r="L112" i="11" s="1"/>
  <c r="L113" i="11" l="1"/>
  <c r="L121" i="11" s="1"/>
  <c r="BN67" i="9"/>
  <c r="BT51" i="9"/>
  <c r="BN52" i="9"/>
  <c r="BO106" i="21"/>
  <c r="BO55" i="9"/>
  <c r="BN49" i="9"/>
  <c r="BT48" i="9" l="1"/>
  <c r="BZ51" i="9"/>
  <c r="CF51" i="9" l="1"/>
  <c r="BZ48" i="9"/>
  <c r="BT54" i="9"/>
  <c r="BU48" i="9"/>
  <c r="BT49" i="9"/>
  <c r="CF48" i="9" l="1"/>
  <c r="CL51" i="9"/>
  <c r="BU49" i="9"/>
  <c r="BU51" i="9"/>
  <c r="BU52" i="9" s="1"/>
  <c r="BT106" i="21"/>
  <c r="BT57" i="9"/>
  <c r="BT58" i="9" s="1"/>
  <c r="BU54" i="9"/>
  <c r="BT55" i="9"/>
  <c r="BT66" i="9"/>
  <c r="CA48" i="9"/>
  <c r="BZ49" i="9"/>
  <c r="BZ54" i="9"/>
  <c r="BZ106" i="21" l="1"/>
  <c r="BZ55" i="9"/>
  <c r="BZ57" i="9"/>
  <c r="BZ58" i="9" s="1"/>
  <c r="BZ66" i="9"/>
  <c r="CA54" i="9"/>
  <c r="BU106" i="21"/>
  <c r="BU57" i="9"/>
  <c r="BU58" i="9" s="1"/>
  <c r="BU55" i="9"/>
  <c r="M110" i="11"/>
  <c r="M112" i="11" s="1"/>
  <c r="BT67" i="9"/>
  <c r="BU66" i="9"/>
  <c r="BU67" i="9" s="1"/>
  <c r="CF54" i="9"/>
  <c r="CF49" i="9"/>
  <c r="CG48" i="9"/>
  <c r="CA51" i="9"/>
  <c r="CA52" i="9" s="1"/>
  <c r="CA49" i="9"/>
  <c r="CR51" i="9"/>
  <c r="CL48" i="9"/>
  <c r="CF106" i="21" l="1"/>
  <c r="CF57" i="9"/>
  <c r="CF58" i="9" s="1"/>
  <c r="CG54" i="9"/>
  <c r="CF55" i="9"/>
  <c r="CF66" i="9"/>
  <c r="CM48" i="9"/>
  <c r="CL49" i="9"/>
  <c r="CL54" i="9"/>
  <c r="CG49" i="9"/>
  <c r="CG51" i="9"/>
  <c r="CG52" i="9" s="1"/>
  <c r="CA66" i="9"/>
  <c r="CA67" i="9" s="1"/>
  <c r="BZ67" i="9"/>
  <c r="CR48" i="9"/>
  <c r="CX51" i="9"/>
  <c r="M113" i="11"/>
  <c r="M121" i="11" s="1"/>
  <c r="CA106" i="21"/>
  <c r="CA55" i="9"/>
  <c r="CA57" i="9"/>
  <c r="CA58" i="9" s="1"/>
  <c r="N110" i="11"/>
  <c r="N112" i="11" s="1"/>
  <c r="CF67" i="9" l="1"/>
  <c r="CG66" i="9"/>
  <c r="CG67" i="9" s="1"/>
  <c r="N113" i="11"/>
  <c r="N116" i="11" s="1"/>
  <c r="CL106" i="21"/>
  <c r="CL55" i="9"/>
  <c r="CM54" i="9"/>
  <c r="CL66" i="9"/>
  <c r="CL57" i="9"/>
  <c r="CL58" i="9" s="1"/>
  <c r="CG106" i="21"/>
  <c r="CG57" i="9"/>
  <c r="CG58" i="9" s="1"/>
  <c r="CG55" i="9"/>
  <c r="O110" i="11"/>
  <c r="O112" i="11" s="1"/>
  <c r="O113" i="11" s="1"/>
  <c r="O116" i="11" s="1"/>
  <c r="CR54" i="9"/>
  <c r="CS48" i="9"/>
  <c r="CR49" i="9"/>
  <c r="DD51" i="9"/>
  <c r="CX48" i="9"/>
  <c r="CM51" i="9"/>
  <c r="CM52" i="9" s="1"/>
  <c r="CM49" i="9"/>
  <c r="DD48" i="9" l="1"/>
  <c r="DJ51" i="9"/>
  <c r="DJ48" i="9" s="1"/>
  <c r="CR106" i="21"/>
  <c r="CR57" i="9"/>
  <c r="CR58" i="9" s="1"/>
  <c r="CS54" i="9"/>
  <c r="CR55" i="9"/>
  <c r="CR66" i="9"/>
  <c r="CY48" i="9"/>
  <c r="CX49" i="9"/>
  <c r="CX54" i="9"/>
  <c r="CS49" i="9"/>
  <c r="CS51" i="9"/>
  <c r="CS52" i="9" s="1"/>
  <c r="CM106" i="21"/>
  <c r="CM55" i="9"/>
  <c r="CM57" i="9"/>
  <c r="CM58" i="9" s="1"/>
  <c r="P110" i="11"/>
  <c r="P112" i="11" s="1"/>
  <c r="P113" i="11" s="1"/>
  <c r="P116" i="11" s="1"/>
  <c r="CM66" i="9"/>
  <c r="CM67" i="9" s="1"/>
  <c r="CL67" i="9"/>
  <c r="N121" i="11"/>
  <c r="CY51" i="9" l="1"/>
  <c r="CY52" i="9" s="1"/>
  <c r="CY49" i="9"/>
  <c r="CR67" i="9"/>
  <c r="CS66" i="9"/>
  <c r="CS67" i="9" s="1"/>
  <c r="CX106" i="21"/>
  <c r="CX55" i="9"/>
  <c r="CX57" i="9"/>
  <c r="CX58" i="9" s="1"/>
  <c r="CX66" i="9"/>
  <c r="CY54" i="9"/>
  <c r="DK48" i="9"/>
  <c r="DJ49" i="9"/>
  <c r="DJ54" i="9"/>
  <c r="CS106" i="21"/>
  <c r="CS57" i="9"/>
  <c r="CS58" i="9" s="1"/>
  <c r="CS55" i="9"/>
  <c r="Q110" i="11"/>
  <c r="Q112" i="11" s="1"/>
  <c r="Q113" i="11" s="1"/>
  <c r="Q116" i="11" s="1"/>
  <c r="DD54" i="9"/>
  <c r="DD49" i="9"/>
  <c r="DE48" i="9"/>
  <c r="DD106" i="21" l="1"/>
  <c r="DD57" i="9"/>
  <c r="DD58" i="9" s="1"/>
  <c r="DE54" i="9"/>
  <c r="DD55" i="9"/>
  <c r="DD66" i="9"/>
  <c r="CY106" i="21"/>
  <c r="CY55" i="9"/>
  <c r="CY57" i="9"/>
  <c r="CY58" i="9" s="1"/>
  <c r="R110" i="11"/>
  <c r="R112" i="11" s="1"/>
  <c r="R113" i="11" s="1"/>
  <c r="DJ106" i="21"/>
  <c r="DJ55" i="9"/>
  <c r="DK54" i="9"/>
  <c r="DJ66" i="9"/>
  <c r="DJ57" i="9"/>
  <c r="DJ58" i="9" s="1"/>
  <c r="CY66" i="9"/>
  <c r="CY67" i="9" s="1"/>
  <c r="CX67" i="9"/>
  <c r="DK51" i="9"/>
  <c r="DK49" i="9"/>
  <c r="DE49" i="9"/>
  <c r="DE51" i="9"/>
  <c r="DE52" i="9" s="1"/>
  <c r="DE106" i="21" l="1"/>
  <c r="DE57" i="9"/>
  <c r="DE58" i="9" s="1"/>
  <c r="DE55" i="9"/>
  <c r="DK106" i="21"/>
  <c r="DK55" i="9"/>
  <c r="DK57" i="9"/>
  <c r="DK58" i="9" s="1"/>
  <c r="DK52" i="9"/>
  <c r="DK66" i="9"/>
  <c r="DJ67" i="9"/>
  <c r="R116" i="11"/>
  <c r="V115" i="11" s="1"/>
  <c r="S116" i="11"/>
  <c r="V116" i="11" s="1"/>
  <c r="DD67" i="9"/>
  <c r="DE66" i="9"/>
  <c r="DE67" i="9" s="1"/>
  <c r="DK67" i="9" l="1"/>
  <c r="V117" i="11"/>
  <c r="C18" i="12" l="1"/>
  <c r="L118" i="11"/>
  <c r="M119" i="11"/>
  <c r="G18" i="12" s="1"/>
  <c r="N120" i="11"/>
  <c r="M118" i="11"/>
  <c r="F18" i="12" s="1"/>
  <c r="N119" i="11"/>
  <c r="N118" i="11"/>
  <c r="L120" i="11"/>
  <c r="L119" i="11"/>
  <c r="M120" i="11"/>
  <c r="H18" i="12" s="1"/>
  <c r="E18" i="12" l="1"/>
  <c r="AX234" i="117" l="1"/>
  <c r="AW236" i="117"/>
  <c r="AX236" i="117" s="1"/>
  <c r="L325" i="14" s="1"/>
  <c r="AW237" i="117"/>
  <c r="AX237" i="117"/>
  <c r="AW243" i="117"/>
  <c r="AX274" i="117" l="1"/>
  <c r="AW278" i="117"/>
  <c r="AX243" i="117"/>
  <c r="AX244" i="117" s="1"/>
  <c r="AW244" i="117"/>
  <c r="AW248" i="117"/>
  <c r="AX248" i="117" s="1"/>
  <c r="AX252" i="117" s="1"/>
  <c r="AX278" i="117" l="1"/>
  <c r="AW282" i="117"/>
  <c r="L198" i="14"/>
  <c r="L212" i="14"/>
  <c r="L257" i="14"/>
  <c r="AW286" i="117" l="1"/>
  <c r="AX282" i="117"/>
  <c r="AX286" i="117" l="1"/>
  <c r="AW287" i="117"/>
  <c r="L262" i="14" l="1"/>
  <c r="L263" i="14" s="1"/>
  <c r="AZ285" i="117"/>
  <c r="BD285" i="117" l="1"/>
  <c r="BV276" i="117"/>
  <c r="P330" i="14" s="1"/>
  <c r="CB276" i="117"/>
  <c r="CH276" i="117"/>
  <c r="BM60" i="17"/>
  <c r="BO60" i="17" s="1"/>
  <c r="BS61" i="17"/>
  <c r="BM64" i="17"/>
  <c r="BS64" i="17"/>
  <c r="BM132" i="21"/>
  <c r="BO132" i="21"/>
  <c r="BM138" i="21"/>
  <c r="BO138" i="21" s="1"/>
  <c r="L171" i="11"/>
  <c r="L172" i="11"/>
  <c r="L173" i="11" s="1"/>
  <c r="L181" i="11" s="1"/>
  <c r="L179" i="11"/>
  <c r="L180" i="11"/>
  <c r="BM139" i="21" l="1"/>
  <c r="BU61" i="17"/>
  <c r="BO63" i="17"/>
  <c r="BO61" i="17"/>
  <c r="BM66" i="17"/>
  <c r="BM61" i="17"/>
  <c r="BM124" i="17"/>
  <c r="BO64" i="17" l="1"/>
  <c r="BU64" i="17"/>
  <c r="BS125" i="17"/>
  <c r="BO124" i="17"/>
  <c r="BM125" i="17"/>
  <c r="BO66" i="17"/>
  <c r="BM67" i="17"/>
  <c r="BS67" i="17"/>
  <c r="BU138" i="21"/>
  <c r="BY138" i="21"/>
  <c r="BS140" i="21"/>
  <c r="BO125" i="17" l="1"/>
  <c r="BU125" i="17"/>
  <c r="BS62" i="21"/>
  <c r="CA138" i="21"/>
  <c r="CE138" i="21"/>
  <c r="BY140" i="21"/>
  <c r="BU67" i="17"/>
  <c r="BO67" i="17"/>
  <c r="BS72" i="21" l="1"/>
  <c r="BY62" i="21"/>
  <c r="CG138" i="21"/>
  <c r="CK138" i="21"/>
  <c r="CE140" i="21"/>
  <c r="BY72" i="21" l="1"/>
  <c r="CE62" i="21"/>
  <c r="CM138" i="21"/>
  <c r="CQ138" i="21"/>
  <c r="CK140" i="21"/>
  <c r="CE72" i="21" l="1"/>
  <c r="CK62" i="21"/>
  <c r="CS138" i="21"/>
  <c r="CW138" i="21"/>
  <c r="CQ140" i="21"/>
  <c r="CK72" i="21" l="1"/>
  <c r="CQ62" i="21"/>
  <c r="CY138" i="21"/>
  <c r="DC138" i="21"/>
  <c r="CW140" i="21"/>
  <c r="CW62" i="21" l="1"/>
  <c r="CQ72" i="21"/>
  <c r="DE138" i="21"/>
  <c r="DI138" i="21"/>
  <c r="DC140" i="21"/>
  <c r="DC62" i="21" l="1"/>
  <c r="DK138" i="21"/>
  <c r="DI140" i="21"/>
  <c r="CW72" i="21"/>
  <c r="DI62" i="21" l="1"/>
  <c r="DC72" i="21"/>
  <c r="DI72" i="21" l="1"/>
  <c r="BN91" i="21"/>
  <c r="BO91" i="21" s="1"/>
  <c r="BN13" i="21"/>
  <c r="BT80" i="16"/>
  <c r="BO83" i="16"/>
  <c r="BO80" i="16" s="1"/>
  <c r="BO81" i="16" s="1"/>
  <c r="BN84" i="16"/>
  <c r="BO84" i="16"/>
  <c r="BN89" i="16"/>
  <c r="BT89" i="16" s="1"/>
  <c r="BZ89" i="16" s="1"/>
  <c r="CF89" i="16" s="1"/>
  <c r="CL89" i="16" s="1"/>
  <c r="CR89" i="16" s="1"/>
  <c r="CX89" i="16" s="1"/>
  <c r="DD89" i="16" s="1"/>
  <c r="DJ89" i="16" s="1"/>
  <c r="BO89" i="16"/>
  <c r="BN90" i="16"/>
  <c r="BO90" i="16"/>
  <c r="BN95" i="16"/>
  <c r="BO95" i="16"/>
  <c r="BT95" i="16"/>
  <c r="BN96" i="16"/>
  <c r="BO96" i="16"/>
  <c r="BT83" i="16" l="1"/>
  <c r="BT92" i="16" s="1"/>
  <c r="BZ80" i="16"/>
  <c r="BZ95" i="16"/>
  <c r="BO96" i="21"/>
  <c r="BO13" i="21"/>
  <c r="BN23" i="21"/>
  <c r="BO23" i="21" s="1"/>
  <c r="L6" i="14" s="1"/>
  <c r="CF95" i="16" l="1"/>
  <c r="BT135" i="21"/>
  <c r="BT140" i="21" s="1"/>
  <c r="BT93" i="16"/>
  <c r="BU92" i="16"/>
  <c r="CF80" i="16"/>
  <c r="BZ83" i="16"/>
  <c r="BZ92" i="16" s="1"/>
  <c r="L7" i="14"/>
  <c r="BT91" i="21"/>
  <c r="BU83" i="16"/>
  <c r="BT84" i="16"/>
  <c r="BT86" i="16"/>
  <c r="BZ135" i="21" l="1"/>
  <c r="BZ140" i="21" s="1"/>
  <c r="BZ93" i="16"/>
  <c r="CA92" i="16"/>
  <c r="BU80" i="16"/>
  <c r="BU81" i="16" s="1"/>
  <c r="BU84" i="16"/>
  <c r="BT96" i="21"/>
  <c r="BU91" i="21"/>
  <c r="BT62" i="21"/>
  <c r="BU62" i="21" s="1"/>
  <c r="BU140" i="21"/>
  <c r="BU135" i="21"/>
  <c r="BU95" i="16"/>
  <c r="BU96" i="16" s="1"/>
  <c r="BU93" i="16"/>
  <c r="M216" i="11"/>
  <c r="BZ91" i="21"/>
  <c r="BZ84" i="16"/>
  <c r="BZ86" i="16"/>
  <c r="CA83" i="16"/>
  <c r="BT113" i="21"/>
  <c r="BT87" i="16"/>
  <c r="BT98" i="16"/>
  <c r="BU86" i="16"/>
  <c r="CF83" i="16"/>
  <c r="CL80" i="16"/>
  <c r="CL95" i="16"/>
  <c r="CR80" i="16" l="1"/>
  <c r="CL83" i="16"/>
  <c r="CL92" i="16" s="1"/>
  <c r="CF91" i="21"/>
  <c r="CG83" i="16"/>
  <c r="CF84" i="16"/>
  <c r="CF86" i="16"/>
  <c r="CA91" i="21"/>
  <c r="BZ96" i="21"/>
  <c r="BT13" i="21"/>
  <c r="BU13" i="21" s="1"/>
  <c r="BU96" i="21"/>
  <c r="BZ62" i="21"/>
  <c r="CA62" i="21" s="1"/>
  <c r="CA140" i="21"/>
  <c r="BU113" i="21"/>
  <c r="BU89" i="16"/>
  <c r="BU90" i="16" s="1"/>
  <c r="BU87" i="16"/>
  <c r="M215" i="11"/>
  <c r="M217" i="11" s="1"/>
  <c r="CA135" i="21"/>
  <c r="CA93" i="16"/>
  <c r="CA95" i="16"/>
  <c r="CA96" i="16" s="1"/>
  <c r="N216" i="11"/>
  <c r="CR95" i="16"/>
  <c r="CA80" i="16"/>
  <c r="CA81" i="16" s="1"/>
  <c r="CA84" i="16"/>
  <c r="CF92" i="16"/>
  <c r="BT99" i="16"/>
  <c r="BU98" i="16"/>
  <c r="BU99" i="16" s="1"/>
  <c r="BZ113" i="21"/>
  <c r="BZ87" i="16"/>
  <c r="BZ98" i="16"/>
  <c r="CA86" i="16"/>
  <c r="M218" i="11" l="1"/>
  <c r="M226" i="11" s="1"/>
  <c r="BZ13" i="21"/>
  <c r="CA13" i="21" s="1"/>
  <c r="CA96" i="21"/>
  <c r="CG80" i="16"/>
  <c r="CG81" i="16" s="1"/>
  <c r="CG84" i="16"/>
  <c r="CX95" i="16"/>
  <c r="CF96" i="21"/>
  <c r="CG91" i="21"/>
  <c r="CR83" i="16"/>
  <c r="CX80" i="16"/>
  <c r="CA113" i="21"/>
  <c r="CA87" i="16"/>
  <c r="CA89" i="16"/>
  <c r="CA90" i="16" s="1"/>
  <c r="N215" i="11"/>
  <c r="N217" i="11" s="1"/>
  <c r="BZ99" i="16"/>
  <c r="CA98" i="16"/>
  <c r="CA99" i="16" s="1"/>
  <c r="CF135" i="21"/>
  <c r="CF140" i="21" s="1"/>
  <c r="CF93" i="16"/>
  <c r="CG92" i="16"/>
  <c r="CL135" i="21"/>
  <c r="CL140" i="21" s="1"/>
  <c r="CL93" i="16"/>
  <c r="CM92" i="16"/>
  <c r="CF113" i="21"/>
  <c r="CF87" i="16"/>
  <c r="CF98" i="16"/>
  <c r="CG86" i="16"/>
  <c r="CL91" i="21"/>
  <c r="CL84" i="16"/>
  <c r="CL86" i="16"/>
  <c r="CM83" i="16"/>
  <c r="CG135" i="21" l="1"/>
  <c r="CG95" i="16"/>
  <c r="CG96" i="16" s="1"/>
  <c r="CG93" i="16"/>
  <c r="O216" i="11"/>
  <c r="CM80" i="16"/>
  <c r="CM81" i="16" s="1"/>
  <c r="CM84" i="16"/>
  <c r="CM135" i="21"/>
  <c r="CM93" i="16"/>
  <c r="CM95" i="16"/>
  <c r="P216" i="11"/>
  <c r="N218" i="11"/>
  <c r="N221" i="11" s="1"/>
  <c r="DD80" i="16"/>
  <c r="CX83" i="16"/>
  <c r="CX92" i="16" s="1"/>
  <c r="DD95" i="16"/>
  <c r="CF13" i="21"/>
  <c r="CG13" i="21" s="1"/>
  <c r="CG96" i="21"/>
  <c r="CF62" i="21"/>
  <c r="CG62" i="21" s="1"/>
  <c r="CG140" i="21"/>
  <c r="CR91" i="21"/>
  <c r="CS83" i="16"/>
  <c r="CR84" i="16"/>
  <c r="CR86" i="16"/>
  <c r="CR92" i="16"/>
  <c r="CM91" i="21"/>
  <c r="CL96" i="21"/>
  <c r="CG113" i="21"/>
  <c r="CG89" i="16"/>
  <c r="CG90" i="16" s="1"/>
  <c r="CG87" i="16"/>
  <c r="O215" i="11"/>
  <c r="CL113" i="21"/>
  <c r="CL87" i="16"/>
  <c r="CL98" i="16"/>
  <c r="CM86" i="16"/>
  <c r="CF99" i="16"/>
  <c r="CG98" i="16"/>
  <c r="CG99" i="16" s="1"/>
  <c r="CL62" i="21"/>
  <c r="CM62" i="21" s="1"/>
  <c r="CM140" i="21"/>
  <c r="N226" i="11" l="1"/>
  <c r="CM96" i="16"/>
  <c r="O217" i="11"/>
  <c r="O218" i="11" s="1"/>
  <c r="O221" i="11" s="1"/>
  <c r="CR135" i="21"/>
  <c r="CR140" i="21" s="1"/>
  <c r="CR93" i="16"/>
  <c r="CS92" i="16"/>
  <c r="DD83" i="16"/>
  <c r="DJ80" i="16"/>
  <c r="DJ83" i="16" s="1"/>
  <c r="CR113" i="21"/>
  <c r="CR87" i="16"/>
  <c r="CR98" i="16"/>
  <c r="CS86" i="16"/>
  <c r="DJ95" i="16"/>
  <c r="CR96" i="21"/>
  <c r="CS91" i="21"/>
  <c r="CM113" i="21"/>
  <c r="CM87" i="16"/>
  <c r="CM89" i="16"/>
  <c r="CM90" i="16" s="1"/>
  <c r="P215" i="11"/>
  <c r="P217" i="11" s="1"/>
  <c r="P218" i="11" s="1"/>
  <c r="P221" i="11" s="1"/>
  <c r="CL13" i="21"/>
  <c r="CM13" i="21" s="1"/>
  <c r="CM96" i="21"/>
  <c r="CX135" i="21"/>
  <c r="CX140" i="21" s="1"/>
  <c r="CX93" i="16"/>
  <c r="CY92" i="16"/>
  <c r="CL99" i="16"/>
  <c r="CM98" i="16"/>
  <c r="CM99" i="16" s="1"/>
  <c r="CS80" i="16"/>
  <c r="CS81" i="16" s="1"/>
  <c r="CS84" i="16"/>
  <c r="CX91" i="21"/>
  <c r="CX84" i="16"/>
  <c r="CX86" i="16"/>
  <c r="CY83" i="16"/>
  <c r="CX62" i="21" l="1"/>
  <c r="CY62" i="21" s="1"/>
  <c r="CY140" i="21"/>
  <c r="DJ91" i="21"/>
  <c r="DJ84" i="16"/>
  <c r="DJ86" i="16"/>
  <c r="DK83" i="16"/>
  <c r="CR13" i="21"/>
  <c r="CS13" i="21" s="1"/>
  <c r="CS96" i="21"/>
  <c r="CR99" i="16"/>
  <c r="CS98" i="16"/>
  <c r="CS99" i="16" s="1"/>
  <c r="DD91" i="21"/>
  <c r="DE83" i="16"/>
  <c r="DD84" i="16"/>
  <c r="DD86" i="16"/>
  <c r="CR62" i="21"/>
  <c r="CS62" i="21" s="1"/>
  <c r="CS140" i="21"/>
  <c r="CY80" i="16"/>
  <c r="CY81" i="16" s="1"/>
  <c r="CY84" i="16"/>
  <c r="CY135" i="21"/>
  <c r="CY93" i="16"/>
  <c r="CY95" i="16"/>
  <c r="R216" i="11"/>
  <c r="DJ92" i="16"/>
  <c r="CS135" i="21"/>
  <c r="CS95" i="16"/>
  <c r="CS96" i="16" s="1"/>
  <c r="CS93" i="16"/>
  <c r="Q216" i="11"/>
  <c r="CS113" i="21"/>
  <c r="CS89" i="16"/>
  <c r="CS90" i="16" s="1"/>
  <c r="CS87" i="16"/>
  <c r="Q215" i="11"/>
  <c r="Q217" i="11" s="1"/>
  <c r="Q218" i="11" s="1"/>
  <c r="Q221" i="11" s="1"/>
  <c r="CY91" i="21"/>
  <c r="CX96" i="21"/>
  <c r="CX113" i="21"/>
  <c r="CX87" i="16"/>
  <c r="CX98" i="16"/>
  <c r="CY86" i="16"/>
  <c r="DD92" i="16"/>
  <c r="DJ135" i="21" l="1"/>
  <c r="DJ140" i="21" s="1"/>
  <c r="DJ93" i="16"/>
  <c r="DK92" i="16"/>
  <c r="DD96" i="21"/>
  <c r="DE91" i="21"/>
  <c r="DK91" i="21"/>
  <c r="DJ96" i="21"/>
  <c r="DE80" i="16"/>
  <c r="DE81" i="16" s="1"/>
  <c r="DE84" i="16"/>
  <c r="DD135" i="21"/>
  <c r="DD140" i="21" s="1"/>
  <c r="DD93" i="16"/>
  <c r="DE92" i="16"/>
  <c r="DD113" i="21"/>
  <c r="DD87" i="16"/>
  <c r="DD98" i="16"/>
  <c r="DE86" i="16"/>
  <c r="DK80" i="16"/>
  <c r="DK84" i="16"/>
  <c r="CX99" i="16"/>
  <c r="CY98" i="16"/>
  <c r="CY99" i="16" s="1"/>
  <c r="CY113" i="21"/>
  <c r="CY87" i="16"/>
  <c r="CY89" i="16"/>
  <c r="CY90" i="16" s="1"/>
  <c r="R215" i="11"/>
  <c r="R217" i="11" s="1"/>
  <c r="R218" i="11" s="1"/>
  <c r="CX13" i="21"/>
  <c r="CY13" i="21" s="1"/>
  <c r="CY96" i="21"/>
  <c r="CY96" i="16"/>
  <c r="DJ113" i="21"/>
  <c r="DJ87" i="16"/>
  <c r="DJ98" i="16"/>
  <c r="DK86" i="16"/>
  <c r="DK81" i="16" l="1"/>
  <c r="DE113" i="21"/>
  <c r="DE89" i="16"/>
  <c r="DE90" i="16" s="1"/>
  <c r="DE87" i="16"/>
  <c r="DE135" i="21"/>
  <c r="DE95" i="16"/>
  <c r="DE96" i="16" s="1"/>
  <c r="DE93" i="16"/>
  <c r="DD13" i="21"/>
  <c r="DE13" i="21" s="1"/>
  <c r="DE96" i="21"/>
  <c r="R221" i="11"/>
  <c r="V220" i="11" s="1"/>
  <c r="S221" i="11"/>
  <c r="V221" i="11" s="1"/>
  <c r="DD99" i="16"/>
  <c r="DE98" i="16"/>
  <c r="DE99" i="16" s="1"/>
  <c r="DJ13" i="21"/>
  <c r="DK13" i="21" s="1"/>
  <c r="DK96" i="21"/>
  <c r="DK135" i="21"/>
  <c r="DK93" i="16"/>
  <c r="DK95" i="16"/>
  <c r="DK96" i="16" s="1"/>
  <c r="DJ62" i="21"/>
  <c r="DK62" i="21" s="1"/>
  <c r="DK140" i="21"/>
  <c r="DK113" i="21"/>
  <c r="DK87" i="16"/>
  <c r="DK89" i="16"/>
  <c r="DK90" i="16" s="1"/>
  <c r="DJ99" i="16"/>
  <c r="DK98" i="16"/>
  <c r="DK99" i="16" s="1"/>
  <c r="DD62" i="21"/>
  <c r="DE62" i="21" s="1"/>
  <c r="DE140" i="21"/>
  <c r="V222" i="11" l="1"/>
  <c r="C26" i="12" s="1"/>
  <c r="N224" i="11" l="1"/>
  <c r="L223" i="11"/>
  <c r="M223" i="11"/>
  <c r="N225" i="11"/>
  <c r="L224" i="11"/>
  <c r="M225" i="11"/>
  <c r="L225" i="11"/>
  <c r="N223" i="11"/>
  <c r="M224" i="11"/>
  <c r="E26" i="12"/>
  <c r="BO48" i="15"/>
  <c r="BO51" i="15" s="1"/>
  <c r="BO52" i="15" s="1"/>
  <c r="BO54" i="15"/>
  <c r="BO55" i="15" s="1"/>
  <c r="BN55" i="15"/>
  <c r="BN57" i="15"/>
  <c r="BN58" i="15" s="1"/>
  <c r="BO57" i="15"/>
  <c r="BO58" i="15" s="1"/>
  <c r="BN66" i="15"/>
  <c r="BN67" i="15" s="1"/>
  <c r="BN116" i="15"/>
  <c r="BO116" i="15" s="1"/>
  <c r="BN108" i="21"/>
  <c r="L140" i="11"/>
  <c r="L142" i="11"/>
  <c r="BO66" i="15" l="1"/>
  <c r="BO67" i="15" s="1"/>
  <c r="BO117" i="15"/>
  <c r="BO119" i="15"/>
  <c r="BO120" i="15" s="1"/>
  <c r="BO108" i="21"/>
  <c r="BN119" i="15"/>
  <c r="BN120" i="15" s="1"/>
  <c r="BO49" i="15"/>
  <c r="L143" i="11"/>
  <c r="L151" i="11" s="1"/>
  <c r="BT51" i="15"/>
  <c r="BN117" i="15"/>
  <c r="BN124" i="15"/>
  <c r="BZ51" i="15" l="1"/>
  <c r="BT48" i="15"/>
  <c r="BN125" i="15"/>
  <c r="BO124" i="15"/>
  <c r="BO125" i="15" s="1"/>
  <c r="BT54" i="15" l="1"/>
  <c r="BU48" i="15"/>
  <c r="BT49" i="15"/>
  <c r="BZ48" i="15"/>
  <c r="CF51" i="15"/>
  <c r="CA48" i="15" l="1"/>
  <c r="BZ49" i="15"/>
  <c r="BZ54" i="15"/>
  <c r="BU49" i="15"/>
  <c r="BU51" i="15"/>
  <c r="BU52" i="15" s="1"/>
  <c r="CF48" i="15"/>
  <c r="CL51" i="15"/>
  <c r="BT57" i="15"/>
  <c r="BT58" i="15" s="1"/>
  <c r="BT66" i="15"/>
  <c r="BT116" i="15"/>
  <c r="BT108" i="21"/>
  <c r="BU54" i="15"/>
  <c r="BT55" i="15"/>
  <c r="BU55" i="15" l="1"/>
  <c r="M140" i="11"/>
  <c r="M142" i="11" s="1"/>
  <c r="BU108" i="21"/>
  <c r="BU57" i="15"/>
  <c r="BU58" i="15" s="1"/>
  <c r="CL48" i="15"/>
  <c r="CR51" i="15"/>
  <c r="BZ55" i="15"/>
  <c r="BZ108" i="21"/>
  <c r="BZ116" i="15"/>
  <c r="BZ66" i="15"/>
  <c r="CA54" i="15"/>
  <c r="BZ57" i="15"/>
  <c r="BZ58" i="15" s="1"/>
  <c r="BT119" i="15"/>
  <c r="BT120" i="15" s="1"/>
  <c r="BT124" i="15"/>
  <c r="BU116" i="15"/>
  <c r="BT117" i="15"/>
  <c r="CF54" i="15"/>
  <c r="CG48" i="15"/>
  <c r="CF49" i="15"/>
  <c r="BU66" i="15"/>
  <c r="BU67" i="15" s="1"/>
  <c r="BT67" i="15"/>
  <c r="CA51" i="15"/>
  <c r="CA52" i="15" s="1"/>
  <c r="CA49" i="15"/>
  <c r="BU117" i="15" l="1"/>
  <c r="BU119" i="15"/>
  <c r="BU120" i="15" s="1"/>
  <c r="CA57" i="15"/>
  <c r="CA58" i="15" s="1"/>
  <c r="N140" i="11"/>
  <c r="N142" i="11" s="1"/>
  <c r="CA108" i="21"/>
  <c r="CA55" i="15"/>
  <c r="CG49" i="15"/>
  <c r="CG51" i="15"/>
  <c r="CG52" i="15" s="1"/>
  <c r="BT125" i="15"/>
  <c r="BU124" i="15"/>
  <c r="BU125" i="15" s="1"/>
  <c r="BZ67" i="15"/>
  <c r="CA66" i="15"/>
  <c r="CA67" i="15" s="1"/>
  <c r="CX51" i="15"/>
  <c r="CR48" i="15"/>
  <c r="CF57" i="15"/>
  <c r="CF58" i="15" s="1"/>
  <c r="CF66" i="15"/>
  <c r="CG54" i="15"/>
  <c r="CF116" i="15"/>
  <c r="CF55" i="15"/>
  <c r="CF108" i="21"/>
  <c r="BZ117" i="15"/>
  <c r="BZ119" i="15"/>
  <c r="BZ120" i="15" s="1"/>
  <c r="BZ124" i="15"/>
  <c r="CA116" i="15"/>
  <c r="CM48" i="15"/>
  <c r="CL49" i="15"/>
  <c r="CL54" i="15"/>
  <c r="M143" i="11"/>
  <c r="M151" i="11" s="1"/>
  <c r="CA117" i="15" l="1"/>
  <c r="CA119" i="15"/>
  <c r="CA120" i="15" s="1"/>
  <c r="CF67" i="15"/>
  <c r="CG66" i="15"/>
  <c r="CG67" i="15" s="1"/>
  <c r="N143" i="11"/>
  <c r="N146" i="11" s="1"/>
  <c r="CL55" i="15"/>
  <c r="CL66" i="15"/>
  <c r="CL108" i="21"/>
  <c r="CL57" i="15"/>
  <c r="CL58" i="15" s="1"/>
  <c r="CL116" i="15"/>
  <c r="CM54" i="15"/>
  <c r="BZ125" i="15"/>
  <c r="CA124" i="15"/>
  <c r="CA125" i="15" s="1"/>
  <c r="CF119" i="15"/>
  <c r="CF120" i="15" s="1"/>
  <c r="CF124" i="15"/>
  <c r="CF117" i="15"/>
  <c r="CG116" i="15"/>
  <c r="CR54" i="15"/>
  <c r="CS48" i="15"/>
  <c r="CR49" i="15"/>
  <c r="CM51" i="15"/>
  <c r="CM52" i="15" s="1"/>
  <c r="CM49" i="15"/>
  <c r="CG57" i="15"/>
  <c r="CG58" i="15" s="1"/>
  <c r="CG108" i="21"/>
  <c r="CG55" i="15"/>
  <c r="O140" i="11"/>
  <c r="O142" i="11" s="1"/>
  <c r="O143" i="11" s="1"/>
  <c r="O146" i="11" s="1"/>
  <c r="CX48" i="15"/>
  <c r="DD51" i="15"/>
  <c r="CR57" i="15" l="1"/>
  <c r="CR58" i="15" s="1"/>
  <c r="CR66" i="15"/>
  <c r="CR116" i="15"/>
  <c r="CS54" i="15"/>
  <c r="CR55" i="15"/>
  <c r="CR108" i="21"/>
  <c r="CL117" i="15"/>
  <c r="CL119" i="15"/>
  <c r="CL120" i="15" s="1"/>
  <c r="CL124" i="15"/>
  <c r="CM116" i="15"/>
  <c r="CG119" i="15"/>
  <c r="CG120" i="15" s="1"/>
  <c r="CG117" i="15"/>
  <c r="DD48" i="15"/>
  <c r="DJ51" i="15"/>
  <c r="DJ48" i="15" s="1"/>
  <c r="N151" i="11"/>
  <c r="CY48" i="15"/>
  <c r="CX54" i="15"/>
  <c r="CX49" i="15"/>
  <c r="CS49" i="15"/>
  <c r="CS51" i="15"/>
  <c r="CS52" i="15" s="1"/>
  <c r="CG124" i="15"/>
  <c r="CG125" i="15" s="1"/>
  <c r="CF125" i="15"/>
  <c r="CM55" i="15"/>
  <c r="P140" i="11"/>
  <c r="P142" i="11" s="1"/>
  <c r="P143" i="11" s="1"/>
  <c r="P146" i="11" s="1"/>
  <c r="CM57" i="15"/>
  <c r="CM58" i="15" s="1"/>
  <c r="CM108" i="21"/>
  <c r="CL67" i="15"/>
  <c r="CM66" i="15"/>
  <c r="CM67" i="15" s="1"/>
  <c r="Q140" i="11" l="1"/>
  <c r="Q142" i="11" s="1"/>
  <c r="Q143" i="11" s="1"/>
  <c r="Q146" i="11" s="1"/>
  <c r="CS108" i="21"/>
  <c r="CS55" i="15"/>
  <c r="CS57" i="15"/>
  <c r="CS58" i="15" s="1"/>
  <c r="CX55" i="15"/>
  <c r="CX57" i="15"/>
  <c r="CX58" i="15" s="1"/>
  <c r="CX108" i="21"/>
  <c r="CY54" i="15"/>
  <c r="CX116" i="15"/>
  <c r="CX66" i="15"/>
  <c r="DK48" i="15"/>
  <c r="DJ49" i="15"/>
  <c r="DJ54" i="15"/>
  <c r="CR119" i="15"/>
  <c r="CR120" i="15" s="1"/>
  <c r="CR124" i="15"/>
  <c r="CR117" i="15"/>
  <c r="CS116" i="15"/>
  <c r="CY51" i="15"/>
  <c r="CY52" i="15" s="1"/>
  <c r="CY49" i="15"/>
  <c r="DD54" i="15"/>
  <c r="DD49" i="15"/>
  <c r="DE48" i="15"/>
  <c r="CM119" i="15"/>
  <c r="CM120" i="15" s="1"/>
  <c r="CM117" i="15"/>
  <c r="CR67" i="15"/>
  <c r="CS66" i="15"/>
  <c r="CS67" i="15" s="1"/>
  <c r="CL125" i="15"/>
  <c r="CM124" i="15"/>
  <c r="CM125" i="15" s="1"/>
  <c r="CS124" i="15" l="1"/>
  <c r="CS125" i="15" s="1"/>
  <c r="CR125" i="15"/>
  <c r="DK51" i="15"/>
  <c r="DK49" i="15"/>
  <c r="DE49" i="15"/>
  <c r="DE51" i="15"/>
  <c r="DE52" i="15" s="1"/>
  <c r="CX67" i="15"/>
  <c r="CY66" i="15"/>
  <c r="CY67" i="15" s="1"/>
  <c r="CS117" i="15"/>
  <c r="CS119" i="15"/>
  <c r="CS120" i="15" s="1"/>
  <c r="DJ55" i="15"/>
  <c r="DK54" i="15"/>
  <c r="DJ108" i="21"/>
  <c r="DJ57" i="15"/>
  <c r="DJ66" i="15"/>
  <c r="DJ116" i="15"/>
  <c r="CX117" i="15"/>
  <c r="CY116" i="15"/>
  <c r="CX124" i="15"/>
  <c r="CX119" i="15"/>
  <c r="CX120" i="15" s="1"/>
  <c r="DD57" i="15"/>
  <c r="DD58" i="15" s="1"/>
  <c r="DD66" i="15"/>
  <c r="DD55" i="15"/>
  <c r="DD116" i="15"/>
  <c r="DD108" i="21"/>
  <c r="DE54" i="15"/>
  <c r="CY55" i="15"/>
  <c r="CY108" i="21"/>
  <c r="CY57" i="15"/>
  <c r="CY58" i="15" s="1"/>
  <c r="R140" i="11"/>
  <c r="R142" i="11" s="1"/>
  <c r="R143" i="11" s="1"/>
  <c r="DJ58" i="15" l="1"/>
  <c r="R146" i="11"/>
  <c r="V145" i="11" s="1"/>
  <c r="S146" i="11"/>
  <c r="V146" i="11" s="1"/>
  <c r="DE57" i="15"/>
  <c r="DE58" i="15" s="1"/>
  <c r="DE108" i="21"/>
  <c r="DE55" i="15"/>
  <c r="DE66" i="15"/>
  <c r="DE67" i="15" s="1"/>
  <c r="DD67" i="15"/>
  <c r="CY119" i="15"/>
  <c r="CY120" i="15" s="1"/>
  <c r="CY117" i="15"/>
  <c r="DK52" i="15"/>
  <c r="DD119" i="15"/>
  <c r="DD120" i="15" s="1"/>
  <c r="DD124" i="15"/>
  <c r="DE116" i="15"/>
  <c r="DD117" i="15"/>
  <c r="DJ117" i="15"/>
  <c r="DJ124" i="15"/>
  <c r="DK116" i="15"/>
  <c r="DJ119" i="15"/>
  <c r="DK57" i="15"/>
  <c r="DK108" i="21"/>
  <c r="DK55" i="15"/>
  <c r="CX125" i="15"/>
  <c r="CY124" i="15"/>
  <c r="CY125" i="15" s="1"/>
  <c r="DJ67" i="15"/>
  <c r="DK66" i="15"/>
  <c r="DJ120" i="15" l="1"/>
  <c r="DK67" i="15"/>
  <c r="DK117" i="15"/>
  <c r="DK119" i="15"/>
  <c r="DE119" i="15"/>
  <c r="DE120" i="15" s="1"/>
  <c r="DE117" i="15"/>
  <c r="DJ125" i="15"/>
  <c r="DK124" i="15"/>
  <c r="DD125" i="15"/>
  <c r="DE124" i="15"/>
  <c r="DE125" i="15" s="1"/>
  <c r="DK58" i="15"/>
  <c r="V147" i="11"/>
  <c r="L149" i="11" l="1"/>
  <c r="M150" i="11"/>
  <c r="H20" i="12" s="1"/>
  <c r="C20" i="12"/>
  <c r="M148" i="11"/>
  <c r="F20" i="12" s="1"/>
  <c r="L150" i="11"/>
  <c r="L148" i="11"/>
  <c r="N150" i="11"/>
  <c r="N148" i="11"/>
  <c r="M149" i="11"/>
  <c r="G20" i="12" s="1"/>
  <c r="N149" i="11"/>
  <c r="DK125" i="15"/>
  <c r="DK120" i="15"/>
  <c r="E20" i="12" l="1"/>
  <c r="BN38" i="21" l="1"/>
  <c r="BO38" i="21"/>
  <c r="BN48" i="21"/>
  <c r="BN49" i="21" s="1"/>
  <c r="BN51" i="21" s="1"/>
  <c r="BN73" i="21"/>
  <c r="BO73" i="21"/>
  <c r="BO118" i="21"/>
  <c r="BN144" i="21"/>
  <c r="BO144" i="21" s="1"/>
  <c r="L39" i="138"/>
  <c r="L40" i="138" s="1"/>
  <c r="L15" i="14" l="1"/>
  <c r="L250" i="14"/>
  <c r="BO49" i="21"/>
  <c r="BO51" i="21" s="1"/>
  <c r="L313" i="14"/>
  <c r="L315" i="14" s="1"/>
  <c r="D40" i="138" l="1"/>
  <c r="D39" i="138"/>
  <c r="L9" i="14"/>
  <c r="L16" i="14"/>
  <c r="L205" i="14"/>
  <c r="L18" i="14"/>
  <c r="L19" i="14" s="1"/>
  <c r="L10" i="14" l="1"/>
  <c r="L12" i="14"/>
  <c r="L13" i="14" s="1"/>
  <c r="BN146" i="21" l="1"/>
  <c r="BO146" i="21" s="1"/>
  <c r="BN147" i="21"/>
  <c r="BN148" i="21"/>
  <c r="BQ148" i="21"/>
  <c r="BN150" i="21"/>
  <c r="BO150" i="21" s="1"/>
  <c r="BN158" i="21"/>
  <c r="BT158" i="21"/>
  <c r="BZ158" i="21" s="1"/>
  <c r="BN159" i="21"/>
  <c r="BO161" i="21"/>
  <c r="BN162" i="21"/>
  <c r="BT161" i="21" l="1"/>
  <c r="BT146" i="21" s="1"/>
  <c r="BT148" i="21" s="1"/>
  <c r="CF158" i="21"/>
  <c r="BZ161" i="21"/>
  <c r="L21" i="14"/>
  <c r="BO147" i="21"/>
  <c r="BT147" i="21" l="1"/>
  <c r="BU146" i="21"/>
  <c r="M21" i="14" s="1"/>
  <c r="M139" i="14" s="1"/>
  <c r="BU161" i="21"/>
  <c r="BW148" i="21"/>
  <c r="BT162" i="21"/>
  <c r="CL158" i="21"/>
  <c r="CF161" i="21"/>
  <c r="L24" i="14"/>
  <c r="BZ146" i="21"/>
  <c r="BZ162" i="21"/>
  <c r="CA161" i="21"/>
  <c r="BU147" i="21" l="1"/>
  <c r="L82" i="14"/>
  <c r="L243" i="14"/>
  <c r="CL161" i="21"/>
  <c r="CR158" i="21"/>
  <c r="BZ147" i="21"/>
  <c r="BZ148" i="21"/>
  <c r="CC148" i="21"/>
  <c r="CA146" i="21"/>
  <c r="L25" i="14"/>
  <c r="L246" i="14"/>
  <c r="CF146" i="21"/>
  <c r="CG161" i="21"/>
  <c r="CF162" i="21"/>
  <c r="CG146" i="21" l="1"/>
  <c r="CF147" i="21"/>
  <c r="CF148" i="21"/>
  <c r="CI148" i="21"/>
  <c r="CX158" i="21"/>
  <c r="CR161" i="21"/>
  <c r="N21" i="14"/>
  <c r="N139" i="14" s="1"/>
  <c r="CA147" i="21"/>
  <c r="CL146" i="21"/>
  <c r="CM161" i="21"/>
  <c r="CL162" i="21"/>
  <c r="CL147" i="21" l="1"/>
  <c r="CL148" i="21"/>
  <c r="CO148" i="21"/>
  <c r="CM146" i="21"/>
  <c r="DD158" i="21"/>
  <c r="CX161" i="21"/>
  <c r="CR146" i="21"/>
  <c r="CS161" i="21"/>
  <c r="CR162" i="21"/>
  <c r="O21" i="14"/>
  <c r="O139" i="14" s="1"/>
  <c r="CG147" i="21"/>
  <c r="P21" i="14" l="1"/>
  <c r="P139" i="14" s="1"/>
  <c r="CM147" i="21"/>
  <c r="CS146" i="21"/>
  <c r="CR147" i="21"/>
  <c r="CR148" i="21"/>
  <c r="CU148" i="21"/>
  <c r="CX146" i="21"/>
  <c r="CX162" i="21"/>
  <c r="CY161" i="21"/>
  <c r="DJ158" i="21"/>
  <c r="DJ161" i="21" s="1"/>
  <c r="DD161" i="21"/>
  <c r="CS147" i="21" l="1"/>
  <c r="Q21" i="14"/>
  <c r="Q139" i="14" s="1"/>
  <c r="CX147" i="21"/>
  <c r="CX148" i="21"/>
  <c r="DA148" i="21"/>
  <c r="CY146" i="21"/>
  <c r="DD146" i="21"/>
  <c r="DE161" i="21"/>
  <c r="DD162" i="21"/>
  <c r="DJ146" i="21"/>
  <c r="DK161" i="21"/>
  <c r="DJ162" i="21"/>
  <c r="CY147" i="21" l="1"/>
  <c r="R21" i="14"/>
  <c r="R139" i="14" s="1"/>
  <c r="DJ147" i="21"/>
  <c r="DJ148" i="21"/>
  <c r="DK146" i="21"/>
  <c r="T21" i="14" s="1"/>
  <c r="T139" i="14" s="1"/>
  <c r="DE146" i="21"/>
  <c r="DD147" i="21"/>
  <c r="DD148" i="21"/>
  <c r="DG148" i="21"/>
  <c r="DE147" i="21" l="1"/>
  <c r="S21" i="14"/>
  <c r="S139" i="14" s="1"/>
  <c r="DK147" i="21"/>
  <c r="L30" i="14"/>
  <c r="L37" i="14" s="1"/>
  <c r="L39" i="14" s="1"/>
  <c r="L140" i="14"/>
  <c r="L141" i="14"/>
  <c r="L211" i="14"/>
  <c r="L317" i="14"/>
  <c r="L320" i="14" s="1"/>
  <c r="L210" i="14"/>
  <c r="L329" i="14"/>
  <c r="L331" i="14" s="1"/>
  <c r="N77" i="12"/>
  <c r="L217" i="14" l="1"/>
  <c r="L219" i="14"/>
  <c r="L333" i="14"/>
  <c r="L48" i="14"/>
  <c r="L154" i="14"/>
  <c r="L158" i="14" s="1"/>
  <c r="L221" i="14" l="1"/>
  <c r="L226" i="14" s="1"/>
  <c r="L191" i="14"/>
  <c r="L193" i="14"/>
  <c r="L53" i="14"/>
  <c r="L49" i="14"/>
  <c r="L113" i="14"/>
  <c r="L125" i="14" s="1"/>
  <c r="L122" i="14"/>
  <c r="L222" i="14" l="1"/>
  <c r="D41" i="138"/>
  <c r="L258" i="14"/>
  <c r="L268" i="14" s="1"/>
  <c r="L194" i="14"/>
  <c r="L200" i="14"/>
  <c r="L242" i="14"/>
  <c r="M190" i="14"/>
  <c r="D36" i="138" l="1"/>
  <c r="L41" i="138"/>
  <c r="L36" i="138" s="1"/>
  <c r="L73" i="14"/>
  <c r="L90" i="14" s="1"/>
  <c r="L126" i="14" s="1"/>
  <c r="L131" i="14" l="1"/>
  <c r="L129" i="14"/>
  <c r="L261" i="14"/>
  <c r="L260" i="14" s="1"/>
  <c r="L265" i="14" s="1"/>
  <c r="L267" i="14" s="1"/>
  <c r="M211" i="14" l="1"/>
  <c r="M329" i="14"/>
  <c r="M331" i="14" s="1"/>
  <c r="O77" i="12"/>
  <c r="N211" i="14"/>
  <c r="N329" i="14"/>
  <c r="N331" i="14" s="1"/>
  <c r="P77" i="12"/>
  <c r="M6" i="14" l="1"/>
  <c r="N6" i="14"/>
  <c r="O6" i="14"/>
  <c r="P6" i="14"/>
  <c r="Q6" i="14"/>
  <c r="R6" i="14"/>
  <c r="S6" i="14"/>
  <c r="T6" i="14"/>
  <c r="M7" i="14"/>
  <c r="N7" i="14"/>
  <c r="O7" i="14"/>
  <c r="P7" i="14"/>
  <c r="Q7" i="14"/>
  <c r="R7" i="14"/>
  <c r="S7" i="14"/>
  <c r="T7" i="14"/>
  <c r="M9" i="14"/>
  <c r="N9" i="14"/>
  <c r="O9" i="14"/>
  <c r="P9" i="14"/>
  <c r="Q9" i="14"/>
  <c r="R9" i="14"/>
  <c r="S9" i="14"/>
  <c r="T9" i="14"/>
  <c r="M10" i="14"/>
  <c r="N10" i="14"/>
  <c r="O10" i="14"/>
  <c r="P10" i="14"/>
  <c r="Q10" i="14"/>
  <c r="R10" i="14"/>
  <c r="S10" i="14"/>
  <c r="T10" i="14"/>
  <c r="M12" i="14"/>
  <c r="N12" i="14"/>
  <c r="O12" i="14"/>
  <c r="P12" i="14"/>
  <c r="Q12" i="14"/>
  <c r="R12" i="14"/>
  <c r="S12" i="14"/>
  <c r="T12" i="14"/>
  <c r="M13" i="14"/>
  <c r="N13" i="14"/>
  <c r="O13" i="14"/>
  <c r="P13" i="14"/>
  <c r="Q13" i="14"/>
  <c r="R13" i="14"/>
  <c r="S13" i="14"/>
  <c r="T13" i="14"/>
  <c r="M15" i="14"/>
  <c r="N15" i="14"/>
  <c r="O15" i="14"/>
  <c r="P15" i="14"/>
  <c r="Q15" i="14"/>
  <c r="R15" i="14"/>
  <c r="S15" i="14"/>
  <c r="T15" i="14"/>
  <c r="M16" i="14"/>
  <c r="N16" i="14"/>
  <c r="O16" i="14"/>
  <c r="P16" i="14"/>
  <c r="Q16" i="14"/>
  <c r="R16" i="14"/>
  <c r="S16" i="14"/>
  <c r="T16" i="14"/>
  <c r="M18" i="14"/>
  <c r="N18" i="14"/>
  <c r="O18" i="14"/>
  <c r="P18" i="14"/>
  <c r="Q18" i="14"/>
  <c r="R18" i="14"/>
  <c r="S18" i="14"/>
  <c r="T18" i="14"/>
  <c r="M19" i="14"/>
  <c r="N19" i="14"/>
  <c r="O19" i="14"/>
  <c r="P19" i="14"/>
  <c r="Q19" i="14"/>
  <c r="R19" i="14"/>
  <c r="S19" i="14"/>
  <c r="T19" i="14"/>
  <c r="F21" i="14"/>
  <c r="F24" i="14"/>
  <c r="M24" i="14"/>
  <c r="N24" i="14"/>
  <c r="O24" i="14"/>
  <c r="P24" i="14"/>
  <c r="Q24" i="14"/>
  <c r="R24" i="14"/>
  <c r="S24" i="14"/>
  <c r="T24" i="14"/>
  <c r="F25" i="14"/>
  <c r="G25" i="14"/>
  <c r="M25" i="14"/>
  <c r="N25" i="14"/>
  <c r="O25" i="14"/>
  <c r="P25" i="14"/>
  <c r="Q25" i="14"/>
  <c r="R25" i="14"/>
  <c r="S25" i="14"/>
  <c r="T25" i="14"/>
  <c r="I28" i="14"/>
  <c r="M28" i="14"/>
  <c r="N28" i="14"/>
  <c r="O28" i="14"/>
  <c r="P28" i="14"/>
  <c r="Q28" i="14"/>
  <c r="R28" i="14"/>
  <c r="S28" i="14"/>
  <c r="T28" i="14"/>
  <c r="F30" i="14"/>
  <c r="I30" i="14"/>
  <c r="M30" i="14"/>
  <c r="N30" i="14"/>
  <c r="O30" i="14"/>
  <c r="P30" i="14"/>
  <c r="Q30" i="14"/>
  <c r="R30" i="14"/>
  <c r="S30" i="14"/>
  <c r="T30" i="14"/>
  <c r="M34" i="14"/>
  <c r="N34" i="14"/>
  <c r="O34" i="14"/>
  <c r="P34" i="14"/>
  <c r="Q34" i="14"/>
  <c r="R34" i="14"/>
  <c r="S34" i="14"/>
  <c r="T34" i="14"/>
  <c r="F35" i="14"/>
  <c r="I35" i="14"/>
  <c r="F37" i="14"/>
  <c r="I37" i="14"/>
  <c r="M37" i="14"/>
  <c r="N37" i="14"/>
  <c r="O37" i="14"/>
  <c r="P37" i="14"/>
  <c r="Q37" i="14"/>
  <c r="R37" i="14"/>
  <c r="S37" i="14"/>
  <c r="T37" i="14"/>
  <c r="J38" i="14"/>
  <c r="M38" i="14"/>
  <c r="N38" i="14"/>
  <c r="O38" i="14"/>
  <c r="P38" i="14"/>
  <c r="Q38" i="14"/>
  <c r="R38" i="14"/>
  <c r="S38" i="14"/>
  <c r="T38" i="14"/>
  <c r="F39" i="14"/>
  <c r="I39" i="14"/>
  <c r="J39" i="14"/>
  <c r="M39" i="14"/>
  <c r="N39" i="14"/>
  <c r="O39" i="14"/>
  <c r="P39" i="14"/>
  <c r="Q39" i="14"/>
  <c r="R39" i="14"/>
  <c r="S39" i="14"/>
  <c r="T39" i="14"/>
  <c r="F48" i="14"/>
  <c r="G48" i="14"/>
  <c r="I48" i="14"/>
  <c r="J48" i="14"/>
  <c r="M48" i="14"/>
  <c r="N48" i="14"/>
  <c r="O48" i="14"/>
  <c r="P48" i="14"/>
  <c r="Q48" i="14"/>
  <c r="R48" i="14"/>
  <c r="S48" i="14"/>
  <c r="T48" i="14"/>
  <c r="F49" i="14"/>
  <c r="G49" i="14"/>
  <c r="H49" i="14"/>
  <c r="I49" i="14"/>
  <c r="J49" i="14"/>
  <c r="K49" i="14"/>
  <c r="M49" i="14"/>
  <c r="N49" i="14"/>
  <c r="O49" i="14"/>
  <c r="P49" i="14"/>
  <c r="Q49" i="14"/>
  <c r="R49" i="14"/>
  <c r="S49" i="14"/>
  <c r="T49" i="14"/>
  <c r="F53" i="14"/>
  <c r="G53" i="14"/>
  <c r="I53" i="14"/>
  <c r="J53" i="14"/>
  <c r="M53" i="14"/>
  <c r="N53" i="14"/>
  <c r="O53" i="14"/>
  <c r="P53" i="14"/>
  <c r="Q53" i="14"/>
  <c r="R53" i="14"/>
  <c r="S53" i="14"/>
  <c r="T53" i="14"/>
  <c r="F55" i="14"/>
  <c r="F56" i="14"/>
  <c r="G56" i="14"/>
  <c r="F58" i="14"/>
  <c r="G58" i="14"/>
  <c r="F59" i="14"/>
  <c r="G59" i="14"/>
  <c r="H59" i="14"/>
  <c r="M73" i="14"/>
  <c r="N73" i="14"/>
  <c r="O73" i="14"/>
  <c r="P73" i="14"/>
  <c r="Q73" i="14"/>
  <c r="R73" i="14"/>
  <c r="S73" i="14"/>
  <c r="T73" i="14"/>
  <c r="M74" i="14"/>
  <c r="N74" i="14"/>
  <c r="O74" i="14"/>
  <c r="P74" i="14"/>
  <c r="Q74" i="14"/>
  <c r="R74" i="14"/>
  <c r="S74" i="14"/>
  <c r="T74" i="14"/>
  <c r="M75" i="14"/>
  <c r="N75" i="14"/>
  <c r="O75" i="14"/>
  <c r="P75" i="14"/>
  <c r="Q75" i="14"/>
  <c r="R75" i="14"/>
  <c r="S75" i="14"/>
  <c r="T75" i="14"/>
  <c r="M78" i="14"/>
  <c r="N78" i="14"/>
  <c r="O78" i="14"/>
  <c r="P78" i="14"/>
  <c r="Q78" i="14"/>
  <c r="R78" i="14"/>
  <c r="S78" i="14"/>
  <c r="T78" i="14"/>
  <c r="M82" i="14"/>
  <c r="N82" i="14"/>
  <c r="O82" i="14"/>
  <c r="P82" i="14"/>
  <c r="Q82" i="14"/>
  <c r="R82" i="14"/>
  <c r="S82" i="14"/>
  <c r="T82" i="14"/>
  <c r="M84" i="14"/>
  <c r="N84" i="14"/>
  <c r="O84" i="14"/>
  <c r="P84" i="14"/>
  <c r="Q84" i="14"/>
  <c r="R84" i="14"/>
  <c r="S84" i="14"/>
  <c r="T84" i="14"/>
  <c r="M90" i="14"/>
  <c r="N90" i="14"/>
  <c r="O90" i="14"/>
  <c r="P90" i="14"/>
  <c r="Q90" i="14"/>
  <c r="R90" i="14"/>
  <c r="S90" i="14"/>
  <c r="T90" i="14"/>
  <c r="M113" i="14"/>
  <c r="N113" i="14"/>
  <c r="O113" i="14"/>
  <c r="P113" i="14"/>
  <c r="Q113" i="14"/>
  <c r="R113" i="14"/>
  <c r="S113" i="14"/>
  <c r="T113" i="14"/>
  <c r="M116" i="14"/>
  <c r="N116" i="14"/>
  <c r="O116" i="14"/>
  <c r="P116" i="14"/>
  <c r="Q116" i="14"/>
  <c r="R116" i="14"/>
  <c r="S116" i="14"/>
  <c r="T116" i="14"/>
  <c r="M122" i="14"/>
  <c r="N122" i="14"/>
  <c r="O122" i="14"/>
  <c r="P122" i="14"/>
  <c r="Q122" i="14"/>
  <c r="R122" i="14"/>
  <c r="S122" i="14"/>
  <c r="T122" i="14"/>
  <c r="M123" i="14"/>
  <c r="N123" i="14"/>
  <c r="O123" i="14"/>
  <c r="P123" i="14"/>
  <c r="Q123" i="14"/>
  <c r="R123" i="14"/>
  <c r="S123" i="14"/>
  <c r="T123" i="14"/>
  <c r="M125" i="14"/>
  <c r="N125" i="14"/>
  <c r="O125" i="14"/>
  <c r="P125" i="14"/>
  <c r="Q125" i="14"/>
  <c r="R125" i="14"/>
  <c r="S125" i="14"/>
  <c r="T125" i="14"/>
  <c r="M126" i="14"/>
  <c r="N126" i="14"/>
  <c r="O126" i="14"/>
  <c r="P126" i="14"/>
  <c r="Q126" i="14"/>
  <c r="R126" i="14"/>
  <c r="S126" i="14"/>
  <c r="T126" i="14"/>
  <c r="M128" i="14"/>
  <c r="N128" i="14"/>
  <c r="O128" i="14"/>
  <c r="P128" i="14"/>
  <c r="Q128" i="14"/>
  <c r="R128" i="14"/>
  <c r="S128" i="14"/>
  <c r="T128" i="14"/>
  <c r="M129" i="14"/>
  <c r="N129" i="14"/>
  <c r="O129" i="14"/>
  <c r="P129" i="14"/>
  <c r="Q129" i="14"/>
  <c r="R129" i="14"/>
  <c r="S129" i="14"/>
  <c r="T129" i="14"/>
  <c r="I130" i="14"/>
  <c r="I137" i="14"/>
  <c r="M137" i="14"/>
  <c r="N137" i="14"/>
  <c r="O137" i="14"/>
  <c r="P137" i="14"/>
  <c r="Q137" i="14"/>
  <c r="R137" i="14"/>
  <c r="S137" i="14"/>
  <c r="T137" i="14"/>
  <c r="M140" i="14"/>
  <c r="N140" i="14"/>
  <c r="O140" i="14"/>
  <c r="P140" i="14"/>
  <c r="Q140" i="14"/>
  <c r="R140" i="14"/>
  <c r="S140" i="14"/>
  <c r="T140" i="14"/>
  <c r="I141" i="14"/>
  <c r="M141" i="14"/>
  <c r="N141" i="14"/>
  <c r="O141" i="14"/>
  <c r="P141" i="14"/>
  <c r="Q141" i="14"/>
  <c r="R141" i="14"/>
  <c r="S141" i="14"/>
  <c r="T141" i="14"/>
  <c r="O150" i="14"/>
  <c r="P150" i="14"/>
  <c r="Q150" i="14"/>
  <c r="R150" i="14"/>
  <c r="S150" i="14"/>
  <c r="T150" i="14"/>
  <c r="M153" i="14"/>
  <c r="I154" i="14"/>
  <c r="M154" i="14"/>
  <c r="N154" i="14"/>
  <c r="O154" i="14"/>
  <c r="P154" i="14"/>
  <c r="Q154" i="14"/>
  <c r="R154" i="14"/>
  <c r="S154" i="14"/>
  <c r="T154" i="14"/>
  <c r="M156" i="14"/>
  <c r="N156" i="14"/>
  <c r="O156" i="14"/>
  <c r="P156" i="14"/>
  <c r="Q156" i="14"/>
  <c r="R156" i="14"/>
  <c r="S156" i="14"/>
  <c r="T156" i="14"/>
  <c r="I158" i="14"/>
  <c r="M158" i="14"/>
  <c r="N158" i="14"/>
  <c r="O158" i="14"/>
  <c r="P158" i="14"/>
  <c r="Q158" i="14"/>
  <c r="R158" i="14"/>
  <c r="S158" i="14"/>
  <c r="T158" i="14"/>
  <c r="M162" i="14"/>
  <c r="N162" i="14"/>
  <c r="O162" i="14"/>
  <c r="P162" i="14"/>
  <c r="Q162" i="14"/>
  <c r="R162" i="14"/>
  <c r="S162" i="14"/>
  <c r="T162" i="14"/>
  <c r="F174" i="14"/>
  <c r="F175" i="14"/>
  <c r="M175" i="14"/>
  <c r="N175" i="14"/>
  <c r="O175" i="14"/>
  <c r="P175" i="14"/>
  <c r="Q175" i="14"/>
  <c r="R175" i="14"/>
  <c r="S175" i="14"/>
  <c r="T175" i="14"/>
  <c r="F181" i="14"/>
  <c r="G181" i="14"/>
  <c r="F184" i="14"/>
  <c r="G184" i="14"/>
  <c r="G189" i="14"/>
  <c r="M189" i="14"/>
  <c r="N189" i="14"/>
  <c r="O189" i="14"/>
  <c r="P189" i="14"/>
  <c r="Q189" i="14"/>
  <c r="R189" i="14"/>
  <c r="S189" i="14"/>
  <c r="T189" i="14"/>
  <c r="N190" i="14"/>
  <c r="O190" i="14"/>
  <c r="P190" i="14"/>
  <c r="Q190" i="14"/>
  <c r="R190" i="14"/>
  <c r="S190" i="14"/>
  <c r="T190" i="14"/>
  <c r="M191" i="14"/>
  <c r="N191" i="14"/>
  <c r="O191" i="14"/>
  <c r="P191" i="14"/>
  <c r="Q191" i="14"/>
  <c r="R191" i="14"/>
  <c r="S191" i="14"/>
  <c r="T191" i="14"/>
  <c r="I193" i="14"/>
  <c r="M193" i="14"/>
  <c r="N193" i="14"/>
  <c r="O193" i="14"/>
  <c r="P193" i="14"/>
  <c r="Q193" i="14"/>
  <c r="R193" i="14"/>
  <c r="S193" i="14"/>
  <c r="T193" i="14"/>
  <c r="I194" i="14"/>
  <c r="J194" i="14"/>
  <c r="M194" i="14"/>
  <c r="N194" i="14"/>
  <c r="O194" i="14"/>
  <c r="P194" i="14"/>
  <c r="Q194" i="14"/>
  <c r="R194" i="14"/>
  <c r="S194" i="14"/>
  <c r="T194" i="14"/>
  <c r="J198" i="14"/>
  <c r="M198" i="14"/>
  <c r="N198" i="14"/>
  <c r="O198" i="14"/>
  <c r="P198" i="14"/>
  <c r="Q198" i="14"/>
  <c r="R198" i="14"/>
  <c r="S198" i="14"/>
  <c r="T198" i="14"/>
  <c r="I200" i="14"/>
  <c r="J200" i="14"/>
  <c r="M200" i="14"/>
  <c r="N200" i="14"/>
  <c r="O200" i="14"/>
  <c r="P200" i="14"/>
  <c r="Q200" i="14"/>
  <c r="R200" i="14"/>
  <c r="S200" i="14"/>
  <c r="T200" i="14"/>
  <c r="M205" i="14"/>
  <c r="N205" i="14"/>
  <c r="O205" i="14"/>
  <c r="P205" i="14"/>
  <c r="Q205" i="14"/>
  <c r="R205" i="14"/>
  <c r="S205" i="14"/>
  <c r="T205" i="14"/>
  <c r="M208" i="14"/>
  <c r="N208" i="14"/>
  <c r="O208" i="14"/>
  <c r="P208" i="14"/>
  <c r="Q208" i="14"/>
  <c r="R208" i="14"/>
  <c r="S208" i="14"/>
  <c r="T208" i="14"/>
  <c r="M210" i="14"/>
  <c r="N210" i="14"/>
  <c r="O210" i="14"/>
  <c r="P210" i="14"/>
  <c r="Q210" i="14"/>
  <c r="R210" i="14"/>
  <c r="S210" i="14"/>
  <c r="T210" i="14"/>
  <c r="O211" i="14"/>
  <c r="P211" i="14"/>
  <c r="Q211" i="14"/>
  <c r="R211" i="14"/>
  <c r="S211" i="14"/>
  <c r="T211" i="14"/>
  <c r="J212" i="14"/>
  <c r="M212" i="14"/>
  <c r="N212" i="14"/>
  <c r="O212" i="14"/>
  <c r="P212" i="14"/>
  <c r="Q212" i="14"/>
  <c r="R212" i="14"/>
  <c r="S212" i="14"/>
  <c r="T212" i="14"/>
  <c r="J217" i="14"/>
  <c r="M217" i="14"/>
  <c r="N217" i="14"/>
  <c r="O217" i="14"/>
  <c r="P217" i="14"/>
  <c r="Q217" i="14"/>
  <c r="R217" i="14"/>
  <c r="S217" i="14"/>
  <c r="T217" i="14"/>
  <c r="M219" i="14"/>
  <c r="N219" i="14"/>
  <c r="O219" i="14"/>
  <c r="P219" i="14"/>
  <c r="Q219" i="14"/>
  <c r="R219" i="14"/>
  <c r="S219" i="14"/>
  <c r="T219" i="14"/>
  <c r="J221" i="14"/>
  <c r="M221" i="14"/>
  <c r="N221" i="14"/>
  <c r="O221" i="14"/>
  <c r="P221" i="14"/>
  <c r="Q221" i="14"/>
  <c r="R221" i="14"/>
  <c r="S221" i="14"/>
  <c r="T221" i="14"/>
  <c r="F222" i="14"/>
  <c r="G222" i="14"/>
  <c r="J222" i="14"/>
  <c r="M222" i="14"/>
  <c r="N222" i="14"/>
  <c r="O222" i="14"/>
  <c r="P222" i="14"/>
  <c r="Q222" i="14"/>
  <c r="R222" i="14"/>
  <c r="S222" i="14"/>
  <c r="T222" i="14"/>
  <c r="J226" i="14"/>
  <c r="M226" i="14"/>
  <c r="N226" i="14"/>
  <c r="H231" i="14"/>
  <c r="H233" i="14"/>
  <c r="J233" i="14"/>
  <c r="K233" i="14"/>
  <c r="L233" i="14"/>
  <c r="M233" i="14"/>
  <c r="N233" i="14"/>
  <c r="J235" i="14"/>
  <c r="K235" i="14"/>
  <c r="L235" i="14"/>
  <c r="M235" i="14"/>
  <c r="N235" i="14"/>
  <c r="F241" i="14"/>
  <c r="G241" i="14"/>
  <c r="F242" i="14"/>
  <c r="G242" i="14"/>
  <c r="I242" i="14"/>
  <c r="M242" i="14"/>
  <c r="N242" i="14"/>
  <c r="O242" i="14"/>
  <c r="P242" i="14"/>
  <c r="M243" i="14"/>
  <c r="N243" i="14"/>
  <c r="O243" i="14"/>
  <c r="P243" i="14"/>
  <c r="F246" i="14"/>
  <c r="M246" i="14"/>
  <c r="N246" i="14"/>
  <c r="O246" i="14"/>
  <c r="P246" i="14"/>
  <c r="M250" i="14"/>
  <c r="N250" i="14"/>
  <c r="O250" i="14"/>
  <c r="P250" i="14"/>
  <c r="M252" i="14"/>
  <c r="N252" i="14"/>
  <c r="O252" i="14"/>
  <c r="P252" i="14"/>
  <c r="J257" i="14"/>
  <c r="M257" i="14"/>
  <c r="N257" i="14"/>
  <c r="O257" i="14"/>
  <c r="P257" i="14"/>
  <c r="J258" i="14"/>
  <c r="M258" i="14"/>
  <c r="N258" i="14"/>
  <c r="O258" i="14"/>
  <c r="P258" i="14"/>
  <c r="M260" i="14"/>
  <c r="N260" i="14"/>
  <c r="O260" i="14"/>
  <c r="P260" i="14"/>
  <c r="M261" i="14"/>
  <c r="N261" i="14"/>
  <c r="O261" i="14"/>
  <c r="P261" i="14"/>
  <c r="M262" i="14"/>
  <c r="M263" i="14"/>
  <c r="M265" i="14"/>
  <c r="N265" i="14"/>
  <c r="O265" i="14"/>
  <c r="P265" i="14"/>
  <c r="M267" i="14"/>
  <c r="J268" i="14"/>
  <c r="M268" i="14"/>
  <c r="N268" i="14"/>
  <c r="O268" i="14"/>
  <c r="P268" i="14"/>
  <c r="M313" i="14"/>
  <c r="N313" i="14"/>
  <c r="O313" i="14"/>
  <c r="P313" i="14"/>
  <c r="M314" i="14"/>
  <c r="N314" i="14"/>
  <c r="O314" i="14"/>
  <c r="P314" i="14"/>
  <c r="M315" i="14"/>
  <c r="N315" i="14"/>
  <c r="O315" i="14"/>
  <c r="P315" i="14"/>
  <c r="M317" i="14"/>
  <c r="N317" i="14"/>
  <c r="O317" i="14"/>
  <c r="P317" i="14"/>
  <c r="M318" i="14"/>
  <c r="N318" i="14"/>
  <c r="O318" i="14"/>
  <c r="P318" i="14"/>
  <c r="M320" i="14"/>
  <c r="N320" i="14"/>
  <c r="O320" i="14"/>
  <c r="P320" i="14"/>
  <c r="M324" i="14"/>
  <c r="N324" i="14"/>
  <c r="O324" i="14"/>
  <c r="P324" i="14"/>
  <c r="J325" i="14"/>
  <c r="M325" i="14"/>
  <c r="N325" i="14"/>
  <c r="O325" i="14"/>
  <c r="P325" i="14"/>
  <c r="J326" i="14"/>
  <c r="M326" i="14"/>
  <c r="N326" i="14"/>
  <c r="O326" i="14"/>
  <c r="P326" i="14"/>
  <c r="O329" i="14"/>
  <c r="P329" i="14"/>
  <c r="O331" i="14"/>
  <c r="P331" i="14"/>
  <c r="J333" i="14"/>
  <c r="M333" i="14"/>
  <c r="N333" i="14"/>
  <c r="O333" i="14"/>
  <c r="P333" i="14"/>
  <c r="X10" i="15"/>
  <c r="AM10" i="15"/>
  <c r="AQ10" i="15"/>
  <c r="X11" i="15"/>
  <c r="AD11" i="15"/>
  <c r="AM11" i="15"/>
  <c r="AQ11" i="15"/>
  <c r="AS11" i="15"/>
  <c r="AW11" i="15"/>
  <c r="X13" i="15"/>
  <c r="AM13" i="15"/>
  <c r="AQ13" i="15"/>
  <c r="X14" i="15"/>
  <c r="AD14" i="15"/>
  <c r="AM14" i="15"/>
  <c r="AQ14" i="15"/>
  <c r="AS14" i="15"/>
  <c r="AW14" i="15"/>
  <c r="AQ15" i="15"/>
  <c r="X17" i="15"/>
  <c r="AM17" i="15"/>
  <c r="AQ17" i="15"/>
  <c r="X18" i="15"/>
  <c r="AD18" i="15"/>
  <c r="AM18" i="15"/>
  <c r="AQ18" i="15"/>
  <c r="AS18" i="15"/>
  <c r="AW18" i="15"/>
  <c r="AM25" i="15"/>
  <c r="AQ25" i="15"/>
  <c r="AM26" i="15"/>
  <c r="AQ26" i="15"/>
  <c r="AS26" i="15"/>
  <c r="AW26" i="15"/>
  <c r="AM69" i="15"/>
  <c r="AQ69" i="15"/>
  <c r="AM70" i="15"/>
  <c r="AQ70" i="15"/>
  <c r="AS70" i="15"/>
  <c r="AW70" i="15"/>
  <c r="AM72" i="15"/>
  <c r="AQ72" i="15"/>
  <c r="AM73" i="15"/>
  <c r="AQ73" i="15"/>
  <c r="AS73" i="15"/>
  <c r="AW73" i="15"/>
  <c r="AM75" i="15"/>
  <c r="AQ75" i="15"/>
  <c r="BT5" i="21"/>
  <c r="BU5" i="21"/>
  <c r="BZ5" i="21"/>
  <c r="CA5" i="21"/>
  <c r="CF5" i="21"/>
  <c r="CG5" i="21"/>
  <c r="CL5" i="21"/>
  <c r="CM5" i="21"/>
  <c r="CR5" i="21"/>
  <c r="CS5" i="21"/>
  <c r="CX5" i="21"/>
  <c r="CY5" i="21"/>
  <c r="DD5" i="21"/>
  <c r="DE5" i="21"/>
  <c r="DJ5" i="21"/>
  <c r="DK5" i="21"/>
  <c r="BT6" i="21"/>
  <c r="BU6" i="21"/>
  <c r="BZ6" i="21"/>
  <c r="CA6" i="21"/>
  <c r="CF6" i="21"/>
  <c r="CG6" i="21"/>
  <c r="CL6" i="21"/>
  <c r="CM6" i="21"/>
  <c r="CR6" i="21"/>
  <c r="CS6" i="21"/>
  <c r="CX6" i="21"/>
  <c r="CY6" i="21"/>
  <c r="DD6" i="21"/>
  <c r="DE6" i="21"/>
  <c r="DJ6" i="21"/>
  <c r="DK6" i="21"/>
  <c r="BT7" i="21"/>
  <c r="BU7" i="21"/>
  <c r="BZ7" i="21"/>
  <c r="CA7" i="21"/>
  <c r="CF7" i="21"/>
  <c r="CG7" i="21"/>
  <c r="CL7" i="21"/>
  <c r="CM7" i="21"/>
  <c r="CR7" i="21"/>
  <c r="CS7" i="21"/>
  <c r="CX7" i="21"/>
  <c r="CY7" i="21"/>
  <c r="DD7" i="21"/>
  <c r="DE7" i="21"/>
  <c r="DJ7" i="21"/>
  <c r="DK7" i="21"/>
  <c r="BT23" i="21"/>
  <c r="BU23" i="21"/>
  <c r="BZ23" i="21"/>
  <c r="CA23" i="21"/>
  <c r="CF23" i="21"/>
  <c r="CG23" i="21"/>
  <c r="CL23" i="21"/>
  <c r="CM23" i="21"/>
  <c r="CR23" i="21"/>
  <c r="CS23" i="21"/>
  <c r="CX23" i="21"/>
  <c r="CY23" i="21"/>
  <c r="DD23" i="21"/>
  <c r="DE23" i="21"/>
  <c r="DJ23" i="21"/>
  <c r="DK23" i="21"/>
  <c r="BT25" i="21"/>
  <c r="BU25" i="21"/>
  <c r="BZ25" i="21"/>
  <c r="CA25" i="21"/>
  <c r="CF25" i="21"/>
  <c r="CG25" i="21"/>
  <c r="CL25" i="21"/>
  <c r="CM25" i="21"/>
  <c r="BT27" i="21"/>
  <c r="BU27" i="21"/>
  <c r="BZ27" i="21"/>
  <c r="CA27" i="21"/>
  <c r="CF27" i="21"/>
  <c r="CG27" i="21"/>
  <c r="CL27" i="21"/>
  <c r="CM27" i="21"/>
  <c r="CN27" i="21"/>
  <c r="BT30" i="21"/>
  <c r="BU30" i="21"/>
  <c r="BZ30" i="21"/>
  <c r="CA30" i="21"/>
  <c r="CF30" i="21"/>
  <c r="CG30" i="21"/>
  <c r="CL30" i="21"/>
  <c r="CM30" i="21"/>
  <c r="CR30" i="21"/>
  <c r="CS30" i="21"/>
  <c r="CX30" i="21"/>
  <c r="CY30" i="21"/>
  <c r="DD30" i="21"/>
  <c r="DE30" i="21"/>
  <c r="DJ30" i="21"/>
  <c r="DK30" i="21"/>
  <c r="BT31" i="21"/>
  <c r="BU31" i="21"/>
  <c r="BV31" i="21"/>
  <c r="BZ31" i="21"/>
  <c r="CA31" i="21"/>
  <c r="CB31" i="21"/>
  <c r="CF31" i="21"/>
  <c r="CG31" i="21"/>
  <c r="CH31" i="21"/>
  <c r="CL31" i="21"/>
  <c r="CM31" i="21"/>
  <c r="CN31" i="21"/>
  <c r="CR31" i="21"/>
  <c r="CS31" i="21"/>
  <c r="CT31" i="21"/>
  <c r="CX31" i="21"/>
  <c r="CY31" i="21"/>
  <c r="CZ31" i="21"/>
  <c r="DD31" i="21"/>
  <c r="DE31" i="21"/>
  <c r="DF31" i="21"/>
  <c r="DJ31" i="21"/>
  <c r="DK31" i="21"/>
  <c r="DL31" i="21"/>
  <c r="BT32" i="21"/>
  <c r="BU32" i="21"/>
  <c r="BV32" i="21"/>
  <c r="BZ32" i="21"/>
  <c r="CA32" i="21"/>
  <c r="CF32" i="21"/>
  <c r="CG32" i="21"/>
  <c r="CL32" i="21"/>
  <c r="CM32" i="21"/>
  <c r="CR32" i="21"/>
  <c r="CS32" i="21"/>
  <c r="CX32" i="21"/>
  <c r="CY32" i="21"/>
  <c r="DD32" i="21"/>
  <c r="DE32" i="21"/>
  <c r="DJ32" i="21"/>
  <c r="DK32" i="21"/>
  <c r="BV37" i="21"/>
  <c r="BT38" i="21"/>
  <c r="BU38" i="21"/>
  <c r="BZ38" i="21"/>
  <c r="CA38" i="21"/>
  <c r="CF38" i="21"/>
  <c r="CG38" i="21"/>
  <c r="CL38" i="21"/>
  <c r="CM38" i="21"/>
  <c r="CR38" i="21"/>
  <c r="CS38" i="21"/>
  <c r="CX38" i="21"/>
  <c r="CY38" i="21"/>
  <c r="DD38" i="21"/>
  <c r="DE38" i="21"/>
  <c r="DJ38" i="21"/>
  <c r="DK38" i="21"/>
  <c r="BU47" i="21"/>
  <c r="BV47" i="21"/>
  <c r="CA47" i="21"/>
  <c r="BT48" i="21"/>
  <c r="BU48" i="21"/>
  <c r="BZ48" i="21"/>
  <c r="CA48" i="21"/>
  <c r="CF48" i="21"/>
  <c r="CG48" i="21"/>
  <c r="CL48" i="21"/>
  <c r="CM48" i="21"/>
  <c r="CR48" i="21"/>
  <c r="CS48" i="21"/>
  <c r="CX48" i="21"/>
  <c r="CY48" i="21"/>
  <c r="DD48" i="21"/>
  <c r="DE48" i="21"/>
  <c r="DJ48" i="21"/>
  <c r="DK48" i="21"/>
  <c r="BT49" i="21"/>
  <c r="BU49" i="21"/>
  <c r="CA49" i="21"/>
  <c r="CM49" i="21"/>
  <c r="BT51" i="21"/>
  <c r="BU51" i="21"/>
  <c r="BT54" i="21"/>
  <c r="BU54" i="21"/>
  <c r="BZ54" i="21"/>
  <c r="CA54" i="21"/>
  <c r="CF54" i="21"/>
  <c r="CG54" i="21"/>
  <c r="CL54" i="21"/>
  <c r="CM54" i="21"/>
  <c r="CR54" i="21"/>
  <c r="CS54" i="21"/>
  <c r="CX54" i="21"/>
  <c r="CY54" i="21"/>
  <c r="DD54" i="21"/>
  <c r="DE54" i="21"/>
  <c r="DJ54" i="21"/>
  <c r="DK54" i="21"/>
  <c r="BT55" i="21"/>
  <c r="BU55" i="21"/>
  <c r="BZ55" i="21"/>
  <c r="CA55" i="21"/>
  <c r="CB55" i="21"/>
  <c r="CF55" i="21"/>
  <c r="CG55" i="21"/>
  <c r="CL55" i="21"/>
  <c r="CM55" i="21"/>
  <c r="CR55" i="21"/>
  <c r="CS55" i="21"/>
  <c r="CX55" i="21"/>
  <c r="CY55" i="21"/>
  <c r="DD55" i="21"/>
  <c r="DE55" i="21"/>
  <c r="DJ55" i="21"/>
  <c r="DK55" i="21"/>
  <c r="BT56" i="21"/>
  <c r="BU56" i="21"/>
  <c r="BZ56" i="21"/>
  <c r="CA56" i="21"/>
  <c r="CB56" i="21"/>
  <c r="CF56" i="21"/>
  <c r="CG56" i="21"/>
  <c r="CL56" i="21"/>
  <c r="CM56" i="21"/>
  <c r="CR56" i="21"/>
  <c r="CS56" i="21"/>
  <c r="CX56" i="21"/>
  <c r="CY56" i="21"/>
  <c r="DD56" i="21"/>
  <c r="DE56" i="21"/>
  <c r="DJ56" i="21"/>
  <c r="DK56" i="21"/>
  <c r="CA71" i="21"/>
  <c r="BT72" i="21"/>
  <c r="BU72" i="21"/>
  <c r="BZ72" i="21"/>
  <c r="CA72" i="21"/>
  <c r="CF72" i="21"/>
  <c r="CG72" i="21"/>
  <c r="CL72" i="21"/>
  <c r="CM72" i="21"/>
  <c r="CR72" i="21"/>
  <c r="CS72" i="21"/>
  <c r="CX72" i="21"/>
  <c r="CY72" i="21"/>
  <c r="DD72" i="21"/>
  <c r="DE72" i="21"/>
  <c r="DJ72" i="21"/>
  <c r="DK72" i="21"/>
  <c r="CA73" i="21"/>
  <c r="CB73" i="21"/>
  <c r="CM73" i="21"/>
  <c r="AV109" i="21"/>
  <c r="AW109" i="21"/>
  <c r="BB109" i="21"/>
  <c r="BC109" i="21"/>
  <c r="BH109" i="21"/>
  <c r="BI109" i="21"/>
  <c r="BN109" i="21"/>
  <c r="BO109" i="21"/>
  <c r="BT109" i="21"/>
  <c r="BU109" i="21"/>
  <c r="BZ109" i="21"/>
  <c r="CA109" i="21"/>
  <c r="CF109" i="21"/>
  <c r="CG109" i="21"/>
  <c r="CL109" i="21"/>
  <c r="CM109" i="21"/>
  <c r="CR109" i="21"/>
  <c r="CS109" i="21"/>
  <c r="CX109" i="21"/>
  <c r="CY109" i="21"/>
  <c r="DD109" i="21"/>
  <c r="DE109" i="21"/>
  <c r="DJ109" i="21"/>
  <c r="DK109" i="21"/>
  <c r="AV116" i="21"/>
  <c r="AW116" i="21"/>
  <c r="BB116" i="21"/>
  <c r="BC116" i="21"/>
  <c r="BH116" i="21"/>
  <c r="BI116" i="21"/>
  <c r="BN116" i="21"/>
  <c r="BO116" i="21"/>
  <c r="BT116" i="21"/>
  <c r="BU116" i="21"/>
  <c r="BZ116" i="21"/>
  <c r="CA116" i="21"/>
  <c r="CF116" i="21"/>
  <c r="CG116" i="21"/>
  <c r="CL116" i="21"/>
  <c r="CM116" i="21"/>
  <c r="CR116" i="21"/>
  <c r="CS116" i="21"/>
  <c r="CX116" i="21"/>
  <c r="CY116" i="21"/>
  <c r="DD116" i="21"/>
  <c r="DE116" i="21"/>
  <c r="DJ116" i="21"/>
  <c r="DK116" i="21"/>
  <c r="AV117" i="21"/>
  <c r="BN117" i="21"/>
  <c r="BT117" i="21"/>
  <c r="BT118" i="21"/>
  <c r="BU118" i="21"/>
  <c r="BZ118" i="21"/>
  <c r="CA118" i="21"/>
  <c r="CF118" i="21"/>
  <c r="CG118" i="21"/>
  <c r="CL118" i="21"/>
  <c r="CM118" i="21"/>
  <c r="CR118" i="21"/>
  <c r="CS118" i="21"/>
  <c r="CX118" i="21"/>
  <c r="CY118" i="21"/>
  <c r="DD118" i="21"/>
  <c r="DE118" i="21"/>
  <c r="DJ118" i="21"/>
  <c r="DK118" i="21"/>
  <c r="BT144" i="21"/>
  <c r="BU144" i="21"/>
  <c r="BZ144" i="21"/>
  <c r="CA144" i="21"/>
  <c r="CF144" i="21"/>
  <c r="CG144" i="21"/>
  <c r="CL144" i="21"/>
  <c r="CM144" i="21"/>
  <c r="CR144" i="21"/>
  <c r="CS144" i="21"/>
  <c r="CX144" i="21"/>
  <c r="CY144" i="21"/>
  <c r="DD144" i="21"/>
  <c r="DE144" i="21"/>
  <c r="DJ144" i="21"/>
  <c r="DK144" i="21"/>
  <c r="AB146" i="21"/>
  <c r="AE146" i="21"/>
  <c r="AB147" i="21"/>
  <c r="AE147" i="21"/>
  <c r="AH147" i="21"/>
  <c r="AK147" i="21"/>
  <c r="AB148" i="21"/>
  <c r="AC148" i="21"/>
  <c r="AB150" i="21"/>
  <c r="AE150" i="21"/>
  <c r="BT150" i="21"/>
  <c r="BU150" i="21"/>
  <c r="BZ150" i="21"/>
  <c r="CA150" i="21"/>
  <c r="CF150" i="21"/>
  <c r="CG150" i="21"/>
  <c r="CL150" i="21"/>
  <c r="CM150" i="21"/>
  <c r="CR150" i="21"/>
  <c r="CS150" i="21"/>
  <c r="CX150" i="21"/>
  <c r="CY150" i="21"/>
  <c r="DD150" i="21"/>
  <c r="DE150" i="21"/>
  <c r="DJ150" i="21"/>
  <c r="DK150" i="21"/>
  <c r="AB158" i="21"/>
  <c r="AB159" i="21"/>
  <c r="AH159" i="21"/>
  <c r="C26" i="138"/>
  <c r="C27" i="138"/>
  <c r="K27" i="138"/>
  <c r="C28" i="138"/>
  <c r="C29" i="138"/>
  <c r="K30" i="138"/>
  <c r="C34" i="138"/>
  <c r="D34" i="138"/>
  <c r="E34" i="138"/>
  <c r="K34" i="138"/>
  <c r="L34" i="138"/>
  <c r="M34" i="138"/>
  <c r="C35" i="138"/>
  <c r="D35" i="138"/>
  <c r="E35" i="138"/>
  <c r="K35" i="138"/>
  <c r="L35" i="138"/>
  <c r="M35" i="138"/>
  <c r="E36" i="138"/>
  <c r="M36" i="138"/>
  <c r="E39" i="138"/>
  <c r="M39" i="138"/>
  <c r="E40" i="138"/>
  <c r="M40" i="138"/>
  <c r="E41" i="138"/>
  <c r="M41" i="138"/>
  <c r="AV40" i="16"/>
  <c r="AW40" i="16"/>
  <c r="BB40" i="16"/>
  <c r="BC40" i="16"/>
  <c r="BH40" i="16"/>
  <c r="BI40" i="16"/>
  <c r="BN40" i="16"/>
  <c r="BO40" i="16"/>
  <c r="BT40" i="16"/>
  <c r="BU40" i="16"/>
  <c r="BZ40" i="16"/>
  <c r="CA40" i="16"/>
  <c r="CF40" i="16"/>
  <c r="CG40" i="16"/>
  <c r="CL40" i="16"/>
  <c r="CM40" i="16"/>
  <c r="CR40" i="16"/>
  <c r="CS40" i="16"/>
  <c r="CX40" i="16"/>
  <c r="CY40" i="16"/>
  <c r="DD40" i="16"/>
  <c r="DE40" i="16"/>
  <c r="DJ40" i="16"/>
  <c r="DK40" i="16"/>
  <c r="AV41" i="16"/>
  <c r="AW41" i="16"/>
  <c r="BB41" i="16"/>
  <c r="BC41" i="16"/>
  <c r="BH41" i="16"/>
  <c r="BI41" i="16"/>
  <c r="BN41" i="16"/>
  <c r="BO41" i="16"/>
  <c r="BT41" i="16"/>
  <c r="BU41" i="16"/>
  <c r="BZ41" i="16"/>
  <c r="CA41" i="16"/>
  <c r="CF41" i="16"/>
  <c r="CG41" i="16"/>
  <c r="CL41" i="16"/>
  <c r="CM41" i="16"/>
  <c r="CR41" i="16"/>
  <c r="CS41" i="16"/>
  <c r="CX41" i="16"/>
  <c r="CY41" i="16"/>
  <c r="DD41" i="16"/>
  <c r="DE41" i="16"/>
  <c r="DJ41" i="16"/>
  <c r="DK41" i="16"/>
  <c r="AV43" i="16"/>
  <c r="AW43" i="16"/>
  <c r="BB43" i="16"/>
  <c r="BC43" i="16"/>
  <c r="BH43" i="16"/>
  <c r="BI43" i="16"/>
  <c r="BN43" i="16"/>
  <c r="BO43" i="16"/>
  <c r="BT43" i="16"/>
  <c r="BU43" i="16"/>
  <c r="BZ43" i="16"/>
  <c r="CA43" i="16"/>
  <c r="CF43" i="16"/>
  <c r="CG43" i="16"/>
  <c r="CL43" i="16"/>
  <c r="CM43" i="16"/>
  <c r="CR43" i="16"/>
  <c r="CS43" i="16"/>
  <c r="CX43" i="16"/>
  <c r="CY43" i="16"/>
  <c r="DD43" i="16"/>
  <c r="DE43" i="16"/>
  <c r="DJ43" i="16"/>
  <c r="DK43" i="16"/>
  <c r="AV44" i="16"/>
  <c r="AW44" i="16"/>
  <c r="BB44" i="16"/>
  <c r="BC44" i="16"/>
  <c r="BH44" i="16"/>
  <c r="BI44" i="16"/>
  <c r="BN44" i="16"/>
  <c r="BO44" i="16"/>
  <c r="BU44" i="16"/>
  <c r="CA44" i="16"/>
  <c r="CG44" i="16"/>
  <c r="CM44" i="16"/>
  <c r="CS44" i="16"/>
  <c r="CY44" i="16"/>
  <c r="DE44" i="16"/>
  <c r="DK44" i="16"/>
  <c r="AV46" i="16"/>
  <c r="AW46" i="16"/>
  <c r="BB46" i="16"/>
  <c r="BC46" i="16"/>
  <c r="BH46" i="16"/>
  <c r="BI46" i="16"/>
  <c r="BN46" i="16"/>
  <c r="BO46" i="16"/>
  <c r="BT46" i="16"/>
  <c r="BU46" i="16"/>
  <c r="BZ46" i="16"/>
  <c r="CA46" i="16"/>
  <c r="CF46" i="16"/>
  <c r="CG46" i="16"/>
  <c r="CL46" i="16"/>
  <c r="CM46" i="16"/>
  <c r="CR46" i="16"/>
  <c r="CS46" i="16"/>
  <c r="CX46" i="16"/>
  <c r="CY46" i="16"/>
  <c r="DD46" i="16"/>
  <c r="DE46" i="16"/>
  <c r="DJ46" i="16"/>
  <c r="DK46" i="16"/>
  <c r="AV47" i="16"/>
  <c r="AW47" i="16"/>
  <c r="BB47" i="16"/>
  <c r="BC47" i="16"/>
  <c r="BH47" i="16"/>
  <c r="BI47" i="16"/>
  <c r="BN47" i="16"/>
  <c r="BO47" i="16"/>
  <c r="BT47" i="16"/>
  <c r="BU47" i="16"/>
  <c r="BZ47" i="16"/>
  <c r="CA47" i="16"/>
  <c r="CF47" i="16"/>
  <c r="CG47" i="16"/>
  <c r="CL47" i="16"/>
  <c r="CM47" i="16"/>
  <c r="CR47" i="16"/>
  <c r="CS47" i="16"/>
  <c r="CX47" i="16"/>
  <c r="CY47" i="16"/>
  <c r="DD47" i="16"/>
  <c r="DE47" i="16"/>
  <c r="DJ47" i="16"/>
  <c r="DK47" i="16"/>
  <c r="AV49" i="16"/>
  <c r="AW49" i="16"/>
  <c r="BB49" i="16"/>
  <c r="BC49" i="16"/>
  <c r="BH49" i="16"/>
  <c r="BI49" i="16"/>
  <c r="BN49" i="16"/>
  <c r="BO49" i="16"/>
  <c r="BT49" i="16"/>
  <c r="BU49" i="16"/>
  <c r="BZ49" i="16"/>
  <c r="CA49" i="16"/>
  <c r="CF49" i="16"/>
  <c r="CG49" i="16"/>
  <c r="CL49" i="16"/>
  <c r="CM49" i="16"/>
  <c r="CR49" i="16"/>
  <c r="CS49" i="16"/>
  <c r="CX49" i="16"/>
  <c r="CY49" i="16"/>
  <c r="DD49" i="16"/>
  <c r="DE49" i="16"/>
  <c r="DJ49" i="16"/>
  <c r="DK49" i="16"/>
  <c r="AV50" i="16"/>
  <c r="AW50" i="16"/>
  <c r="BB50" i="16"/>
  <c r="BC50" i="16"/>
  <c r="BH50" i="16"/>
  <c r="BI50" i="16"/>
  <c r="BN50" i="16"/>
  <c r="BO50" i="16"/>
  <c r="BT50" i="16"/>
  <c r="BU50" i="16"/>
  <c r="BZ50" i="16"/>
  <c r="CA50" i="16"/>
  <c r="CF50" i="16"/>
  <c r="CG50" i="16"/>
  <c r="CL50" i="16"/>
  <c r="CM50" i="16"/>
  <c r="CR50" i="16"/>
  <c r="CS50" i="16"/>
  <c r="CX50" i="16"/>
  <c r="CY50" i="16"/>
  <c r="DD50" i="16"/>
  <c r="DE50" i="16"/>
  <c r="DJ50" i="16"/>
  <c r="DK50" i="16"/>
  <c r="AV58" i="16"/>
  <c r="AW58" i="16"/>
  <c r="BB58" i="16"/>
  <c r="BC58" i="16"/>
  <c r="BH58" i="16"/>
  <c r="BI58" i="16"/>
  <c r="BN58" i="16"/>
  <c r="BO58" i="16"/>
  <c r="BT58" i="16"/>
  <c r="BU58" i="16"/>
  <c r="BZ58" i="16"/>
  <c r="CA58" i="16"/>
  <c r="CF58" i="16"/>
  <c r="CG58" i="16"/>
  <c r="CL58" i="16"/>
  <c r="CM58" i="16"/>
  <c r="CR58" i="16"/>
  <c r="CS58" i="16"/>
  <c r="CX58" i="16"/>
  <c r="CY58" i="16"/>
  <c r="DD58" i="16"/>
  <c r="DE58" i="16"/>
  <c r="DJ58" i="16"/>
  <c r="DK58" i="16"/>
  <c r="AV59" i="16"/>
  <c r="AW59" i="16"/>
  <c r="BB59" i="16"/>
  <c r="BC59" i="16"/>
  <c r="BH59" i="16"/>
  <c r="BI59" i="16"/>
  <c r="BN59" i="16"/>
  <c r="BO59" i="16"/>
  <c r="BT59" i="16"/>
  <c r="BU59" i="16"/>
  <c r="BZ59" i="16"/>
  <c r="CA59" i="16"/>
  <c r="CF59" i="16"/>
  <c r="CG59" i="16"/>
  <c r="CL59" i="16"/>
  <c r="CM59" i="16"/>
  <c r="CR59" i="16"/>
  <c r="CS59" i="16"/>
  <c r="CX59" i="16"/>
  <c r="CY59" i="16"/>
  <c r="DD59" i="16"/>
  <c r="DE59" i="16"/>
  <c r="DJ59" i="16"/>
  <c r="DK59" i="16"/>
  <c r="AV105" i="16"/>
  <c r="AW105" i="16"/>
  <c r="BB105" i="16"/>
  <c r="BC105" i="16"/>
  <c r="BH105" i="16"/>
  <c r="BI105" i="16"/>
  <c r="BN105" i="16"/>
  <c r="BO105" i="16"/>
  <c r="BT105" i="16"/>
  <c r="BU105" i="16"/>
  <c r="BZ105" i="16"/>
  <c r="CA105" i="16"/>
  <c r="CF105" i="16"/>
  <c r="CG105" i="16"/>
  <c r="CL105" i="16"/>
  <c r="CM105" i="16"/>
  <c r="CR105" i="16"/>
  <c r="CS105" i="16"/>
  <c r="CX105" i="16"/>
  <c r="CY105" i="16"/>
  <c r="DD105" i="16"/>
  <c r="DE105" i="16"/>
  <c r="DJ105" i="16"/>
  <c r="DK105" i="16"/>
  <c r="AV106" i="16"/>
  <c r="AW106" i="16"/>
  <c r="BB106" i="16"/>
  <c r="BC106" i="16"/>
  <c r="BH106" i="16"/>
  <c r="BI106" i="16"/>
  <c r="BN106" i="16"/>
  <c r="BO106" i="16"/>
  <c r="BT106" i="16"/>
  <c r="BU106" i="16"/>
  <c r="BZ106" i="16"/>
  <c r="CA106" i="16"/>
  <c r="CF106" i="16"/>
  <c r="CG106" i="16"/>
  <c r="CL106" i="16"/>
  <c r="CM106" i="16"/>
  <c r="CR106" i="16"/>
  <c r="CS106" i="16"/>
  <c r="CX106" i="16"/>
  <c r="CY106" i="16"/>
  <c r="DD106" i="16"/>
  <c r="DE106" i="16"/>
  <c r="DJ106" i="16"/>
  <c r="DK106" i="16"/>
  <c r="AV108" i="16"/>
  <c r="AW108" i="16"/>
  <c r="BB108" i="16"/>
  <c r="BC108" i="16"/>
  <c r="BH108" i="16"/>
  <c r="BI108" i="16"/>
  <c r="BN108" i="16"/>
  <c r="BO108" i="16"/>
  <c r="BT108" i="16"/>
  <c r="BU108" i="16"/>
  <c r="BZ108" i="16"/>
  <c r="CA108" i="16"/>
  <c r="CF108" i="16"/>
  <c r="CG108" i="16"/>
  <c r="CL108" i="16"/>
  <c r="CM108" i="16"/>
  <c r="CR108" i="16"/>
  <c r="CS108" i="16"/>
  <c r="CX108" i="16"/>
  <c r="CY108" i="16"/>
  <c r="DD108" i="16"/>
  <c r="DE108" i="16"/>
  <c r="DJ108" i="16"/>
  <c r="DK108" i="16"/>
  <c r="AV109" i="16"/>
  <c r="AW109" i="16"/>
  <c r="BB109" i="16"/>
  <c r="BC109" i="16"/>
  <c r="BH109" i="16"/>
  <c r="BI109" i="16"/>
  <c r="BN109" i="16"/>
  <c r="BO109" i="16"/>
  <c r="BT109" i="16"/>
  <c r="BU109" i="16"/>
  <c r="BZ109" i="16"/>
  <c r="CA109" i="16"/>
  <c r="CF109" i="16"/>
  <c r="CG109" i="16"/>
  <c r="CL109" i="16"/>
  <c r="CM109" i="16"/>
  <c r="CR109" i="16"/>
  <c r="CS109" i="16"/>
  <c r="CX109" i="16"/>
  <c r="CY109" i="16"/>
  <c r="DD109" i="16"/>
  <c r="DE109" i="16"/>
  <c r="DJ109" i="16"/>
  <c r="DK109" i="16"/>
  <c r="AV113" i="16"/>
  <c r="AW113" i="16"/>
  <c r="BB113" i="16"/>
  <c r="BC113" i="16"/>
  <c r="BH113" i="16"/>
  <c r="BI113" i="16"/>
  <c r="BN113" i="16"/>
  <c r="BO113" i="16"/>
  <c r="BT113" i="16"/>
  <c r="BU113" i="16"/>
  <c r="BZ113" i="16"/>
  <c r="CA113" i="16"/>
  <c r="CF113" i="16"/>
  <c r="CG113" i="16"/>
  <c r="CL113" i="16"/>
  <c r="CM113" i="16"/>
  <c r="CR113" i="16"/>
  <c r="CS113" i="16"/>
  <c r="CX113" i="16"/>
  <c r="CY113" i="16"/>
  <c r="DD113" i="16"/>
  <c r="DE113" i="16"/>
  <c r="DJ113" i="16"/>
  <c r="DK113" i="16"/>
  <c r="AV114" i="16"/>
  <c r="AW114" i="16"/>
  <c r="BB114" i="16"/>
  <c r="BC114" i="16"/>
  <c r="BH114" i="16"/>
  <c r="BI114" i="16"/>
  <c r="BN114" i="16"/>
  <c r="BO114" i="16"/>
  <c r="BT114" i="16"/>
  <c r="BU114" i="16"/>
  <c r="BZ114" i="16"/>
  <c r="CA114" i="16"/>
  <c r="CF114" i="16"/>
  <c r="CG114" i="16"/>
  <c r="CL114" i="16"/>
  <c r="CM114" i="16"/>
  <c r="CR114" i="16"/>
  <c r="CS114" i="16"/>
  <c r="CX114" i="16"/>
  <c r="CY114" i="16"/>
  <c r="DD114" i="16"/>
  <c r="DE114" i="16"/>
  <c r="DJ114" i="16"/>
  <c r="DK114" i="16"/>
  <c r="C5" i="12"/>
  <c r="E5" i="12"/>
  <c r="F5" i="12"/>
  <c r="G5" i="12"/>
  <c r="H5" i="12"/>
  <c r="C8" i="12"/>
  <c r="E8" i="12"/>
  <c r="F8" i="12"/>
  <c r="G8" i="12"/>
  <c r="H8" i="12"/>
  <c r="E9" i="12"/>
  <c r="F9" i="12"/>
  <c r="J10" i="12"/>
  <c r="K10" i="12"/>
  <c r="AL14" i="12"/>
  <c r="AM14" i="12"/>
  <c r="AN14" i="12"/>
  <c r="AL17" i="12"/>
  <c r="AN17" i="12"/>
  <c r="AL18" i="12"/>
  <c r="AN18" i="12"/>
  <c r="C21" i="12"/>
  <c r="E21" i="12"/>
  <c r="F21" i="12"/>
  <c r="G21" i="12"/>
  <c r="H21" i="12"/>
  <c r="AL22" i="12"/>
  <c r="AM22" i="12"/>
  <c r="AN22" i="12"/>
  <c r="AL24" i="12"/>
  <c r="AM24" i="12"/>
  <c r="AN24" i="12"/>
  <c r="AL27" i="12"/>
  <c r="AM27" i="12"/>
  <c r="AN27" i="12"/>
  <c r="AL29" i="12"/>
  <c r="AM29" i="12"/>
  <c r="AN29" i="12"/>
  <c r="AL32" i="12"/>
  <c r="AM32" i="12"/>
  <c r="AN32" i="12"/>
  <c r="AL33" i="12"/>
  <c r="AM33" i="12"/>
  <c r="AN33" i="12"/>
  <c r="AL35" i="12"/>
  <c r="AM35" i="12"/>
  <c r="AN35" i="12"/>
  <c r="E37" i="12"/>
  <c r="AE37" i="12"/>
  <c r="AE38" i="12"/>
  <c r="AF38" i="12"/>
  <c r="AG38" i="12"/>
  <c r="E39" i="12"/>
  <c r="AF40" i="12"/>
  <c r="AG40" i="12"/>
  <c r="E41" i="12"/>
  <c r="AF41" i="12"/>
  <c r="AG41" i="12"/>
  <c r="E45" i="12"/>
  <c r="AI45" i="12"/>
  <c r="AJ45" i="12"/>
  <c r="AK45" i="12"/>
  <c r="AL45" i="12"/>
  <c r="AM45" i="12"/>
  <c r="AN45" i="12"/>
  <c r="AO45" i="12"/>
  <c r="AP45" i="12"/>
  <c r="AQ45" i="12"/>
  <c r="AR45" i="12"/>
  <c r="AS45" i="12"/>
  <c r="AE46" i="12"/>
  <c r="AF46" i="12"/>
  <c r="AG46" i="12"/>
  <c r="AF48" i="12"/>
  <c r="AG48" i="12"/>
  <c r="E49" i="12"/>
  <c r="H49" i="12"/>
  <c r="AF49" i="12"/>
  <c r="AG49" i="12"/>
  <c r="E51" i="12"/>
  <c r="H51" i="12"/>
  <c r="E52" i="12"/>
  <c r="H55" i="12"/>
  <c r="E60" i="12"/>
  <c r="AE64" i="12"/>
  <c r="AF64" i="12"/>
  <c r="AG64" i="12"/>
  <c r="AE65" i="12"/>
  <c r="AF65" i="12"/>
  <c r="AG65" i="12"/>
  <c r="C71" i="12"/>
  <c r="C72" i="12"/>
  <c r="C75" i="12"/>
  <c r="N76" i="12"/>
  <c r="O76" i="12"/>
  <c r="P76" i="12"/>
  <c r="Q76" i="12"/>
  <c r="Q77" i="12"/>
  <c r="N78" i="12"/>
  <c r="O78" i="12"/>
  <c r="P78" i="12"/>
  <c r="Q78" i="12"/>
  <c r="P80" i="12"/>
  <c r="I83" i="12"/>
  <c r="BU95" i="3"/>
  <c r="CA95" i="3"/>
  <c r="CG95" i="3"/>
  <c r="CM95" i="3"/>
  <c r="CS95" i="3"/>
  <c r="CY95" i="3"/>
  <c r="DE95" i="3"/>
  <c r="DK95" i="3"/>
  <c r="BU96" i="3"/>
  <c r="CA96" i="3"/>
  <c r="CG96" i="3"/>
  <c r="CM96" i="3"/>
  <c r="CS96" i="3"/>
  <c r="CY96" i="3"/>
  <c r="DE96" i="3"/>
  <c r="DK96" i="3"/>
  <c r="BN98" i="3"/>
  <c r="BO98" i="3"/>
  <c r="BT98" i="3"/>
  <c r="BU98" i="3"/>
  <c r="BZ98" i="3"/>
  <c r="CA98" i="3"/>
  <c r="CF98" i="3"/>
  <c r="CG98" i="3"/>
  <c r="CL98" i="3"/>
  <c r="CM98" i="3"/>
  <c r="CR98" i="3"/>
  <c r="CS98" i="3"/>
  <c r="CX98" i="3"/>
  <c r="CY98" i="3"/>
  <c r="DD98" i="3"/>
  <c r="DE98" i="3"/>
  <c r="DJ98" i="3"/>
  <c r="DK98" i="3"/>
  <c r="BN99" i="3"/>
  <c r="BO99" i="3"/>
  <c r="BU99" i="3"/>
  <c r="CA99" i="3"/>
  <c r="CG99" i="3"/>
  <c r="CM99" i="3"/>
  <c r="CS99" i="3"/>
  <c r="CY99" i="3"/>
  <c r="DE99" i="3"/>
  <c r="DK99" i="3"/>
  <c r="BN101" i="3"/>
  <c r="BO101" i="3"/>
  <c r="BT101" i="3"/>
  <c r="BU101" i="3"/>
  <c r="BZ101" i="3"/>
  <c r="CA101" i="3"/>
  <c r="CF101" i="3"/>
  <c r="CG101" i="3"/>
  <c r="CL101" i="3"/>
  <c r="CM101" i="3"/>
  <c r="CR101" i="3"/>
  <c r="CS101" i="3"/>
  <c r="CX101" i="3"/>
  <c r="CY101" i="3"/>
  <c r="DD101" i="3"/>
  <c r="DE101" i="3"/>
  <c r="DJ101" i="3"/>
  <c r="DK101" i="3"/>
  <c r="BN102" i="3"/>
  <c r="BO102" i="3"/>
  <c r="BT102" i="3"/>
  <c r="BU102" i="3"/>
  <c r="BZ102" i="3"/>
  <c r="CA102" i="3"/>
  <c r="CF102" i="3"/>
  <c r="CG102" i="3"/>
  <c r="CL102" i="3"/>
  <c r="CM102" i="3"/>
  <c r="CR102" i="3"/>
  <c r="CS102" i="3"/>
  <c r="CX102" i="3"/>
  <c r="CY102" i="3"/>
  <c r="DD102" i="3"/>
  <c r="DE102" i="3"/>
  <c r="DJ102" i="3"/>
  <c r="DK102" i="3"/>
  <c r="BN106" i="3"/>
  <c r="BO106" i="3"/>
  <c r="BT106" i="3"/>
  <c r="BU106" i="3"/>
  <c r="BZ106" i="3"/>
  <c r="CA106" i="3"/>
  <c r="CF106" i="3"/>
  <c r="CG106" i="3"/>
  <c r="CL106" i="3"/>
  <c r="CM106" i="3"/>
  <c r="CR106" i="3"/>
  <c r="CS106" i="3"/>
  <c r="CX106" i="3"/>
  <c r="CY106" i="3"/>
  <c r="DD106" i="3"/>
  <c r="DE106" i="3"/>
  <c r="DJ106" i="3"/>
  <c r="DK106" i="3"/>
  <c r="BN107" i="3"/>
  <c r="BO107" i="3"/>
  <c r="BU107" i="3"/>
  <c r="CA107" i="3"/>
  <c r="CG107" i="3"/>
  <c r="CM107" i="3"/>
  <c r="CS107" i="3"/>
  <c r="CY107" i="3"/>
  <c r="DE107" i="3"/>
  <c r="DK107" i="3"/>
  <c r="BN109" i="3"/>
  <c r="BO109" i="3"/>
  <c r="BT109" i="3"/>
  <c r="BU109" i="3"/>
  <c r="BZ109" i="3"/>
  <c r="CA109" i="3"/>
  <c r="CF109" i="3"/>
  <c r="CG109" i="3"/>
  <c r="CL109" i="3"/>
  <c r="CM109" i="3"/>
  <c r="CR109" i="3"/>
  <c r="CS109" i="3"/>
  <c r="CX109" i="3"/>
  <c r="CY109" i="3"/>
  <c r="DD109" i="3"/>
  <c r="DE109" i="3"/>
  <c r="DJ109" i="3"/>
  <c r="DK109" i="3"/>
  <c r="BN110" i="3"/>
  <c r="BO110" i="3"/>
  <c r="BT110" i="3"/>
  <c r="BU110" i="3"/>
  <c r="BZ110" i="3"/>
  <c r="CA110" i="3"/>
  <c r="CF110" i="3"/>
  <c r="CG110" i="3"/>
  <c r="CL110" i="3"/>
  <c r="CM110" i="3"/>
  <c r="CR110" i="3"/>
  <c r="CS110" i="3"/>
  <c r="CX110" i="3"/>
  <c r="CY110" i="3"/>
  <c r="DD110" i="3"/>
  <c r="DE110" i="3"/>
  <c r="DJ110" i="3"/>
  <c r="DK110" i="3"/>
  <c r="BT112" i="3"/>
  <c r="BU112" i="3"/>
  <c r="BZ112" i="3"/>
  <c r="CA112" i="3"/>
  <c r="CF112" i="3"/>
  <c r="CG112" i="3"/>
  <c r="CL112" i="3"/>
  <c r="CM112" i="3"/>
  <c r="CR112" i="3"/>
  <c r="CS112" i="3"/>
  <c r="CX112" i="3"/>
  <c r="CY112" i="3"/>
  <c r="DD112" i="3"/>
  <c r="DE112" i="3"/>
  <c r="DJ112" i="3"/>
  <c r="DK112" i="3"/>
  <c r="BT113" i="3"/>
  <c r="BU113" i="3"/>
  <c r="BZ113" i="3"/>
  <c r="CA113" i="3"/>
  <c r="CF113" i="3"/>
  <c r="CG113" i="3"/>
  <c r="CL113" i="3"/>
  <c r="CM113" i="3"/>
  <c r="CR113" i="3"/>
  <c r="CS113" i="3"/>
  <c r="CX113" i="3"/>
  <c r="CY113" i="3"/>
  <c r="DD113" i="3"/>
  <c r="DE113" i="3"/>
  <c r="DJ113" i="3"/>
  <c r="DK113" i="3"/>
  <c r="BT162" i="3"/>
  <c r="BU162" i="3"/>
  <c r="BZ162" i="3"/>
  <c r="CA162" i="3"/>
  <c r="CF162" i="3"/>
  <c r="CG162" i="3"/>
  <c r="CL162" i="3"/>
  <c r="CM162" i="3"/>
  <c r="CR162" i="3"/>
  <c r="CS162" i="3"/>
  <c r="CX162" i="3"/>
  <c r="CY162" i="3"/>
  <c r="DD162" i="3"/>
  <c r="DE162" i="3"/>
  <c r="DJ162" i="3"/>
  <c r="DK162" i="3"/>
  <c r="BT163" i="3"/>
  <c r="BU163" i="3"/>
  <c r="BZ163" i="3"/>
  <c r="CA163" i="3"/>
  <c r="CF163" i="3"/>
  <c r="CG163" i="3"/>
  <c r="CL163" i="3"/>
  <c r="CM163" i="3"/>
  <c r="CR163" i="3"/>
  <c r="CS163" i="3"/>
  <c r="CX163" i="3"/>
  <c r="CY163" i="3"/>
  <c r="DD163" i="3"/>
  <c r="DE163" i="3"/>
  <c r="DJ163" i="3"/>
  <c r="DK163" i="3"/>
  <c r="BU175" i="3"/>
  <c r="BT176" i="3"/>
  <c r="BU176" i="3"/>
  <c r="BZ176" i="3"/>
  <c r="CA176" i="3"/>
  <c r="CF176" i="3"/>
  <c r="CG176" i="3"/>
  <c r="CL176" i="3"/>
  <c r="CM176" i="3"/>
  <c r="CR176" i="3"/>
  <c r="CS176" i="3"/>
  <c r="CX176" i="3"/>
  <c r="CY176" i="3"/>
  <c r="DD176" i="3"/>
  <c r="DE176" i="3"/>
  <c r="DJ176" i="3"/>
  <c r="DK176" i="3"/>
  <c r="BT177" i="3"/>
  <c r="BU177" i="3"/>
  <c r="BZ177" i="3"/>
  <c r="CA177" i="3"/>
  <c r="CF177" i="3"/>
  <c r="CG177" i="3"/>
  <c r="CL177" i="3"/>
  <c r="CM177" i="3"/>
  <c r="CR177" i="3"/>
  <c r="CS177" i="3"/>
  <c r="CX177" i="3"/>
  <c r="CY177" i="3"/>
  <c r="DD177" i="3"/>
  <c r="DE177" i="3"/>
  <c r="DJ177" i="3"/>
  <c r="DK177" i="3"/>
  <c r="BT180" i="3"/>
  <c r="BU180" i="3"/>
  <c r="BZ180" i="3"/>
  <c r="CA180" i="3"/>
  <c r="CF180" i="3"/>
  <c r="CG180" i="3"/>
  <c r="CL180" i="3"/>
  <c r="CM180" i="3"/>
  <c r="CR180" i="3"/>
  <c r="CS180" i="3"/>
  <c r="CX180" i="3"/>
  <c r="CY180" i="3"/>
  <c r="DD180" i="3"/>
  <c r="DE180" i="3"/>
  <c r="DJ180" i="3"/>
  <c r="DK180" i="3"/>
  <c r="BT181" i="3"/>
  <c r="BU181" i="3"/>
  <c r="BZ181" i="3"/>
  <c r="CA181" i="3"/>
  <c r="CF181" i="3"/>
  <c r="CG181" i="3"/>
  <c r="CL181" i="3"/>
  <c r="CM181" i="3"/>
  <c r="CR181" i="3"/>
  <c r="CS181" i="3"/>
  <c r="CX181" i="3"/>
  <c r="CY181" i="3"/>
  <c r="DD181" i="3"/>
  <c r="DE181" i="3"/>
  <c r="DJ181" i="3"/>
  <c r="DK181" i="3"/>
  <c r="BU183" i="3"/>
  <c r="CA183" i="3"/>
  <c r="CG183" i="3"/>
  <c r="CM183" i="3"/>
  <c r="CS183" i="3"/>
  <c r="CY183" i="3"/>
  <c r="DE183" i="3"/>
  <c r="DK183" i="3"/>
  <c r="BU184" i="3"/>
  <c r="CA184" i="3"/>
  <c r="CG184" i="3"/>
  <c r="CM184" i="3"/>
  <c r="CS184" i="3"/>
  <c r="CY184" i="3"/>
  <c r="DE184" i="3"/>
  <c r="DK184" i="3"/>
  <c r="BT187" i="3"/>
  <c r="BU187" i="3"/>
  <c r="BZ187" i="3"/>
  <c r="CA187" i="3"/>
  <c r="CF187" i="3"/>
  <c r="CG187" i="3"/>
  <c r="CL187" i="3"/>
  <c r="CM187" i="3"/>
  <c r="CR187" i="3"/>
  <c r="CS187" i="3"/>
  <c r="CX187" i="3"/>
  <c r="CY187" i="3"/>
  <c r="DD187" i="3"/>
  <c r="DE187" i="3"/>
  <c r="DJ187" i="3"/>
  <c r="DK187" i="3"/>
  <c r="BT188" i="3"/>
  <c r="BU188" i="3"/>
  <c r="BZ188" i="3"/>
  <c r="CA188" i="3"/>
  <c r="CF188" i="3"/>
  <c r="CG188" i="3"/>
  <c r="CL188" i="3"/>
  <c r="CM188" i="3"/>
  <c r="CR188" i="3"/>
  <c r="CS188" i="3"/>
  <c r="CX188" i="3"/>
  <c r="CY188" i="3"/>
  <c r="DD188" i="3"/>
  <c r="DE188" i="3"/>
  <c r="DJ188" i="3"/>
  <c r="DK188" i="3"/>
  <c r="BT190" i="3"/>
  <c r="BU190" i="3"/>
  <c r="BZ190" i="3"/>
  <c r="CA190" i="3"/>
  <c r="CF190" i="3"/>
  <c r="CG190" i="3"/>
  <c r="CL190" i="3"/>
  <c r="CM190" i="3"/>
  <c r="CR190" i="3"/>
  <c r="CS190" i="3"/>
  <c r="CX190" i="3"/>
  <c r="CY190" i="3"/>
  <c r="DD190" i="3"/>
  <c r="DE190" i="3"/>
  <c r="DJ190" i="3"/>
  <c r="DK190" i="3"/>
  <c r="BT191" i="3"/>
  <c r="BU191" i="3"/>
  <c r="BZ191" i="3"/>
  <c r="CA191" i="3"/>
  <c r="CF191" i="3"/>
  <c r="CG191" i="3"/>
  <c r="CL191" i="3"/>
  <c r="CM191" i="3"/>
  <c r="CR191" i="3"/>
  <c r="CS191" i="3"/>
  <c r="CX191" i="3"/>
  <c r="CY191" i="3"/>
  <c r="DD191" i="3"/>
  <c r="DE191" i="3"/>
  <c r="DJ191" i="3"/>
  <c r="DK191" i="3"/>
  <c r="BU193" i="3"/>
  <c r="CA193" i="3"/>
  <c r="CG193" i="3"/>
  <c r="CM193" i="3"/>
  <c r="CS193" i="3"/>
  <c r="CY193" i="3"/>
  <c r="DE193" i="3"/>
  <c r="DK193" i="3"/>
  <c r="BT194" i="3"/>
  <c r="BU194" i="3"/>
  <c r="BZ194" i="3"/>
  <c r="CA194" i="3"/>
  <c r="CF194" i="3"/>
  <c r="CG194" i="3"/>
  <c r="CL194" i="3"/>
  <c r="CM194" i="3"/>
  <c r="CR194" i="3"/>
  <c r="CS194" i="3"/>
  <c r="CX194" i="3"/>
  <c r="CY194" i="3"/>
  <c r="DD194" i="3"/>
  <c r="DE194" i="3"/>
  <c r="DJ194" i="3"/>
  <c r="DK194" i="3"/>
  <c r="BT195" i="3"/>
  <c r="BU195" i="3"/>
  <c r="BZ195" i="3"/>
  <c r="CA195" i="3"/>
  <c r="CF195" i="3"/>
  <c r="CG195" i="3"/>
  <c r="CL195" i="3"/>
  <c r="CM195" i="3"/>
  <c r="CR195" i="3"/>
  <c r="CS195" i="3"/>
  <c r="CX195" i="3"/>
  <c r="CY195" i="3"/>
  <c r="DD195" i="3"/>
  <c r="DE195" i="3"/>
  <c r="DJ195" i="3"/>
  <c r="DK195" i="3"/>
  <c r="BU197" i="3"/>
  <c r="CA197" i="3"/>
  <c r="CG197" i="3"/>
  <c r="CM197" i="3"/>
  <c r="CS197" i="3"/>
  <c r="CY197" i="3"/>
  <c r="DE197" i="3"/>
  <c r="DK197" i="3"/>
  <c r="BU198" i="3"/>
  <c r="CA198" i="3"/>
  <c r="CG198" i="3"/>
  <c r="CM198" i="3"/>
  <c r="CS198" i="3"/>
  <c r="CY198" i="3"/>
  <c r="DE198" i="3"/>
  <c r="DK198" i="3"/>
  <c r="BT200" i="3"/>
  <c r="BU200" i="3"/>
  <c r="BZ200" i="3"/>
  <c r="CA200" i="3"/>
  <c r="CF200" i="3"/>
  <c r="CG200" i="3"/>
  <c r="CL200" i="3"/>
  <c r="CM200" i="3"/>
  <c r="CR200" i="3"/>
  <c r="CS200" i="3"/>
  <c r="CX200" i="3"/>
  <c r="CY200" i="3"/>
  <c r="DD200" i="3"/>
  <c r="DE200" i="3"/>
  <c r="DJ200" i="3"/>
  <c r="DK200" i="3"/>
  <c r="BT201" i="3"/>
  <c r="BU201" i="3"/>
  <c r="BZ201" i="3"/>
  <c r="CA201" i="3"/>
  <c r="CF201" i="3"/>
  <c r="CG201" i="3"/>
  <c r="CL201" i="3"/>
  <c r="CM201" i="3"/>
  <c r="CR201" i="3"/>
  <c r="CS201" i="3"/>
  <c r="CX201" i="3"/>
  <c r="CY201" i="3"/>
  <c r="DD201" i="3"/>
  <c r="DE201" i="3"/>
  <c r="DJ201" i="3"/>
  <c r="DK201" i="3"/>
  <c r="BU206" i="3"/>
  <c r="CA206" i="3"/>
  <c r="CG206" i="3"/>
  <c r="CM206" i="3"/>
  <c r="CS206" i="3"/>
  <c r="CY206" i="3"/>
  <c r="DE206" i="3"/>
  <c r="DK206" i="3"/>
  <c r="BU207" i="3"/>
  <c r="CA207" i="3"/>
  <c r="CG207" i="3"/>
  <c r="CM207" i="3"/>
  <c r="CS207" i="3"/>
  <c r="CY207" i="3"/>
  <c r="DE207" i="3"/>
  <c r="DK207" i="3"/>
  <c r="CG210" i="3"/>
  <c r="AE234" i="117"/>
  <c r="AF234" i="117"/>
  <c r="AH234" i="117"/>
  <c r="AL234" i="117"/>
  <c r="AZ234" i="117"/>
  <c r="BA234" i="117"/>
  <c r="BB234" i="117"/>
  <c r="BC234" i="117"/>
  <c r="BD234" i="117"/>
  <c r="BF234" i="117"/>
  <c r="BG234" i="117"/>
  <c r="BH234" i="117"/>
  <c r="BI234" i="117"/>
  <c r="BJ234" i="117"/>
  <c r="BL234" i="117"/>
  <c r="BM234" i="117"/>
  <c r="BN234" i="117"/>
  <c r="BO234" i="117"/>
  <c r="BP234" i="117"/>
  <c r="BR234" i="117"/>
  <c r="BS234" i="117"/>
  <c r="BT234" i="117"/>
  <c r="BU234" i="117"/>
  <c r="BV234" i="117"/>
  <c r="BX234" i="117"/>
  <c r="BY234" i="117"/>
  <c r="BZ234" i="117"/>
  <c r="CA234" i="117"/>
  <c r="CB234" i="117"/>
  <c r="CD234" i="117"/>
  <c r="CE234" i="117"/>
  <c r="CF234" i="117"/>
  <c r="CG234" i="117"/>
  <c r="CH234" i="117"/>
  <c r="CJ234" i="117"/>
  <c r="CK234" i="117"/>
  <c r="CL234" i="117"/>
  <c r="CM234" i="117"/>
  <c r="CN234" i="117"/>
  <c r="CP234" i="117"/>
  <c r="CQ234" i="117"/>
  <c r="CR234" i="117"/>
  <c r="CS234" i="117"/>
  <c r="CT234" i="117"/>
  <c r="AE236" i="117"/>
  <c r="AF236" i="117"/>
  <c r="AH236" i="117"/>
  <c r="AL236" i="117"/>
  <c r="AZ236" i="117"/>
  <c r="BA236" i="117"/>
  <c r="BB236" i="117"/>
  <c r="BC236" i="117"/>
  <c r="BD236" i="117"/>
  <c r="BF236" i="117"/>
  <c r="BG236" i="117"/>
  <c r="BH236" i="117"/>
  <c r="BI236" i="117"/>
  <c r="BJ236" i="117"/>
  <c r="BL236" i="117"/>
  <c r="BM236" i="117"/>
  <c r="BN236" i="117"/>
  <c r="BO236" i="117"/>
  <c r="BP236" i="117"/>
  <c r="BR236" i="117"/>
  <c r="BS236" i="117"/>
  <c r="BT236" i="117"/>
  <c r="BU236" i="117"/>
  <c r="BV236" i="117"/>
  <c r="BX236" i="117"/>
  <c r="BY236" i="117"/>
  <c r="BZ236" i="117"/>
  <c r="CA236" i="117"/>
  <c r="CB236" i="117"/>
  <c r="CD236" i="117"/>
  <c r="CE236" i="117"/>
  <c r="CF236" i="117"/>
  <c r="CG236" i="117"/>
  <c r="CH236" i="117"/>
  <c r="CJ236" i="117"/>
  <c r="CK236" i="117"/>
  <c r="CL236" i="117"/>
  <c r="CM236" i="117"/>
  <c r="CN236" i="117"/>
  <c r="CP236" i="117"/>
  <c r="CQ236" i="117"/>
  <c r="CR236" i="117"/>
  <c r="CS236" i="117"/>
  <c r="CT236" i="117"/>
  <c r="AE237" i="117"/>
  <c r="AF237" i="117"/>
  <c r="AH237" i="117"/>
  <c r="AK237" i="117"/>
  <c r="AL237" i="117"/>
  <c r="AN237" i="117"/>
  <c r="AR237" i="117"/>
  <c r="AZ237" i="117"/>
  <c r="BA237" i="117"/>
  <c r="BB237" i="117"/>
  <c r="BC237" i="117"/>
  <c r="BD237" i="117"/>
  <c r="BF237" i="117"/>
  <c r="BG237" i="117"/>
  <c r="BH237" i="117"/>
  <c r="BI237" i="117"/>
  <c r="BJ237" i="117"/>
  <c r="BL237" i="117"/>
  <c r="BM237" i="117"/>
  <c r="BN237" i="117"/>
  <c r="BO237" i="117"/>
  <c r="BP237" i="117"/>
  <c r="BR237" i="117"/>
  <c r="BS237" i="117"/>
  <c r="BT237" i="117"/>
  <c r="BU237" i="117"/>
  <c r="BV237" i="117"/>
  <c r="BX237" i="117"/>
  <c r="BY237" i="117"/>
  <c r="BZ237" i="117"/>
  <c r="CA237" i="117"/>
  <c r="CB237" i="117"/>
  <c r="CD237" i="117"/>
  <c r="CE237" i="117"/>
  <c r="CF237" i="117"/>
  <c r="CG237" i="117"/>
  <c r="CH237" i="117"/>
  <c r="CJ237" i="117"/>
  <c r="CK237" i="117"/>
  <c r="CL237" i="117"/>
  <c r="CM237" i="117"/>
  <c r="CN237" i="117"/>
  <c r="CP237" i="117"/>
  <c r="CQ237" i="117"/>
  <c r="CR237" i="117"/>
  <c r="CS237" i="117"/>
  <c r="CT237" i="117"/>
  <c r="BT239" i="117"/>
  <c r="BU239" i="117"/>
  <c r="BV239" i="117"/>
  <c r="BX239" i="117"/>
  <c r="BY239" i="117"/>
  <c r="BZ239" i="117"/>
  <c r="CA239" i="117"/>
  <c r="CB239" i="117"/>
  <c r="CD239" i="117"/>
  <c r="CE239" i="117"/>
  <c r="CF239" i="117"/>
  <c r="CG239" i="117"/>
  <c r="CH239" i="117"/>
  <c r="CJ239" i="117"/>
  <c r="CK239" i="117"/>
  <c r="CL239" i="117"/>
  <c r="CM239" i="117"/>
  <c r="CN239" i="117"/>
  <c r="CP239" i="117"/>
  <c r="CQ239" i="117"/>
  <c r="CR239" i="117"/>
  <c r="CS239" i="117"/>
  <c r="CT239" i="117"/>
  <c r="AE243" i="117"/>
  <c r="AF243" i="117"/>
  <c r="AH243" i="117"/>
  <c r="AL243" i="117"/>
  <c r="AZ243" i="117"/>
  <c r="BA243" i="117"/>
  <c r="BB243" i="117"/>
  <c r="BC243" i="117"/>
  <c r="BD243" i="117"/>
  <c r="BF243" i="117"/>
  <c r="BG243" i="117"/>
  <c r="BH243" i="117"/>
  <c r="BI243" i="117"/>
  <c r="BJ243" i="117"/>
  <c r="BL243" i="117"/>
  <c r="BM243" i="117"/>
  <c r="BN243" i="117"/>
  <c r="BO243" i="117"/>
  <c r="BP243" i="117"/>
  <c r="BR243" i="117"/>
  <c r="BS243" i="117"/>
  <c r="BT243" i="117"/>
  <c r="BU243" i="117"/>
  <c r="BV243" i="117"/>
  <c r="BX243" i="117"/>
  <c r="BY243" i="117"/>
  <c r="BZ243" i="117"/>
  <c r="CA243" i="117"/>
  <c r="CB243" i="117"/>
  <c r="CD243" i="117"/>
  <c r="CE243" i="117"/>
  <c r="CF243" i="117"/>
  <c r="CG243" i="117"/>
  <c r="CH243" i="117"/>
  <c r="CJ243" i="117"/>
  <c r="CK243" i="117"/>
  <c r="CL243" i="117"/>
  <c r="CM243" i="117"/>
  <c r="CN243" i="117"/>
  <c r="CP243" i="117"/>
  <c r="CQ243" i="117"/>
  <c r="CR243" i="117"/>
  <c r="CS243" i="117"/>
  <c r="CT243" i="117"/>
  <c r="AE244" i="117"/>
  <c r="AF244" i="117"/>
  <c r="AH244" i="117"/>
  <c r="AK244" i="117"/>
  <c r="AL244" i="117"/>
  <c r="AN244" i="117"/>
  <c r="AR244" i="117"/>
  <c r="AZ244" i="117"/>
  <c r="BA244" i="117"/>
  <c r="BB244" i="117"/>
  <c r="BC244" i="117"/>
  <c r="BD244" i="117"/>
  <c r="BF244" i="117"/>
  <c r="BG244" i="117"/>
  <c r="BH244" i="117"/>
  <c r="BI244" i="117"/>
  <c r="BJ244" i="117"/>
  <c r="BL244" i="117"/>
  <c r="BM244" i="117"/>
  <c r="BN244" i="117"/>
  <c r="BO244" i="117"/>
  <c r="BP244" i="117"/>
  <c r="BR244" i="117"/>
  <c r="BS244" i="117"/>
  <c r="BT244" i="117"/>
  <c r="BU244" i="117"/>
  <c r="BV244" i="117"/>
  <c r="BX244" i="117"/>
  <c r="BY244" i="117"/>
  <c r="BZ244" i="117"/>
  <c r="CA244" i="117"/>
  <c r="CB244" i="117"/>
  <c r="CD244" i="117"/>
  <c r="CE244" i="117"/>
  <c r="CF244" i="117"/>
  <c r="CG244" i="117"/>
  <c r="CH244" i="117"/>
  <c r="CJ244" i="117"/>
  <c r="CK244" i="117"/>
  <c r="CL244" i="117"/>
  <c r="CM244" i="117"/>
  <c r="CN244" i="117"/>
  <c r="CP244" i="117"/>
  <c r="CQ244" i="117"/>
  <c r="CR244" i="117"/>
  <c r="CS244" i="117"/>
  <c r="CT244" i="117"/>
  <c r="AE248" i="117"/>
  <c r="AF248" i="117"/>
  <c r="AH248" i="117"/>
  <c r="AL248" i="117"/>
  <c r="AZ248" i="117"/>
  <c r="BA248" i="117"/>
  <c r="BB248" i="117"/>
  <c r="BC248" i="117"/>
  <c r="BD248" i="117"/>
  <c r="BF248" i="117"/>
  <c r="BG248" i="117"/>
  <c r="BH248" i="117"/>
  <c r="BI248" i="117"/>
  <c r="BJ248" i="117"/>
  <c r="BL248" i="117"/>
  <c r="BM248" i="117"/>
  <c r="BN248" i="117"/>
  <c r="BO248" i="117"/>
  <c r="BP248" i="117"/>
  <c r="BR248" i="117"/>
  <c r="BS248" i="117"/>
  <c r="BT248" i="117"/>
  <c r="BU248" i="117"/>
  <c r="BV248" i="117"/>
  <c r="BX248" i="117"/>
  <c r="BY248" i="117"/>
  <c r="BZ248" i="117"/>
  <c r="CA248" i="117"/>
  <c r="CB248" i="117"/>
  <c r="CD248" i="117"/>
  <c r="CE248" i="117"/>
  <c r="CF248" i="117"/>
  <c r="CG248" i="117"/>
  <c r="CH248" i="117"/>
  <c r="CJ248" i="117"/>
  <c r="CK248" i="117"/>
  <c r="CL248" i="117"/>
  <c r="CM248" i="117"/>
  <c r="CN248" i="117"/>
  <c r="CP248" i="117"/>
  <c r="CQ248" i="117"/>
  <c r="CR248" i="117"/>
  <c r="CS248" i="117"/>
  <c r="CT248" i="117"/>
  <c r="AE250" i="117"/>
  <c r="AF250" i="117"/>
  <c r="AH250" i="117"/>
  <c r="AI250" i="117"/>
  <c r="AJ250" i="117"/>
  <c r="AK250" i="117"/>
  <c r="AL250" i="117"/>
  <c r="AN250" i="117"/>
  <c r="AO250" i="117"/>
  <c r="AP250" i="117"/>
  <c r="AQ250" i="117"/>
  <c r="AR250" i="117"/>
  <c r="AT250" i="117"/>
  <c r="AU250" i="117"/>
  <c r="AV250" i="117"/>
  <c r="AW250" i="117"/>
  <c r="AX250" i="117"/>
  <c r="AZ250" i="117"/>
  <c r="BA250" i="117"/>
  <c r="BB250" i="117"/>
  <c r="BC250" i="117"/>
  <c r="BD250" i="117"/>
  <c r="BF250" i="117"/>
  <c r="BG250" i="117"/>
  <c r="BH250" i="117"/>
  <c r="BI250" i="117"/>
  <c r="BJ250" i="117"/>
  <c r="BL250" i="117"/>
  <c r="BM250" i="117"/>
  <c r="BN250" i="117"/>
  <c r="BO250" i="117"/>
  <c r="BP250" i="117"/>
  <c r="BR250" i="117"/>
  <c r="BS250" i="117"/>
  <c r="BT250" i="117"/>
  <c r="BU250" i="117"/>
  <c r="BV250" i="117"/>
  <c r="BX250" i="117"/>
  <c r="BY250" i="117"/>
  <c r="BZ250" i="117"/>
  <c r="CA250" i="117"/>
  <c r="CB250" i="117"/>
  <c r="CD250" i="117"/>
  <c r="CE250" i="117"/>
  <c r="CF250" i="117"/>
  <c r="CG250" i="117"/>
  <c r="CH250" i="117"/>
  <c r="CJ250" i="117"/>
  <c r="CK250" i="117"/>
  <c r="CL250" i="117"/>
  <c r="CM250" i="117"/>
  <c r="CN250" i="117"/>
  <c r="CP250" i="117"/>
  <c r="CQ250" i="117"/>
  <c r="CR250" i="117"/>
  <c r="CS250" i="117"/>
  <c r="CT250" i="117"/>
  <c r="AF252" i="117"/>
  <c r="AL252" i="117"/>
  <c r="BD252" i="117"/>
  <c r="BJ252" i="117"/>
  <c r="BP252" i="117"/>
  <c r="BV252" i="117"/>
  <c r="CB252" i="117"/>
  <c r="CH252" i="117"/>
  <c r="CN252" i="117"/>
  <c r="CT252" i="117"/>
  <c r="AZ274" i="117"/>
  <c r="BA274" i="117"/>
  <c r="BB274" i="117"/>
  <c r="BC274" i="117"/>
  <c r="BD274" i="117"/>
  <c r="BF274" i="117"/>
  <c r="BG274" i="117"/>
  <c r="BH274" i="117"/>
  <c r="BI274" i="117"/>
  <c r="BJ274" i="117"/>
  <c r="BL274" i="117"/>
  <c r="BM274" i="117"/>
  <c r="BN274" i="117"/>
  <c r="BO274" i="117"/>
  <c r="BP274" i="117"/>
  <c r="BR274" i="117"/>
  <c r="BS274" i="117"/>
  <c r="BT274" i="117"/>
  <c r="BU274" i="117"/>
  <c r="BV274" i="117"/>
  <c r="BX274" i="117"/>
  <c r="BY274" i="117"/>
  <c r="BZ274" i="117"/>
  <c r="CA274" i="117"/>
  <c r="CB274" i="117"/>
  <c r="CD274" i="117"/>
  <c r="CE274" i="117"/>
  <c r="CF274" i="117"/>
  <c r="CG274" i="117"/>
  <c r="CH274" i="117"/>
  <c r="CJ274" i="117"/>
  <c r="CK274" i="117"/>
  <c r="CL274" i="117"/>
  <c r="CM274" i="117"/>
  <c r="CN274" i="117"/>
  <c r="CP274" i="117"/>
  <c r="CQ274" i="117"/>
  <c r="CR274" i="117"/>
  <c r="CS274" i="117"/>
  <c r="CT274" i="117"/>
  <c r="CL276" i="117"/>
  <c r="CM276" i="117"/>
  <c r="CN276" i="117"/>
  <c r="CP276" i="117"/>
  <c r="CQ276" i="117"/>
  <c r="CR276" i="117"/>
  <c r="CS276" i="117"/>
  <c r="CT276" i="117"/>
  <c r="AZ278" i="117"/>
  <c r="BA278" i="117"/>
  <c r="BB278" i="117"/>
  <c r="BC278" i="117"/>
  <c r="BD278" i="117"/>
  <c r="BF278" i="117"/>
  <c r="BG278" i="117"/>
  <c r="BH278" i="117"/>
  <c r="BI278" i="117"/>
  <c r="BJ278" i="117"/>
  <c r="BL278" i="117"/>
  <c r="BM278" i="117"/>
  <c r="BN278" i="117"/>
  <c r="BO278" i="117"/>
  <c r="BP278" i="117"/>
  <c r="BR278" i="117"/>
  <c r="BS278" i="117"/>
  <c r="BT278" i="117"/>
  <c r="BU278" i="117"/>
  <c r="BV278" i="117"/>
  <c r="BX278" i="117"/>
  <c r="BY278" i="117"/>
  <c r="BZ278" i="117"/>
  <c r="CA278" i="117"/>
  <c r="CB278" i="117"/>
  <c r="CD278" i="117"/>
  <c r="CE278" i="117"/>
  <c r="CF278" i="117"/>
  <c r="CG278" i="117"/>
  <c r="CH278" i="117"/>
  <c r="CJ278" i="117"/>
  <c r="CK278" i="117"/>
  <c r="CL278" i="117"/>
  <c r="CM278" i="117"/>
  <c r="CN278" i="117"/>
  <c r="CP278" i="117"/>
  <c r="CQ278" i="117"/>
  <c r="CR278" i="117"/>
  <c r="CS278" i="117"/>
  <c r="CT278" i="117"/>
  <c r="AZ282" i="117"/>
  <c r="BA282" i="117"/>
  <c r="BB282" i="117"/>
  <c r="BC282" i="117"/>
  <c r="BD282" i="117"/>
  <c r="BF282" i="117"/>
  <c r="BG282" i="117"/>
  <c r="BH282" i="117"/>
  <c r="BI282" i="117"/>
  <c r="BJ282" i="117"/>
  <c r="BL282" i="117"/>
  <c r="BM282" i="117"/>
  <c r="BN282" i="117"/>
  <c r="BO282" i="117"/>
  <c r="BP282" i="117"/>
  <c r="BR282" i="117"/>
  <c r="BS282" i="117"/>
  <c r="BT282" i="117"/>
  <c r="BU282" i="117"/>
  <c r="BV282" i="117"/>
  <c r="BX282" i="117"/>
  <c r="BY282" i="117"/>
  <c r="BZ282" i="117"/>
  <c r="CA282" i="117"/>
  <c r="CB282" i="117"/>
  <c r="CD282" i="117"/>
  <c r="CE282" i="117"/>
  <c r="CF282" i="117"/>
  <c r="CG282" i="117"/>
  <c r="CH282" i="117"/>
  <c r="CJ282" i="117"/>
  <c r="CK282" i="117"/>
  <c r="CL282" i="117"/>
  <c r="CM282" i="117"/>
  <c r="CN282" i="117"/>
  <c r="CP282" i="117"/>
  <c r="CQ282" i="117"/>
  <c r="CR282" i="117"/>
  <c r="CS282" i="117"/>
  <c r="CT282" i="117"/>
  <c r="BA285" i="117"/>
  <c r="BB285" i="117"/>
  <c r="BC285" i="117"/>
  <c r="BF285" i="117"/>
  <c r="BG285" i="117"/>
  <c r="BH285" i="117"/>
  <c r="BI285" i="117"/>
  <c r="BJ285" i="117"/>
  <c r="BL285" i="117"/>
  <c r="BM285" i="117"/>
  <c r="BN285" i="117"/>
  <c r="BO285" i="117"/>
  <c r="BP285" i="117"/>
  <c r="BR285" i="117"/>
  <c r="BS285" i="117"/>
  <c r="BT285" i="117"/>
  <c r="BU285" i="117"/>
  <c r="BV285" i="117"/>
  <c r="BX285" i="117"/>
  <c r="BY285" i="117"/>
  <c r="BZ285" i="117"/>
  <c r="CA285" i="117"/>
  <c r="CB285" i="117"/>
  <c r="CD285" i="117"/>
  <c r="CE285" i="117"/>
  <c r="CF285" i="117"/>
  <c r="CG285" i="117"/>
  <c r="CH285" i="117"/>
  <c r="CJ285" i="117"/>
  <c r="CK285" i="117"/>
  <c r="CL285" i="117"/>
  <c r="CM285" i="117"/>
  <c r="CN285" i="117"/>
  <c r="CP285" i="117"/>
  <c r="CQ285" i="117"/>
  <c r="CR285" i="117"/>
  <c r="CS285" i="117"/>
  <c r="CT285" i="117"/>
  <c r="AZ286" i="117"/>
  <c r="BA286" i="117"/>
  <c r="BB286" i="117"/>
  <c r="BC286" i="117"/>
  <c r="BD286" i="117"/>
  <c r="BF286" i="117"/>
  <c r="BG286" i="117"/>
  <c r="BH286" i="117"/>
  <c r="BI286" i="117"/>
  <c r="BJ286" i="117"/>
  <c r="BL286" i="117"/>
  <c r="BM286" i="117"/>
  <c r="BN286" i="117"/>
  <c r="BO286" i="117"/>
  <c r="BP286" i="117"/>
  <c r="BR286" i="117"/>
  <c r="BS286" i="117"/>
  <c r="BT286" i="117"/>
  <c r="BU286" i="117"/>
  <c r="BV286" i="117"/>
  <c r="BX286" i="117"/>
  <c r="BY286" i="117"/>
  <c r="BZ286" i="117"/>
  <c r="CA286" i="117"/>
  <c r="CB286" i="117"/>
  <c r="CD286" i="117"/>
  <c r="CE286" i="117"/>
  <c r="CF286" i="117"/>
  <c r="CG286" i="117"/>
  <c r="CH286" i="117"/>
  <c r="CJ286" i="117"/>
  <c r="CK286" i="117"/>
  <c r="CL286" i="117"/>
  <c r="CM286" i="117"/>
  <c r="CN286" i="117"/>
  <c r="CP286" i="117"/>
  <c r="CQ286" i="117"/>
  <c r="CR286" i="117"/>
  <c r="CS286" i="117"/>
  <c r="CT286" i="117"/>
  <c r="AZ287" i="117"/>
  <c r="BA287" i="117"/>
  <c r="BB287" i="117"/>
  <c r="BC287" i="117"/>
  <c r="BF287" i="117"/>
  <c r="BG287" i="117"/>
  <c r="BH287" i="117"/>
  <c r="BI287" i="117"/>
  <c r="BL287" i="117"/>
  <c r="BM287" i="117"/>
  <c r="BN287" i="117"/>
  <c r="BO287" i="117"/>
  <c r="BR287" i="117"/>
  <c r="BS287" i="117"/>
  <c r="BT287" i="117"/>
  <c r="BU287" i="117"/>
  <c r="BX287" i="117"/>
  <c r="BY287" i="117"/>
  <c r="BZ287" i="117"/>
  <c r="CA287" i="117"/>
  <c r="CD287" i="117"/>
  <c r="CE287" i="117"/>
  <c r="CF287" i="117"/>
  <c r="CG287" i="117"/>
  <c r="CJ287" i="117"/>
  <c r="CK287" i="117"/>
  <c r="CL287" i="117"/>
  <c r="CM287" i="117"/>
  <c r="CP287" i="117"/>
  <c r="CQ287" i="117"/>
  <c r="CR287" i="117"/>
  <c r="CS287" i="117"/>
  <c r="AE289" i="117"/>
  <c r="AH289" i="117"/>
  <c r="BD290" i="117"/>
  <c r="BJ290" i="117"/>
  <c r="BD291" i="117"/>
  <c r="BJ291" i="117"/>
  <c r="M18" i="11"/>
  <c r="N18" i="11"/>
  <c r="O18" i="11"/>
  <c r="P18" i="11"/>
  <c r="Q18" i="11"/>
  <c r="R18" i="11"/>
  <c r="M19" i="11"/>
  <c r="N19" i="11"/>
  <c r="O19" i="11"/>
  <c r="P19" i="11"/>
  <c r="Q19" i="11"/>
  <c r="R19" i="11"/>
  <c r="M20" i="11"/>
  <c r="N20" i="11"/>
  <c r="O20" i="11"/>
  <c r="P20" i="11"/>
  <c r="Q20" i="11"/>
  <c r="R20" i="11"/>
  <c r="M21" i="11"/>
  <c r="N21" i="11"/>
  <c r="O21" i="11"/>
  <c r="P21" i="11"/>
  <c r="Q21" i="11"/>
  <c r="R21" i="11"/>
  <c r="V23" i="11"/>
  <c r="N24" i="11"/>
  <c r="O24" i="11"/>
  <c r="P24" i="11"/>
  <c r="Q24" i="11"/>
  <c r="R24" i="11"/>
  <c r="S24" i="11"/>
  <c r="V24" i="11"/>
  <c r="V25" i="11"/>
  <c r="L26" i="11"/>
  <c r="M26" i="11"/>
  <c r="N26" i="11"/>
  <c r="L27" i="11"/>
  <c r="M27" i="11"/>
  <c r="N27" i="11"/>
  <c r="L28" i="11"/>
  <c r="M28" i="11"/>
  <c r="N28" i="11"/>
  <c r="M29" i="11"/>
  <c r="N29" i="11"/>
  <c r="W57" i="11"/>
  <c r="I155" i="11"/>
  <c r="J155" i="11"/>
  <c r="K155" i="11"/>
  <c r="L155" i="11"/>
  <c r="M155" i="11"/>
  <c r="N155" i="11"/>
  <c r="O155" i="11"/>
  <c r="P155" i="11"/>
  <c r="Q155" i="11"/>
  <c r="R155" i="11"/>
  <c r="I157" i="11"/>
  <c r="J157" i="11"/>
  <c r="K157" i="11"/>
  <c r="L157" i="11"/>
  <c r="M157" i="11"/>
  <c r="N157" i="11"/>
  <c r="O157" i="11"/>
  <c r="P157" i="11"/>
  <c r="Q157" i="11"/>
  <c r="R157" i="11"/>
  <c r="I158" i="11"/>
  <c r="J158" i="11"/>
  <c r="K158" i="11"/>
  <c r="L158" i="11"/>
  <c r="M158" i="11"/>
  <c r="N158" i="11"/>
  <c r="O158" i="11"/>
  <c r="P158" i="11"/>
  <c r="Q158" i="11"/>
  <c r="R158" i="11"/>
  <c r="V160" i="11"/>
  <c r="N161" i="11"/>
  <c r="O161" i="11"/>
  <c r="P161" i="11"/>
  <c r="Q161" i="11"/>
  <c r="R161" i="11"/>
  <c r="S161" i="11"/>
  <c r="V161" i="11"/>
  <c r="V162" i="11"/>
  <c r="L163" i="11"/>
  <c r="M163" i="11"/>
  <c r="N163" i="11"/>
  <c r="L164" i="11"/>
  <c r="M164" i="11"/>
  <c r="N164" i="11"/>
  <c r="L165" i="11"/>
  <c r="M165" i="11"/>
  <c r="N165" i="11"/>
  <c r="L166" i="11"/>
  <c r="M166" i="11"/>
  <c r="N166" i="11"/>
</calcChain>
</file>

<file path=xl/comments1.xml><?xml version="1.0" encoding="utf-8"?>
<comments xmlns="http://schemas.openxmlformats.org/spreadsheetml/2006/main">
  <authors>
    <author>Emmet Kelly</author>
  </authors>
  <commentList>
    <comment ref="AC54" authorId="0">
      <text>
        <r>
          <rPr>
            <b/>
            <sz val="14"/>
            <color indexed="81"/>
            <rFont val="Tahoma"/>
            <family val="2"/>
          </rPr>
          <t>Emmet Kelly:</t>
        </r>
        <r>
          <rPr>
            <sz val="14"/>
            <color indexed="81"/>
            <rFont val="Tahoma"/>
            <family val="2"/>
          </rPr>
          <t xml:space="preserve">
Bankruptcy of provider hit EBITDA by  EUR 8mn - underlying marginn down by just 270bps</t>
        </r>
      </text>
    </comment>
  </commentList>
</comments>
</file>

<file path=xl/sharedStrings.xml><?xml version="1.0" encoding="utf-8"?>
<sst xmlns="http://schemas.openxmlformats.org/spreadsheetml/2006/main" count="7023" uniqueCount="996">
  <si>
    <t>Voice ARPU (PLN/mth)</t>
  </si>
  <si>
    <t>Data ARPU (PLN/mth)</t>
  </si>
  <si>
    <t>EBITDA (CZK mn)</t>
  </si>
  <si>
    <t>EBITDA (PLN)</t>
  </si>
  <si>
    <t>FTM</t>
  </si>
  <si>
    <t>MTM</t>
  </si>
  <si>
    <t>JV - UK</t>
  </si>
  <si>
    <t>okay</t>
  </si>
  <si>
    <t>Equity value</t>
  </si>
  <si>
    <t>Special factors (severance / early retirement / re-structure)</t>
  </si>
  <si>
    <t>reported</t>
  </si>
  <si>
    <t>special</t>
  </si>
  <si>
    <t>Normal</t>
  </si>
  <si>
    <t>Re-structuring</t>
  </si>
  <si>
    <t>Cash tax difference</t>
  </si>
  <si>
    <t>Underlying FCF</t>
  </si>
  <si>
    <t>Shares</t>
  </si>
  <si>
    <t>Mkt cap</t>
  </si>
  <si>
    <t>EFCF yield</t>
  </si>
  <si>
    <t>Q2</t>
  </si>
  <si>
    <t>Q1</t>
  </si>
  <si>
    <t>Q4</t>
  </si>
  <si>
    <t>Q3</t>
  </si>
  <si>
    <t>Change y-o-y</t>
  </si>
  <si>
    <t>Capex/Sales</t>
  </si>
  <si>
    <t>Subs - BOP (000)</t>
  </si>
  <si>
    <t>Net adds (000)</t>
  </si>
  <si>
    <t>Subs - EOP (000)</t>
  </si>
  <si>
    <t>Average subs (000)</t>
  </si>
  <si>
    <t>ARPU ($/mth)</t>
  </si>
  <si>
    <t>Service rev ($mn)</t>
  </si>
  <si>
    <t>Total revenues ($mn)</t>
  </si>
  <si>
    <t>EBITDA ($mn)</t>
  </si>
  <si>
    <t>Capex ($mn)</t>
  </si>
  <si>
    <t>Equipment revenues</t>
  </si>
  <si>
    <t>-</t>
  </si>
  <si>
    <t>EBITDA margin</t>
  </si>
  <si>
    <t>Margin change (y-o-y)</t>
  </si>
  <si>
    <t>OpFCF</t>
  </si>
  <si>
    <t>FY</t>
  </si>
  <si>
    <t>Change (y-o-y)</t>
  </si>
  <si>
    <t>Churn</t>
  </si>
  <si>
    <t>Gross Adds</t>
  </si>
  <si>
    <t>Equipment rev per gross add</t>
  </si>
  <si>
    <t>Payout ratio</t>
  </si>
  <si>
    <t>Churned customers</t>
  </si>
  <si>
    <t>Voice ARPU</t>
  </si>
  <si>
    <t>Data ARPU</t>
  </si>
  <si>
    <t>Data as a % of ARPU</t>
  </si>
  <si>
    <t>Data Revs</t>
  </si>
  <si>
    <t>Voice Revs</t>
  </si>
  <si>
    <t>Service Revs</t>
  </si>
  <si>
    <t>CPGA / sub</t>
  </si>
  <si>
    <t>Other opex</t>
  </si>
  <si>
    <t>As a % of revenues</t>
  </si>
  <si>
    <t>SACs</t>
  </si>
  <si>
    <t>Growth (y-o-y)</t>
  </si>
  <si>
    <t>SAC / sub</t>
  </si>
  <si>
    <t>Total revenues (Eur mn)</t>
  </si>
  <si>
    <t>Service rev (Eur mn)</t>
  </si>
  <si>
    <t>ARPU (Eur /mth)</t>
  </si>
  <si>
    <t>EBITDA (Eur mn)</t>
  </si>
  <si>
    <t>Capex (Eur mn)</t>
  </si>
  <si>
    <t>MOU</t>
  </si>
  <si>
    <t>Adj MOU</t>
  </si>
  <si>
    <t>Total mins</t>
  </si>
  <si>
    <t>Chg YoY</t>
  </si>
  <si>
    <t>Yield</t>
  </si>
  <si>
    <t>Change</t>
  </si>
  <si>
    <t>Broadband retail</t>
  </si>
  <si>
    <t>IPTV</t>
  </si>
  <si>
    <t>Growth y-o-y</t>
  </si>
  <si>
    <t>Net Adds</t>
  </si>
  <si>
    <t>Market share</t>
  </si>
  <si>
    <t>Change (YoY)</t>
  </si>
  <si>
    <t>Wholesale (bundled)</t>
  </si>
  <si>
    <t>ULL</t>
  </si>
  <si>
    <t>Wholesale (unbundled)</t>
  </si>
  <si>
    <t>DT Retail</t>
  </si>
  <si>
    <t>Unbundlers etc</t>
  </si>
  <si>
    <t>Total</t>
  </si>
  <si>
    <t>Cable</t>
  </si>
  <si>
    <t>EBITDA</t>
  </si>
  <si>
    <t>Growth (YoY)</t>
  </si>
  <si>
    <t>EBITDA Margin</t>
  </si>
  <si>
    <t>GERMANY</t>
  </si>
  <si>
    <t>Subscribers</t>
  </si>
  <si>
    <t>Mkt share - net adds</t>
  </si>
  <si>
    <t>Average subs</t>
  </si>
  <si>
    <t>Other lines</t>
  </si>
  <si>
    <t>Capex</t>
  </si>
  <si>
    <t>Tax</t>
  </si>
  <si>
    <t>Opex</t>
  </si>
  <si>
    <t>Forex rate</t>
  </si>
  <si>
    <t>Service rev (CZK mn)</t>
  </si>
  <si>
    <t>ARPU (CZK/mth)</t>
  </si>
  <si>
    <t>ARPU (Eur/mth)</t>
  </si>
  <si>
    <t>Service Revs (CZK mn)</t>
  </si>
  <si>
    <t>Data Revs (CZK mn)</t>
  </si>
  <si>
    <t>Voice Revs (CZK mn)</t>
  </si>
  <si>
    <t>ARPU (PLN/mth)</t>
  </si>
  <si>
    <t>Service rev (PLN mn)</t>
  </si>
  <si>
    <t>Data Revs (PLN mn)</t>
  </si>
  <si>
    <t>Service Revs (PLN mn)</t>
  </si>
  <si>
    <t>Voice Revs (PLN mn)</t>
  </si>
  <si>
    <t>Equipment revenues (Eur mn)</t>
  </si>
  <si>
    <t>Revenues (Eur mn)</t>
  </si>
  <si>
    <t>SYSTEMS INTEGRATION</t>
  </si>
  <si>
    <t>TOTAL T-SYSTEMS</t>
  </si>
  <si>
    <t>TELECOMS</t>
  </si>
  <si>
    <t>COMPUTING</t>
  </si>
  <si>
    <t>DESKTOP</t>
  </si>
  <si>
    <t>MetroPCS</t>
  </si>
  <si>
    <t>WACC</t>
  </si>
  <si>
    <t>Growth rate</t>
  </si>
  <si>
    <t>Tax rate</t>
  </si>
  <si>
    <t>FCF</t>
  </si>
  <si>
    <t>Year</t>
  </si>
  <si>
    <t>Forecast period</t>
  </si>
  <si>
    <t>DCF</t>
  </si>
  <si>
    <t>Terminal valuation</t>
  </si>
  <si>
    <t>Total - EV</t>
  </si>
  <si>
    <t>EV/EBITDA</t>
  </si>
  <si>
    <t>EV/OpFCF</t>
  </si>
  <si>
    <t>EV/FCF</t>
  </si>
  <si>
    <t>T-Mobile Germany</t>
  </si>
  <si>
    <t>T-Home Germany</t>
  </si>
  <si>
    <t>Valuation - EV - 100%</t>
  </si>
  <si>
    <t>Stake</t>
  </si>
  <si>
    <t>Holding Value</t>
  </si>
  <si>
    <t>Less: Adjusted Net Debt</t>
  </si>
  <si>
    <t>Target share price</t>
  </si>
  <si>
    <t>Target Equity Value</t>
  </si>
  <si>
    <t>Total target return</t>
  </si>
  <si>
    <t>SHOUT</t>
  </si>
  <si>
    <t>Current share price</t>
  </si>
  <si>
    <t>Target price/share</t>
  </si>
  <si>
    <t>Total return</t>
  </si>
  <si>
    <t>T-Home - Germany</t>
  </si>
  <si>
    <t>Adjusted Net Debt</t>
  </si>
  <si>
    <t>ARPU (HUF/mth)</t>
  </si>
  <si>
    <t>Service rev (HUF mn)</t>
  </si>
  <si>
    <t>Voice ARPU (HUF/mth)</t>
  </si>
  <si>
    <t>Data ARPU (HUF/mth)</t>
  </si>
  <si>
    <t>Fixed-line</t>
  </si>
  <si>
    <t>Revenues</t>
  </si>
  <si>
    <t>Lines - BOP (000)</t>
  </si>
  <si>
    <t>Lines - EOP (000)</t>
  </si>
  <si>
    <t>Voice ARPU (Eur/mth)</t>
  </si>
  <si>
    <t>Data ARPU (Eur/mth)</t>
  </si>
  <si>
    <t>Voice Revs (HUF mn)</t>
  </si>
  <si>
    <t>Data Revs (HUF mn)</t>
  </si>
  <si>
    <t>Service Revs (HUF mn)</t>
  </si>
  <si>
    <t>Voice Revs (Eur mn)</t>
  </si>
  <si>
    <t>Data Revs (Eur mn)</t>
  </si>
  <si>
    <t>Service Revs (Eur mn)</t>
  </si>
  <si>
    <t>OpFCF (Eur mn)</t>
  </si>
  <si>
    <t>MOBILE</t>
  </si>
  <si>
    <t>Voice ARPU (HRK/mth)</t>
  </si>
  <si>
    <t>Data ARPU (HRK/mth)</t>
  </si>
  <si>
    <t>ARPU (HRK/mth)</t>
  </si>
  <si>
    <t>Service rev (HRK mn)</t>
  </si>
  <si>
    <t>Voice Revs (HRK mn)</t>
  </si>
  <si>
    <t>Data Revs (HRK mn)</t>
  </si>
  <si>
    <t>Service Revs (HRK mn)</t>
  </si>
  <si>
    <t>T-Mobile USA</t>
  </si>
  <si>
    <t>EBIT</t>
  </si>
  <si>
    <t>Interest</t>
  </si>
  <si>
    <t>PBT</t>
  </si>
  <si>
    <t>Earnings</t>
  </si>
  <si>
    <t>TMO Netherlands</t>
  </si>
  <si>
    <t>TMO Austria</t>
  </si>
  <si>
    <t>TMO Cz Republic</t>
  </si>
  <si>
    <t>PTC (Poland)</t>
  </si>
  <si>
    <t>TMO Hungary</t>
  </si>
  <si>
    <t>TMO Slovakia</t>
  </si>
  <si>
    <t>TMO Croatia</t>
  </si>
  <si>
    <t>T-Systems</t>
  </si>
  <si>
    <t>T-Home Hungary</t>
  </si>
  <si>
    <t>T-Home Slovakia</t>
  </si>
  <si>
    <t>T-Home Croatia</t>
  </si>
  <si>
    <t>GHS</t>
  </si>
  <si>
    <t>REVENUES</t>
  </si>
  <si>
    <t>CAPEX</t>
  </si>
  <si>
    <t>Germany</t>
  </si>
  <si>
    <t>USA</t>
  </si>
  <si>
    <t>Europe</t>
  </si>
  <si>
    <t>Systems Solutions</t>
  </si>
  <si>
    <t>Reconciliation</t>
  </si>
  <si>
    <t>* Fixed</t>
  </si>
  <si>
    <t>* Mobile</t>
  </si>
  <si>
    <t>* Reconciliation</t>
  </si>
  <si>
    <t>TOTAL</t>
  </si>
  <si>
    <t>Access lines - EOP</t>
  </si>
  <si>
    <t>Eccess lines - BOP</t>
  </si>
  <si>
    <t>Lines loss</t>
  </si>
  <si>
    <t>T-Mobile Europe</t>
  </si>
  <si>
    <t>T-Home Europe</t>
  </si>
  <si>
    <t>OTE</t>
  </si>
  <si>
    <t>T-Mobile NL</t>
  </si>
  <si>
    <t>T-Mobile Austria</t>
  </si>
  <si>
    <t>T-Mobile Cz Republic</t>
  </si>
  <si>
    <t>T-Mobile Hungary</t>
  </si>
  <si>
    <t>T-Mobile Slovakia</t>
  </si>
  <si>
    <t>T-Mobile Croatia</t>
  </si>
  <si>
    <t>Magyar Telecom (Hungary)</t>
  </si>
  <si>
    <t>Non-US</t>
  </si>
  <si>
    <t>Change YoY</t>
  </si>
  <si>
    <t>Slovak Telecom (Slovakia)</t>
  </si>
  <si>
    <t>Hrvatski Telecom (Croatia)</t>
  </si>
  <si>
    <t>Eur / USD</t>
  </si>
  <si>
    <t>GBP/Eur</t>
  </si>
  <si>
    <t>n/a</t>
  </si>
  <si>
    <t>Households</t>
  </si>
  <si>
    <t>Penetration</t>
  </si>
  <si>
    <t>Network Communications</t>
  </si>
  <si>
    <t>IP/internet</t>
  </si>
  <si>
    <t>Wholesale services</t>
  </si>
  <si>
    <t>REVENUE DRIVERS</t>
  </si>
  <si>
    <t>Network communications</t>
  </si>
  <si>
    <t>Cost per line</t>
  </si>
  <si>
    <t>Cost per b'band line</t>
  </si>
  <si>
    <t>TOTAL B'BAND MARKET</t>
  </si>
  <si>
    <t>Value-added Services</t>
  </si>
  <si>
    <t>TOTAL REVENUES</t>
  </si>
  <si>
    <t>Underlying capex</t>
  </si>
  <si>
    <t>Underlying capex/sales</t>
  </si>
  <si>
    <t>`</t>
  </si>
  <si>
    <t>Average No of lines</t>
  </si>
  <si>
    <t>Other</t>
  </si>
  <si>
    <t>Wholelsale service revs (excl 4 and 5 below)</t>
  </si>
  <si>
    <t>Incremental penetration</t>
  </si>
  <si>
    <t>Market growth (YoY)</t>
  </si>
  <si>
    <t>Fibre capex (Eur mn)</t>
  </si>
  <si>
    <t>Average no of retail broadband lines</t>
  </si>
  <si>
    <t>Average - total wholesale &amp; unbundled lines</t>
  </si>
  <si>
    <t>DT forex rate</t>
  </si>
  <si>
    <t>EUROPE</t>
  </si>
  <si>
    <t>OTE (&amp; reconciliation)</t>
  </si>
  <si>
    <t>Per share data</t>
  </si>
  <si>
    <t>2008A</t>
  </si>
  <si>
    <t>2009A</t>
  </si>
  <si>
    <t>2018E</t>
  </si>
  <si>
    <t>EPS</t>
  </si>
  <si>
    <t>DPS</t>
  </si>
  <si>
    <t>SHOUT - Average</t>
  </si>
  <si>
    <t>Associates</t>
  </si>
  <si>
    <t>Interest expense, net</t>
  </si>
  <si>
    <t>Income tax</t>
  </si>
  <si>
    <t>Tax rate (%)</t>
  </si>
  <si>
    <t>Consolidated Net Income</t>
  </si>
  <si>
    <t>Non-controlling interests</t>
  </si>
  <si>
    <t>Consolidated Net Income, Gp share</t>
  </si>
  <si>
    <t>Margin change (YoY)</t>
  </si>
  <si>
    <t>INCOME STATEMENT</t>
  </si>
  <si>
    <t>BALANCE SHEET</t>
  </si>
  <si>
    <t>ASSETS</t>
  </si>
  <si>
    <t>Current assets</t>
  </si>
  <si>
    <t>Cash &amp; equivalents</t>
  </si>
  <si>
    <t>Trade &amp; other receivables</t>
  </si>
  <si>
    <t>Current recoverable income taxes</t>
  </si>
  <si>
    <t>Other financial assets</t>
  </si>
  <si>
    <t>Inventories</t>
  </si>
  <si>
    <t>Non-current assets</t>
  </si>
  <si>
    <t>Other assets</t>
  </si>
  <si>
    <t>PPE</t>
  </si>
  <si>
    <t>Investments under equity method</t>
  </si>
  <si>
    <t>Deferred tax assets</t>
  </si>
  <si>
    <t>Total assets</t>
  </si>
  <si>
    <t>LIABILITIES &amp; SHAREHOLDERS EQUITY</t>
  </si>
  <si>
    <t>Current liabilities</t>
  </si>
  <si>
    <t>Financial liabilities</t>
  </si>
  <si>
    <t>Trade &amp; payables</t>
  </si>
  <si>
    <t>Income tax liabilities</t>
  </si>
  <si>
    <t>Other provisions</t>
  </si>
  <si>
    <t>Liabilities - non-current &amp; disposals</t>
  </si>
  <si>
    <t>Other liabilities</t>
  </si>
  <si>
    <t>Non-current liabilities</t>
  </si>
  <si>
    <t>Provisions for pensions</t>
  </si>
  <si>
    <t>Deferred tax liabilities</t>
  </si>
  <si>
    <t>Total liabilities</t>
  </si>
  <si>
    <t>Shareholders equity</t>
  </si>
  <si>
    <t>Issued capital</t>
  </si>
  <si>
    <t>Capital reserves</t>
  </si>
  <si>
    <t>Retained earnings</t>
  </si>
  <si>
    <t>Other comprehensive income</t>
  </si>
  <si>
    <t>Comprehensive income - others &amp; disposals</t>
  </si>
  <si>
    <t>Net profit / loss</t>
  </si>
  <si>
    <t>Treasury shares</t>
  </si>
  <si>
    <t>Total liabilities &amp; shareholder equity</t>
  </si>
  <si>
    <t>Issued capital &amp; reserves to owners of parent</t>
  </si>
  <si>
    <t>Difference</t>
  </si>
  <si>
    <t>D&amp;A</t>
  </si>
  <si>
    <t>Depreciation, Goodwill &amp; License Amortisation</t>
  </si>
  <si>
    <t>Change (QoQ)</t>
  </si>
  <si>
    <t>Net Debt - EOP</t>
  </si>
  <si>
    <t>Average Net Debt</t>
  </si>
  <si>
    <t>Cost of Debt (Kd)</t>
  </si>
  <si>
    <t>Exceptional items</t>
  </si>
  <si>
    <t>CASH FLOW STATEMENT</t>
  </si>
  <si>
    <t>Euro mn</t>
  </si>
  <si>
    <t xml:space="preserve">Net profit (loss) </t>
  </si>
  <si>
    <t>Depreciation, amortisation &amp; impairment losses</t>
  </si>
  <si>
    <t>Income tax expense</t>
  </si>
  <si>
    <t>Other financial expense</t>
  </si>
  <si>
    <t>(Profit) loss on disposal of consolidated businesses</t>
  </si>
  <si>
    <t>Other non-cash transactions</t>
  </si>
  <si>
    <t>(Profit) loss on disposal of intangibles &amp; PPE</t>
  </si>
  <si>
    <t>Change in working capital</t>
  </si>
  <si>
    <t>Change in provisions</t>
  </si>
  <si>
    <t>Change in other liabilities carried as working capital</t>
  </si>
  <si>
    <t>Interest income / expense</t>
  </si>
  <si>
    <t>Dividends received</t>
  </si>
  <si>
    <t>Cash generated from operations</t>
  </si>
  <si>
    <t>Net interest paid</t>
  </si>
  <si>
    <t>Net cash from operating activities</t>
  </si>
  <si>
    <t>Investments</t>
  </si>
  <si>
    <t>* Intangibles</t>
  </si>
  <si>
    <t>* Non-current financial assets</t>
  </si>
  <si>
    <t>* PPE</t>
  </si>
  <si>
    <t>* Investments in subsidiaries</t>
  </si>
  <si>
    <t>Proceeds from disposals</t>
  </si>
  <si>
    <t>Net change in short-term investments etc</t>
  </si>
  <si>
    <t>Net change in cash &amp; cash equivalents due to OTE</t>
  </si>
  <si>
    <t>Net cash from investing</t>
  </si>
  <si>
    <t>Proceeds from issue of debt</t>
  </si>
  <si>
    <t>Repayment of debt</t>
  </si>
  <si>
    <t>Repayment of non-current financial liabilities</t>
  </si>
  <si>
    <t>Proceeds from issue of non-current financial liabilities</t>
  </si>
  <si>
    <t>Dividends payments</t>
  </si>
  <si>
    <t>Proceeds from exercise of stock options</t>
  </si>
  <si>
    <t>Re-payment of lease liabilities</t>
  </si>
  <si>
    <t>Net cash used in financing activities</t>
  </si>
  <si>
    <t>Forex effect</t>
  </si>
  <si>
    <t>Change in cash &amp; cash equivalents</t>
  </si>
  <si>
    <t>Net increase in cash &amp; cash equivalents</t>
  </si>
  <si>
    <t>Cash &amp; cash equivalents - BOP</t>
  </si>
  <si>
    <t>Cash &amp; cash equivalents - EOP</t>
  </si>
  <si>
    <t>Free Cash Flow</t>
  </si>
  <si>
    <t>Minority debt</t>
  </si>
  <si>
    <t>Tax credits</t>
  </si>
  <si>
    <t>Spectrum</t>
  </si>
  <si>
    <t>Others</t>
  </si>
  <si>
    <t>Less: Minority debt</t>
  </si>
  <si>
    <t>Less: NPV of tax credits</t>
  </si>
  <si>
    <t>Add: Spectrum</t>
  </si>
  <si>
    <t>Add: Pension</t>
  </si>
  <si>
    <t>Add: Toll Collect</t>
  </si>
  <si>
    <t>Intangible assets</t>
  </si>
  <si>
    <t>Minorities</t>
  </si>
  <si>
    <t>Real FCF</t>
  </si>
  <si>
    <t>Tax step-up</t>
  </si>
  <si>
    <t>gap between reported revs and Matac revs</t>
  </si>
  <si>
    <t>Revs up 4.6% QoQ, in Eur terms , from Matav sheet</t>
  </si>
  <si>
    <t>Change - YoY</t>
  </si>
  <si>
    <t>Blended EBITDA (Eur mn)</t>
  </si>
  <si>
    <t>Blended OpFCF (Eur mn)</t>
  </si>
  <si>
    <t>Online communication serv</t>
  </si>
  <si>
    <t>Online consumer &amp; VAS</t>
  </si>
  <si>
    <t>Dividends</t>
  </si>
  <si>
    <t xml:space="preserve">Other </t>
  </si>
  <si>
    <t>Cash tax</t>
  </si>
  <si>
    <t>Price</t>
  </si>
  <si>
    <t>EV</t>
  </si>
  <si>
    <t>Pension</t>
  </si>
  <si>
    <t>Euro</t>
  </si>
  <si>
    <t>2010A</t>
  </si>
  <si>
    <t>Cash taxes received / paid</t>
  </si>
  <si>
    <t>DCF tax</t>
  </si>
  <si>
    <t>Discount rate</t>
  </si>
  <si>
    <t>NPV</t>
  </si>
  <si>
    <t>Net Debt - BOP</t>
  </si>
  <si>
    <t>2011A</t>
  </si>
  <si>
    <t>Broadband &amp; TV revenues</t>
  </si>
  <si>
    <t>This line is the balance</t>
  </si>
  <si>
    <t>4 +5'</t>
  </si>
  <si>
    <t>Contribution</t>
  </si>
  <si>
    <t>Post-tax contribution</t>
  </si>
  <si>
    <t>2012A</t>
  </si>
  <si>
    <t>T-MOBILE USA</t>
  </si>
  <si>
    <t>METRO PCS</t>
  </si>
  <si>
    <t>MergeCo</t>
  </si>
  <si>
    <t>Operating Income</t>
  </si>
  <si>
    <t>Interest charge</t>
  </si>
  <si>
    <t>Tax loss carry-forward</t>
  </si>
  <si>
    <t>Re-structuring costs</t>
  </si>
  <si>
    <t>Clean OpFCF</t>
  </si>
  <si>
    <t>Cost of debt</t>
  </si>
  <si>
    <t>Excess FCF</t>
  </si>
  <si>
    <t>Working Capital</t>
  </si>
  <si>
    <t>Clean Earnings</t>
  </si>
  <si>
    <t>US re-structuring</t>
  </si>
  <si>
    <t>Total - EV - $</t>
  </si>
  <si>
    <t>Total EV - Eur</t>
  </si>
  <si>
    <t>reflected in zero US taxes</t>
  </si>
  <si>
    <t>Elasticity</t>
  </si>
  <si>
    <t>2019E</t>
  </si>
  <si>
    <t>2020E</t>
  </si>
  <si>
    <t>2021E</t>
  </si>
  <si>
    <t>Regular ULL Fee</t>
  </si>
  <si>
    <t>Kontingentmodell Fee</t>
  </si>
  <si>
    <t>Other wholsale revenues</t>
  </si>
  <si>
    <t>TOTAL wholesale charge per line - blended, ALL fees</t>
  </si>
  <si>
    <t>Kontingentmodell Addss</t>
  </si>
  <si>
    <t>Regular DSL ULL subs, 000</t>
  </si>
  <si>
    <t>Kontingentmodell subs, 000</t>
  </si>
  <si>
    <t>Regular DSL revenues</t>
  </si>
  <si>
    <t>Kontingentmodell Revenues</t>
  </si>
  <si>
    <t>* normalised OpFCF and FCF, excl Eur6bn capex plan</t>
  </si>
  <si>
    <t>2013A</t>
  </si>
  <si>
    <t>PO</t>
  </si>
  <si>
    <t>Eqty</t>
  </si>
  <si>
    <t>N Debt</t>
  </si>
  <si>
    <t>Interest rate swaps &amp; others</t>
  </si>
  <si>
    <t>Dividend amount</t>
  </si>
  <si>
    <t>Cash</t>
  </si>
  <si>
    <t>Non-cash</t>
  </si>
  <si>
    <t>New shares</t>
  </si>
  <si>
    <t>Adjusted for NPV of tax credits</t>
  </si>
  <si>
    <t>Capex diff: Normalised vs VDSL project</t>
  </si>
  <si>
    <t>EFCF yield normalised for DSL project</t>
  </si>
  <si>
    <t>EUR</t>
  </si>
  <si>
    <t>DTEGn.DE</t>
  </si>
  <si>
    <t>Deutsche Telekom</t>
  </si>
  <si>
    <t>MW Required Tags</t>
  </si>
  <si>
    <t>Average basic shares outstanding</t>
  </si>
  <si>
    <t>Gross PPE</t>
  </si>
  <si>
    <t>Accumulated Depreciation</t>
  </si>
  <si>
    <t>Unrecorded Goodwill</t>
  </si>
  <si>
    <t>Count</t>
  </si>
  <si>
    <t>DTEGn.DE,mscalc:targetPrice,,,,USD</t>
  </si>
  <si>
    <t>DTEGn.DE,mscalc:sedolCodeCalc</t>
  </si>
  <si>
    <t>DTEGn.DE,mscalc:closePriceCurrencyCalc</t>
  </si>
  <si>
    <t>5842359</t>
  </si>
  <si>
    <t>DTEGn.DE,mscalc:targetPrice,,,,EUR</t>
  </si>
  <si>
    <t>Other cash flow</t>
  </si>
  <si>
    <t>Base</t>
  </si>
  <si>
    <t>Bull</t>
  </si>
  <si>
    <t>Bear</t>
  </si>
  <si>
    <t>Shares Outstanding (SHOUT)</t>
  </si>
  <si>
    <t>Germany -Integrated *</t>
  </si>
  <si>
    <t>US Bear</t>
  </si>
  <si>
    <t>US Bull</t>
  </si>
  <si>
    <t>Euro mobile</t>
  </si>
  <si>
    <t xml:space="preserve"> </t>
  </si>
  <si>
    <t>.</t>
  </si>
  <si>
    <t>Currency</t>
  </si>
  <si>
    <t>Current Stock Price</t>
  </si>
  <si>
    <t>USD</t>
  </si>
  <si>
    <t>ADR ratio</t>
  </si>
  <si>
    <t>DTEGY.PK,mscalc:sedolCodeCalc</t>
  </si>
  <si>
    <t>DTEGY.PK,mscalc:targetPrice,,,,USD</t>
  </si>
  <si>
    <t>DTEGY.PK,mscalc:closePriceCurrencyCalc</t>
  </si>
  <si>
    <t>$N$2</t>
  </si>
  <si>
    <t>NA</t>
  </si>
  <si>
    <t>2281999</t>
  </si>
  <si>
    <t>FOR COMPS SHEET</t>
  </si>
  <si>
    <t>Proportionate EBITDA</t>
  </si>
  <si>
    <t>restructuring</t>
  </si>
  <si>
    <t>Proportionate CAPEX</t>
  </si>
  <si>
    <t>US OpFCF (EBITDA-CAPEX)</t>
  </si>
  <si>
    <t>US OpFCF not owned</t>
  </si>
  <si>
    <t>Proportionate FCF</t>
  </si>
  <si>
    <t>Proportionate Net debt</t>
  </si>
  <si>
    <t>Total net debt</t>
  </si>
  <si>
    <t>US debt</t>
  </si>
  <si>
    <t>US debt not owned</t>
  </si>
  <si>
    <t>add: pension</t>
  </si>
  <si>
    <t>Prop EV</t>
  </si>
  <si>
    <t>EV/EBTIDA</t>
  </si>
  <si>
    <t>Prop FCF yield</t>
  </si>
  <si>
    <t>no. Shares</t>
  </si>
  <si>
    <t>Share price</t>
  </si>
  <si>
    <t>Market cap</t>
  </si>
  <si>
    <t>40mn tax benefit in Q4 14</t>
  </si>
  <si>
    <t>US depreciation ($ mn)</t>
  </si>
  <si>
    <t>2014A</t>
  </si>
  <si>
    <t>Avg TV subs</t>
  </si>
  <si>
    <t>TV  ARPU</t>
  </si>
  <si>
    <t>TV ARPU chg, YoY</t>
  </si>
  <si>
    <t>a. Broadband revenues</t>
  </si>
  <si>
    <t>b. TV Revenues</t>
  </si>
  <si>
    <t>Broadband ARPU</t>
  </si>
  <si>
    <t>Broadband ARPU chg, YoY</t>
  </si>
  <si>
    <t>Euros</t>
  </si>
  <si>
    <t>Per DT share</t>
  </si>
  <si>
    <t>DT stake</t>
  </si>
  <si>
    <t>US Bull / Bear</t>
  </si>
  <si>
    <t>Per  DT share</t>
  </si>
  <si>
    <t>BULL</t>
  </si>
  <si>
    <t>BASE</t>
  </si>
  <si>
    <t>BEAR</t>
  </si>
  <si>
    <t>US</t>
  </si>
  <si>
    <t>New EV</t>
  </si>
  <si>
    <t>Prop EBITDA</t>
  </si>
  <si>
    <t>Contingent Liabilities</t>
  </si>
  <si>
    <t>Less: US mty</t>
  </si>
  <si>
    <t>Add: UK 50pc</t>
  </si>
  <si>
    <t>Adjusted</t>
  </si>
  <si>
    <t>Start  EV</t>
  </si>
  <si>
    <t>EV/ Prop EBITDA</t>
  </si>
  <si>
    <t>UK - BT stake</t>
  </si>
  <si>
    <t>2015A</t>
  </si>
  <si>
    <t>Dividends from BT</t>
  </si>
  <si>
    <t>Average</t>
  </si>
  <si>
    <t>Cash interest</t>
  </si>
  <si>
    <t>Q1 15</t>
  </si>
  <si>
    <t>Q2 15</t>
  </si>
  <si>
    <t>Q3 15</t>
  </si>
  <si>
    <t>Q4 15</t>
  </si>
  <si>
    <t>EV / 18e EBITDA</t>
  </si>
  <si>
    <t>EV / 18e OpFCF</t>
  </si>
  <si>
    <t>EV / 18e FCF</t>
  </si>
  <si>
    <t>18e EBITDA</t>
  </si>
  <si>
    <t>European Telecommunication Services Team</t>
  </si>
  <si>
    <t>Emmet Kelly</t>
  </si>
  <si>
    <t>Ricard Boada</t>
  </si>
  <si>
    <t>Luis Prota</t>
  </si>
  <si>
    <t>Terence Tsui</t>
  </si>
  <si>
    <t>+44 207 425 6830</t>
  </si>
  <si>
    <t>+44 207 425-5413</t>
  </si>
  <si>
    <t>+34 91 418 1217</t>
  </si>
  <si>
    <t>+44 207 425-3095</t>
  </si>
  <si>
    <t>Emmet.Kelly@morganstanley.com</t>
  </si>
  <si>
    <t>Ricard.Boada@morganstanley.com</t>
  </si>
  <si>
    <t>Luis.Prota@morganstanley.com</t>
  </si>
  <si>
    <t>Terence.Tsui@morganstanley.com</t>
  </si>
  <si>
    <t>DT Trading Multiples</t>
  </si>
  <si>
    <t>DT Group Listed Assets</t>
  </si>
  <si>
    <t>Asset</t>
  </si>
  <si>
    <t>BT</t>
  </si>
  <si>
    <t>Share Price</t>
  </si>
  <si>
    <t>Deutsche Telekom (EUR)</t>
  </si>
  <si>
    <t>As of:</t>
  </si>
  <si>
    <t>T-Mobile USA (USD)</t>
  </si>
  <si>
    <t>BT Group (GBP)</t>
  </si>
  <si>
    <t>FX Rates</t>
  </si>
  <si>
    <t>USD / EUR</t>
  </si>
  <si>
    <t>GBP / EUR</t>
  </si>
  <si>
    <t>Deutsche Telekom Stub (ex TMUS, BT)</t>
  </si>
  <si>
    <t>EV Calculation</t>
  </si>
  <si>
    <t>DT Share Price (EUR)</t>
  </si>
  <si>
    <t>Add: DT Market Capitalization (EUR m)</t>
  </si>
  <si>
    <t>Number of Shares Outstanding (m)</t>
  </si>
  <si>
    <t>Less: TMUS stake at Market value (EUR m)</t>
  </si>
  <si>
    <t>Market Capitalisation (EUR m)</t>
  </si>
  <si>
    <t>Less: BT stake at Market value (EUR m)</t>
  </si>
  <si>
    <t>Add: Consolidated Net Debt / (Cash)</t>
  </si>
  <si>
    <t>Market Value (EUR m)</t>
  </si>
  <si>
    <t>Less: Minorities Share of Net Debt / (Cash)</t>
  </si>
  <si>
    <t>Add: Consolidated Net Debt (ex-TMUS)</t>
  </si>
  <si>
    <t>Add: Other adjustments</t>
  </si>
  <si>
    <t>Less: Minorities Share of Net Debt</t>
  </si>
  <si>
    <t>Proportionate Enterprise Value (EUR m)</t>
  </si>
  <si>
    <t>Trading Multiples</t>
  </si>
  <si>
    <t>Implied Multiples</t>
  </si>
  <si>
    <t>Equity Free Cash Flow Yield</t>
  </si>
  <si>
    <t>Proportionate items</t>
  </si>
  <si>
    <t>EBITDA (Adjusted)</t>
  </si>
  <si>
    <t>EFCF</t>
  </si>
  <si>
    <t>2016A</t>
  </si>
  <si>
    <t>Q1 16</t>
  </si>
  <si>
    <t>Q2 16</t>
  </si>
  <si>
    <t>Q3 16</t>
  </si>
  <si>
    <t>Q4 16</t>
  </si>
  <si>
    <t>P&amp;L interest</t>
  </si>
  <si>
    <t>2018-20</t>
  </si>
  <si>
    <t>EBITDA - excl US</t>
  </si>
  <si>
    <t>Capex - excl US</t>
  </si>
  <si>
    <t>OpFCF - excl US</t>
  </si>
  <si>
    <t>Interest - excl US</t>
  </si>
  <si>
    <t xml:space="preserve">P&amp;L Taxes </t>
  </si>
  <si>
    <t>US - P&amp;L Taxes</t>
  </si>
  <si>
    <t>P&amp;L Taxes - excl US</t>
  </si>
  <si>
    <t>Cash Taxes - excl US</t>
  </si>
  <si>
    <t>US - Cash Taxes</t>
  </si>
  <si>
    <t xml:space="preserve">Group - Cash Interest </t>
  </si>
  <si>
    <t>US - Cash Interest</t>
  </si>
  <si>
    <t>Group - Cash Taxes</t>
  </si>
  <si>
    <t xml:space="preserve">Blended </t>
  </si>
  <si>
    <t>US - cash paid to DT from TMUS</t>
  </si>
  <si>
    <t>Eur 17mn boost</t>
  </si>
  <si>
    <t>Legal chag in the NL, subsidised handset has to be consiered credit contract for custmer</t>
  </si>
  <si>
    <t>Pull-forward effect of EBITDA</t>
  </si>
  <si>
    <t>5pc underly9ing</t>
  </si>
  <si>
    <t>u/l was +5%</t>
  </si>
  <si>
    <t>25.5% U/L</t>
  </si>
  <si>
    <t>Group Development</t>
  </si>
  <si>
    <t>Change, YoY</t>
  </si>
  <si>
    <t>i. REVENUES</t>
  </si>
  <si>
    <t>ii. EBITDA</t>
  </si>
  <si>
    <t>iii. CAPEX</t>
  </si>
  <si>
    <t>GROUP DEVELOPMENT</t>
  </si>
  <si>
    <t>iv. OpFCF</t>
  </si>
  <si>
    <t>Other (largely German towers)</t>
  </si>
  <si>
    <t>Capex / Sales, %</t>
  </si>
  <si>
    <t>Towers / Group Development</t>
  </si>
  <si>
    <t>Towers</t>
  </si>
  <si>
    <t>u/l 1.7%</t>
  </si>
  <si>
    <t>Mkt Cap</t>
  </si>
  <si>
    <t>DPS yld</t>
  </si>
  <si>
    <t>Q1 17</t>
  </si>
  <si>
    <t>Q2 17</t>
  </si>
  <si>
    <t>Q3 17</t>
  </si>
  <si>
    <t>Q4 17</t>
  </si>
  <si>
    <t>DT</t>
  </si>
  <si>
    <t>Free Float</t>
  </si>
  <si>
    <t>Buyback</t>
  </si>
  <si>
    <t>Post</t>
  </si>
  <si>
    <t>Add: US convertible bond</t>
  </si>
  <si>
    <t>Consolidated Net Debt (Dec 2018)</t>
  </si>
  <si>
    <t>Dividends (pre-Dec 2018)</t>
  </si>
  <si>
    <t>2017A</t>
  </si>
  <si>
    <t>2022E</t>
  </si>
  <si>
    <t>2023E</t>
  </si>
  <si>
    <t>2024E</t>
  </si>
  <si>
    <t>2025E</t>
  </si>
  <si>
    <t>20.32305</t>
  </si>
  <si>
    <t>16.5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</si>
  <si>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</si>
  <si>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</si>
  <si>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</si>
  <si>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</si>
  <si>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20 Bank Street, Canary Wharf</t>
  </si>
  <si>
    <t>London E14 4AD</t>
  </si>
  <si>
    <t>United Kingdom</t>
  </si>
  <si>
    <t>Tel: +44 (0)20 7425 8000</t>
  </si>
  <si>
    <t>Authors: Emmet Kelly, Ricard Boada, Luis Prota, Terence Tsui</t>
  </si>
  <si>
    <t>Date: 06 Mar 2018</t>
  </si>
  <si>
    <t>Ticker: DTEGn.DE</t>
  </si>
  <si>
    <t>Stock Rating: Overweight</t>
  </si>
  <si>
    <t>Industry: Telecommunications Services</t>
  </si>
  <si>
    <t>Industry View: Attractive</t>
  </si>
  <si>
    <t>Price as of 06 Mar 2018: 13.06</t>
  </si>
  <si>
    <t>Target Price: 16.5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</si>
  <si>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</si>
  <si>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</si>
  <si>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</si>
  <si>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</si>
  <si>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Deutsche Telekom.</t>
  </si>
  <si>
    <t>STOCK RATINGS</t>
  </si>
  <si>
    <t>Global Stock Ratings Distribution</t>
  </si>
  <si>
    <t>(as of February 28,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</si>
  <si>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</si>
  <si>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</si>
  <si>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</si>
  <si>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</si>
  <si>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</si>
  <si>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</si>
  <si>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</si>
  <si>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</si>
  <si>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</si>
  <si>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</si>
  <si>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</si>
  <si>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</si>
  <si>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</si>
  <si>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</si>
  <si>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</si>
  <si>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</si>
  <si>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</si>
  <si>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</si>
  <si>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</si>
  <si>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</si>
  <si>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</si>
  <si>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</si>
  <si>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</si>
  <si>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</si>
  <si>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</si>
  <si>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</si>
  <si>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</si>
  <si>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</si>
  <si>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</si>
  <si>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</si>
  <si>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</si>
  <si>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</si>
  <si>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</si>
  <si>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</si>
  <si>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</si>
  <si>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</si>
  <si>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</si>
  <si>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</si>
  <si>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</si>
  <si>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</si>
  <si>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</si>
  <si>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</si>
  <si>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</si>
  <si>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</si>
  <si>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</si>
  <si>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</si>
  <si>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</si>
  <si>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</si>
  <si>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</si>
  <si>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</si>
  <si>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</si>
  <si>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</si>
  <si>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</si>
  <si>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</si>
  <si>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</si>
  <si>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</si>
  <si>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</si>
  <si>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</si>
  <si>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</si>
  <si>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</si>
  <si>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</si>
  <si>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</si>
  <si>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</si>
  <si>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</si>
  <si>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</si>
  <si>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</si>
  <si>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</si>
  <si>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</si>
  <si>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</si>
  <si>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</si>
  <si>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</si>
  <si>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</si>
  <si>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</si>
  <si>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</si>
  <si>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</si>
  <si>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</si>
  <si>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</si>
  <si>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</si>
  <si>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</si>
  <si>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</si>
  <si>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</si>
  <si>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</si>
  <si>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</si>
  <si>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</si>
  <si>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</si>
  <si>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</si>
  <si>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</si>
  <si>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</si>
  <si>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</si>
  <si>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</si>
  <si>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</si>
  <si>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</si>
  <si>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</si>
  <si>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</si>
  <si>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</si>
  <si>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</si>
  <si>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</si>
  <si>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</si>
  <si>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</si>
  <si>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</si>
  <si>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</si>
  <si>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</si>
  <si>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</si>
  <si>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</si>
  <si>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</si>
  <si>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</si>
  <si>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</si>
  <si>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</si>
  <si>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</si>
  <si>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</si>
  <si>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</si>
  <si>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</si>
  <si>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</si>
  <si>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</si>
  <si>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</si>
  <si>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</si>
  <si>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</si>
  <si>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</si>
  <si>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</si>
  <si>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</si>
  <si>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</si>
  <si>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</si>
  <si>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</si>
  <si>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</si>
  <si>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</si>
  <si>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</si>
  <si>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</si>
  <si>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</si>
  <si>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</si>
  <si>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</si>
  <si>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</si>
  <si>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</si>
  <si>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</si>
  <si>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</si>
  <si>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</si>
  <si>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</si>
  <si>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</si>
  <si>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</si>
  <si>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</si>
  <si>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</si>
  <si>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</si>
  <si>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</si>
  <si>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</si>
  <si>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</si>
  <si>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</si>
  <si>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</si>
  <si>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</si>
  <si>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</si>
  <si>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</si>
  <si>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</si>
  <si>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</si>
  <si>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</si>
  <si>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</si>
  <si>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</si>
  <si>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</si>
  <si>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</si>
  <si>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</si>
  <si>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</si>
  <si>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</si>
  <si>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</si>
  <si>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</si>
  <si>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</si>
  <si>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</si>
  <si>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</si>
  <si>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</si>
  <si>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</si>
  <si>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</si>
  <si>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</si>
  <si>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</si>
  <si>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</si>
  <si>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</si>
  <si>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</si>
  <si>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Deutsche Telekom.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</si>
  <si>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</si>
  <si>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</si>
  <si>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</si>
  <si>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</si>
  <si>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</si>
  <si>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</si>
  <si>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</si>
  <si>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</si>
  <si>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</si>
  <si>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</si>
  <si>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</si>
  <si>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</si>
  <si>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</si>
  <si>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</si>
  <si>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</si>
  <si>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</si>
  <si>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</si>
  <si>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</si>
  <si>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</si>
  <si>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</si>
  <si>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</si>
  <si>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</si>
  <si>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</si>
  <si>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</si>
  <si>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</si>
  <si>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</si>
  <si>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</si>
  <si>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</si>
  <si>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</si>
  <si>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</si>
  <si>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</si>
  <si>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</si>
  <si>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</si>
  <si>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</si>
  <si>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</si>
  <si>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</si>
  <si>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</si>
  <si>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</si>
  <si>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</si>
  <si>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</si>
  <si>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</si>
  <si>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</si>
  <si>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</si>
  <si>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</si>
  <si>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</si>
  <si>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</si>
  <si>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</si>
  <si>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</si>
  <si>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</si>
  <si>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</si>
  <si>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</si>
  <si>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</si>
  <si>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</si>
  <si>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</si>
  <si>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</si>
  <si>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</si>
  <si>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</si>
  <si>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</si>
  <si>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</si>
  <si>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</si>
  <si>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</si>
  <si>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</si>
  <si>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</si>
  <si>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</si>
  <si>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</si>
  <si>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</si>
  <si>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</si>
  <si>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</si>
  <si>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Deutsche Telekom.</t>
  </si>
  <si>
    <t>Within the last 12 months, Morgan Stanley has provided or is providing investment banking services to,</t>
  </si>
  <si>
    <t>or has an investment banking client relationship with, the following company: Deutsche Telekom.</t>
  </si>
  <si>
    <t>Within the last 12 months, Morgan Stanley has received compensation for products and services other than</t>
  </si>
  <si>
    <t>investment banking services from Deutsche Telekom.</t>
  </si>
  <si>
    <t>In the next 3 months, Morgan Stanley expects to receive or intends to seek compensation for investment</t>
  </si>
  <si>
    <t>banking services from Deutsche Telekom.</t>
  </si>
  <si>
    <t>Within the last 12 months, Morgan Stanley has received compensation for investment banking services from</t>
  </si>
  <si>
    <t>Deutsche Telekom.</t>
  </si>
  <si>
    <t>Within the last 12 months, Morgan Stanley managed or co-managed a public offering (or 144A offering) of</t>
  </si>
  <si>
    <t>securities of Deutsche Telekom.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</si>
  <si>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</si>
  <si>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</si>
  <si>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</si>
  <si>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</si>
  <si>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</si>
  <si>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Emmet B Kelly.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</si>
  <si>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</si>
  <si>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</si>
  <si>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</si>
  <si>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</si>
  <si>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</si>
  <si>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</si>
  <si>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</si>
  <si>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</si>
  <si>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</si>
  <si>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</si>
  <si>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Morgan Stanley &amp; Co. International plc, authorized by the Prudential Regulatory Authority and regulated</t>
  </si>
  <si>
    <t>by the Financial Conduct Authority and the Prudential Regulatory Authority, disseminates in the UK</t>
  </si>
  <si>
    <t>research that it has prepared, and approves solely for the purposes of section 21 of the Financial</t>
  </si>
  <si>
    <t>Services and Markets Act 2000, research which has been prepared by any of its affiliates. As used in</t>
  </si>
  <si>
    <t>this disclosure section, Morgan Stanley includes RMB Morgan Stanley Proprietary Limited, Morgan Stanley</t>
  </si>
  <si>
    <t>&amp; Co International plc and its affiliates.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</si>
  <si>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</si>
  <si>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</si>
  <si>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</si>
  <si>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</si>
  <si>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</si>
  <si>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</si>
  <si>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</si>
  <si>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</si>
  <si>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</si>
  <si>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</si>
  <si>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</si>
  <si>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</si>
  <si>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</si>
  <si>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</si>
  <si>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</si>
  <si>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</si>
  <si>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</si>
  <si>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</si>
  <si>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</si>
  <si>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</si>
  <si>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</si>
  <si>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</si>
  <si>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</si>
  <si>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</si>
  <si>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</si>
  <si>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</si>
  <si>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</si>
  <si>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</si>
  <si>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</si>
  <si>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</si>
  <si>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</si>
  <si>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</si>
  <si>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</si>
  <si>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</si>
  <si>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</si>
  <si>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</si>
  <si>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</si>
  <si>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</si>
  <si>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</si>
  <si>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</si>
  <si>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</si>
  <si>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</si>
  <si>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</si>
  <si>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</si>
  <si>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</si>
  <si>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</si>
  <si>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</si>
  <si>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</si>
  <si>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</si>
  <si>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</si>
  <si>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</si>
  <si>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</si>
  <si>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</si>
  <si>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Attractive</t>
  </si>
  <si>
    <t>Regular Update</t>
  </si>
  <si>
    <t>ricarb</t>
  </si>
  <si>
    <t>MSA61JPC, MSA66JJJ, MSA10795, MSA12482</t>
  </si>
  <si>
    <t>0D5557006</t>
  </si>
  <si>
    <t>L:\TELCO\MODELS\FIXED\WIP\Deutsche Telekom AG_wip.xlsm</t>
  </si>
  <si>
    <t>[BRO MSA]</t>
  </si>
  <si>
    <t>[PRODUCT MODEL]</t>
  </si>
  <si>
    <t>[EMAIL_ALERT YES]</t>
  </si>
  <si>
    <t>[DISCIPLINE Company]</t>
  </si>
  <si>
    <t>[SUPPRESSED NO]</t>
  </si>
  <si>
    <t>[DOCDAT 2018-03-06]</t>
  </si>
  <si>
    <t>[DOCTIME 01:52]</t>
  </si>
  <si>
    <t>[PSYM DTEGn.DE(S&amp;P) (None)]</t>
  </si>
  <si>
    <t>[COU 20]</t>
  </si>
  <si>
    <t>[ANA MSA66JJJ MSA10795 MSA12482]</t>
  </si>
  <si>
    <t>[HL DTEGn.DE Model]</t>
  </si>
  <si>
    <t>[IND ]</t>
  </si>
  <si>
    <t>[PANA MSA61JPC]</t>
  </si>
  <si>
    <r>
      <t xml:space="preserve">This workbook contains formulas which </t>
    </r>
    <r>
      <rPr>
        <u/>
        <sz val="14"/>
        <rFont val="Arial"/>
        <family val="2"/>
      </rPr>
      <t>intentionally</t>
    </r>
    <r>
      <rPr>
        <sz val="14"/>
        <rFont val="Arial"/>
        <family val="2"/>
      </rPr>
      <t xml:space="preserve"> use circular reference calculation. These calculations can be resolved as intended by the originating analyst by selecting the Apply Circular Settings button below.</t>
    </r>
  </si>
  <si>
    <r>
      <t xml:space="preserve">This workbook contains formulas which </t>
    </r>
    <r>
      <rPr>
        <u/>
        <sz val="14"/>
        <rFont val="Arial"/>
        <family val="2"/>
      </rPr>
      <t>intentionally</t>
    </r>
    <r>
      <rPr>
        <sz val="14"/>
        <rFont val="Arial"/>
        <family val="2"/>
      </rPr>
      <t xml:space="preserve"> use circular reference calculation. These calculations can be resolved as intended by the originating analyst by applying the following settings in the Tools &gt;&gt; Options &gt;&gt; Calculation dialog box:</t>
    </r>
  </si>
  <si>
    <t>Clicking the Apply Circular Settings button will display the model worksheets and make the following settings changes in the Tools &gt;&gt; Options &gt;&gt; Calculation dialog box:</t>
  </si>
  <si>
    <t>1) Select the Iteration check box</t>
  </si>
  <si>
    <t>Failure to apply these settings can result in incorrect calculation or unexpected termination of your Microsoft Excel session.</t>
  </si>
  <si>
    <t>2) Set Maximum Iterations = 100</t>
  </si>
  <si>
    <t>3) Set Maximum Change = 0.001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</si>
</sst>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64" formatCode="_(&quot;£&quot;* #,##0.00_);_(&quot;£&quot;* \(#,##0.00\);_(&quot;£&quot;* &quot;-&quot;??_);_(@_)"/>
    <numFmt numFmtId="165" formatCode="0.0%"/>
    <numFmt numFmtId="166" formatCode="0.000"/>
    <numFmt numFmtId="167" formatCode="0.0"/>
    <numFmt numFmtId="168" formatCode="0.00000"/>
    <numFmt numFmtId="169" formatCode="#,##0.0"/>
    <numFmt numFmtId="170" formatCode="#,##0_);\(#,##0\);\-\-_)"/>
    <numFmt numFmtId="171" formatCode="##,#0_)\,\(#,##0\);\-\-_)"/>
    <numFmt numFmtId="172" formatCode="#,##0.00_);\(#,##0.00\);\-\-"/>
    <numFmt numFmtId="173" formatCode="#,##0_);\(#,##0\);\-\-"/>
    <numFmt numFmtId="174" formatCode="0.0%_);\(0.0%\);\-\-_)"/>
    <numFmt numFmtId="175" formatCode="#,##0.00_);\(#,##0.00\);\-\-_)"/>
    <numFmt numFmtId="176" formatCode="###0\ &quot;E&quot;_);\(#,##0\);\-\-_)"/>
    <numFmt numFmtId="177" formatCode="0.0\x_);&quot;nm&quot;;&quot;nm&quot;"/>
    <numFmt numFmtId="178" formatCode="0.0\x_);\(0.0\x\)"/>
    <numFmt numFmtId="179" formatCode="0.000000000000"/>
    <numFmt numFmtId="180" formatCode="#,##0.0000000000000000"/>
    <numFmt numFmtId="181" formatCode="mm/dd/yy\ hh:mm"/>
  </numFmts>
  <fonts count="67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sz val="11"/>
      <name val="Trebuchet MS"/>
      <family val="2"/>
    </font>
    <font>
      <sz val="11"/>
      <name val="Trebuchet MS"/>
      <family val="2"/>
    </font>
    <font>
      <b/>
      <u/>
      <sz val="10"/>
      <name val="Trebuchet MS"/>
      <family val="2"/>
    </font>
    <font>
      <i/>
      <sz val="10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i/>
      <sz val="10"/>
      <name val="Trebuchet MS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9"/>
      <name val="Times New Roman"/>
      <family val="1"/>
    </font>
    <font>
      <sz val="11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8"/>
      <color indexed="9"/>
      <name val="Arial"/>
      <family val="2"/>
    </font>
    <font>
      <sz val="14"/>
      <color rgb="FF222222"/>
      <name val="Arial"/>
      <family val="2"/>
    </font>
    <font>
      <b/>
      <sz val="8"/>
      <color theme="3"/>
      <name val="Arial"/>
      <family val="2"/>
    </font>
    <font>
      <b/>
      <i/>
      <sz val="10"/>
      <name val="Arial"/>
      <family val="2"/>
    </font>
    <font>
      <b/>
      <sz val="10"/>
      <color theme="0"/>
      <name val="Arial"/>
      <family val="2"/>
    </font>
    <font>
      <sz val="8"/>
      <color rgb="FF0000FF"/>
      <name val="Arial"/>
      <family val="2"/>
    </font>
    <font>
      <sz val="8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8"/>
      <color rgb="FF030CBD"/>
      <name val="Arial"/>
      <family val="2"/>
    </font>
    <font>
      <sz val="10"/>
      <color rgb="FF030CBD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rgb="FF030CBD"/>
      <name val="Calibri"/>
      <family val="2"/>
      <scheme val="minor"/>
    </font>
    <font>
      <sz val="8"/>
      <color rgb="FF00B050"/>
      <name val="Arial"/>
      <family val="2"/>
    </font>
    <font>
      <sz val="10"/>
      <color rgb="FF00B050"/>
      <name val="Calibri"/>
      <family val="2"/>
      <scheme val="minor"/>
    </font>
    <font>
      <sz val="10"/>
      <name val="Courier"/>
      <family val="3"/>
    </font>
    <font>
      <sz val="10"/>
      <color rgb="FF000000"/>
      <name val="Arial"/>
      <family val="2"/>
    </font>
    <font>
      <b/>
      <sz val="12"/>
      <color rgb="FF000080"/>
      <name val="Arial"/>
      <family val="2"/>
    </font>
    <font>
      <sz val="14"/>
      <name val="Arial"/>
      <family val="2"/>
    </font>
    <font>
      <u/>
      <sz val="14"/>
      <name val="Arial"/>
      <family val="2"/>
    </font>
    <font>
      <b/>
      <u/>
      <sz val="14"/>
      <color indexed="1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theme="3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</fills>
  <borders count="3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theme="3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76">
    <xf numFmtId="0" fontId="0" fillId="0" borderId="0"/>
    <xf numFmtId="164" fontId="2" fillId="0" borderId="0" applyFont="0" applyFill="0" applyBorder="0" applyAlignment="0" applyProtection="0"/>
    <xf numFmtId="0" fontId="8" fillId="0" borderId="0"/>
    <xf numFmtId="0" fontId="17" fillId="2" borderId="0" applyNumberFormat="0" applyBorder="0" applyAlignment="0" applyProtection="0"/>
    <xf numFmtId="0" fontId="17" fillId="3" borderId="0" applyNumberFormat="0" applyBorder="0" applyAlignment="0" applyProtection="0"/>
    <xf numFmtId="0" fontId="17" fillId="5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7" fillId="4" borderId="0" applyNumberFormat="0" applyBorder="0" applyAlignment="0" applyProtection="0"/>
    <xf numFmtId="0" fontId="17" fillId="9" borderId="0" applyNumberFormat="0" applyBorder="0" applyAlignment="0" applyProtection="0"/>
    <xf numFmtId="0" fontId="17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7" borderId="0" applyNumberFormat="0" applyBorder="0" applyAlignment="0" applyProtection="0"/>
    <xf numFmtId="0" fontId="17" fillId="9" borderId="0" applyNumberFormat="0" applyBorder="0" applyAlignment="0" applyProtection="0"/>
    <xf numFmtId="0" fontId="17" fillId="14" borderId="0" applyNumberFormat="0" applyBorder="0" applyAlignment="0" applyProtection="0"/>
    <xf numFmtId="0" fontId="18" fillId="15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7" borderId="0" applyNumberFormat="0" applyBorder="0" applyAlignment="0" applyProtection="0"/>
    <xf numFmtId="0" fontId="18" fillId="16" borderId="0" applyNumberFormat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17" borderId="0" applyNumberFormat="0" applyBorder="0" applyAlignment="0" applyProtection="0"/>
    <xf numFmtId="0" fontId="18" fillId="16" borderId="0" applyNumberFormat="0" applyBorder="0" applyAlignment="0" applyProtection="0"/>
    <xf numFmtId="0" fontId="18" fillId="22" borderId="0" applyNumberFormat="0" applyBorder="0" applyAlignment="0" applyProtection="0"/>
    <xf numFmtId="0" fontId="19" fillId="3" borderId="0" applyNumberFormat="0" applyBorder="0" applyAlignment="0" applyProtection="0"/>
    <xf numFmtId="0" fontId="20" fillId="10" borderId="1" applyNumberFormat="0" applyAlignment="0" applyProtection="0"/>
    <xf numFmtId="0" fontId="21" fillId="23" borderId="2" applyNumberFormat="0" applyAlignment="0" applyProtection="0"/>
    <xf numFmtId="0" fontId="22" fillId="0" borderId="0" applyNumberFormat="0" applyFill="0" applyBorder="0" applyAlignment="0" applyProtection="0"/>
    <xf numFmtId="0" fontId="23" fillId="5" borderId="0" applyNumberFormat="0" applyBorder="0" applyAlignment="0" applyProtection="0"/>
    <xf numFmtId="0" fontId="24" fillId="0" borderId="6" applyNumberFormat="0" applyFill="0" applyAlignment="0" applyProtection="0"/>
    <xf numFmtId="0" fontId="25" fillId="0" borderId="7" applyNumberFormat="0" applyFill="0" applyAlignment="0" applyProtection="0"/>
    <xf numFmtId="0" fontId="26" fillId="0" borderId="8" applyNumberFormat="0" applyFill="0" applyAlignment="0" applyProtection="0"/>
    <xf numFmtId="0" fontId="26" fillId="0" borderId="0" applyNumberFormat="0" applyFill="0" applyBorder="0" applyAlignment="0" applyProtection="0"/>
    <xf numFmtId="0" fontId="27" fillId="4" borderId="1" applyNumberFormat="0" applyAlignment="0" applyProtection="0"/>
    <xf numFmtId="0" fontId="28" fillId="0" borderId="10" applyNumberFormat="0" applyFill="0" applyAlignment="0" applyProtection="0"/>
    <xf numFmtId="0" fontId="29" fillId="13" borderId="0" applyNumberFormat="0" applyBorder="0" applyAlignment="0" applyProtection="0"/>
    <xf numFmtId="0" fontId="8" fillId="0" borderId="0"/>
    <xf numFmtId="0" fontId="17" fillId="6" borderId="11" applyNumberFormat="0" applyFont="0" applyAlignment="0" applyProtection="0"/>
    <xf numFmtId="0" fontId="30" fillId="10" borderId="12" applyNumberFormat="0" applyAlignment="0" applyProtection="0"/>
    <xf numFmtId="9" fontId="2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15" applyNumberFormat="0" applyFill="0" applyAlignment="0" applyProtection="0"/>
    <xf numFmtId="0" fontId="33" fillId="0" borderId="0" applyNumberFormat="0" applyFill="0" applyBorder="0" applyAlignment="0" applyProtection="0"/>
    <xf numFmtId="0" fontId="2" fillId="24" borderId="0" applyNumberFormat="0" applyFont="0" applyBorder="0" applyAlignment="0" applyProtection="0"/>
    <xf numFmtId="0" fontId="36" fillId="0" borderId="0"/>
    <xf numFmtId="0" fontId="37" fillId="0" borderId="0"/>
    <xf numFmtId="0" fontId="37" fillId="0" borderId="0"/>
    <xf numFmtId="0" fontId="38" fillId="0" borderId="0"/>
    <xf numFmtId="0" fontId="34" fillId="0" borderId="0">
      <alignment vertical="center"/>
    </xf>
    <xf numFmtId="0" fontId="39" fillId="0" borderId="0"/>
    <xf numFmtId="0" fontId="39" fillId="0" borderId="26">
      <alignment horizontal="centerContinuous"/>
    </xf>
    <xf numFmtId="0" fontId="40" fillId="0" borderId="26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70" fontId="48" fillId="0" borderId="27" applyAlignment="0" applyProtection="0"/>
    <xf numFmtId="171" fontId="41" fillId="0" borderId="0" applyFont="0" applyFill="0" applyBorder="0" applyAlignment="0" applyProtection="0">
      <alignment horizontal="center"/>
    </xf>
    <xf numFmtId="0" fontId="2" fillId="0" borderId="0"/>
    <xf numFmtId="0" fontId="2" fillId="0" borderId="0"/>
    <xf numFmtId="0" fontId="1" fillId="0" borderId="0"/>
    <xf numFmtId="172" fontId="51" fillId="29" borderId="0"/>
    <xf numFmtId="173" fontId="51" fillId="29" borderId="0" applyNumberFormat="0" applyBorder="0" applyAlignment="0" applyProtection="0"/>
    <xf numFmtId="172" fontId="52" fillId="32" borderId="0"/>
    <xf numFmtId="170" fontId="46" fillId="31" borderId="0" applyNumberFormat="0" applyAlignment="0" applyProtection="0"/>
    <xf numFmtId="173" fontId="55" fillId="0" borderId="0" applyNumberFormat="0" applyBorder="0" applyAlignment="0" applyProtection="0"/>
    <xf numFmtId="0" fontId="3" fillId="0" borderId="0"/>
    <xf numFmtId="173" fontId="59" fillId="0" borderId="0" applyNumberFormat="0" applyFill="0" applyBorder="0" applyAlignment="0" applyProtection="0"/>
    <xf numFmtId="177" fontId="1" fillId="32" borderId="0" applyFont="0" applyFill="0" applyBorder="0" applyAlignment="0" applyProtection="0">
      <alignment horizontal="center"/>
    </xf>
    <xf numFmtId="178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1" fillId="0" borderId="0"/>
  </cellStyleXfs>
  <cellXfs count="718">
    <xf numFmtId="0" fontId="0" fillId="0" borderId="0" xfId="0"/>
    <xf numFmtId="0" fontId="4" fillId="0" borderId="0" xfId="2" applyFont="1"/>
    <xf numFmtId="0" fontId="4" fillId="0" borderId="0" xfId="2" applyFont="1" applyAlignment="1">
      <alignment horizontal="center"/>
    </xf>
    <xf numFmtId="0" fontId="5" fillId="0" borderId="0" xfId="2" applyFont="1" applyAlignment="1">
      <alignment horizontal="center"/>
    </xf>
    <xf numFmtId="3" fontId="4" fillId="0" borderId="9" xfId="2" applyNumberFormat="1" applyFont="1" applyBorder="1" applyAlignment="1">
      <alignment horizontal="center"/>
    </xf>
    <xf numFmtId="0" fontId="4" fillId="0" borderId="16" xfId="2" applyFont="1" applyBorder="1"/>
    <xf numFmtId="0" fontId="4" fillId="0" borderId="0" xfId="2" applyFont="1" applyBorder="1"/>
    <xf numFmtId="3" fontId="4" fillId="0" borderId="0" xfId="2" applyNumberFormat="1" applyFont="1" applyBorder="1" applyAlignment="1">
      <alignment horizontal="center"/>
    </xf>
    <xf numFmtId="0" fontId="4" fillId="0" borderId="0" xfId="2" applyFont="1" applyBorder="1" applyAlignment="1">
      <alignment horizontal="center"/>
    </xf>
    <xf numFmtId="165" fontId="4" fillId="0" borderId="0" xfId="42" applyNumberFormat="1" applyFont="1" applyBorder="1" applyAlignment="1">
      <alignment horizontal="center"/>
    </xf>
    <xf numFmtId="165" fontId="4" fillId="0" borderId="3" xfId="42" applyNumberFormat="1" applyFont="1" applyBorder="1" applyAlignment="1">
      <alignment horizontal="center"/>
    </xf>
    <xf numFmtId="0" fontId="4" fillId="0" borderId="0" xfId="2" applyFont="1" applyFill="1" applyAlignment="1">
      <alignment horizontal="center"/>
    </xf>
    <xf numFmtId="0" fontId="4" fillId="0" borderId="0" xfId="2" applyFont="1" applyFill="1" applyBorder="1" applyAlignment="1">
      <alignment horizontal="center"/>
    </xf>
    <xf numFmtId="0" fontId="5" fillId="0" borderId="0" xfId="2" applyFont="1"/>
    <xf numFmtId="3" fontId="5" fillId="0" borderId="9" xfId="2" applyNumberFormat="1" applyFont="1" applyBorder="1" applyAlignment="1">
      <alignment horizontal="center"/>
    </xf>
    <xf numFmtId="3" fontId="5" fillId="0" borderId="9" xfId="2" applyNumberFormat="1" applyFont="1" applyFill="1" applyBorder="1" applyAlignment="1">
      <alignment horizontal="center"/>
    </xf>
    <xf numFmtId="0" fontId="5" fillId="0" borderId="0" xfId="2" applyFont="1" applyBorder="1"/>
    <xf numFmtId="3" fontId="5" fillId="0" borderId="0" xfId="2" applyNumberFormat="1" applyFont="1" applyBorder="1" applyAlignment="1">
      <alignment horizontal="center"/>
    </xf>
    <xf numFmtId="3" fontId="5" fillId="0" borderId="0" xfId="2" applyNumberFormat="1" applyFont="1" applyFill="1" applyBorder="1" applyAlignment="1">
      <alignment horizontal="center"/>
    </xf>
    <xf numFmtId="167" fontId="5" fillId="0" borderId="9" xfId="2" applyNumberFormat="1" applyFont="1" applyBorder="1" applyAlignment="1">
      <alignment horizontal="center"/>
    </xf>
    <xf numFmtId="0" fontId="4" fillId="0" borderId="18" xfId="2" applyFont="1" applyFill="1" applyBorder="1" applyAlignment="1">
      <alignment horizontal="center"/>
    </xf>
    <xf numFmtId="165" fontId="4" fillId="0" borderId="4" xfId="42" applyNumberFormat="1" applyFont="1" applyFill="1" applyBorder="1" applyAlignment="1">
      <alignment horizontal="center"/>
    </xf>
    <xf numFmtId="3" fontId="5" fillId="0" borderId="17" xfId="2" applyNumberFormat="1" applyFont="1" applyFill="1" applyBorder="1" applyAlignment="1">
      <alignment horizontal="center"/>
    </xf>
    <xf numFmtId="0" fontId="5" fillId="0" borderId="0" xfId="2" applyFont="1" applyBorder="1" applyAlignment="1">
      <alignment horizontal="center"/>
    </xf>
    <xf numFmtId="165" fontId="5" fillId="0" borderId="9" xfId="42" applyNumberFormat="1" applyFont="1" applyBorder="1" applyAlignment="1">
      <alignment horizontal="center"/>
    </xf>
    <xf numFmtId="165" fontId="5" fillId="0" borderId="17" xfId="42" applyNumberFormat="1" applyFont="1" applyFill="1" applyBorder="1" applyAlignment="1">
      <alignment horizontal="center"/>
    </xf>
    <xf numFmtId="165" fontId="4" fillId="0" borderId="3" xfId="2" applyNumberFormat="1" applyFont="1" applyBorder="1" applyAlignment="1">
      <alignment horizontal="center"/>
    </xf>
    <xf numFmtId="165" fontId="4" fillId="0" borderId="4" xfId="2" applyNumberFormat="1" applyFont="1" applyBorder="1" applyAlignment="1">
      <alignment horizontal="center"/>
    </xf>
    <xf numFmtId="167" fontId="5" fillId="0" borderId="17" xfId="2" applyNumberFormat="1" applyFont="1" applyFill="1" applyBorder="1" applyAlignment="1">
      <alignment horizontal="center"/>
    </xf>
    <xf numFmtId="3" fontId="4" fillId="0" borderId="19" xfId="2" applyNumberFormat="1" applyFont="1" applyBorder="1" applyAlignment="1">
      <alignment horizontal="center"/>
    </xf>
    <xf numFmtId="3" fontId="4" fillId="0" borderId="20" xfId="2" applyNumberFormat="1" applyFont="1" applyBorder="1" applyAlignment="1">
      <alignment horizontal="center"/>
    </xf>
    <xf numFmtId="0" fontId="5" fillId="0" borderId="16" xfId="2" applyFont="1" applyBorder="1" applyAlignment="1">
      <alignment horizontal="center"/>
    </xf>
    <xf numFmtId="0" fontId="5" fillId="0" borderId="18" xfId="2" applyFont="1" applyBorder="1" applyAlignment="1">
      <alignment horizontal="center"/>
    </xf>
    <xf numFmtId="3" fontId="4" fillId="0" borderId="16" xfId="2" applyNumberFormat="1" applyFont="1" applyBorder="1" applyAlignment="1">
      <alignment horizontal="center"/>
    </xf>
    <xf numFmtId="3" fontId="4" fillId="0" borderId="18" xfId="2" applyNumberFormat="1" applyFont="1" applyBorder="1" applyAlignment="1">
      <alignment horizontal="center"/>
    </xf>
    <xf numFmtId="3" fontId="5" fillId="0" borderId="17" xfId="2" applyNumberFormat="1" applyFont="1" applyBorder="1" applyAlignment="1">
      <alignment horizontal="center"/>
    </xf>
    <xf numFmtId="165" fontId="4" fillId="0" borderId="0" xfId="42" applyNumberFormat="1" applyFont="1" applyAlignment="1">
      <alignment horizontal="center"/>
    </xf>
    <xf numFmtId="165" fontId="4" fillId="0" borderId="0" xfId="42" applyNumberFormat="1" applyFont="1" applyFill="1" applyBorder="1" applyAlignment="1">
      <alignment horizontal="center"/>
    </xf>
    <xf numFmtId="0" fontId="4" fillId="0" borderId="21" xfId="2" applyFont="1" applyBorder="1"/>
    <xf numFmtId="0" fontId="5" fillId="0" borderId="22" xfId="2" applyFont="1" applyBorder="1"/>
    <xf numFmtId="0" fontId="4" fillId="0" borderId="22" xfId="2" applyFont="1" applyBorder="1"/>
    <xf numFmtId="0" fontId="4" fillId="0" borderId="23" xfId="2" applyFont="1" applyBorder="1"/>
    <xf numFmtId="0" fontId="5" fillId="0" borderId="21" xfId="2" applyFont="1" applyBorder="1"/>
    <xf numFmtId="0" fontId="5" fillId="0" borderId="3" xfId="2" applyFont="1" applyBorder="1" applyAlignment="1">
      <alignment horizontal="center"/>
    </xf>
    <xf numFmtId="3" fontId="5" fillId="0" borderId="16" xfId="2" applyNumberFormat="1" applyFont="1" applyBorder="1" applyAlignment="1">
      <alignment horizontal="center"/>
    </xf>
    <xf numFmtId="167" fontId="5" fillId="0" borderId="20" xfId="2" applyNumberFormat="1" applyFont="1" applyBorder="1" applyAlignment="1">
      <alignment horizontal="center"/>
    </xf>
    <xf numFmtId="167" fontId="5" fillId="0" borderId="17" xfId="2" applyNumberFormat="1" applyFont="1" applyBorder="1" applyAlignment="1">
      <alignment horizontal="center"/>
    </xf>
    <xf numFmtId="0" fontId="4" fillId="0" borderId="16" xfId="2" applyFont="1" applyBorder="1" applyAlignment="1">
      <alignment horizontal="center"/>
    </xf>
    <xf numFmtId="0" fontId="4" fillId="0" borderId="18" xfId="2" applyFont="1" applyBorder="1" applyAlignment="1">
      <alignment horizontal="center"/>
    </xf>
    <xf numFmtId="3" fontId="5" fillId="0" borderId="20" xfId="2" applyNumberFormat="1" applyFont="1" applyBorder="1" applyAlignment="1">
      <alignment horizontal="center"/>
    </xf>
    <xf numFmtId="165" fontId="5" fillId="0" borderId="20" xfId="42" applyNumberFormat="1" applyFont="1" applyBorder="1" applyAlignment="1">
      <alignment horizontal="center"/>
    </xf>
    <xf numFmtId="0" fontId="5" fillId="0" borderId="19" xfId="2" applyFont="1" applyBorder="1" applyAlignment="1">
      <alignment horizontal="center"/>
    </xf>
    <xf numFmtId="165" fontId="4" fillId="0" borderId="19" xfId="42" applyNumberFormat="1" applyFont="1" applyBorder="1" applyAlignment="1">
      <alignment horizontal="center"/>
    </xf>
    <xf numFmtId="3" fontId="4" fillId="0" borderId="21" xfId="2" applyNumberFormat="1" applyFont="1" applyBorder="1" applyAlignment="1">
      <alignment horizontal="center"/>
    </xf>
    <xf numFmtId="3" fontId="5" fillId="0" borderId="22" xfId="2" applyNumberFormat="1" applyFont="1" applyBorder="1" applyAlignment="1">
      <alignment horizontal="center"/>
    </xf>
    <xf numFmtId="3" fontId="4" fillId="0" borderId="22" xfId="2" applyNumberFormat="1" applyFont="1" applyBorder="1" applyAlignment="1">
      <alignment horizontal="center"/>
    </xf>
    <xf numFmtId="3" fontId="4" fillId="0" borderId="23" xfId="2" applyNumberFormat="1" applyFont="1" applyBorder="1" applyAlignment="1">
      <alignment horizontal="center"/>
    </xf>
    <xf numFmtId="167" fontId="5" fillId="0" borderId="21" xfId="2" applyNumberFormat="1" applyFont="1" applyBorder="1" applyAlignment="1">
      <alignment horizontal="center"/>
    </xf>
    <xf numFmtId="0" fontId="4" fillId="0" borderId="22" xfId="2" applyFont="1" applyBorder="1" applyAlignment="1">
      <alignment horizontal="center"/>
    </xf>
    <xf numFmtId="3" fontId="5" fillId="0" borderId="21" xfId="2" applyNumberFormat="1" applyFont="1" applyBorder="1" applyAlignment="1">
      <alignment horizontal="center"/>
    </xf>
    <xf numFmtId="165" fontId="5" fillId="0" borderId="21" xfId="42" applyNumberFormat="1" applyFont="1" applyBorder="1" applyAlignment="1">
      <alignment horizontal="center"/>
    </xf>
    <xf numFmtId="165" fontId="4" fillId="0" borderId="23" xfId="42" applyNumberFormat="1" applyFont="1" applyBorder="1" applyAlignment="1">
      <alignment horizontal="center"/>
    </xf>
    <xf numFmtId="165" fontId="4" fillId="0" borderId="16" xfId="42" applyNumberFormat="1" applyFont="1" applyBorder="1" applyAlignment="1">
      <alignment horizontal="center"/>
    </xf>
    <xf numFmtId="165" fontId="4" fillId="0" borderId="19" xfId="2" applyNumberFormat="1" applyFont="1" applyBorder="1" applyAlignment="1">
      <alignment horizontal="center"/>
    </xf>
    <xf numFmtId="1" fontId="5" fillId="0" borderId="0" xfId="2" applyNumberFormat="1" applyFont="1" applyFill="1" applyBorder="1" applyAlignment="1">
      <alignment horizontal="center"/>
    </xf>
    <xf numFmtId="165" fontId="4" fillId="0" borderId="22" xfId="42" applyNumberFormat="1" applyFont="1" applyBorder="1" applyAlignment="1">
      <alignment horizontal="center"/>
    </xf>
    <xf numFmtId="165" fontId="4" fillId="0" borderId="22" xfId="42" applyNumberFormat="1" applyFont="1" applyFill="1" applyBorder="1" applyAlignment="1">
      <alignment horizontal="center"/>
    </xf>
    <xf numFmtId="165" fontId="4" fillId="0" borderId="21" xfId="42" applyNumberFormat="1" applyFont="1" applyBorder="1" applyAlignment="1">
      <alignment horizontal="center"/>
    </xf>
    <xf numFmtId="165" fontId="4" fillId="0" borderId="23" xfId="42" applyNumberFormat="1" applyFont="1" applyFill="1" applyBorder="1" applyAlignment="1">
      <alignment horizontal="center"/>
    </xf>
    <xf numFmtId="165" fontId="4" fillId="0" borderId="20" xfId="2" applyNumberFormat="1" applyFont="1" applyBorder="1" applyAlignment="1">
      <alignment horizontal="center"/>
    </xf>
    <xf numFmtId="165" fontId="4" fillId="0" borderId="9" xfId="2" applyNumberFormat="1" applyFont="1" applyBorder="1" applyAlignment="1">
      <alignment horizontal="center"/>
    </xf>
    <xf numFmtId="1" fontId="5" fillId="0" borderId="0" xfId="2" applyNumberFormat="1" applyFont="1" applyBorder="1" applyAlignment="1">
      <alignment horizontal="center"/>
    </xf>
    <xf numFmtId="1" fontId="5" fillId="0" borderId="20" xfId="2" applyNumberFormat="1" applyFont="1" applyBorder="1" applyAlignment="1">
      <alignment horizontal="center"/>
    </xf>
    <xf numFmtId="1" fontId="5" fillId="0" borderId="9" xfId="2" applyNumberFormat="1" applyFont="1" applyBorder="1" applyAlignment="1">
      <alignment horizontal="center"/>
    </xf>
    <xf numFmtId="3" fontId="5" fillId="0" borderId="23" xfId="2" applyNumberFormat="1" applyFont="1" applyBorder="1" applyAlignment="1">
      <alignment horizontal="center"/>
    </xf>
    <xf numFmtId="1" fontId="5" fillId="0" borderId="16" xfId="2" applyNumberFormat="1" applyFont="1" applyBorder="1" applyAlignment="1">
      <alignment horizontal="center"/>
    </xf>
    <xf numFmtId="0" fontId="5" fillId="0" borderId="23" xfId="2" applyFont="1" applyBorder="1"/>
    <xf numFmtId="3" fontId="5" fillId="0" borderId="19" xfId="2" applyNumberFormat="1" applyFont="1" applyBorder="1" applyAlignment="1">
      <alignment horizontal="center"/>
    </xf>
    <xf numFmtId="3" fontId="5" fillId="0" borderId="3" xfId="2" applyNumberFormat="1" applyFont="1" applyBorder="1" applyAlignment="1">
      <alignment horizontal="center"/>
    </xf>
    <xf numFmtId="167" fontId="5" fillId="0" borderId="0" xfId="2" applyNumberFormat="1" applyFont="1" applyBorder="1" applyAlignment="1">
      <alignment horizontal="center"/>
    </xf>
    <xf numFmtId="167" fontId="5" fillId="0" borderId="22" xfId="2" applyNumberFormat="1" applyFont="1" applyBorder="1" applyAlignment="1">
      <alignment horizontal="center"/>
    </xf>
    <xf numFmtId="167" fontId="5" fillId="0" borderId="16" xfId="2" applyNumberFormat="1" applyFont="1" applyBorder="1" applyAlignment="1">
      <alignment horizontal="center"/>
    </xf>
    <xf numFmtId="167" fontId="5" fillId="0" borderId="18" xfId="2" applyNumberFormat="1" applyFont="1" applyBorder="1" applyAlignment="1">
      <alignment horizontal="center"/>
    </xf>
    <xf numFmtId="165" fontId="4" fillId="0" borderId="4" xfId="42" applyNumberFormat="1" applyFont="1" applyBorder="1" applyAlignment="1">
      <alignment horizontal="center"/>
    </xf>
    <xf numFmtId="3" fontId="4" fillId="0" borderId="0" xfId="2" applyNumberFormat="1" applyFont="1" applyFill="1" applyAlignment="1">
      <alignment horizontal="center"/>
    </xf>
    <xf numFmtId="165" fontId="4" fillId="0" borderId="0" xfId="42" applyNumberFormat="1" applyFont="1" applyFill="1" applyAlignment="1">
      <alignment horizontal="center"/>
    </xf>
    <xf numFmtId="165" fontId="5" fillId="0" borderId="0" xfId="42" applyNumberFormat="1" applyFont="1" applyAlignment="1">
      <alignment horizontal="center"/>
    </xf>
    <xf numFmtId="1" fontId="5" fillId="0" borderId="18" xfId="2" applyNumberFormat="1" applyFont="1" applyBorder="1" applyAlignment="1">
      <alignment horizontal="center"/>
    </xf>
    <xf numFmtId="1" fontId="5" fillId="0" borderId="17" xfId="2" applyNumberFormat="1" applyFont="1" applyBorder="1" applyAlignment="1">
      <alignment horizontal="center"/>
    </xf>
    <xf numFmtId="165" fontId="5" fillId="0" borderId="17" xfId="42" applyNumberFormat="1" applyFont="1" applyBorder="1" applyAlignment="1">
      <alignment horizontal="center"/>
    </xf>
    <xf numFmtId="1" fontId="5" fillId="0" borderId="0" xfId="42" applyNumberFormat="1" applyFont="1" applyBorder="1" applyAlignment="1">
      <alignment horizontal="center"/>
    </xf>
    <xf numFmtId="3" fontId="4" fillId="0" borderId="0" xfId="42" applyNumberFormat="1" applyFont="1" applyBorder="1" applyAlignment="1">
      <alignment horizontal="center"/>
    </xf>
    <xf numFmtId="3" fontId="5" fillId="0" borderId="3" xfId="42" applyNumberFormat="1" applyFont="1" applyBorder="1" applyAlignment="1">
      <alignment horizontal="center"/>
    </xf>
    <xf numFmtId="1" fontId="5" fillId="0" borderId="21" xfId="2" applyNumberFormat="1" applyFont="1" applyBorder="1" applyAlignment="1">
      <alignment horizontal="center"/>
    </xf>
    <xf numFmtId="165" fontId="4" fillId="0" borderId="23" xfId="2" applyNumberFormat="1" applyFont="1" applyBorder="1" applyAlignment="1">
      <alignment horizontal="center"/>
    </xf>
    <xf numFmtId="0" fontId="5" fillId="0" borderId="4" xfId="2" applyFont="1" applyBorder="1" applyAlignment="1">
      <alignment horizontal="center"/>
    </xf>
    <xf numFmtId="1" fontId="5" fillId="0" borderId="22" xfId="2" applyNumberFormat="1" applyFont="1" applyBorder="1" applyAlignment="1">
      <alignment horizontal="center"/>
    </xf>
    <xf numFmtId="165" fontId="4" fillId="0" borderId="0" xfId="42" applyNumberFormat="1" applyFont="1"/>
    <xf numFmtId="3" fontId="4" fillId="0" borderId="0" xfId="2" applyNumberFormat="1" applyFont="1" applyAlignment="1">
      <alignment horizontal="center"/>
    </xf>
    <xf numFmtId="3" fontId="5" fillId="0" borderId="18" xfId="2" applyNumberFormat="1" applyFont="1" applyBorder="1" applyAlignment="1">
      <alignment horizontal="center"/>
    </xf>
    <xf numFmtId="165" fontId="4" fillId="0" borderId="18" xfId="42" applyNumberFormat="1" applyFont="1" applyBorder="1" applyAlignment="1">
      <alignment horizontal="center"/>
    </xf>
    <xf numFmtId="165" fontId="4" fillId="0" borderId="17" xfId="2" applyNumberFormat="1" applyFont="1" applyBorder="1" applyAlignment="1">
      <alignment horizontal="center"/>
    </xf>
    <xf numFmtId="3" fontId="5" fillId="0" borderId="4" xfId="2" applyNumberFormat="1" applyFont="1" applyBorder="1" applyAlignment="1">
      <alignment horizontal="center"/>
    </xf>
    <xf numFmtId="0" fontId="0" fillId="0" borderId="0" xfId="2" applyFont="1" applyAlignment="1">
      <alignment horizontal="center"/>
    </xf>
    <xf numFmtId="0" fontId="4" fillId="0" borderId="20" xfId="2" applyFont="1" applyBorder="1"/>
    <xf numFmtId="0" fontId="5" fillId="0" borderId="16" xfId="2" applyFont="1" applyBorder="1"/>
    <xf numFmtId="0" fontId="0" fillId="0" borderId="3" xfId="2" applyFont="1" applyBorder="1" applyAlignment="1">
      <alignment horizontal="center"/>
    </xf>
    <xf numFmtId="0" fontId="0" fillId="0" borderId="0" xfId="2" applyFont="1" applyBorder="1" applyAlignment="1">
      <alignment horizontal="center"/>
    </xf>
    <xf numFmtId="0" fontId="0" fillId="0" borderId="23" xfId="2" applyFont="1" applyBorder="1" applyAlignment="1">
      <alignment horizontal="center"/>
    </xf>
    <xf numFmtId="165" fontId="0" fillId="0" borderId="19" xfId="42" applyNumberFormat="1" applyFont="1" applyBorder="1" applyAlignment="1">
      <alignment horizontal="center"/>
    </xf>
    <xf numFmtId="165" fontId="0" fillId="0" borderId="3" xfId="42" applyNumberFormat="1" applyFont="1" applyBorder="1" applyAlignment="1">
      <alignment horizontal="center"/>
    </xf>
    <xf numFmtId="3" fontId="0" fillId="0" borderId="20" xfId="2" applyNumberFormat="1" applyFont="1" applyBorder="1" applyAlignment="1">
      <alignment horizontal="center"/>
    </xf>
    <xf numFmtId="3" fontId="0" fillId="0" borderId="9" xfId="2" applyNumberFormat="1" applyFont="1" applyBorder="1" applyAlignment="1">
      <alignment horizontal="center"/>
    </xf>
    <xf numFmtId="3" fontId="0" fillId="0" borderId="21" xfId="2" applyNumberFormat="1" applyFont="1" applyBorder="1" applyAlignment="1">
      <alignment horizontal="center"/>
    </xf>
    <xf numFmtId="3" fontId="0" fillId="0" borderId="0" xfId="2" applyNumberFormat="1" applyFont="1" applyAlignment="1">
      <alignment horizontal="center"/>
    </xf>
    <xf numFmtId="3" fontId="0" fillId="0" borderId="17" xfId="2" applyNumberFormat="1" applyFont="1" applyBorder="1" applyAlignment="1">
      <alignment horizontal="center"/>
    </xf>
    <xf numFmtId="3" fontId="0" fillId="0" borderId="16" xfId="2" applyNumberFormat="1" applyFont="1" applyBorder="1" applyAlignment="1">
      <alignment horizontal="center"/>
    </xf>
    <xf numFmtId="3" fontId="0" fillId="0" borderId="0" xfId="2" applyNumberFormat="1" applyFont="1" applyBorder="1" applyAlignment="1">
      <alignment horizontal="center"/>
    </xf>
    <xf numFmtId="3" fontId="0" fillId="0" borderId="22" xfId="2" applyNumberFormat="1" applyFont="1" applyBorder="1" applyAlignment="1">
      <alignment horizontal="center"/>
    </xf>
    <xf numFmtId="3" fontId="0" fillId="0" borderId="18" xfId="2" applyNumberFormat="1" applyFont="1" applyBorder="1" applyAlignment="1">
      <alignment horizontal="center"/>
    </xf>
    <xf numFmtId="165" fontId="0" fillId="0" borderId="4" xfId="42" applyNumberFormat="1" applyFont="1" applyBorder="1" applyAlignment="1">
      <alignment horizontal="center"/>
    </xf>
    <xf numFmtId="3" fontId="0" fillId="0" borderId="23" xfId="2" applyNumberFormat="1" applyFont="1" applyBorder="1" applyAlignment="1">
      <alignment horizontal="center"/>
    </xf>
    <xf numFmtId="165" fontId="0" fillId="0" borderId="23" xfId="42" applyNumberFormat="1" applyFont="1" applyBorder="1" applyAlignment="1">
      <alignment horizontal="center"/>
    </xf>
    <xf numFmtId="3" fontId="0" fillId="0" borderId="19" xfId="2" applyNumberFormat="1" applyFont="1" applyBorder="1" applyAlignment="1">
      <alignment horizontal="center"/>
    </xf>
    <xf numFmtId="3" fontId="0" fillId="0" borderId="3" xfId="2" applyNumberFormat="1" applyFont="1" applyBorder="1" applyAlignment="1">
      <alignment horizontal="center"/>
    </xf>
    <xf numFmtId="3" fontId="0" fillId="0" borderId="4" xfId="2" applyNumberFormat="1" applyFont="1" applyBorder="1" applyAlignment="1">
      <alignment horizontal="center"/>
    </xf>
    <xf numFmtId="0" fontId="6" fillId="0" borderId="20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7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9" xfId="2" applyFont="1" applyBorder="1" applyAlignment="1">
      <alignment horizontal="center"/>
    </xf>
    <xf numFmtId="0" fontId="6" fillId="0" borderId="3" xfId="2" applyFont="1" applyBorder="1" applyAlignment="1">
      <alignment horizontal="center"/>
    </xf>
    <xf numFmtId="0" fontId="6" fillId="0" borderId="4" xfId="2" applyFont="1" applyBorder="1" applyAlignment="1">
      <alignment horizontal="center"/>
    </xf>
    <xf numFmtId="165" fontId="0" fillId="0" borderId="0" xfId="42" applyNumberFormat="1" applyFont="1" applyBorder="1" applyAlignment="1">
      <alignment horizontal="center"/>
    </xf>
    <xf numFmtId="0" fontId="7" fillId="0" borderId="0" xfId="2" applyFont="1" applyAlignment="1">
      <alignment horizontal="center"/>
    </xf>
    <xf numFmtId="0" fontId="7" fillId="0" borderId="0" xfId="2" applyFont="1"/>
    <xf numFmtId="165" fontId="0" fillId="0" borderId="0" xfId="2" applyNumberFormat="1" applyFont="1" applyAlignment="1">
      <alignment horizontal="center"/>
    </xf>
    <xf numFmtId="0" fontId="7" fillId="0" borderId="21" xfId="2" applyFont="1" applyBorder="1" applyAlignment="1">
      <alignment horizontal="center"/>
    </xf>
    <xf numFmtId="0" fontId="0" fillId="0" borderId="22" xfId="2" applyFont="1" applyBorder="1" applyAlignment="1">
      <alignment horizontal="center"/>
    </xf>
    <xf numFmtId="0" fontId="5" fillId="0" borderId="20" xfId="2" applyFont="1" applyBorder="1"/>
    <xf numFmtId="0" fontId="4" fillId="0" borderId="19" xfId="2" applyFont="1" applyBorder="1"/>
    <xf numFmtId="167" fontId="7" fillId="0" borderId="20" xfId="2" applyNumberFormat="1" applyFont="1" applyBorder="1" applyAlignment="1">
      <alignment horizontal="center"/>
    </xf>
    <xf numFmtId="167" fontId="7" fillId="0" borderId="9" xfId="2" applyNumberFormat="1" applyFont="1" applyBorder="1" applyAlignment="1">
      <alignment horizontal="center"/>
    </xf>
    <xf numFmtId="167" fontId="7" fillId="0" borderId="17" xfId="2" applyNumberFormat="1" applyFont="1" applyBorder="1" applyAlignment="1">
      <alignment horizontal="center"/>
    </xf>
    <xf numFmtId="0" fontId="0" fillId="0" borderId="16" xfId="2" applyFont="1" applyBorder="1" applyAlignment="1">
      <alignment horizontal="center"/>
    </xf>
    <xf numFmtId="0" fontId="0" fillId="0" borderId="18" xfId="2" applyFont="1" applyBorder="1" applyAlignment="1">
      <alignment horizontal="center"/>
    </xf>
    <xf numFmtId="9" fontId="0" fillId="0" borderId="19" xfId="2" applyNumberFormat="1" applyFont="1" applyBorder="1" applyAlignment="1">
      <alignment horizontal="center"/>
    </xf>
    <xf numFmtId="9" fontId="0" fillId="0" borderId="3" xfId="2" applyNumberFormat="1" applyFont="1" applyBorder="1" applyAlignment="1">
      <alignment horizontal="center"/>
    </xf>
    <xf numFmtId="9" fontId="0" fillId="0" borderId="4" xfId="2" applyNumberFormat="1" applyFont="1" applyBorder="1" applyAlignment="1">
      <alignment horizontal="center"/>
    </xf>
    <xf numFmtId="167" fontId="7" fillId="0" borderId="21" xfId="2" applyNumberFormat="1" applyFont="1" applyBorder="1" applyAlignment="1">
      <alignment horizontal="center"/>
    </xf>
    <xf numFmtId="9" fontId="0" fillId="0" borderId="23" xfId="42" applyFont="1" applyBorder="1" applyAlignment="1">
      <alignment horizontal="center"/>
    </xf>
    <xf numFmtId="165" fontId="0" fillId="0" borderId="16" xfId="42" applyNumberFormat="1" applyFont="1" applyBorder="1" applyAlignment="1">
      <alignment horizontal="center"/>
    </xf>
    <xf numFmtId="165" fontId="0" fillId="0" borderId="18" xfId="42" applyNumberFormat="1" applyFont="1" applyBorder="1" applyAlignment="1">
      <alignment horizontal="center"/>
    </xf>
    <xf numFmtId="165" fontId="0" fillId="0" borderId="22" xfId="42" applyNumberFormat="1" applyFont="1" applyBorder="1" applyAlignment="1">
      <alignment horizontal="center"/>
    </xf>
    <xf numFmtId="0" fontId="0" fillId="0" borderId="4" xfId="2" applyFont="1" applyBorder="1" applyAlignment="1">
      <alignment horizontal="center"/>
    </xf>
    <xf numFmtId="0" fontId="0" fillId="0" borderId="19" xfId="2" applyFont="1" applyBorder="1" applyAlignment="1">
      <alignment horizontal="center"/>
    </xf>
    <xf numFmtId="3" fontId="7" fillId="0" borderId="16" xfId="2" applyNumberFormat="1" applyFont="1" applyBorder="1" applyAlignment="1">
      <alignment horizontal="center"/>
    </xf>
    <xf numFmtId="3" fontId="7" fillId="0" borderId="0" xfId="2" applyNumberFormat="1" applyFont="1" applyBorder="1" applyAlignment="1">
      <alignment horizontal="center"/>
    </xf>
    <xf numFmtId="3" fontId="7" fillId="0" borderId="18" xfId="2" applyNumberFormat="1" applyFont="1" applyBorder="1" applyAlignment="1">
      <alignment horizontal="center"/>
    </xf>
    <xf numFmtId="3" fontId="7" fillId="0" borderId="22" xfId="2" applyNumberFormat="1" applyFont="1" applyBorder="1" applyAlignment="1">
      <alignment horizontal="center"/>
    </xf>
    <xf numFmtId="3" fontId="7" fillId="0" borderId="0" xfId="2" applyNumberFormat="1" applyFont="1" applyAlignment="1">
      <alignment horizontal="center"/>
    </xf>
    <xf numFmtId="167" fontId="7" fillId="0" borderId="16" xfId="2" applyNumberFormat="1" applyFont="1" applyBorder="1" applyAlignment="1">
      <alignment horizontal="center"/>
    </xf>
    <xf numFmtId="167" fontId="7" fillId="0" borderId="0" xfId="2" applyNumberFormat="1" applyFont="1" applyBorder="1" applyAlignment="1">
      <alignment horizontal="center"/>
    </xf>
    <xf numFmtId="167" fontId="7" fillId="0" borderId="18" xfId="2" applyNumberFormat="1" applyFont="1" applyBorder="1" applyAlignment="1">
      <alignment horizontal="center"/>
    </xf>
    <xf numFmtId="167" fontId="7" fillId="0" borderId="22" xfId="2" applyNumberFormat="1" applyFont="1" applyBorder="1" applyAlignment="1">
      <alignment horizontal="center"/>
    </xf>
    <xf numFmtId="165" fontId="6" fillId="0" borderId="0" xfId="42" applyNumberFormat="1" applyFont="1" applyBorder="1" applyAlignment="1">
      <alignment horizontal="center"/>
    </xf>
    <xf numFmtId="0" fontId="6" fillId="0" borderId="0" xfId="2" applyFont="1" applyBorder="1" applyAlignment="1">
      <alignment horizontal="center"/>
    </xf>
    <xf numFmtId="0" fontId="6" fillId="0" borderId="21" xfId="2" applyFont="1" applyBorder="1" applyAlignment="1">
      <alignment horizontal="center"/>
    </xf>
    <xf numFmtId="9" fontId="0" fillId="0" borderId="19" xfId="42" applyNumberFormat="1" applyFont="1" applyBorder="1" applyAlignment="1">
      <alignment horizontal="center"/>
    </xf>
    <xf numFmtId="9" fontId="0" fillId="0" borderId="3" xfId="42" applyNumberFormat="1" applyFont="1" applyBorder="1" applyAlignment="1">
      <alignment horizontal="center"/>
    </xf>
    <xf numFmtId="9" fontId="0" fillId="0" borderId="4" xfId="42" applyNumberFormat="1" applyFont="1" applyBorder="1" applyAlignment="1">
      <alignment horizontal="center"/>
    </xf>
    <xf numFmtId="165" fontId="6" fillId="0" borderId="16" xfId="42" applyNumberFormat="1" applyFont="1" applyBorder="1" applyAlignment="1">
      <alignment horizontal="center"/>
    </xf>
    <xf numFmtId="165" fontId="6" fillId="0" borderId="18" xfId="42" applyNumberFormat="1" applyFont="1" applyBorder="1" applyAlignment="1">
      <alignment horizontal="center"/>
    </xf>
    <xf numFmtId="165" fontId="6" fillId="0" borderId="22" xfId="42" applyNumberFormat="1" applyFont="1" applyBorder="1" applyAlignment="1">
      <alignment horizontal="center"/>
    </xf>
    <xf numFmtId="165" fontId="0" fillId="0" borderId="19" xfId="2" applyNumberFormat="1" applyFont="1" applyBorder="1" applyAlignment="1">
      <alignment horizontal="center"/>
    </xf>
    <xf numFmtId="165" fontId="0" fillId="0" borderId="3" xfId="2" applyNumberFormat="1" applyFont="1" applyBorder="1" applyAlignment="1">
      <alignment horizontal="center"/>
    </xf>
    <xf numFmtId="165" fontId="0" fillId="0" borderId="4" xfId="2" applyNumberFormat="1" applyFont="1" applyBorder="1" applyAlignment="1">
      <alignment horizontal="center"/>
    </xf>
    <xf numFmtId="165" fontId="0" fillId="0" borderId="23" xfId="2" applyNumberFormat="1" applyFont="1" applyBorder="1" applyAlignment="1">
      <alignment horizontal="center"/>
    </xf>
    <xf numFmtId="0" fontId="7" fillId="0" borderId="20" xfId="2" applyFont="1" applyBorder="1" applyAlignment="1">
      <alignment horizontal="center"/>
    </xf>
    <xf numFmtId="0" fontId="7" fillId="0" borderId="9" xfId="2" applyFont="1" applyBorder="1" applyAlignment="1">
      <alignment horizontal="center"/>
    </xf>
    <xf numFmtId="0" fontId="7" fillId="0" borderId="17" xfId="2" applyFont="1" applyBorder="1" applyAlignment="1">
      <alignment horizontal="center"/>
    </xf>
    <xf numFmtId="3" fontId="7" fillId="0" borderId="20" xfId="2" applyNumberFormat="1" applyFont="1" applyBorder="1" applyAlignment="1">
      <alignment horizontal="center"/>
    </xf>
    <xf numFmtId="3" fontId="7" fillId="0" borderId="9" xfId="2" applyNumberFormat="1" applyFont="1" applyBorder="1" applyAlignment="1">
      <alignment horizontal="center"/>
    </xf>
    <xf numFmtId="3" fontId="7" fillId="0" borderId="17" xfId="2" applyNumberFormat="1" applyFont="1" applyBorder="1" applyAlignment="1">
      <alignment horizontal="center"/>
    </xf>
    <xf numFmtId="3" fontId="7" fillId="0" borderId="21" xfId="2" applyNumberFormat="1" applyFont="1" applyBorder="1" applyAlignment="1">
      <alignment horizontal="center"/>
    </xf>
    <xf numFmtId="165" fontId="0" fillId="0" borderId="20" xfId="2" applyNumberFormat="1" applyFont="1" applyBorder="1" applyAlignment="1">
      <alignment horizontal="center"/>
    </xf>
    <xf numFmtId="165" fontId="0" fillId="0" borderId="9" xfId="2" applyNumberFormat="1" applyFont="1" applyBorder="1" applyAlignment="1">
      <alignment horizontal="center"/>
    </xf>
    <xf numFmtId="165" fontId="0" fillId="0" borderId="17" xfId="2" applyNumberFormat="1" applyFont="1" applyBorder="1" applyAlignment="1">
      <alignment horizontal="center"/>
    </xf>
    <xf numFmtId="1" fontId="7" fillId="0" borderId="16" xfId="2" applyNumberFormat="1" applyFont="1" applyBorder="1" applyAlignment="1">
      <alignment horizontal="center"/>
    </xf>
    <xf numFmtId="1" fontId="7" fillId="0" borderId="0" xfId="2" applyNumberFormat="1" applyFont="1" applyBorder="1" applyAlignment="1">
      <alignment horizontal="center"/>
    </xf>
    <xf numFmtId="1" fontId="7" fillId="0" borderId="18" xfId="2" applyNumberFormat="1" applyFont="1" applyBorder="1" applyAlignment="1">
      <alignment horizontal="center"/>
    </xf>
    <xf numFmtId="165" fontId="0" fillId="0" borderId="21" xfId="42" applyNumberFormat="1" applyFont="1" applyBorder="1" applyAlignment="1">
      <alignment horizontal="center"/>
    </xf>
    <xf numFmtId="1" fontId="7" fillId="0" borderId="22" xfId="2" applyNumberFormat="1" applyFont="1" applyBorder="1" applyAlignment="1">
      <alignment horizontal="center"/>
    </xf>
    <xf numFmtId="1" fontId="6" fillId="0" borderId="16" xfId="2" applyNumberFormat="1" applyFont="1" applyBorder="1" applyAlignment="1">
      <alignment horizontal="center"/>
    </xf>
    <xf numFmtId="1" fontId="6" fillId="0" borderId="0" xfId="2" applyNumberFormat="1" applyFont="1" applyBorder="1" applyAlignment="1">
      <alignment horizontal="center"/>
    </xf>
    <xf numFmtId="1" fontId="6" fillId="0" borderId="18" xfId="2" applyNumberFormat="1" applyFont="1" applyBorder="1" applyAlignment="1">
      <alignment horizontal="center"/>
    </xf>
    <xf numFmtId="1" fontId="6" fillId="0" borderId="22" xfId="2" applyNumberFormat="1" applyFont="1" applyBorder="1" applyAlignment="1">
      <alignment horizontal="center"/>
    </xf>
    <xf numFmtId="3" fontId="6" fillId="0" borderId="0" xfId="2" applyNumberFormat="1" applyFont="1" applyAlignment="1">
      <alignment horizontal="center"/>
    </xf>
    <xf numFmtId="3" fontId="6" fillId="0" borderId="20" xfId="2" applyNumberFormat="1" applyFont="1" applyBorder="1" applyAlignment="1">
      <alignment horizontal="center"/>
    </xf>
    <xf numFmtId="3" fontId="6" fillId="0" borderId="9" xfId="2" applyNumberFormat="1" applyFont="1" applyBorder="1" applyAlignment="1">
      <alignment horizontal="center"/>
    </xf>
    <xf numFmtId="3" fontId="6" fillId="0" borderId="17" xfId="2" applyNumberFormat="1" applyFont="1" applyBorder="1" applyAlignment="1">
      <alignment horizontal="center"/>
    </xf>
    <xf numFmtId="3" fontId="6" fillId="0" borderId="21" xfId="2" applyNumberFormat="1" applyFont="1" applyBorder="1" applyAlignment="1">
      <alignment horizontal="center"/>
    </xf>
    <xf numFmtId="1" fontId="7" fillId="0" borderId="21" xfId="2" applyNumberFormat="1" applyFont="1" applyBorder="1" applyAlignment="1">
      <alignment horizontal="center"/>
    </xf>
    <xf numFmtId="3" fontId="6" fillId="0" borderId="16" xfId="2" applyNumberFormat="1" applyFont="1" applyBorder="1" applyAlignment="1">
      <alignment horizontal="center"/>
    </xf>
    <xf numFmtId="3" fontId="6" fillId="0" borderId="0" xfId="2" applyNumberFormat="1" applyFont="1" applyBorder="1" applyAlignment="1">
      <alignment horizontal="center"/>
    </xf>
    <xf numFmtId="3" fontId="6" fillId="0" borderId="18" xfId="2" applyNumberFormat="1" applyFont="1" applyBorder="1" applyAlignment="1">
      <alignment horizontal="center"/>
    </xf>
    <xf numFmtId="165" fontId="6" fillId="0" borderId="9" xfId="42" applyNumberFormat="1" applyFont="1" applyBorder="1" applyAlignment="1">
      <alignment horizontal="center"/>
    </xf>
    <xf numFmtId="165" fontId="6" fillId="0" borderId="17" xfId="42" applyNumberFormat="1" applyFont="1" applyBorder="1" applyAlignment="1">
      <alignment horizontal="center"/>
    </xf>
    <xf numFmtId="165" fontId="6" fillId="0" borderId="21" xfId="42" applyNumberFormat="1" applyFont="1" applyBorder="1" applyAlignment="1">
      <alignment horizontal="center"/>
    </xf>
    <xf numFmtId="165" fontId="6" fillId="0" borderId="20" xfId="42" applyNumberFormat="1" applyFont="1" applyBorder="1" applyAlignment="1">
      <alignment horizontal="center"/>
    </xf>
    <xf numFmtId="1" fontId="7" fillId="0" borderId="17" xfId="2" applyNumberFormat="1" applyFont="1" applyBorder="1" applyAlignment="1">
      <alignment horizontal="center"/>
    </xf>
    <xf numFmtId="1" fontId="7" fillId="0" borderId="20" xfId="2" applyNumberFormat="1" applyFont="1" applyBorder="1" applyAlignment="1">
      <alignment horizontal="center"/>
    </xf>
    <xf numFmtId="1" fontId="7" fillId="0" borderId="9" xfId="2" applyNumberFormat="1" applyFont="1" applyBorder="1" applyAlignment="1">
      <alignment horizontal="center"/>
    </xf>
    <xf numFmtId="3" fontId="6" fillId="0" borderId="22" xfId="2" applyNumberFormat="1" applyFont="1" applyBorder="1" applyAlignment="1">
      <alignment horizontal="center"/>
    </xf>
    <xf numFmtId="165" fontId="0" fillId="0" borderId="16" xfId="2" applyNumberFormat="1" applyFont="1" applyBorder="1" applyAlignment="1">
      <alignment horizontal="center"/>
    </xf>
    <xf numFmtId="165" fontId="0" fillId="0" borderId="0" xfId="2" applyNumberFormat="1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18" xfId="2" applyFont="1" applyBorder="1" applyAlignment="1">
      <alignment horizontal="center"/>
    </xf>
    <xf numFmtId="0" fontId="4" fillId="0" borderId="0" xfId="2" applyFont="1" applyFill="1" applyBorder="1"/>
    <xf numFmtId="0" fontId="4" fillId="0" borderId="22" xfId="2" applyFont="1" applyFill="1" applyBorder="1"/>
    <xf numFmtId="0" fontId="4" fillId="0" borderId="23" xfId="2" applyFont="1" applyFill="1" applyBorder="1"/>
    <xf numFmtId="0" fontId="0" fillId="0" borderId="20" xfId="2" applyFont="1" applyBorder="1" applyAlignment="1">
      <alignment horizontal="center"/>
    </xf>
    <xf numFmtId="0" fontId="0" fillId="0" borderId="9" xfId="2" applyFont="1" applyBorder="1" applyAlignment="1">
      <alignment horizontal="center"/>
    </xf>
    <xf numFmtId="0" fontId="0" fillId="0" borderId="17" xfId="2" applyFont="1" applyBorder="1" applyAlignment="1">
      <alignment horizontal="center"/>
    </xf>
    <xf numFmtId="0" fontId="0" fillId="0" borderId="21" xfId="2" applyFont="1" applyBorder="1" applyAlignment="1">
      <alignment horizontal="center"/>
    </xf>
    <xf numFmtId="0" fontId="0" fillId="0" borderId="21" xfId="2" applyFont="1" applyBorder="1"/>
    <xf numFmtId="0" fontId="6" fillId="0" borderId="0" xfId="2" applyFont="1"/>
    <xf numFmtId="165" fontId="0" fillId="0" borderId="0" xfId="42" applyNumberFormat="1" applyFont="1" applyAlignment="1">
      <alignment horizontal="center"/>
    </xf>
    <xf numFmtId="165" fontId="7" fillId="0" borderId="0" xfId="42" applyNumberFormat="1" applyFont="1" applyBorder="1" applyAlignment="1">
      <alignment horizontal="center"/>
    </xf>
    <xf numFmtId="0" fontId="8" fillId="0" borderId="0" xfId="2" applyFont="1" applyAlignment="1">
      <alignment horizontal="center"/>
    </xf>
    <xf numFmtId="167" fontId="0" fillId="0" borderId="0" xfId="2" applyNumberFormat="1" applyFont="1" applyAlignment="1">
      <alignment horizontal="center"/>
    </xf>
    <xf numFmtId="0" fontId="6" fillId="0" borderId="20" xfId="2" applyFont="1" applyBorder="1"/>
    <xf numFmtId="0" fontId="0" fillId="0" borderId="16" xfId="2" applyFont="1" applyBorder="1"/>
    <xf numFmtId="165" fontId="8" fillId="0" borderId="0" xfId="42" applyNumberFormat="1" applyFont="1" applyBorder="1" applyAlignment="1">
      <alignment horizontal="center"/>
    </xf>
    <xf numFmtId="165" fontId="8" fillId="0" borderId="18" xfId="42" applyNumberFormat="1" applyFont="1" applyBorder="1" applyAlignment="1">
      <alignment horizontal="center"/>
    </xf>
    <xf numFmtId="3" fontId="8" fillId="0" borderId="0" xfId="2" applyNumberFormat="1" applyFont="1" applyBorder="1" applyAlignment="1">
      <alignment horizontal="center"/>
    </xf>
    <xf numFmtId="3" fontId="8" fillId="0" borderId="18" xfId="2" applyNumberFormat="1" applyFont="1" applyBorder="1" applyAlignment="1">
      <alignment horizontal="center"/>
    </xf>
    <xf numFmtId="165" fontId="8" fillId="0" borderId="16" xfId="42" applyNumberFormat="1" applyFont="1" applyBorder="1" applyAlignment="1">
      <alignment horizontal="center"/>
    </xf>
    <xf numFmtId="3" fontId="8" fillId="0" borderId="16" xfId="2" applyNumberFormat="1" applyFont="1" applyBorder="1" applyAlignment="1">
      <alignment horizontal="center"/>
    </xf>
    <xf numFmtId="0" fontId="4" fillId="0" borderId="21" xfId="2" applyFont="1" applyFill="1" applyBorder="1"/>
    <xf numFmtId="10" fontId="4" fillId="0" borderId="17" xfId="42" applyNumberFormat="1" applyFont="1" applyBorder="1" applyAlignment="1">
      <alignment horizontal="center"/>
    </xf>
    <xf numFmtId="0" fontId="0" fillId="0" borderId="0" xfId="2" applyFont="1" applyBorder="1"/>
    <xf numFmtId="0" fontId="0" fillId="0" borderId="19" xfId="2" applyFont="1" applyBorder="1"/>
    <xf numFmtId="0" fontId="6" fillId="0" borderId="22" xfId="2" applyFont="1" applyBorder="1" applyAlignment="1">
      <alignment horizontal="center"/>
    </xf>
    <xf numFmtId="0" fontId="6" fillId="0" borderId="21" xfId="2" applyFont="1" applyBorder="1"/>
    <xf numFmtId="2" fontId="0" fillId="0" borderId="0" xfId="2" applyNumberFormat="1" applyFont="1" applyAlignment="1">
      <alignment horizontal="center"/>
    </xf>
    <xf numFmtId="1" fontId="0" fillId="0" borderId="0" xfId="2" applyNumberFormat="1" applyFont="1" applyAlignment="1">
      <alignment horizontal="center"/>
    </xf>
    <xf numFmtId="165" fontId="7" fillId="0" borderId="0" xfId="2" applyNumberFormat="1" applyFont="1"/>
    <xf numFmtId="10" fontId="0" fillId="0" borderId="20" xfId="2" applyNumberFormat="1" applyFont="1" applyBorder="1" applyAlignment="1">
      <alignment horizontal="center"/>
    </xf>
    <xf numFmtId="10" fontId="0" fillId="0" borderId="9" xfId="2" applyNumberFormat="1" applyFont="1" applyBorder="1" applyAlignment="1">
      <alignment horizontal="center"/>
    </xf>
    <xf numFmtId="10" fontId="0" fillId="0" borderId="17" xfId="2" applyNumberFormat="1" applyFont="1" applyBorder="1" applyAlignment="1">
      <alignment horizontal="center"/>
    </xf>
    <xf numFmtId="1" fontId="6" fillId="0" borderId="20" xfId="2" applyNumberFormat="1" applyFont="1" applyBorder="1" applyAlignment="1">
      <alignment horizontal="center"/>
    </xf>
    <xf numFmtId="1" fontId="6" fillId="0" borderId="9" xfId="2" applyNumberFormat="1" applyFont="1" applyBorder="1" applyAlignment="1">
      <alignment horizontal="center"/>
    </xf>
    <xf numFmtId="1" fontId="6" fillId="0" borderId="21" xfId="2" applyNumberFormat="1" applyFont="1" applyBorder="1" applyAlignment="1">
      <alignment horizontal="center"/>
    </xf>
    <xf numFmtId="1" fontId="0" fillId="0" borderId="0" xfId="2" applyNumberFormat="1" applyFont="1"/>
    <xf numFmtId="165" fontId="0" fillId="0" borderId="18" xfId="2" applyNumberFormat="1" applyFont="1" applyBorder="1" applyAlignment="1">
      <alignment horizontal="center"/>
    </xf>
    <xf numFmtId="10" fontId="0" fillId="0" borderId="19" xfId="42" applyNumberFormat="1" applyFont="1" applyBorder="1" applyAlignment="1">
      <alignment horizontal="center"/>
    </xf>
    <xf numFmtId="10" fontId="0" fillId="0" borderId="3" xfId="42" applyNumberFormat="1" applyFont="1" applyBorder="1" applyAlignment="1">
      <alignment horizontal="center"/>
    </xf>
    <xf numFmtId="1" fontId="6" fillId="0" borderId="17" xfId="2" applyNumberFormat="1" applyFont="1" applyBorder="1" applyAlignment="1">
      <alignment horizontal="center"/>
    </xf>
    <xf numFmtId="3" fontId="0" fillId="0" borderId="0" xfId="2" applyNumberFormat="1" applyFont="1"/>
    <xf numFmtId="0" fontId="7" fillId="0" borderId="0" xfId="2" applyFont="1" applyBorder="1"/>
    <xf numFmtId="10" fontId="0" fillId="0" borderId="21" xfId="42" applyNumberFormat="1" applyFont="1" applyBorder="1" applyAlignment="1">
      <alignment horizontal="center"/>
    </xf>
    <xf numFmtId="2" fontId="0" fillId="0" borderId="0" xfId="2" applyNumberFormat="1" applyFont="1" applyBorder="1" applyAlignment="1">
      <alignment horizontal="center"/>
    </xf>
    <xf numFmtId="167" fontId="0" fillId="0" borderId="0" xfId="2" applyNumberFormat="1" applyFont="1" applyBorder="1" applyAlignment="1">
      <alignment horizontal="center"/>
    </xf>
    <xf numFmtId="167" fontId="6" fillId="0" borderId="16" xfId="2" applyNumberFormat="1" applyFont="1" applyBorder="1" applyAlignment="1">
      <alignment horizontal="center"/>
    </xf>
    <xf numFmtId="167" fontId="6" fillId="0" borderId="0" xfId="2" applyNumberFormat="1" applyFont="1" applyBorder="1" applyAlignment="1">
      <alignment horizontal="center"/>
    </xf>
    <xf numFmtId="167" fontId="6" fillId="0" borderId="18" xfId="2" applyNumberFormat="1" applyFont="1" applyBorder="1" applyAlignment="1">
      <alignment horizontal="center"/>
    </xf>
    <xf numFmtId="167" fontId="6" fillId="0" borderId="22" xfId="2" applyNumberFormat="1" applyFont="1" applyBorder="1" applyAlignment="1">
      <alignment horizontal="center"/>
    </xf>
    <xf numFmtId="9" fontId="0" fillId="0" borderId="23" xfId="42" applyNumberFormat="1" applyFont="1" applyBorder="1" applyAlignment="1">
      <alignment horizontal="center"/>
    </xf>
    <xf numFmtId="167" fontId="6" fillId="0" borderId="20" xfId="2" applyNumberFormat="1" applyFont="1" applyBorder="1" applyAlignment="1">
      <alignment horizontal="center"/>
    </xf>
    <xf numFmtId="167" fontId="6" fillId="0" borderId="9" xfId="2" applyNumberFormat="1" applyFont="1" applyBorder="1" applyAlignment="1">
      <alignment horizontal="center"/>
    </xf>
    <xf numFmtId="167" fontId="6" fillId="0" borderId="17" xfId="2" applyNumberFormat="1" applyFont="1" applyBorder="1" applyAlignment="1">
      <alignment horizontal="center"/>
    </xf>
    <xf numFmtId="167" fontId="6" fillId="0" borderId="21" xfId="2" applyNumberFormat="1" applyFont="1" applyBorder="1" applyAlignment="1">
      <alignment horizontal="center"/>
    </xf>
    <xf numFmtId="0" fontId="6" fillId="0" borderId="0" xfId="2" applyFont="1" applyBorder="1"/>
    <xf numFmtId="0" fontId="0" fillId="0" borderId="23" xfId="2" applyFont="1" applyBorder="1"/>
    <xf numFmtId="0" fontId="6" fillId="0" borderId="23" xfId="2" applyFont="1" applyBorder="1" applyAlignment="1">
      <alignment horizontal="center"/>
    </xf>
    <xf numFmtId="0" fontId="0" fillId="26" borderId="0" xfId="2" applyFont="1" applyFill="1" applyBorder="1"/>
    <xf numFmtId="0" fontId="6" fillId="26" borderId="0" xfId="2" applyFont="1" applyFill="1" applyBorder="1" applyAlignment="1">
      <alignment horizontal="center"/>
    </xf>
    <xf numFmtId="0" fontId="0" fillId="26" borderId="0" xfId="2" applyFont="1" applyFill="1"/>
    <xf numFmtId="0" fontId="0" fillId="26" borderId="0" xfId="2" applyFont="1" applyFill="1" applyAlignment="1">
      <alignment horizontal="center"/>
    </xf>
    <xf numFmtId="0" fontId="0" fillId="26" borderId="0" xfId="2" applyFont="1" applyFill="1" applyBorder="1" applyAlignment="1">
      <alignment horizontal="center"/>
    </xf>
    <xf numFmtId="0" fontId="9" fillId="0" borderId="0" xfId="2" applyFont="1"/>
    <xf numFmtId="0" fontId="9" fillId="0" borderId="0" xfId="2" applyFont="1" applyBorder="1"/>
    <xf numFmtId="165" fontId="0" fillId="0" borderId="20" xfId="42" applyNumberFormat="1" applyFont="1" applyBorder="1" applyAlignment="1">
      <alignment horizontal="center"/>
    </xf>
    <xf numFmtId="165" fontId="0" fillId="0" borderId="9" xfId="42" applyNumberFormat="1" applyFont="1" applyBorder="1" applyAlignment="1">
      <alignment horizontal="center"/>
    </xf>
    <xf numFmtId="0" fontId="0" fillId="0" borderId="0" xfId="2" applyFont="1" applyFill="1"/>
    <xf numFmtId="0" fontId="0" fillId="0" borderId="0" xfId="2" applyFont="1" applyFill="1" applyAlignment="1">
      <alignment horizontal="center"/>
    </xf>
    <xf numFmtId="0" fontId="0" fillId="0" borderId="0" xfId="2" applyFont="1" applyFill="1" applyBorder="1" applyAlignment="1">
      <alignment horizontal="center"/>
    </xf>
    <xf numFmtId="0" fontId="0" fillId="0" borderId="0" xfId="2" applyFont="1" applyFill="1" applyBorder="1"/>
    <xf numFmtId="165" fontId="8" fillId="0" borderId="19" xfId="42" applyNumberFormat="1" applyFont="1" applyBorder="1" applyAlignment="1">
      <alignment horizontal="center"/>
    </xf>
    <xf numFmtId="165" fontId="8" fillId="0" borderId="19" xfId="2" applyNumberFormat="1" applyFont="1" applyBorder="1" applyAlignment="1">
      <alignment horizontal="center"/>
    </xf>
    <xf numFmtId="165" fontId="8" fillId="0" borderId="23" xfId="2" applyNumberFormat="1" applyFont="1" applyBorder="1" applyAlignment="1">
      <alignment horizontal="center"/>
    </xf>
    <xf numFmtId="165" fontId="8" fillId="0" borderId="3" xfId="2" applyNumberFormat="1" applyFont="1" applyBorder="1" applyAlignment="1">
      <alignment horizontal="center"/>
    </xf>
    <xf numFmtId="165" fontId="8" fillId="0" borderId="3" xfId="42" applyNumberFormat="1" applyFont="1" applyBorder="1" applyAlignment="1">
      <alignment horizontal="center"/>
    </xf>
    <xf numFmtId="165" fontId="8" fillId="0" borderId="4" xfId="42" applyNumberFormat="1" applyFont="1" applyBorder="1" applyAlignment="1">
      <alignment horizontal="center"/>
    </xf>
    <xf numFmtId="165" fontId="8" fillId="0" borderId="23" xfId="42" applyNumberFormat="1" applyFont="1" applyBorder="1" applyAlignment="1">
      <alignment horizontal="center"/>
    </xf>
    <xf numFmtId="165" fontId="7" fillId="0" borderId="16" xfId="42" applyNumberFormat="1" applyFont="1" applyBorder="1" applyAlignment="1">
      <alignment horizontal="center"/>
    </xf>
    <xf numFmtId="165" fontId="8" fillId="0" borderId="22" xfId="42" applyNumberFormat="1" applyFont="1" applyBorder="1" applyAlignment="1">
      <alignment horizontal="center"/>
    </xf>
    <xf numFmtId="165" fontId="7" fillId="0" borderId="22" xfId="42" applyNumberFormat="1" applyFont="1" applyBorder="1" applyAlignment="1">
      <alignment horizontal="center"/>
    </xf>
    <xf numFmtId="0" fontId="7" fillId="0" borderId="0" xfId="2" applyFont="1" applyBorder="1" applyAlignment="1">
      <alignment horizontal="center"/>
    </xf>
    <xf numFmtId="165" fontId="7" fillId="0" borderId="20" xfId="42" applyNumberFormat="1" applyFont="1" applyBorder="1" applyAlignment="1">
      <alignment horizontal="center"/>
    </xf>
    <xf numFmtId="165" fontId="7" fillId="0" borderId="9" xfId="42" applyNumberFormat="1" applyFont="1" applyBorder="1" applyAlignment="1">
      <alignment horizontal="center"/>
    </xf>
    <xf numFmtId="165" fontId="7" fillId="0" borderId="21" xfId="42" applyNumberFormat="1" applyFont="1" applyBorder="1" applyAlignment="1">
      <alignment horizontal="center"/>
    </xf>
    <xf numFmtId="165" fontId="7" fillId="0" borderId="17" xfId="42" applyNumberFormat="1" applyFont="1" applyBorder="1" applyAlignment="1">
      <alignment horizontal="center"/>
    </xf>
    <xf numFmtId="165" fontId="7" fillId="0" borderId="9" xfId="2" applyNumberFormat="1" applyFont="1" applyBorder="1" applyAlignment="1">
      <alignment horizontal="center"/>
    </xf>
    <xf numFmtId="165" fontId="7" fillId="0" borderId="17" xfId="2" applyNumberFormat="1" applyFont="1" applyBorder="1" applyAlignment="1">
      <alignment horizontal="center"/>
    </xf>
    <xf numFmtId="165" fontId="7" fillId="0" borderId="20" xfId="2" applyNumberFormat="1" applyFont="1" applyBorder="1" applyAlignment="1">
      <alignment horizontal="center"/>
    </xf>
    <xf numFmtId="0" fontId="7" fillId="0" borderId="16" xfId="2" applyFont="1" applyBorder="1" applyAlignment="1">
      <alignment horizontal="center"/>
    </xf>
    <xf numFmtId="0" fontId="7" fillId="0" borderId="22" xfId="2" applyFont="1" applyBorder="1" applyAlignment="1">
      <alignment horizontal="center"/>
    </xf>
    <xf numFmtId="165" fontId="7" fillId="0" borderId="0" xfId="2" applyNumberFormat="1" applyFont="1" applyBorder="1" applyAlignment="1">
      <alignment horizontal="center"/>
    </xf>
    <xf numFmtId="165" fontId="7" fillId="0" borderId="18" xfId="2" applyNumberFormat="1" applyFont="1" applyBorder="1" applyAlignment="1">
      <alignment horizontal="center"/>
    </xf>
    <xf numFmtId="165" fontId="7" fillId="0" borderId="16" xfId="2" applyNumberFormat="1" applyFont="1" applyBorder="1" applyAlignment="1">
      <alignment horizontal="center"/>
    </xf>
    <xf numFmtId="3" fontId="6" fillId="0" borderId="0" xfId="2" applyNumberFormat="1" applyFont="1" applyBorder="1"/>
    <xf numFmtId="3" fontId="0" fillId="0" borderId="0" xfId="2" applyNumberFormat="1" applyFont="1" applyBorder="1"/>
    <xf numFmtId="167" fontId="0" fillId="0" borderId="0" xfId="2" applyNumberFormat="1" applyFont="1" applyBorder="1"/>
    <xf numFmtId="9" fontId="0" fillId="0" borderId="0" xfId="2" applyNumberFormat="1" applyFont="1" applyAlignment="1">
      <alignment horizontal="center"/>
    </xf>
    <xf numFmtId="3" fontId="4" fillId="0" borderId="0" xfId="39" applyNumberFormat="1" applyFont="1" applyFill="1" applyBorder="1" applyAlignment="1">
      <alignment horizontal="center"/>
    </xf>
    <xf numFmtId="0" fontId="4" fillId="0" borderId="18" xfId="2" applyFont="1" applyBorder="1"/>
    <xf numFmtId="167" fontId="4" fillId="0" borderId="0" xfId="2" applyNumberFormat="1" applyFont="1" applyBorder="1" applyAlignment="1">
      <alignment horizontal="center"/>
    </xf>
    <xf numFmtId="167" fontId="4" fillId="0" borderId="18" xfId="2" applyNumberFormat="1" applyFont="1" applyBorder="1" applyAlignment="1">
      <alignment horizontal="center"/>
    </xf>
    <xf numFmtId="3" fontId="4" fillId="0" borderId="0" xfId="2" applyNumberFormat="1" applyFont="1" applyBorder="1"/>
    <xf numFmtId="0" fontId="10" fillId="0" borderId="19" xfId="2" applyFont="1" applyBorder="1"/>
    <xf numFmtId="3" fontId="4" fillId="0" borderId="0" xfId="2" applyNumberFormat="1" applyFont="1"/>
    <xf numFmtId="0" fontId="5" fillId="0" borderId="9" xfId="2" applyFont="1" applyBorder="1"/>
    <xf numFmtId="0" fontId="10" fillId="0" borderId="18" xfId="2" applyFont="1" applyBorder="1"/>
    <xf numFmtId="0" fontId="5" fillId="0" borderId="19" xfId="2" applyFont="1" applyBorder="1"/>
    <xf numFmtId="0" fontId="5" fillId="0" borderId="3" xfId="2" applyFont="1" applyBorder="1"/>
    <xf numFmtId="9" fontId="0" fillId="0" borderId="16" xfId="42" applyFont="1" applyBorder="1" applyAlignment="1">
      <alignment horizontal="center"/>
    </xf>
    <xf numFmtId="9" fontId="0" fillId="0" borderId="0" xfId="42" applyFont="1" applyBorder="1" applyAlignment="1">
      <alignment horizontal="center"/>
    </xf>
    <xf numFmtId="1" fontId="7" fillId="0" borderId="0" xfId="2" applyNumberFormat="1" applyFont="1" applyAlignment="1">
      <alignment horizontal="center"/>
    </xf>
    <xf numFmtId="169" fontId="7" fillId="0" borderId="20" xfId="2" applyNumberFormat="1" applyFont="1" applyBorder="1" applyAlignment="1">
      <alignment horizontal="center"/>
    </xf>
    <xf numFmtId="169" fontId="7" fillId="0" borderId="9" xfId="2" applyNumberFormat="1" applyFont="1" applyBorder="1" applyAlignment="1">
      <alignment horizontal="center"/>
    </xf>
    <xf numFmtId="169" fontId="7" fillId="0" borderId="21" xfId="2" applyNumberFormat="1" applyFont="1" applyBorder="1" applyAlignment="1">
      <alignment horizontal="center"/>
    </xf>
    <xf numFmtId="9" fontId="0" fillId="0" borderId="22" xfId="42" applyFont="1" applyBorder="1" applyAlignment="1">
      <alignment horizontal="center"/>
    </xf>
    <xf numFmtId="3" fontId="7" fillId="0" borderId="0" xfId="2" applyNumberFormat="1" applyFont="1"/>
    <xf numFmtId="0" fontId="5" fillId="0" borderId="21" xfId="2" applyFont="1" applyFill="1" applyBorder="1"/>
    <xf numFmtId="167" fontId="0" fillId="0" borderId="20" xfId="2" applyNumberFormat="1" applyFont="1" applyBorder="1" applyAlignment="1">
      <alignment horizontal="center"/>
    </xf>
    <xf numFmtId="167" fontId="0" fillId="0" borderId="9" xfId="2" applyNumberFormat="1" applyFont="1" applyBorder="1" applyAlignment="1">
      <alignment horizontal="center"/>
    </xf>
    <xf numFmtId="167" fontId="0" fillId="0" borderId="21" xfId="2" applyNumberFormat="1" applyFont="1" applyBorder="1" applyAlignment="1">
      <alignment horizontal="center"/>
    </xf>
    <xf numFmtId="1" fontId="0" fillId="0" borderId="20" xfId="2" applyNumberFormat="1" applyFont="1" applyBorder="1" applyAlignment="1">
      <alignment horizontal="center"/>
    </xf>
    <xf numFmtId="1" fontId="0" fillId="0" borderId="9" xfId="2" applyNumberFormat="1" applyFont="1" applyBorder="1" applyAlignment="1">
      <alignment horizontal="center"/>
    </xf>
    <xf numFmtId="1" fontId="0" fillId="0" borderId="21" xfId="2" applyNumberFormat="1" applyFont="1" applyBorder="1" applyAlignment="1">
      <alignment horizontal="center"/>
    </xf>
    <xf numFmtId="1" fontId="0" fillId="0" borderId="0" xfId="2" applyNumberFormat="1" applyFont="1" applyBorder="1"/>
    <xf numFmtId="1" fontId="7" fillId="0" borderId="0" xfId="2" applyNumberFormat="1" applyFont="1" applyBorder="1"/>
    <xf numFmtId="1" fontId="7" fillId="0" borderId="0" xfId="2" applyNumberFormat="1" applyFont="1"/>
    <xf numFmtId="165" fontId="0" fillId="0" borderId="0" xfId="2" applyNumberFormat="1" applyFont="1"/>
    <xf numFmtId="1" fontId="6" fillId="0" borderId="0" xfId="2" applyNumberFormat="1" applyFont="1"/>
    <xf numFmtId="165" fontId="6" fillId="0" borderId="9" xfId="2" applyNumberFormat="1" applyFont="1" applyBorder="1" applyAlignment="1">
      <alignment horizontal="center"/>
    </xf>
    <xf numFmtId="165" fontId="6" fillId="0" borderId="20" xfId="2" applyNumberFormat="1" applyFont="1" applyBorder="1" applyAlignment="1">
      <alignment horizontal="center"/>
    </xf>
    <xf numFmtId="165" fontId="6" fillId="0" borderId="0" xfId="2" applyNumberFormat="1" applyFont="1" applyBorder="1" applyAlignment="1">
      <alignment horizontal="center"/>
    </xf>
    <xf numFmtId="165" fontId="6" fillId="0" borderId="16" xfId="2" applyNumberFormat="1" applyFont="1" applyBorder="1" applyAlignment="1">
      <alignment horizontal="center"/>
    </xf>
    <xf numFmtId="0" fontId="12" fillId="0" borderId="0" xfId="2" applyFont="1"/>
    <xf numFmtId="3" fontId="5" fillId="0" borderId="0" xfId="2" applyNumberFormat="1" applyFont="1" applyAlignment="1">
      <alignment horizontal="center"/>
    </xf>
    <xf numFmtId="0" fontId="5" fillId="0" borderId="13" xfId="2" applyFont="1" applyBorder="1"/>
    <xf numFmtId="3" fontId="4" fillId="0" borderId="13" xfId="2" applyNumberFormat="1" applyFont="1" applyBorder="1" applyAlignment="1">
      <alignment horizontal="center"/>
    </xf>
    <xf numFmtId="0" fontId="4" fillId="0" borderId="13" xfId="2" applyFont="1" applyBorder="1" applyAlignment="1">
      <alignment horizontal="center"/>
    </xf>
    <xf numFmtId="1" fontId="4" fillId="0" borderId="0" xfId="2" applyNumberFormat="1" applyFont="1" applyAlignment="1">
      <alignment horizontal="center"/>
    </xf>
    <xf numFmtId="165" fontId="4" fillId="0" borderId="0" xfId="2" applyNumberFormat="1" applyFont="1" applyAlignment="1">
      <alignment horizontal="center"/>
    </xf>
    <xf numFmtId="0" fontId="8" fillId="0" borderId="0" xfId="2" applyFont="1" applyBorder="1" applyAlignment="1">
      <alignment horizontal="center"/>
    </xf>
    <xf numFmtId="165" fontId="8" fillId="0" borderId="4" xfId="2" applyNumberFormat="1" applyFont="1" applyBorder="1" applyAlignment="1">
      <alignment horizontal="center"/>
    </xf>
    <xf numFmtId="0" fontId="8" fillId="0" borderId="0" xfId="2" applyFont="1"/>
    <xf numFmtId="0" fontId="0" fillId="0" borderId="22" xfId="2" applyFont="1" applyBorder="1"/>
    <xf numFmtId="0" fontId="8" fillId="0" borderId="21" xfId="2" applyFont="1" applyBorder="1"/>
    <xf numFmtId="3" fontId="8" fillId="0" borderId="20" xfId="2" applyNumberFormat="1" applyFont="1" applyBorder="1" applyAlignment="1">
      <alignment horizontal="center"/>
    </xf>
    <xf numFmtId="3" fontId="8" fillId="0" borderId="9" xfId="2" applyNumberFormat="1" applyFont="1" applyBorder="1" applyAlignment="1">
      <alignment horizontal="center"/>
    </xf>
    <xf numFmtId="3" fontId="8" fillId="0" borderId="17" xfId="2" applyNumberFormat="1" applyFont="1" applyBorder="1" applyAlignment="1">
      <alignment horizontal="center"/>
    </xf>
    <xf numFmtId="3" fontId="7" fillId="0" borderId="19" xfId="2" applyNumberFormat="1" applyFont="1" applyBorder="1" applyAlignment="1">
      <alignment horizontal="center"/>
    </xf>
    <xf numFmtId="3" fontId="7" fillId="0" borderId="3" xfId="2" applyNumberFormat="1" applyFont="1" applyBorder="1" applyAlignment="1">
      <alignment horizontal="center"/>
    </xf>
    <xf numFmtId="3" fontId="7" fillId="0" borderId="4" xfId="2" applyNumberFormat="1" applyFont="1" applyBorder="1" applyAlignment="1">
      <alignment horizontal="center"/>
    </xf>
    <xf numFmtId="3" fontId="8" fillId="0" borderId="21" xfId="2" applyNumberFormat="1" applyFont="1" applyBorder="1" applyAlignment="1">
      <alignment horizontal="center"/>
    </xf>
    <xf numFmtId="3" fontId="7" fillId="0" borderId="23" xfId="2" applyNumberFormat="1" applyFont="1" applyBorder="1" applyAlignment="1">
      <alignment horizontal="center"/>
    </xf>
    <xf numFmtId="0" fontId="0" fillId="0" borderId="20" xfId="2" applyFont="1" applyBorder="1"/>
    <xf numFmtId="0" fontId="0" fillId="0" borderId="9" xfId="2" applyFont="1" applyBorder="1"/>
    <xf numFmtId="0" fontId="0" fillId="0" borderId="17" xfId="2" applyFont="1" applyBorder="1"/>
    <xf numFmtId="0" fontId="0" fillId="0" borderId="18" xfId="2" applyFont="1" applyFill="1" applyBorder="1" applyAlignment="1">
      <alignment horizontal="center"/>
    </xf>
    <xf numFmtId="0" fontId="8" fillId="0" borderId="18" xfId="2" applyFont="1" applyBorder="1" applyAlignment="1">
      <alignment horizontal="center"/>
    </xf>
    <xf numFmtId="10" fontId="0" fillId="0" borderId="18" xfId="2" applyNumberFormat="1" applyFont="1" applyBorder="1" applyAlignment="1">
      <alignment horizontal="center"/>
    </xf>
    <xf numFmtId="10" fontId="0" fillId="0" borderId="4" xfId="2" applyNumberFormat="1" applyFont="1" applyBorder="1" applyAlignment="1">
      <alignment horizontal="center"/>
    </xf>
    <xf numFmtId="10" fontId="0" fillId="0" borderId="22" xfId="2" applyNumberFormat="1" applyFont="1" applyBorder="1" applyAlignment="1">
      <alignment horizontal="center"/>
    </xf>
    <xf numFmtId="10" fontId="0" fillId="0" borderId="23" xfId="2" applyNumberFormat="1" applyFont="1" applyBorder="1" applyAlignment="1">
      <alignment horizontal="center"/>
    </xf>
    <xf numFmtId="1" fontId="6" fillId="0" borderId="0" xfId="2" applyNumberFormat="1" applyFont="1" applyAlignment="1">
      <alignment horizontal="center"/>
    </xf>
    <xf numFmtId="9" fontId="6" fillId="0" borderId="19" xfId="42" applyNumberFormat="1" applyFont="1" applyBorder="1" applyAlignment="1">
      <alignment horizontal="center"/>
    </xf>
    <xf numFmtId="9" fontId="6" fillId="0" borderId="3" xfId="42" applyNumberFormat="1" applyFont="1" applyBorder="1" applyAlignment="1">
      <alignment horizontal="center"/>
    </xf>
    <xf numFmtId="9" fontId="6" fillId="0" borderId="4" xfId="42" applyNumberFormat="1" applyFont="1" applyBorder="1" applyAlignment="1">
      <alignment horizontal="center"/>
    </xf>
    <xf numFmtId="9" fontId="6" fillId="0" borderId="0" xfId="2" applyNumberFormat="1" applyFont="1" applyAlignment="1">
      <alignment horizontal="center"/>
    </xf>
    <xf numFmtId="9" fontId="6" fillId="0" borderId="16" xfId="42" applyNumberFormat="1" applyFont="1" applyBorder="1" applyAlignment="1">
      <alignment horizontal="center"/>
    </xf>
    <xf numFmtId="9" fontId="6" fillId="0" borderId="0" xfId="42" applyNumberFormat="1" applyFont="1" applyBorder="1" applyAlignment="1">
      <alignment horizontal="center"/>
    </xf>
    <xf numFmtId="9" fontId="6" fillId="0" borderId="18" xfId="42" applyNumberFormat="1" applyFont="1" applyBorder="1" applyAlignment="1">
      <alignment horizontal="center"/>
    </xf>
    <xf numFmtId="0" fontId="6" fillId="0" borderId="22" xfId="2" applyFont="1" applyBorder="1"/>
    <xf numFmtId="0" fontId="6" fillId="0" borderId="23" xfId="2" applyFont="1" applyBorder="1"/>
    <xf numFmtId="165" fontId="6" fillId="0" borderId="0" xfId="42" applyNumberFormat="1" applyFont="1" applyAlignment="1">
      <alignment horizontal="center"/>
    </xf>
    <xf numFmtId="3" fontId="6" fillId="0" borderId="0" xfId="2" applyNumberFormat="1" applyFont="1"/>
    <xf numFmtId="0" fontId="4" fillId="0" borderId="0" xfId="2" applyFont="1" applyFill="1"/>
    <xf numFmtId="0" fontId="5" fillId="0" borderId="19" xfId="2" applyFont="1" applyFill="1" applyBorder="1" applyAlignment="1">
      <alignment horizontal="center"/>
    </xf>
    <xf numFmtId="0" fontId="5" fillId="0" borderId="3" xfId="2" applyFont="1" applyFill="1" applyBorder="1" applyAlignment="1">
      <alignment horizontal="center"/>
    </xf>
    <xf numFmtId="0" fontId="5" fillId="0" borderId="4" xfId="2" applyFont="1" applyFill="1" applyBorder="1" applyAlignment="1">
      <alignment horizontal="center"/>
    </xf>
    <xf numFmtId="0" fontId="5" fillId="0" borderId="24" xfId="2" applyFont="1" applyFill="1" applyBorder="1" applyAlignment="1">
      <alignment horizontal="center"/>
    </xf>
    <xf numFmtId="0" fontId="4" fillId="25" borderId="0" xfId="2" applyFont="1" applyFill="1"/>
    <xf numFmtId="0" fontId="4" fillId="25" borderId="0" xfId="2" applyFont="1" applyFill="1" applyAlignment="1">
      <alignment horizontal="center"/>
    </xf>
    <xf numFmtId="9" fontId="4" fillId="0" borderId="0" xfId="2" applyNumberFormat="1" applyFont="1" applyAlignment="1">
      <alignment horizontal="center"/>
    </xf>
    <xf numFmtId="167" fontId="4" fillId="0" borderId="0" xfId="2" applyNumberFormat="1" applyFont="1" applyAlignment="1">
      <alignment horizontal="center"/>
    </xf>
    <xf numFmtId="0" fontId="4" fillId="26" borderId="0" xfId="2" applyFont="1" applyFill="1"/>
    <xf numFmtId="0" fontId="5" fillId="26" borderId="0" xfId="2" applyFont="1" applyFill="1"/>
    <xf numFmtId="0" fontId="4" fillId="26" borderId="0" xfId="2" applyFont="1" applyFill="1" applyAlignment="1">
      <alignment horizontal="center"/>
    </xf>
    <xf numFmtId="2" fontId="4" fillId="0" borderId="0" xfId="2" applyNumberFormat="1" applyFont="1" applyAlignment="1">
      <alignment horizontal="center"/>
    </xf>
    <xf numFmtId="167" fontId="4" fillId="26" borderId="0" xfId="2" applyNumberFormat="1" applyFont="1" applyFill="1" applyAlignment="1">
      <alignment horizontal="center"/>
    </xf>
    <xf numFmtId="3" fontId="4" fillId="26" borderId="0" xfId="2" applyNumberFormat="1" applyFont="1" applyFill="1" applyAlignment="1">
      <alignment horizontal="center"/>
    </xf>
    <xf numFmtId="3" fontId="5" fillId="0" borderId="13" xfId="2" applyNumberFormat="1" applyFont="1" applyBorder="1" applyAlignment="1">
      <alignment horizontal="center"/>
    </xf>
    <xf numFmtId="0" fontId="5" fillId="0" borderId="13" xfId="2" applyFont="1" applyBorder="1" applyAlignment="1">
      <alignment horizontal="center"/>
    </xf>
    <xf numFmtId="165" fontId="8" fillId="0" borderId="0" xfId="2" applyNumberFormat="1" applyFont="1" applyBorder="1" applyAlignment="1">
      <alignment horizontal="center"/>
    </xf>
    <xf numFmtId="165" fontId="8" fillId="0" borderId="16" xfId="2" applyNumberFormat="1" applyFont="1" applyBorder="1" applyAlignment="1">
      <alignment horizontal="center"/>
    </xf>
    <xf numFmtId="9" fontId="6" fillId="0" borderId="0" xfId="2" applyNumberFormat="1" applyFont="1" applyBorder="1" applyAlignment="1">
      <alignment horizontal="center"/>
    </xf>
    <xf numFmtId="2" fontId="5" fillId="0" borderId="0" xfId="2" applyNumberFormat="1" applyFont="1" applyAlignment="1">
      <alignment horizontal="center"/>
    </xf>
    <xf numFmtId="0" fontId="0" fillId="0" borderId="13" xfId="2" applyFont="1" applyBorder="1"/>
    <xf numFmtId="0" fontId="6" fillId="0" borderId="13" xfId="2" applyFont="1" applyBorder="1"/>
    <xf numFmtId="3" fontId="6" fillId="0" borderId="13" xfId="2" applyNumberFormat="1" applyFont="1" applyBorder="1" applyAlignment="1">
      <alignment horizontal="center"/>
    </xf>
    <xf numFmtId="3" fontId="8" fillId="0" borderId="0" xfId="2" applyNumberFormat="1" applyFont="1" applyAlignment="1">
      <alignment horizontal="center"/>
    </xf>
    <xf numFmtId="0" fontId="13" fillId="0" borderId="0" xfId="2" applyFont="1"/>
    <xf numFmtId="0" fontId="0" fillId="0" borderId="14" xfId="2" applyFont="1" applyBorder="1"/>
    <xf numFmtId="0" fontId="0" fillId="0" borderId="25" xfId="2" applyFont="1" applyBorder="1"/>
    <xf numFmtId="3" fontId="6" fillId="0" borderId="3" xfId="2" applyNumberFormat="1" applyFont="1" applyBorder="1" applyAlignment="1">
      <alignment horizontal="center"/>
    </xf>
    <xf numFmtId="0" fontId="0" fillId="0" borderId="3" xfId="2" applyFont="1" applyBorder="1"/>
    <xf numFmtId="3" fontId="6" fillId="0" borderId="14" xfId="2" applyNumberFormat="1" applyFont="1" applyBorder="1" applyAlignment="1">
      <alignment horizontal="center"/>
    </xf>
    <xf numFmtId="3" fontId="6" fillId="0" borderId="25" xfId="2" applyNumberFormat="1" applyFont="1" applyBorder="1" applyAlignment="1">
      <alignment horizontal="center"/>
    </xf>
    <xf numFmtId="3" fontId="0" fillId="0" borderId="0" xfId="2" applyNumberFormat="1" applyFont="1" applyFill="1" applyBorder="1" applyAlignment="1">
      <alignment horizontal="center"/>
    </xf>
    <xf numFmtId="165" fontId="10" fillId="0" borderId="4" xfId="42" applyNumberFormat="1" applyFont="1" applyBorder="1" applyAlignment="1">
      <alignment horizontal="center"/>
    </xf>
    <xf numFmtId="0" fontId="0" fillId="0" borderId="0" xfId="2" applyFont="1" applyAlignment="1">
      <alignment horizontal="left"/>
    </xf>
    <xf numFmtId="165" fontId="8" fillId="0" borderId="0" xfId="42" applyNumberFormat="1" applyFont="1" applyAlignment="1">
      <alignment horizontal="center"/>
    </xf>
    <xf numFmtId="165" fontId="0" fillId="0" borderId="0" xfId="42" applyNumberFormat="1" applyFont="1" applyFill="1" applyBorder="1" applyAlignment="1">
      <alignment horizontal="center"/>
    </xf>
    <xf numFmtId="165" fontId="0" fillId="0" borderId="0" xfId="42" applyNumberFormat="1" applyFont="1"/>
    <xf numFmtId="165" fontId="4" fillId="0" borderId="0" xfId="39" applyNumberFormat="1" applyFont="1" applyFill="1" applyBorder="1" applyAlignment="1">
      <alignment horizontal="center"/>
    </xf>
    <xf numFmtId="165" fontId="4" fillId="0" borderId="0" xfId="39" applyNumberFormat="1" applyFont="1" applyFill="1" applyBorder="1"/>
    <xf numFmtId="3" fontId="5" fillId="0" borderId="0" xfId="2" applyNumberFormat="1" applyFont="1"/>
    <xf numFmtId="168" fontId="4" fillId="25" borderId="0" xfId="2" applyNumberFormat="1" applyFont="1" applyFill="1" applyAlignment="1">
      <alignment horizontal="center"/>
    </xf>
    <xf numFmtId="10" fontId="0" fillId="0" borderId="0" xfId="42" applyNumberFormat="1" applyFont="1" applyAlignment="1">
      <alignment horizontal="center"/>
    </xf>
    <xf numFmtId="165" fontId="4" fillId="0" borderId="17" xfId="42" applyNumberFormat="1" applyFont="1" applyBorder="1" applyAlignment="1">
      <alignment horizontal="center"/>
    </xf>
    <xf numFmtId="10" fontId="0" fillId="0" borderId="23" xfId="42" applyNumberFormat="1" applyFont="1" applyBorder="1" applyAlignment="1">
      <alignment horizontal="center"/>
    </xf>
    <xf numFmtId="10" fontId="0" fillId="0" borderId="0" xfId="2" applyNumberFormat="1" applyFont="1"/>
    <xf numFmtId="10" fontId="0" fillId="0" borderId="19" xfId="2" applyNumberFormat="1" applyFont="1" applyBorder="1" applyAlignment="1">
      <alignment horizontal="center"/>
    </xf>
    <xf numFmtId="10" fontId="0" fillId="0" borderId="3" xfId="2" applyNumberFormat="1" applyFont="1" applyBorder="1" applyAlignment="1">
      <alignment horizontal="center"/>
    </xf>
    <xf numFmtId="166" fontId="7" fillId="0" borderId="0" xfId="2" applyNumberFormat="1" applyFont="1"/>
    <xf numFmtId="3" fontId="0" fillId="0" borderId="0" xfId="42" applyNumberFormat="1" applyFont="1" applyAlignment="1">
      <alignment horizontal="center"/>
    </xf>
    <xf numFmtId="10" fontId="0" fillId="0" borderId="0" xfId="2" applyNumberFormat="1" applyFont="1" applyAlignment="1">
      <alignment horizontal="center"/>
    </xf>
    <xf numFmtId="0" fontId="0" fillId="0" borderId="18" xfId="2" applyFont="1" applyBorder="1"/>
    <xf numFmtId="2" fontId="0" fillId="0" borderId="0" xfId="2" applyNumberFormat="1" applyFont="1"/>
    <xf numFmtId="167" fontId="0" fillId="0" borderId="0" xfId="2" applyNumberFormat="1" applyFont="1"/>
    <xf numFmtId="10" fontId="0" fillId="0" borderId="0" xfId="2" applyNumberFormat="1" applyFont="1" applyBorder="1"/>
    <xf numFmtId="2" fontId="0" fillId="0" borderId="0" xfId="2" applyNumberFormat="1" applyFont="1" applyBorder="1"/>
    <xf numFmtId="169" fontId="7" fillId="0" borderId="0" xfId="2" applyNumberFormat="1" applyFont="1"/>
    <xf numFmtId="167" fontId="7" fillId="0" borderId="0" xfId="2" applyNumberFormat="1" applyFont="1" applyBorder="1"/>
    <xf numFmtId="1" fontId="4" fillId="0" borderId="0" xfId="42" applyNumberFormat="1" applyFont="1" applyAlignment="1">
      <alignment horizontal="center"/>
    </xf>
    <xf numFmtId="17" fontId="6" fillId="0" borderId="0" xfId="2" applyNumberFormat="1" applyFont="1" applyAlignment="1">
      <alignment horizontal="center"/>
    </xf>
    <xf numFmtId="166" fontId="4" fillId="0" borderId="0" xfId="2" applyNumberFormat="1" applyFont="1" applyAlignment="1">
      <alignment horizontal="center"/>
    </xf>
    <xf numFmtId="10" fontId="4" fillId="0" borderId="19" xfId="42" applyNumberFormat="1" applyFont="1" applyBorder="1" applyAlignment="1">
      <alignment horizontal="center"/>
    </xf>
    <xf numFmtId="10" fontId="4" fillId="0" borderId="3" xfId="42" applyNumberFormat="1" applyFont="1" applyBorder="1" applyAlignment="1">
      <alignment horizontal="center"/>
    </xf>
    <xf numFmtId="0" fontId="16" fillId="0" borderId="0" xfId="2" applyFont="1" applyAlignment="1">
      <alignment horizontal="center"/>
    </xf>
    <xf numFmtId="9" fontId="6" fillId="0" borderId="0" xfId="42" applyFont="1"/>
    <xf numFmtId="0" fontId="0" fillId="0" borderId="0" xfId="2" quotePrefix="1" applyFont="1"/>
    <xf numFmtId="3" fontId="4" fillId="0" borderId="0" xfId="42" applyNumberFormat="1" applyFont="1" applyAlignment="1">
      <alignment horizontal="center"/>
    </xf>
    <xf numFmtId="0" fontId="5" fillId="0" borderId="24" xfId="2" applyFont="1" applyFill="1" applyBorder="1"/>
    <xf numFmtId="0" fontId="6" fillId="0" borderId="24" xfId="2" applyFont="1" applyBorder="1"/>
    <xf numFmtId="3" fontId="4" fillId="0" borderId="3" xfId="42" applyNumberFormat="1" applyFont="1" applyBorder="1" applyAlignment="1">
      <alignment horizontal="center"/>
    </xf>
    <xf numFmtId="165" fontId="6" fillId="0" borderId="0" xfId="2" applyNumberFormat="1" applyFont="1" applyAlignment="1">
      <alignment horizontal="center"/>
    </xf>
    <xf numFmtId="0" fontId="13" fillId="0" borderId="0" xfId="2" applyFont="1" applyBorder="1"/>
    <xf numFmtId="9" fontId="13" fillId="0" borderId="0" xfId="2" applyNumberFormat="1" applyFont="1" applyAlignment="1">
      <alignment horizontal="center"/>
    </xf>
    <xf numFmtId="0" fontId="13" fillId="0" borderId="0" xfId="2" applyFont="1" applyAlignment="1">
      <alignment horizontal="center"/>
    </xf>
    <xf numFmtId="3" fontId="16" fillId="0" borderId="0" xfId="2" applyNumberFormat="1" applyFont="1" applyAlignment="1">
      <alignment horizontal="center"/>
    </xf>
    <xf numFmtId="0" fontId="5" fillId="0" borderId="3" xfId="2" applyFont="1" applyBorder="1" applyAlignment="1">
      <alignment horizontal="center"/>
    </xf>
    <xf numFmtId="165" fontId="2" fillId="0" borderId="16" xfId="42" applyNumberFormat="1" applyFont="1" applyBorder="1" applyAlignment="1">
      <alignment horizontal="center"/>
    </xf>
    <xf numFmtId="165" fontId="2" fillId="0" borderId="0" xfId="42" applyNumberFormat="1" applyFont="1" applyBorder="1" applyAlignment="1">
      <alignment horizontal="center"/>
    </xf>
    <xf numFmtId="165" fontId="2" fillId="0" borderId="22" xfId="42" applyNumberFormat="1" applyFont="1" applyBorder="1" applyAlignment="1">
      <alignment horizontal="center"/>
    </xf>
    <xf numFmtId="165" fontId="5" fillId="0" borderId="0" xfId="2" applyNumberFormat="1" applyFont="1" applyAlignment="1">
      <alignment horizontal="center"/>
    </xf>
    <xf numFmtId="9" fontId="4" fillId="0" borderId="0" xfId="42" applyNumberFormat="1" applyFont="1" applyAlignment="1">
      <alignment horizontal="center"/>
    </xf>
    <xf numFmtId="3" fontId="0" fillId="0" borderId="0" xfId="0" applyNumberFormat="1"/>
    <xf numFmtId="0" fontId="2" fillId="0" borderId="0" xfId="2" applyFont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2" fillId="0" borderId="0" xfId="2" applyFont="1" applyBorder="1"/>
    <xf numFmtId="0" fontId="2" fillId="0" borderId="0" xfId="0" applyFont="1"/>
    <xf numFmtId="165" fontId="2" fillId="0" borderId="0" xfId="42" applyNumberFormat="1" applyFont="1" applyAlignment="1">
      <alignment horizontal="center"/>
    </xf>
    <xf numFmtId="1" fontId="0" fillId="0" borderId="0" xfId="0" applyNumberFormat="1"/>
    <xf numFmtId="0" fontId="6" fillId="0" borderId="0" xfId="0" applyFont="1" applyAlignment="1">
      <alignment horizontal="right"/>
    </xf>
    <xf numFmtId="3" fontId="0" fillId="0" borderId="0" xfId="42" applyNumberFormat="1" applyFont="1"/>
    <xf numFmtId="0" fontId="16" fillId="0" borderId="0" xfId="2" applyFont="1" applyBorder="1"/>
    <xf numFmtId="0" fontId="6" fillId="0" borderId="0" xfId="0" applyFont="1"/>
    <xf numFmtId="0" fontId="0" fillId="0" borderId="0" xfId="0" applyFill="1"/>
    <xf numFmtId="3" fontId="6" fillId="0" borderId="0" xfId="2" applyNumberFormat="1" applyFont="1" applyFill="1" applyAlignment="1">
      <alignment horizontal="center"/>
    </xf>
    <xf numFmtId="165" fontId="0" fillId="0" borderId="0" xfId="42" applyNumberFormat="1" applyFont="1" applyFill="1" applyAlignment="1">
      <alignment horizontal="center"/>
    </xf>
    <xf numFmtId="3" fontId="0" fillId="0" borderId="0" xfId="2" applyNumberFormat="1" applyFont="1" applyFill="1" applyAlignment="1">
      <alignment horizontal="center"/>
    </xf>
    <xf numFmtId="165" fontId="0" fillId="0" borderId="0" xfId="2" applyNumberFormat="1" applyFont="1" applyFill="1" applyAlignment="1">
      <alignment horizontal="center"/>
    </xf>
    <xf numFmtId="165" fontId="6" fillId="0" borderId="0" xfId="42" applyNumberFormat="1" applyFont="1" applyFill="1" applyAlignment="1">
      <alignment horizontal="center"/>
    </xf>
    <xf numFmtId="10" fontId="0" fillId="0" borderId="0" xfId="42" applyNumberFormat="1" applyFont="1" applyFill="1" applyAlignment="1">
      <alignment horizontal="center"/>
    </xf>
    <xf numFmtId="3" fontId="8" fillId="0" borderId="0" xfId="2" applyNumberFormat="1" applyFont="1" applyFill="1" applyAlignment="1">
      <alignment horizontal="center"/>
    </xf>
    <xf numFmtId="3" fontId="0" fillId="0" borderId="0" xfId="2" applyNumberFormat="1" applyFont="1" applyFill="1"/>
    <xf numFmtId="49" fontId="0" fillId="0" borderId="0" xfId="0" applyNumberFormat="1"/>
    <xf numFmtId="3" fontId="6" fillId="0" borderId="3" xfId="2" applyNumberFormat="1" applyFont="1" applyFill="1" applyBorder="1" applyAlignment="1">
      <alignment horizontal="center"/>
    </xf>
    <xf numFmtId="3" fontId="6" fillId="0" borderId="0" xfId="2" applyNumberFormat="1" applyFont="1" applyFill="1" applyBorder="1" applyAlignment="1">
      <alignment horizontal="center"/>
    </xf>
    <xf numFmtId="0" fontId="6" fillId="0" borderId="0" xfId="2" applyFont="1" applyFill="1"/>
    <xf numFmtId="0" fontId="2" fillId="0" borderId="0" xfId="0" applyFont="1" applyFill="1"/>
    <xf numFmtId="0" fontId="6" fillId="0" borderId="3" xfId="2" applyFont="1" applyFill="1" applyBorder="1"/>
    <xf numFmtId="0" fontId="6" fillId="0" borderId="0" xfId="2" applyFont="1" applyFill="1" applyBorder="1"/>
    <xf numFmtId="1" fontId="6" fillId="0" borderId="0" xfId="2" applyNumberFormat="1" applyFont="1" applyFill="1" applyAlignment="1">
      <alignment horizontal="center"/>
    </xf>
    <xf numFmtId="169" fontId="4" fillId="0" borderId="0" xfId="2" applyNumberFormat="1" applyFont="1" applyAlignment="1">
      <alignment horizontal="center"/>
    </xf>
    <xf numFmtId="165" fontId="0" fillId="0" borderId="0" xfId="0" applyNumberFormat="1"/>
    <xf numFmtId="0" fontId="11" fillId="0" borderId="18" xfId="2" applyFont="1" applyBorder="1"/>
    <xf numFmtId="0" fontId="41" fillId="0" borderId="20" xfId="2" applyFont="1" applyBorder="1"/>
    <xf numFmtId="0" fontId="42" fillId="0" borderId="9" xfId="2" applyFont="1" applyBorder="1" applyAlignment="1">
      <alignment horizontal="center"/>
    </xf>
    <xf numFmtId="0" fontId="43" fillId="0" borderId="16" xfId="2" applyFont="1" applyBorder="1"/>
    <xf numFmtId="0" fontId="41" fillId="0" borderId="0" xfId="2" applyFont="1" applyBorder="1" applyAlignment="1">
      <alignment horizontal="center"/>
    </xf>
    <xf numFmtId="0" fontId="41" fillId="0" borderId="0" xfId="2" applyFont="1" applyBorder="1"/>
    <xf numFmtId="0" fontId="41" fillId="0" borderId="16" xfId="2" applyFont="1" applyBorder="1"/>
    <xf numFmtId="3" fontId="41" fillId="0" borderId="0" xfId="2" applyNumberFormat="1" applyFont="1" applyBorder="1" applyAlignment="1">
      <alignment horizontal="center"/>
    </xf>
    <xf numFmtId="9" fontId="41" fillId="0" borderId="0" xfId="2" applyNumberFormat="1" applyFont="1" applyBorder="1" applyAlignment="1">
      <alignment horizontal="center"/>
    </xf>
    <xf numFmtId="3" fontId="41" fillId="0" borderId="0" xfId="2" applyNumberFormat="1" applyFont="1" applyBorder="1"/>
    <xf numFmtId="165" fontId="41" fillId="0" borderId="0" xfId="2" applyNumberFormat="1" applyFont="1" applyBorder="1" applyAlignment="1">
      <alignment horizontal="center"/>
    </xf>
    <xf numFmtId="165" fontId="41" fillId="0" borderId="0" xfId="42" applyNumberFormat="1" applyFont="1" applyBorder="1" applyAlignment="1">
      <alignment horizontal="center"/>
    </xf>
    <xf numFmtId="0" fontId="42" fillId="0" borderId="16" xfId="2" applyFont="1" applyBorder="1"/>
    <xf numFmtId="0" fontId="44" fillId="0" borderId="16" xfId="2" applyFont="1" applyBorder="1"/>
    <xf numFmtId="0" fontId="44" fillId="0" borderId="0" xfId="2" applyFont="1" applyBorder="1" applyAlignment="1">
      <alignment horizontal="center"/>
    </xf>
    <xf numFmtId="3" fontId="44" fillId="0" borderId="0" xfId="2" applyNumberFormat="1" applyFont="1" applyBorder="1" applyAlignment="1">
      <alignment horizontal="center"/>
    </xf>
    <xf numFmtId="0" fontId="42" fillId="0" borderId="0" xfId="2" applyFont="1" applyBorder="1" applyAlignment="1">
      <alignment horizontal="center"/>
    </xf>
    <xf numFmtId="0" fontId="42" fillId="0" borderId="0" xfId="2" applyFont="1" applyBorder="1"/>
    <xf numFmtId="3" fontId="42" fillId="0" borderId="0" xfId="2" applyNumberFormat="1" applyFont="1" applyBorder="1" applyAlignment="1">
      <alignment horizontal="center"/>
    </xf>
    <xf numFmtId="0" fontId="44" fillId="0" borderId="0" xfId="2" applyFont="1" applyBorder="1"/>
    <xf numFmtId="167" fontId="44" fillId="0" borderId="0" xfId="2" applyNumberFormat="1" applyFont="1" applyBorder="1" applyAlignment="1">
      <alignment horizontal="center"/>
    </xf>
    <xf numFmtId="0" fontId="41" fillId="0" borderId="19" xfId="2" applyFont="1" applyBorder="1"/>
    <xf numFmtId="0" fontId="41" fillId="0" borderId="3" xfId="2" applyFont="1" applyBorder="1"/>
    <xf numFmtId="0" fontId="0" fillId="0" borderId="18" xfId="0" applyBorder="1"/>
    <xf numFmtId="0" fontId="0" fillId="0" borderId="4" xfId="0" applyBorder="1"/>
    <xf numFmtId="167" fontId="0" fillId="0" borderId="0" xfId="0" applyNumberFormat="1"/>
    <xf numFmtId="0" fontId="5" fillId="0" borderId="9" xfId="2" applyFont="1" applyBorder="1" applyAlignment="1">
      <alignment horizontal="center"/>
    </xf>
    <xf numFmtId="0" fontId="5" fillId="0" borderId="17" xfId="2" applyFont="1" applyBorder="1" applyAlignment="1">
      <alignment horizontal="center"/>
    </xf>
    <xf numFmtId="0" fontId="11" fillId="0" borderId="0" xfId="2" applyFont="1" applyBorder="1"/>
    <xf numFmtId="0" fontId="0" fillId="0" borderId="0" xfId="0" applyBorder="1"/>
    <xf numFmtId="0" fontId="42" fillId="0" borderId="20" xfId="2" applyFont="1" applyBorder="1" applyAlignment="1">
      <alignment horizontal="center"/>
    </xf>
    <xf numFmtId="167" fontId="41" fillId="0" borderId="16" xfId="2" applyNumberFormat="1" applyFont="1" applyBorder="1" applyAlignment="1">
      <alignment horizontal="center"/>
    </xf>
    <xf numFmtId="0" fontId="41" fillId="0" borderId="16" xfId="2" applyFont="1" applyBorder="1" applyAlignment="1">
      <alignment horizontal="center"/>
    </xf>
    <xf numFmtId="0" fontId="45" fillId="0" borderId="16" xfId="2" applyFont="1" applyBorder="1"/>
    <xf numFmtId="165" fontId="41" fillId="0" borderId="16" xfId="42" applyNumberFormat="1" applyFont="1" applyBorder="1"/>
    <xf numFmtId="0" fontId="0" fillId="0" borderId="3" xfId="0" applyBorder="1"/>
    <xf numFmtId="0" fontId="9" fillId="0" borderId="0" xfId="0" applyFont="1"/>
    <xf numFmtId="0" fontId="6" fillId="27" borderId="0" xfId="0" applyFont="1" applyFill="1"/>
    <xf numFmtId="3" fontId="6" fillId="27" borderId="0" xfId="0" applyNumberFormat="1" applyFont="1" applyFill="1"/>
    <xf numFmtId="3" fontId="2" fillId="0" borderId="0" xfId="0" applyNumberFormat="1" applyFont="1"/>
    <xf numFmtId="3" fontId="6" fillId="0" borderId="0" xfId="0" applyNumberFormat="1" applyFont="1"/>
    <xf numFmtId="9" fontId="2" fillId="0" borderId="0" xfId="42" applyFont="1"/>
    <xf numFmtId="0" fontId="6" fillId="0" borderId="5" xfId="0" applyFont="1" applyBorder="1"/>
    <xf numFmtId="1" fontId="6" fillId="0" borderId="5" xfId="0" applyNumberFormat="1" applyFont="1" applyBorder="1"/>
    <xf numFmtId="1" fontId="6" fillId="0" borderId="0" xfId="0" applyNumberFormat="1" applyFont="1"/>
    <xf numFmtId="0" fontId="6" fillId="27" borderId="5" xfId="0" applyFont="1" applyFill="1" applyBorder="1"/>
    <xf numFmtId="3" fontId="6" fillId="27" borderId="5" xfId="0" applyNumberFormat="1" applyFont="1" applyFill="1" applyBorder="1"/>
    <xf numFmtId="0" fontId="2" fillId="0" borderId="0" xfId="0" applyFont="1" applyAlignment="1">
      <alignment horizontal="left" indent="2"/>
    </xf>
    <xf numFmtId="9" fontId="6" fillId="0" borderId="5" xfId="42" applyFont="1" applyBorder="1"/>
    <xf numFmtId="0" fontId="0" fillId="28" borderId="0" xfId="0" applyFill="1"/>
    <xf numFmtId="0" fontId="6" fillId="28" borderId="0" xfId="0" applyFont="1" applyFill="1"/>
    <xf numFmtId="2" fontId="6" fillId="28" borderId="0" xfId="0" applyNumberFormat="1" applyFont="1" applyFill="1"/>
    <xf numFmtId="10" fontId="6" fillId="28" borderId="0" xfId="42" applyNumberFormat="1" applyFont="1" applyFill="1"/>
    <xf numFmtId="3" fontId="5" fillId="0" borderId="0" xfId="42" applyNumberFormat="1" applyFont="1" applyBorder="1" applyAlignment="1">
      <alignment horizontal="center"/>
    </xf>
    <xf numFmtId="10" fontId="4" fillId="0" borderId="21" xfId="42" applyNumberFormat="1" applyFont="1" applyBorder="1" applyAlignment="1">
      <alignment horizontal="center"/>
    </xf>
    <xf numFmtId="169" fontId="41" fillId="0" borderId="0" xfId="2" applyNumberFormat="1" applyFont="1" applyBorder="1" applyAlignment="1">
      <alignment horizontal="center"/>
    </xf>
    <xf numFmtId="3" fontId="6" fillId="0" borderId="0" xfId="0" applyNumberFormat="1" applyFont="1" applyAlignment="1">
      <alignment horizontal="center"/>
    </xf>
    <xf numFmtId="167" fontId="6" fillId="0" borderId="0" xfId="0" applyNumberFormat="1" applyFont="1" applyAlignment="1">
      <alignment horizontal="center"/>
    </xf>
    <xf numFmtId="169" fontId="6" fillId="0" borderId="21" xfId="2" applyNumberFormat="1" applyFont="1" applyBorder="1" applyAlignment="1">
      <alignment horizontal="center"/>
    </xf>
    <xf numFmtId="165" fontId="2" fillId="0" borderId="19" xfId="42" applyNumberFormat="1" applyFont="1" applyBorder="1" applyAlignment="1">
      <alignment horizontal="center"/>
    </xf>
    <xf numFmtId="0" fontId="2" fillId="0" borderId="0" xfId="2" applyFont="1" applyAlignment="1">
      <alignment horizontal="left"/>
    </xf>
    <xf numFmtId="3" fontId="0" fillId="0" borderId="0" xfId="0" applyNumberFormat="1" applyFill="1"/>
    <xf numFmtId="4" fontId="4" fillId="0" borderId="0" xfId="2" applyNumberFormat="1" applyFont="1" applyAlignment="1">
      <alignment horizontal="center"/>
    </xf>
    <xf numFmtId="0" fontId="2" fillId="0" borderId="0" xfId="0" applyFont="1" applyAlignment="1">
      <alignment horizontal="center"/>
    </xf>
    <xf numFmtId="165" fontId="16" fillId="0" borderId="0" xfId="42" applyNumberFormat="1" applyFont="1" applyAlignment="1">
      <alignment horizontal="center"/>
    </xf>
    <xf numFmtId="0" fontId="5" fillId="0" borderId="3" xfId="2" applyFont="1" applyBorder="1" applyAlignment="1">
      <alignment horizontal="center"/>
    </xf>
    <xf numFmtId="0" fontId="6" fillId="0" borderId="20" xfId="0" applyFont="1" applyBorder="1"/>
    <xf numFmtId="0" fontId="0" fillId="0" borderId="9" xfId="0" applyBorder="1"/>
    <xf numFmtId="0" fontId="0" fillId="0" borderId="17" xfId="0" applyBorder="1"/>
    <xf numFmtId="3" fontId="4" fillId="0" borderId="18" xfId="2" applyNumberFormat="1" applyFont="1" applyBorder="1"/>
    <xf numFmtId="0" fontId="4" fillId="0" borderId="3" xfId="2" applyFont="1" applyBorder="1"/>
    <xf numFmtId="167" fontId="4" fillId="0" borderId="3" xfId="2" applyNumberFormat="1" applyFont="1" applyBorder="1"/>
    <xf numFmtId="167" fontId="4" fillId="0" borderId="4" xfId="2" applyNumberFormat="1" applyFont="1" applyBorder="1"/>
    <xf numFmtId="0" fontId="47" fillId="0" borderId="0" xfId="0" applyFont="1"/>
    <xf numFmtId="0" fontId="5" fillId="0" borderId="22" xfId="2" applyFont="1" applyBorder="1" applyAlignment="1">
      <alignment horizontal="center"/>
    </xf>
    <xf numFmtId="0" fontId="0" fillId="0" borderId="16" xfId="0" applyBorder="1"/>
    <xf numFmtId="0" fontId="6" fillId="0" borderId="16" xfId="0" applyFont="1" applyBorder="1"/>
    <xf numFmtId="0" fontId="2" fillId="0" borderId="16" xfId="0" applyFont="1" applyBorder="1"/>
    <xf numFmtId="0" fontId="2" fillId="0" borderId="19" xfId="0" applyFont="1" applyBorder="1"/>
    <xf numFmtId="169" fontId="5" fillId="0" borderId="3" xfId="2" applyNumberFormat="1" applyFont="1" applyBorder="1" applyAlignment="1">
      <alignment horizontal="center"/>
    </xf>
    <xf numFmtId="169" fontId="5" fillId="0" borderId="4" xfId="2" applyNumberFormat="1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167" fontId="6" fillId="0" borderId="16" xfId="0" applyNumberFormat="1" applyFon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7" fontId="6" fillId="0" borderId="0" xfId="0" applyNumberFormat="1" applyFont="1" applyBorder="1" applyAlignment="1">
      <alignment horizontal="center"/>
    </xf>
    <xf numFmtId="167" fontId="6" fillId="0" borderId="18" xfId="0" applyNumberFormat="1" applyFont="1" applyBorder="1" applyAlignment="1">
      <alignment horizontal="center"/>
    </xf>
    <xf numFmtId="167" fontId="0" fillId="0" borderId="19" xfId="0" applyNumberFormat="1" applyBorder="1" applyAlignment="1">
      <alignment horizontal="center"/>
    </xf>
    <xf numFmtId="167" fontId="0" fillId="0" borderId="3" xfId="0" applyNumberForma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167" fontId="5" fillId="0" borderId="9" xfId="2" applyNumberFormat="1" applyFont="1" applyFill="1" applyBorder="1" applyAlignment="1">
      <alignment horizontal="center"/>
    </xf>
    <xf numFmtId="0" fontId="6" fillId="0" borderId="0" xfId="0" applyFont="1" applyBorder="1"/>
    <xf numFmtId="3" fontId="6" fillId="0" borderId="0" xfId="0" applyNumberFormat="1" applyFon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3" fontId="0" fillId="0" borderId="18" xfId="0" applyNumberFormat="1" applyBorder="1" applyAlignment="1">
      <alignment horizontal="center"/>
    </xf>
    <xf numFmtId="0" fontId="6" fillId="0" borderId="19" xfId="0" applyFont="1" applyBorder="1"/>
    <xf numFmtId="3" fontId="6" fillId="0" borderId="18" xfId="0" applyNumberFormat="1" applyFont="1" applyBorder="1" applyAlignment="1">
      <alignment horizontal="center"/>
    </xf>
    <xf numFmtId="3" fontId="6" fillId="0" borderId="3" xfId="0" applyNumberFormat="1" applyFont="1" applyBorder="1" applyAlignment="1">
      <alignment horizontal="center"/>
    </xf>
    <xf numFmtId="3" fontId="6" fillId="0" borderId="4" xfId="0" applyNumberFormat="1" applyFont="1" applyBorder="1" applyAlignment="1">
      <alignment horizontal="center"/>
    </xf>
    <xf numFmtId="0" fontId="2" fillId="0" borderId="0" xfId="58"/>
    <xf numFmtId="165" fontId="6" fillId="28" borderId="0" xfId="42" applyNumberFormat="1" applyFont="1" applyFill="1"/>
    <xf numFmtId="167" fontId="6" fillId="28" borderId="0" xfId="0" applyNumberFormat="1" applyFont="1" applyFill="1"/>
    <xf numFmtId="3" fontId="7" fillId="0" borderId="0" xfId="2" applyNumberFormat="1" applyFont="1" applyBorder="1"/>
    <xf numFmtId="1" fontId="6" fillId="0" borderId="0" xfId="0" applyNumberFormat="1" applyFont="1" applyAlignment="1">
      <alignment horizontal="center"/>
    </xf>
    <xf numFmtId="2" fontId="4" fillId="0" borderId="18" xfId="2" applyNumberFormat="1" applyFont="1" applyBorder="1" applyAlignment="1">
      <alignment horizontal="center"/>
    </xf>
    <xf numFmtId="165" fontId="41" fillId="0" borderId="0" xfId="42" applyNumberFormat="1" applyFont="1" applyBorder="1"/>
    <xf numFmtId="1" fontId="6" fillId="0" borderId="0" xfId="42" applyNumberFormat="1" applyFont="1" applyAlignment="1">
      <alignment horizontal="center"/>
    </xf>
    <xf numFmtId="1" fontId="49" fillId="0" borderId="0" xfId="42" applyNumberFormat="1" applyFont="1" applyAlignment="1">
      <alignment horizontal="center"/>
    </xf>
    <xf numFmtId="0" fontId="2" fillId="0" borderId="0" xfId="62" applyFont="1"/>
    <xf numFmtId="0" fontId="2" fillId="0" borderId="0" xfId="63"/>
    <xf numFmtId="0" fontId="1" fillId="0" borderId="0" xfId="64"/>
    <xf numFmtId="0" fontId="2" fillId="0" borderId="0" xfId="63" applyFont="1"/>
    <xf numFmtId="0" fontId="50" fillId="30" borderId="0" xfId="63" applyFont="1" applyFill="1" applyAlignment="1">
      <alignment vertical="center"/>
    </xf>
    <xf numFmtId="0" fontId="2" fillId="31" borderId="0" xfId="63" applyFont="1" applyFill="1"/>
    <xf numFmtId="0" fontId="2" fillId="0" borderId="0" xfId="62" applyFont="1" applyAlignment="1">
      <alignment vertical="center"/>
    </xf>
    <xf numFmtId="170" fontId="6" fillId="0" borderId="27" xfId="60" applyFont="1" applyAlignment="1">
      <alignment vertical="center"/>
    </xf>
    <xf numFmtId="170" fontId="48" fillId="0" borderId="27" xfId="60" applyAlignment="1">
      <alignment vertical="center"/>
    </xf>
    <xf numFmtId="170" fontId="48" fillId="0" borderId="27" xfId="60"/>
    <xf numFmtId="0" fontId="49" fillId="0" borderId="0" xfId="63" applyFont="1" applyFill="1"/>
    <xf numFmtId="0" fontId="6" fillId="0" borderId="0" xfId="63" applyFont="1" applyFill="1"/>
    <xf numFmtId="0" fontId="2" fillId="0" borderId="0" xfId="63" applyFont="1" applyFill="1"/>
    <xf numFmtId="0" fontId="3" fillId="0" borderId="0" xfId="63" applyFont="1"/>
    <xf numFmtId="170" fontId="53" fillId="0" borderId="0" xfId="0" applyNumberFormat="1" applyFont="1" applyBorder="1"/>
    <xf numFmtId="170" fontId="53" fillId="0" borderId="0" xfId="0" applyNumberFormat="1" applyFont="1"/>
    <xf numFmtId="170" fontId="53" fillId="0" borderId="0" xfId="0" applyNumberFormat="1" applyFont="1" applyFill="1"/>
    <xf numFmtId="170" fontId="42" fillId="0" borderId="0" xfId="0" applyNumberFormat="1" applyFont="1"/>
    <xf numFmtId="170" fontId="54" fillId="31" borderId="0" xfId="68" applyNumberFormat="1" applyFont="1"/>
    <xf numFmtId="170" fontId="54" fillId="0" borderId="0" xfId="68" applyNumberFormat="1" applyFont="1" applyFill="1"/>
    <xf numFmtId="174" fontId="56" fillId="0" borderId="0" xfId="69" applyNumberFormat="1" applyFont="1"/>
    <xf numFmtId="175" fontId="56" fillId="29" borderId="28" xfId="69" applyNumberFormat="1" applyFont="1" applyFill="1" applyBorder="1"/>
    <xf numFmtId="170" fontId="57" fillId="0" borderId="0" xfId="70" applyNumberFormat="1" applyFont="1" applyFill="1" applyBorder="1" applyAlignment="1">
      <alignment horizontal="right"/>
    </xf>
    <xf numFmtId="15" fontId="58" fillId="0" borderId="0" xfId="69" applyNumberFormat="1" applyFont="1" applyBorder="1" applyAlignment="1">
      <alignment horizontal="right"/>
    </xf>
    <xf numFmtId="175" fontId="56" fillId="0" borderId="0" xfId="69" applyNumberFormat="1" applyFont="1" applyFill="1" applyBorder="1"/>
    <xf numFmtId="15" fontId="58" fillId="0" borderId="0" xfId="69" applyNumberFormat="1" applyFont="1" applyFill="1" applyBorder="1" applyAlignment="1">
      <alignment horizontal="right"/>
    </xf>
    <xf numFmtId="170" fontId="54" fillId="31" borderId="0" xfId="68" applyNumberFormat="1" applyFont="1" applyAlignment="1">
      <alignment horizontal="left"/>
    </xf>
    <xf numFmtId="170" fontId="54" fillId="0" borderId="0" xfId="68" applyNumberFormat="1" applyFont="1" applyFill="1" applyAlignment="1">
      <alignment horizontal="left"/>
    </xf>
    <xf numFmtId="170" fontId="42" fillId="0" borderId="0" xfId="62" applyNumberFormat="1" applyFont="1" applyFill="1" applyBorder="1"/>
    <xf numFmtId="170" fontId="41" fillId="0" borderId="0" xfId="62" applyNumberFormat="1" applyFont="1" applyFill="1" applyBorder="1"/>
    <xf numFmtId="170" fontId="42" fillId="0" borderId="0" xfId="42" applyNumberFormat="1" applyFont="1" applyBorder="1"/>
    <xf numFmtId="170" fontId="41" fillId="0" borderId="0" xfId="62" applyNumberFormat="1" applyFont="1" applyBorder="1"/>
    <xf numFmtId="170" fontId="41" fillId="0" borderId="0" xfId="62" applyNumberFormat="1" applyFont="1"/>
    <xf numFmtId="170" fontId="41" fillId="0" borderId="0" xfId="62" applyNumberFormat="1" applyFont="1" applyFill="1"/>
    <xf numFmtId="170" fontId="42" fillId="0" borderId="5" xfId="62" applyNumberFormat="1" applyFont="1" applyFill="1" applyBorder="1"/>
    <xf numFmtId="170" fontId="41" fillId="0" borderId="5" xfId="62" applyNumberFormat="1" applyFont="1" applyFill="1" applyBorder="1"/>
    <xf numFmtId="170" fontId="53" fillId="0" borderId="0" xfId="62" applyNumberFormat="1" applyFont="1" applyFill="1" applyBorder="1"/>
    <xf numFmtId="175" fontId="41" fillId="0" borderId="0" xfId="69" applyNumberFormat="1" applyFont="1"/>
    <xf numFmtId="170" fontId="56" fillId="0" borderId="0" xfId="69" applyNumberFormat="1" applyFont="1" applyFill="1"/>
    <xf numFmtId="170" fontId="56" fillId="0" borderId="0" xfId="69" applyNumberFormat="1" applyFont="1"/>
    <xf numFmtId="170" fontId="60" fillId="0" borderId="0" xfId="71" applyNumberFormat="1" applyFont="1"/>
    <xf numFmtId="170" fontId="60" fillId="0" borderId="0" xfId="71" applyNumberFormat="1" applyFont="1" applyFill="1"/>
    <xf numFmtId="170" fontId="42" fillId="0" borderId="0" xfId="0" applyNumberFormat="1" applyFont="1" applyFill="1"/>
    <xf numFmtId="170" fontId="41" fillId="0" borderId="0" xfId="69" applyNumberFormat="1" applyFont="1"/>
    <xf numFmtId="176" fontId="42" fillId="0" borderId="5" xfId="0" applyNumberFormat="1" applyFont="1" applyFill="1" applyBorder="1" applyAlignment="1">
      <alignment horizontal="right"/>
    </xf>
    <xf numFmtId="177" fontId="41" fillId="0" borderId="0" xfId="72" applyFont="1" applyFill="1" applyBorder="1" applyAlignment="1"/>
    <xf numFmtId="170" fontId="53" fillId="0" borderId="0" xfId="42" applyNumberFormat="1" applyFont="1" applyFill="1" applyBorder="1"/>
    <xf numFmtId="174" fontId="41" fillId="0" borderId="0" xfId="42" applyNumberFormat="1" applyFont="1" applyFill="1" applyBorder="1" applyAlignment="1"/>
    <xf numFmtId="170" fontId="53" fillId="0" borderId="0" xfId="42" applyNumberFormat="1" applyFont="1"/>
    <xf numFmtId="170" fontId="41" fillId="0" borderId="0" xfId="73" applyNumberFormat="1" applyFont="1" applyFill="1" applyBorder="1"/>
    <xf numFmtId="1" fontId="0" fillId="0" borderId="0" xfId="0" applyNumberFormat="1" applyAlignment="1">
      <alignment horizontal="center"/>
    </xf>
    <xf numFmtId="2" fontId="6" fillId="0" borderId="0" xfId="2" applyNumberFormat="1" applyFont="1" applyAlignment="1">
      <alignment horizontal="center"/>
    </xf>
    <xf numFmtId="0" fontId="2" fillId="0" borderId="0" xfId="0" applyFont="1" applyFill="1" applyBorder="1"/>
    <xf numFmtId="1" fontId="5" fillId="0" borderId="0" xfId="2" applyNumberFormat="1" applyFont="1" applyAlignment="1">
      <alignment horizontal="center"/>
    </xf>
    <xf numFmtId="0" fontId="13" fillId="0" borderId="0" xfId="0" applyFont="1"/>
    <xf numFmtId="9" fontId="0" fillId="0" borderId="0" xfId="0" applyNumberFormat="1"/>
    <xf numFmtId="10" fontId="0" fillId="0" borderId="0" xfId="0" applyNumberFormat="1"/>
    <xf numFmtId="2" fontId="0" fillId="0" borderId="0" xfId="0" applyNumberFormat="1"/>
    <xf numFmtId="10" fontId="4" fillId="0" borderId="0" xfId="2" applyNumberFormat="1" applyFont="1" applyAlignment="1">
      <alignment horizontal="center"/>
    </xf>
    <xf numFmtId="179" fontId="0" fillId="0" borderId="0" xfId="0" applyNumberFormat="1"/>
    <xf numFmtId="180" fontId="0" fillId="0" borderId="0" xfId="0" applyNumberFormat="1"/>
    <xf numFmtId="9" fontId="2" fillId="0" borderId="0" xfId="0" applyNumberFormat="1" applyFont="1"/>
    <xf numFmtId="0" fontId="2" fillId="33" borderId="0" xfId="75" applyFont="1" applyFill="1" applyAlignment="1">
      <alignment vertical="top"/>
    </xf>
    <xf numFmtId="0" fontId="2" fillId="33" borderId="0" xfId="58" applyFill="1" applyAlignment="1">
      <alignment vertical="top"/>
    </xf>
    <xf numFmtId="0" fontId="2" fillId="33" borderId="0" xfId="58" applyFill="1"/>
    <xf numFmtId="0" fontId="35" fillId="33" borderId="0" xfId="75" applyFont="1" applyFill="1" applyAlignment="1">
      <alignment horizontal="left" vertical="top"/>
    </xf>
    <xf numFmtId="0" fontId="2" fillId="33" borderId="0" xfId="58" applyFont="1" applyFill="1" applyAlignment="1">
      <alignment vertical="top"/>
    </xf>
    <xf numFmtId="0" fontId="13" fillId="33" borderId="0" xfId="75" applyFont="1" applyFill="1" applyAlignment="1">
      <alignment vertical="top"/>
    </xf>
    <xf numFmtId="0" fontId="0" fillId="33" borderId="0" xfId="0" applyFill="1" applyAlignment="1">
      <alignment vertical="top"/>
    </xf>
    <xf numFmtId="0" fontId="62" fillId="33" borderId="0" xfId="0" applyFont="1" applyFill="1" applyAlignment="1">
      <alignment vertical="top"/>
    </xf>
    <xf numFmtId="0" fontId="63" fillId="33" borderId="0" xfId="0" applyFont="1" applyFill="1" applyAlignment="1">
      <alignment vertical="top"/>
    </xf>
    <xf numFmtId="0" fontId="62" fillId="33" borderId="29" xfId="0" applyFont="1" applyFill="1" applyBorder="1" applyAlignment="1">
      <alignment vertical="top"/>
    </xf>
    <xf numFmtId="9" fontId="62" fillId="33" borderId="29" xfId="0" applyNumberFormat="1" applyFont="1" applyFill="1" applyBorder="1" applyAlignment="1">
      <alignment vertical="top"/>
    </xf>
    <xf numFmtId="3" fontId="62" fillId="33" borderId="29" xfId="0" applyNumberFormat="1" applyFont="1" applyFill="1" applyBorder="1" applyAlignment="1">
      <alignment vertical="top"/>
    </xf>
    <xf numFmtId="2" fontId="2" fillId="0" borderId="0" xfId="58" applyNumberFormat="1" applyAlignment="1">
      <alignment horizontal="left"/>
    </xf>
    <xf numFmtId="0" fontId="2" fillId="0" borderId="0" xfId="58" applyNumberFormat="1" applyAlignment="1">
      <alignment horizontal="left"/>
    </xf>
    <xf numFmtId="1" fontId="2" fillId="0" borderId="0" xfId="58" applyNumberFormat="1" applyAlignment="1">
      <alignment horizontal="left"/>
    </xf>
    <xf numFmtId="0" fontId="2" fillId="0" borderId="0" xfId="58" applyFont="1"/>
    <xf numFmtId="181" fontId="2" fillId="0" borderId="0" xfId="58" applyNumberFormat="1" applyAlignment="1">
      <alignment horizontal="left"/>
    </xf>
    <xf numFmtId="49" fontId="2" fillId="0" borderId="0" xfId="58" applyNumberFormat="1"/>
    <xf numFmtId="0" fontId="64" fillId="0" borderId="0" xfId="58" applyFont="1" applyAlignment="1">
      <alignment wrapText="1"/>
    </xf>
    <xf numFmtId="0" fontId="64" fillId="0" borderId="0" xfId="58" applyFont="1" applyAlignment="1">
      <alignment horizontal="left" wrapText="1" indent="3"/>
    </xf>
    <xf numFmtId="0" fontId="64" fillId="0" borderId="0" xfId="58" applyFont="1" applyAlignment="1">
      <alignment horizontal="left" wrapText="1" indent="1"/>
    </xf>
    <xf numFmtId="0" fontId="66" fillId="0" borderId="0" xfId="58" applyFont="1" applyAlignment="1">
      <alignment wrapText="1"/>
    </xf>
    <xf numFmtId="0" fontId="0" fillId="33" borderId="34" xfId="0" applyFill="1" applyBorder="1" applyAlignment="1">
      <alignment vertical="top"/>
    </xf>
    <xf numFmtId="0" fontId="62" fillId="33" borderId="0" xfId="0" applyFont="1" applyFill="1" applyAlignment="1">
      <alignment vertical="top"/>
    </xf>
    <xf numFmtId="0" fontId="62" fillId="33" borderId="30" xfId="0" applyFont="1" applyFill="1" applyBorder="1" applyAlignment="1">
      <alignment vertical="top"/>
    </xf>
    <xf numFmtId="0" fontId="62" fillId="33" borderId="31" xfId="0" applyFont="1" applyFill="1" applyBorder="1" applyAlignment="1">
      <alignment vertical="top"/>
    </xf>
    <xf numFmtId="0" fontId="62" fillId="33" borderId="32" xfId="0" applyFont="1" applyFill="1" applyBorder="1" applyAlignment="1">
      <alignment vertical="top"/>
    </xf>
    <xf numFmtId="0" fontId="63" fillId="33" borderId="0" xfId="0" applyFont="1" applyFill="1" applyAlignment="1">
      <alignment vertical="top"/>
    </xf>
    <xf numFmtId="0" fontId="0" fillId="33" borderId="0" xfId="0" applyFill="1" applyAlignment="1">
      <alignment vertical="top"/>
    </xf>
    <xf numFmtId="0" fontId="0" fillId="33" borderId="33" xfId="0" applyFill="1" applyBorder="1" applyAlignment="1">
      <alignment vertical="top"/>
    </xf>
    <xf numFmtId="0" fontId="5" fillId="0" borderId="20" xfId="2" applyFont="1" applyBorder="1" applyAlignment="1">
      <alignment horizontal="center"/>
    </xf>
    <xf numFmtId="0" fontId="5" fillId="0" borderId="9" xfId="2" applyFont="1" applyBorder="1" applyAlignment="1">
      <alignment horizontal="center"/>
    </xf>
    <xf numFmtId="0" fontId="5" fillId="0" borderId="17" xfId="2" applyFont="1" applyBorder="1" applyAlignment="1">
      <alignment horizontal="center"/>
    </xf>
    <xf numFmtId="0" fontId="6" fillId="0" borderId="20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7" xfId="2" applyFont="1" applyBorder="1" applyAlignment="1">
      <alignment horizontal="center"/>
    </xf>
    <xf numFmtId="0" fontId="5" fillId="0" borderId="20" xfId="2" applyFont="1" applyFill="1" applyBorder="1" applyAlignment="1">
      <alignment horizontal="center"/>
    </xf>
    <xf numFmtId="0" fontId="5" fillId="0" borderId="9" xfId="2" applyFont="1" applyFill="1" applyBorder="1" applyAlignment="1">
      <alignment horizontal="center"/>
    </xf>
    <xf numFmtId="0" fontId="5" fillId="0" borderId="17" xfId="2" applyFont="1" applyFill="1" applyBorder="1" applyAlignment="1">
      <alignment horizontal="center"/>
    </xf>
  </cellXfs>
  <cellStyles count="76">
    <cellStyle name="_SUMMARY " xfId="47"/>
    <cellStyle name="=C:\WINNT35\SYSTEM32\COMMAND.COM" xfId="2"/>
    <cellStyle name="0_Capex &amp; Depreciation " xfId="48"/>
    <cellStyle name="0_Valuing BP " xfId="49"/>
    <cellStyle name="20% - Accent1" xfId="3" builtinId="30" customBuiltin="1"/>
    <cellStyle name="20% - Accent2" xfId="4" builtinId="34" customBuiltin="1"/>
    <cellStyle name="20% - Accent3" xfId="5" builtinId="38" customBuiltin="1"/>
    <cellStyle name="20% - Accent4" xfId="6" builtinId="42" customBuiltin="1"/>
    <cellStyle name="20% - Accent5" xfId="7" builtinId="46" customBuiltin="1"/>
    <cellStyle name="20% - Accent6" xfId="8" builtinId="50" customBuiltin="1"/>
    <cellStyle name="40% - Accent1" xfId="9" builtinId="31" customBuiltin="1"/>
    <cellStyle name="40% - Accent2" xfId="10" builtinId="35" customBuiltin="1"/>
    <cellStyle name="40% - Accent3" xfId="11" builtinId="39" customBuiltin="1"/>
    <cellStyle name="40% - Accent4" xfId="12" builtinId="43" customBuiltin="1"/>
    <cellStyle name="40% - Accent5" xfId="13" builtinId="47" customBuiltin="1"/>
    <cellStyle name="40% - Accent6" xfId="14" builtinId="51" customBuiltin="1"/>
    <cellStyle name="60% - Accent1" xfId="15" builtinId="32" customBuiltin="1"/>
    <cellStyle name="60% - Accent2" xfId="16" builtinId="36" customBuiltin="1"/>
    <cellStyle name="60% - Accent3" xfId="17" builtinId="40" customBuiltin="1"/>
    <cellStyle name="60% - Accent4" xfId="18" builtinId="44" customBuiltin="1"/>
    <cellStyle name="60% - Accent5" xfId="19" builtinId="48" customBuiltin="1"/>
    <cellStyle name="60% - Accent6" xfId="20" builtinId="52" customBuiltin="1"/>
    <cellStyle name="Accent1" xfId="21" builtinId="29" customBuiltin="1"/>
    <cellStyle name="Accent2" xfId="22" builtinId="33" customBuiltin="1"/>
    <cellStyle name="Accent3" xfId="23" builtinId="37" customBuiltin="1"/>
    <cellStyle name="Accent4" xfId="24" builtinId="41" customBuiltin="1"/>
    <cellStyle name="Accent5" xfId="25" builtinId="45" customBuiltin="1"/>
    <cellStyle name="Accent6" xfId="26" builtinId="49" customBuiltin="1"/>
    <cellStyle name="Bad" xfId="27" builtinId="27" customBuiltin="1"/>
    <cellStyle name="c_HardInc " xfId="50"/>
    <cellStyle name="Calculation" xfId="28" builtinId="22" customBuiltin="1"/>
    <cellStyle name="Check Cell" xfId="29" builtinId="23" customBuiltin="1"/>
    <cellStyle name="Currency 2" xfId="1"/>
    <cellStyle name="Currency 3" xfId="56"/>
    <cellStyle name="Currency 4" xfId="59"/>
    <cellStyle name="Currency 5" xfId="74"/>
    <cellStyle name="Explanatory Text" xfId="30" builtinId="53" customBuiltin="1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Input" xfId="36" builtinId="20" customBuiltin="1"/>
    <cellStyle name="Input 2dp" xfId="65"/>
    <cellStyle name="Input MS" xfId="66"/>
    <cellStyle name="Linked Cell" xfId="37" builtinId="24" customBuiltin="1"/>
    <cellStyle name="MS Header" xfId="68"/>
    <cellStyle name="MS Heading TOP 2" xfId="60"/>
    <cellStyle name="MS Input" xfId="69"/>
    <cellStyle name="MS Link" xfId="71"/>
    <cellStyle name="MS Multiple 1P" xfId="73"/>
    <cellStyle name="Multiple 1p" xfId="72"/>
    <cellStyle name="Neutral" xfId="38" builtinId="28" customBuiltin="1"/>
    <cellStyle name="Normal" xfId="0" builtinId="0"/>
    <cellStyle name="Normal 2" xfId="64"/>
    <cellStyle name="Normal 2dp" xfId="67"/>
    <cellStyle name="Normal 3" xfId="58"/>
    <cellStyle name="Normal 3 2" xfId="63"/>
    <cellStyle name="Normal 79" xfId="55"/>
    <cellStyle name="Normal_BBY" xfId="70"/>
    <cellStyle name="Normal_DisclaimerSheet Samples" xfId="75"/>
    <cellStyle name="Normal_MS_CCI_Model_JUN14" xfId="62"/>
    <cellStyle name="Normal_Vodafone+Group" xfId="39"/>
    <cellStyle name="Note" xfId="40" builtinId="10" customBuiltin="1"/>
    <cellStyle name="Number" xfId="61"/>
    <cellStyle name="Output" xfId="41" builtinId="21" customBuiltin="1"/>
    <cellStyle name="p " xfId="51"/>
    <cellStyle name="Percent" xfId="42" builtinId="5"/>
    <cellStyle name="RRSInstruction" xfId="46"/>
    <cellStyle name="s_HardInc " xfId="52"/>
    <cellStyle name="s_Valuation " xfId="53"/>
    <cellStyle name="ssp " xfId="54"/>
    <cellStyle name="Standard_consensus_1" xfId="57"/>
    <cellStyle name="Title" xfId="43" builtinId="15" customBuiltin="1"/>
    <cellStyle name="Total" xfId="44" builtinId="25" customBuiltin="1"/>
    <cellStyle name="Warning Text" xfId="45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717073"/>
      <rgbColor rgb="0000377B"/>
      <rgbColor rgb="00BD4F19"/>
      <rgbColor rgb="00008770"/>
      <rgbColor rgb="0000A1DE"/>
      <rgbColor rgb="00000000"/>
      <rgbColor rgb="00D4001A"/>
      <rgbColor rgb="00C7C8C9"/>
      <rgbColor rgb="0077216F"/>
      <rgbColor rgb="009D9FA1"/>
      <rgbColor rgb="00E0AE91"/>
      <rgbColor rgb="0095C0B9"/>
      <rgbColor rgb="00B998B3"/>
      <rgbColor rgb="00666666"/>
      <rgbColor rgb="00EE99A3"/>
      <rgbColor rgb="00A4D0EF"/>
      <rgbColor rgb="0000377B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EECE1"/>
      <color rgb="FF137CB1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worksheets/sheet11.xml" Type="http://schemas.openxmlformats.org/officeDocument/2006/relationships/worksheet"/>
<Relationship Id="rId12" Target="worksheets/sheet12.xml" Type="http://schemas.openxmlformats.org/officeDocument/2006/relationships/worksheet"/>
<Relationship Id="rId13" Target="worksheets/sheet13.xml" Type="http://schemas.openxmlformats.org/officeDocument/2006/relationships/worksheet"/>
<Relationship Id="rId14" Target="worksheets/sheet14.xml" Type="http://schemas.openxmlformats.org/officeDocument/2006/relationships/worksheet"/>
<Relationship Id="rId15" Target="worksheets/sheet15.xml" Type="http://schemas.openxmlformats.org/officeDocument/2006/relationships/worksheet"/>
<Relationship Id="rId16" Target="worksheets/sheet16.xml" Type="http://schemas.openxmlformats.org/officeDocument/2006/relationships/worksheet"/>
<Relationship Id="rId17" Target="worksheets/sheet17.xml" Type="http://schemas.openxmlformats.org/officeDocument/2006/relationships/worksheet"/>
<Relationship Id="rId18" Target="worksheets/sheet18.xml" Type="http://schemas.openxmlformats.org/officeDocument/2006/relationships/worksheet"/>
<Relationship Id="rId19" Target="worksheets/sheet19.xml" Type="http://schemas.openxmlformats.org/officeDocument/2006/relationships/worksheet"/>
<Relationship Id="rId2" Target="worksheets/sheet2.xml" Type="http://schemas.openxmlformats.org/officeDocument/2006/relationships/worksheet"/>
<Relationship Id="rId20" Target="worksheets/sheet20.xml" Type="http://schemas.openxmlformats.org/officeDocument/2006/relationships/worksheet"/>
<Relationship Id="rId21" Target="worksheets/sheet21.xml" Type="http://schemas.openxmlformats.org/officeDocument/2006/relationships/worksheet"/>
<Relationship Id="rId22" Target="worksheets/sheet22.xml" Type="http://schemas.openxmlformats.org/officeDocument/2006/relationships/worksheet"/>
<Relationship Id="rId23" Target="worksheets/sheet23.xml" Type="http://schemas.openxmlformats.org/officeDocument/2006/relationships/worksheet"/>
<Relationship Id="rId24" Target="externalLinks/externalLink1.xml" Type="http://schemas.openxmlformats.org/officeDocument/2006/relationships/externalLink"/>
<Relationship Id="rId25" Target="externalLinks/externalLink2.xml" Type="http://schemas.openxmlformats.org/officeDocument/2006/relationships/externalLink"/>
<Relationship Id="rId26" Target="externalLinks/externalLink3.xml" Type="http://schemas.openxmlformats.org/officeDocument/2006/relationships/externalLink"/>
<Relationship Id="rId27" Target="theme/theme1.xml" Type="http://schemas.openxmlformats.org/officeDocument/2006/relationships/theme"/>
<Relationship Id="rId28" Target="styles.xml" Type="http://schemas.openxmlformats.org/officeDocument/2006/relationships/styles"/>
<Relationship Id="rId29" Target="sharedStrings.xml" Type="http://schemas.openxmlformats.org/officeDocument/2006/relationships/sharedStrings"/>
<Relationship Id="rId3" Target="worksheets/sheet3.xml" Type="http://schemas.openxmlformats.org/officeDocument/2006/relationships/worksheet"/>
<Relationship Id="rId30" Target="calcChain.xml" Type="http://schemas.openxmlformats.org/officeDocument/2006/relationships/calcChain"/>
<Relationship Id="rId31" Target="../customXml/item1.xml" Type="http://schemas.openxmlformats.org/officeDocument/2006/relationships/customXml"/>
<Relationship Id="rId32" Target="../customXml/item2.xml" Type="http://schemas.openxmlformats.org/officeDocument/2006/relationships/customXml"/>
<Relationship Id="rId33" Target="vbaProject.bin" Type="http://schemas.microsoft.com/office/2006/relationships/vbaProjec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</c:spPr>
          </c:dPt>
          <c:dPt>
            <c:idx val="1"/>
            <c:invertIfNegative val="0"/>
            <c:bubble3D val="0"/>
            <c:spPr>
              <a:noFill/>
            </c:spPr>
          </c:dPt>
          <c:dPt>
            <c:idx val="2"/>
            <c:invertIfNegative val="0"/>
            <c:bubble3D val="0"/>
            <c:spPr>
              <a:noFill/>
            </c:spPr>
          </c:dPt>
          <c:dPt>
            <c:idx val="3"/>
            <c:invertIfNegative val="0"/>
            <c:bubble3D val="0"/>
            <c:spPr>
              <a:noFill/>
            </c:spPr>
          </c:dPt>
          <c:dPt>
            <c:idx val="4"/>
            <c:invertIfNegative val="0"/>
            <c:bubble3D val="0"/>
            <c:spPr>
              <a:noFill/>
            </c:spPr>
          </c:dPt>
          <c:dPt>
            <c:idx val="6"/>
            <c:invertIfNegative val="0"/>
            <c:bubble3D val="0"/>
            <c:spPr>
              <a:noFill/>
            </c:spPr>
          </c:dPt>
          <c:dPt>
            <c:idx val="7"/>
            <c:invertIfNegative val="0"/>
            <c:bubble3D val="0"/>
            <c:spPr>
              <a:noFill/>
            </c:spPr>
          </c:dPt>
          <c:dPt>
            <c:idx val="8"/>
            <c:invertIfNegative val="0"/>
            <c:bubble3D val="0"/>
            <c:spPr>
              <a:noFill/>
            </c:spPr>
          </c:dPt>
          <c:dPt>
            <c:idx val="9"/>
            <c:invertIfNegative val="0"/>
            <c:bubble3D val="0"/>
            <c:spPr>
              <a:noFill/>
            </c:spPr>
          </c:dPt>
          <c:dPt>
            <c:idx val="10"/>
            <c:invertIfNegative val="0"/>
            <c:bubble3D val="0"/>
            <c:spPr>
              <a:solidFill>
                <a:schemeClr val="tx2">
                  <a:lumMod val="75000"/>
                </a:schemeClr>
              </a:solidFill>
            </c:spPr>
          </c:dPt>
          <c:dLbls>
            <c:dLbl>
              <c:idx val="0"/>
              <c:layout>
                <c:manualLayout>
                  <c:x val="1.6649322529889467E-3"/>
                  <c:y val="-0.1543952050769773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3.3298645059778934E-3"/>
                  <c:y val="-0.358837748266541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400" b="1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'Sum of parts'!$AI$44:$AS$44</c:f>
              <c:strCache>
                <c:ptCount val="11"/>
                <c:pt idx="0">
                  <c:v>BEAR</c:v>
                </c:pt>
                <c:pt idx="1">
                  <c:v>Other</c:v>
                </c:pt>
                <c:pt idx="2">
                  <c:v>Germany</c:v>
                </c:pt>
                <c:pt idx="3">
                  <c:v>Euro mobile</c:v>
                </c:pt>
                <c:pt idx="4">
                  <c:v>US Bear</c:v>
                </c:pt>
                <c:pt idx="5">
                  <c:v>BASE</c:v>
                </c:pt>
                <c:pt idx="6">
                  <c:v>US Bull</c:v>
                </c:pt>
                <c:pt idx="7">
                  <c:v>Euro mobile</c:v>
                </c:pt>
                <c:pt idx="8">
                  <c:v>Germany</c:v>
                </c:pt>
                <c:pt idx="9">
                  <c:v>Other</c:v>
                </c:pt>
                <c:pt idx="10">
                  <c:v>BULL</c:v>
                </c:pt>
              </c:strCache>
            </c:strRef>
          </c:cat>
          <c:val>
            <c:numRef>
              <c:f>'Sum of parts'!$AI$45:$AS$45</c:f>
              <c:numCache>
                <c:formatCode>0.0</c:formatCode>
                <c:ptCount val="11"/>
                <c:pt idx="0">
                  <c:v>8.4698280171382621</c:v>
                </c:pt>
                <c:pt idx="1">
                  <c:v>8.4698280171382621</c:v>
                </c:pt>
                <c:pt idx="2">
                  <c:v>8.9698280171382621</c:v>
                </c:pt>
                <c:pt idx="3">
                  <c:v>13.269828017138263</c:v>
                </c:pt>
                <c:pt idx="4">
                  <c:v>14.269828017138263</c:v>
                </c:pt>
                <c:pt idx="5">
                  <c:v>16.469828017138262</c:v>
                </c:pt>
                <c:pt idx="6">
                  <c:v>16.469828017138262</c:v>
                </c:pt>
                <c:pt idx="7">
                  <c:v>17.569828017138263</c:v>
                </c:pt>
                <c:pt idx="8">
                  <c:v>17.969828017138262</c:v>
                </c:pt>
                <c:pt idx="9">
                  <c:v>19.469828017138262</c:v>
                </c:pt>
                <c:pt idx="10">
                  <c:v>20.469828017138262</c:v>
                </c:pt>
              </c:numCache>
            </c:numRef>
          </c:val>
        </c:ser>
        <c:ser>
          <c:idx val="1"/>
          <c:order val="1"/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dLbl>
              <c:idx val="1"/>
              <c:layout>
                <c:manualLayout>
                  <c:x val="-1.6649322529889467E-3"/>
                  <c:y val="-6.90493359971794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-0.5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6649322529889467E-3"/>
                  <c:y val="-8.547072511458456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-4.3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4.99479675896684E-3"/>
                  <c:y val="-6.188515689270184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-1.0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4.99479675896684E-3"/>
                  <c:y val="-5.705243859442942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-2.2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6.104681072496122E-17"/>
                  <c:y val="-3.0897207367795648E-2"/>
                </c:manualLayout>
              </c:layout>
              <c:tx>
                <c:rich>
                  <a:bodyPr/>
                  <a:lstStyle/>
                  <a:p>
                    <a:pPr>
                      <a:defRPr sz="1400" b="1"/>
                    </a:pPr>
                    <a:r>
                      <a:rPr lang="en-US" sz="1400"/>
                      <a:t>16.5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1.6649322529889467E-3"/>
                  <c:y val="-4.26672934539898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+1.1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1.6649322529889467E-3"/>
                  <c:y val="-4.521424374192031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+0.4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3.3298645059778934E-3"/>
                  <c:y val="-6.6570642848748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+1.5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1.6649322529889467E-3"/>
                  <c:y val="-4.513470443060289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+1.0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'Sum of parts'!$AI$44:$AS$44</c:f>
              <c:strCache>
                <c:ptCount val="11"/>
                <c:pt idx="0">
                  <c:v>BEAR</c:v>
                </c:pt>
                <c:pt idx="1">
                  <c:v>Other</c:v>
                </c:pt>
                <c:pt idx="2">
                  <c:v>Germany</c:v>
                </c:pt>
                <c:pt idx="3">
                  <c:v>Euro mobile</c:v>
                </c:pt>
                <c:pt idx="4">
                  <c:v>US Bear</c:v>
                </c:pt>
                <c:pt idx="5">
                  <c:v>BASE</c:v>
                </c:pt>
                <c:pt idx="6">
                  <c:v>US Bull</c:v>
                </c:pt>
                <c:pt idx="7">
                  <c:v>Euro mobile</c:v>
                </c:pt>
                <c:pt idx="8">
                  <c:v>Germany</c:v>
                </c:pt>
                <c:pt idx="9">
                  <c:v>Other</c:v>
                </c:pt>
                <c:pt idx="10">
                  <c:v>BULL</c:v>
                </c:pt>
              </c:strCache>
            </c:strRef>
          </c:cat>
          <c:val>
            <c:numRef>
              <c:f>'Sum of parts'!$AI$46:$AS$46</c:f>
              <c:numCache>
                <c:formatCode>0.0</c:formatCode>
                <c:ptCount val="11"/>
                <c:pt idx="1">
                  <c:v>0.5</c:v>
                </c:pt>
                <c:pt idx="2">
                  <c:v>4.3</c:v>
                </c:pt>
                <c:pt idx="3">
                  <c:v>1</c:v>
                </c:pt>
                <c:pt idx="4">
                  <c:v>2.2000000000000002</c:v>
                </c:pt>
                <c:pt idx="5" formatCode="General">
                  <c:v>0</c:v>
                </c:pt>
                <c:pt idx="6" formatCode="General">
                  <c:v>1.1000000000000001</c:v>
                </c:pt>
                <c:pt idx="7" formatCode="General">
                  <c:v>0.4</c:v>
                </c:pt>
                <c:pt idx="8">
                  <c:v>1.5</c:v>
                </c:pt>
                <c:pt idx="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4870528"/>
        <c:axId val="1016523008"/>
      </c:barChart>
      <c:catAx>
        <c:axId val="105487052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/>
          <a:lstStyle/>
          <a:p>
            <a:pPr>
              <a:defRPr sz="1200" b="1"/>
            </a:pPr>
            <a:endParaRPr lang="en-US"/>
          </a:p>
        </c:txPr>
        <c:crossAx val="1016523008"/>
        <c:crosses val="autoZero"/>
        <c:auto val="1"/>
        <c:lblAlgn val="ctr"/>
        <c:lblOffset val="100"/>
        <c:noMultiLvlLbl val="0"/>
      </c:catAx>
      <c:valAx>
        <c:axId val="1016523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GB" sz="1200"/>
                  <a:t>DT Target Price - Bear / Bull Case - Break-down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0548705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3.xml.rels><?xml version="1.0" encoding="UTF-8" standalone="yes"?>
<Relationships xmlns="http://schemas.openxmlformats.org/package/2006/relationships">
<Relationship Id="rId1" Target="../charts/chart1.xml" Type="http://schemas.openxmlformats.org/officeDocument/2006/relationships/chart"/>
<Relationship Id="rId2" Target="http://www.google.co.uk/imgres?imgurl=https://upload.wikimedia.org/wikipedia/commons/thumb/2/2e/Telekom_Logo_2013.svg/2000px-Telekom_Logo_2013.svg.png&amp;imgrefurl=https://en.wikipedia.org/wiki/Deutsche_Telekom&amp;h=983&amp;w=2000&amp;tbnid=oDGvtVcW1FyNzM:&amp;docid=9T8NMq8IUzgFPM&amp;ei=bpU8Vqv9OsiwUeHxr8AI&amp;tbm=isch&amp;ved=0CCkQMygAMABqFQoTCKvssfne-8gCFUhYFAod4fgLiA" TargetMode="External" Type="http://schemas.openxmlformats.org/officeDocument/2006/relationships/hyperlink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181</xdr:row>
      <xdr:rowOff>0</xdr:rowOff>
    </xdr:from>
    <xdr:to>
      <xdr:col>7</xdr:col>
      <xdr:colOff>390525</xdr:colOff>
      <xdr:row>204</xdr:row>
      <xdr:rowOff>104775</xdr:rowOff>
    </xdr:to>
    <xdr:pic>
      <xdr:nvPicPr>
        <xdr:cNvPr id="157697" name="Picture 1" descr="C:\Users\ricarb\AppData\Local\Temp\MercuryPriceRatingHistoryChart\DTEGn.DE_2018_03_05_21_10_23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77490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</xdr:row>
      <xdr:rowOff>85725</xdr:rowOff>
    </xdr:from>
    <xdr:to>
      <xdr:col>3</xdr:col>
      <xdr:colOff>971550</xdr:colOff>
      <xdr:row>4</xdr:row>
      <xdr:rowOff>104775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466725"/>
          <a:ext cx="18097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17462</xdr:colOff>
      <xdr:row>32</xdr:row>
      <xdr:rowOff>28575</xdr:rowOff>
    </xdr:from>
    <xdr:to>
      <xdr:col>21</xdr:col>
      <xdr:colOff>330200</xdr:colOff>
      <xdr:row>59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304800</xdr:colOff>
      <xdr:row>13</xdr:row>
      <xdr:rowOff>66675</xdr:rowOff>
    </xdr:to>
    <xdr:sp macro="" textlink="">
      <xdr:nvSpPr>
        <xdr:cNvPr id="2052" name="AutoShape 4" descr="Image result for deutsche telekom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1582400" y="185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TELCO/Subsectors_wip/PTOs/United%20Internet_Laura/Models/20140805%20United%20Internet%20v054.xlsx" TargetMode="External" Type="http://schemas.microsoft.com/office/2006/relationships/xlExternalLinkPath/xlAlternateStartup"/>
</Relationships>

</file>

<file path=xl/externalLinks/_rels/externalLink2.xml.rels><?xml version="1.0" encoding="UTF-8" standalone="yes"?>
<Relationships xmlns="http://schemas.openxmlformats.org/package/2006/relationships">
<Relationship Id="rId1" Target="file://///waprdfsfin01/acct/PROGRA~1/RESEAR~1/Excel/Spri80.xla" TargetMode="External" Type="http://schemas.openxmlformats.org/officeDocument/2006/relationships/externalLinkPath"/>
</Relationships>

</file>

<file path=xl/externalLinks/_rels/externalLink3.xml.rels><?xml version="1.0" encoding="UTF-8" standalone="yes"?>
<Relationships xmlns="http://schemas.openxmlformats.org/package/2006/relationships">
<Relationship Id="rId1" Target="/Users/tsuiter/AppData/Local/Microsoft/Windows/Temporary%20Internet%20Files/Content.Outlook/8VOJ8P0V/FCC/BROAD/REAUCT/REAUCT.XLS" TargetMode="External" Type="http://schemas.openxmlformats.org/officeDocument/2006/relationships/externalLinkPath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uation"/>
      <sheetName val="Consolidated"/>
      <sheetName val="Quarterly Division"/>
      <sheetName val="Applications"/>
      <sheetName val="Access"/>
      <sheetName val="Broadband"/>
      <sheetName val="DT"/>
      <sheetName val="TV"/>
      <sheetName val="Mobile"/>
      <sheetName val="Guidance"/>
      <sheetName val="Applications comps"/>
      <sheetName val="Reaction"/>
      <sheetName val="Initiation analysis"/>
      <sheetName val="Info"/>
      <sheetName val="Work 3"/>
      <sheetName val="Timeline"/>
      <sheetName val="Quarterly Reaction"/>
      <sheetName val="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3">
          <cell r="E3">
            <v>41639</v>
          </cell>
        </row>
      </sheetData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I Button Caps"/>
      <sheetName val="Spri80"/>
      <sheetName val="Spri80.xla"/>
    </sheetNames>
    <definedNames>
      <definedName name="Printall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rketData"/>
    </sheetNames>
    <definedNames>
      <definedName name="SortCurMarketData" sheetId="0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Relationship Id="rId2" Target="../drawings/drawing2.xml" Type="http://schemas.openxmlformats.org/officeDocument/2006/relationships/drawing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drawing3.xml" Type="http://schemas.openxmlformats.org/officeDocument/2006/relationships/drawing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/Relationships>

</file>

<file path=xl/worksheets/_rels/sheet10.xml.rels><?xml version="1.0" encoding="UTF-8" standalone="yes"?>
<Relationships xmlns="http://schemas.openxmlformats.org/package/2006/relationships">
<Relationship Id="rId1" Target="../printerSettings/printerSettings10.bin" Type="http://schemas.openxmlformats.org/officeDocument/2006/relationships/printerSettings"/>
</Relationships>

</file>

<file path=xl/worksheets/_rels/sheet11.xml.rels><?xml version="1.0" encoding="UTF-8" standalone="yes"?>
<Relationships xmlns="http://schemas.openxmlformats.org/package/2006/relationships">
<Relationship Id="rId1" Target="../printerSettings/printerSettings11.bin" Type="http://schemas.openxmlformats.org/officeDocument/2006/relationships/printerSettings"/>
</Relationships>

</file>

<file path=xl/worksheets/_rels/sheet12.xml.rels><?xml version="1.0" encoding="UTF-8" standalone="yes"?>
<Relationships xmlns="http://schemas.openxmlformats.org/package/2006/relationships">
<Relationship Id="rId1" Target="../printerSettings/printerSettings12.bin" Type="http://schemas.openxmlformats.org/officeDocument/2006/relationships/printerSettings"/>
</Relationships>

</file>

<file path=xl/worksheets/_rels/sheet13.xml.rels><?xml version="1.0" encoding="UTF-8" standalone="yes"?>
<Relationships xmlns="http://schemas.openxmlformats.org/package/2006/relationships">
<Relationship Id="rId1" Target="../printerSettings/printerSettings13.bin" Type="http://schemas.openxmlformats.org/officeDocument/2006/relationships/printerSettings"/>
</Relationships>

</file>

<file path=xl/worksheets/_rels/sheet14.xml.rels><?xml version="1.0" encoding="UTF-8" standalone="yes"?>
<Relationships xmlns="http://schemas.openxmlformats.org/package/2006/relationships">
<Relationship Id="rId1" Target="../printerSettings/printerSettings14.bin" Type="http://schemas.openxmlformats.org/officeDocument/2006/relationships/printerSettings"/>
</Relationships>

</file>

<file path=xl/worksheets/_rels/sheet15.xml.rels><?xml version="1.0" encoding="UTF-8" standalone="yes"?>
<Relationships xmlns="http://schemas.openxmlformats.org/package/2006/relationships">
<Relationship Id="rId1" Target="../printerSettings/printerSettings15.bin" Type="http://schemas.openxmlformats.org/officeDocument/2006/relationships/printerSettings"/>
</Relationships>

</file>

<file path=xl/worksheets/_rels/sheet16.xml.rels><?xml version="1.0" encoding="UTF-8" standalone="yes"?>
<Relationships xmlns="http://schemas.openxmlformats.org/package/2006/relationships">
<Relationship Id="rId1" Target="../printerSettings/printerSettings16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17.xml.rels><?xml version="1.0" encoding="UTF-8" standalone="yes"?>
<Relationships xmlns="http://schemas.openxmlformats.org/package/2006/relationships">
<Relationship Id="rId1" Target="../printerSettings/printerSettings17.bin" Type="http://schemas.openxmlformats.org/officeDocument/2006/relationships/printerSettings"/>
</Relationships>

</file>

<file path=xl/worksheets/_rels/sheet18.xml.rels><?xml version="1.0" encoding="UTF-8" standalone="yes"?>
<Relationships xmlns="http://schemas.openxmlformats.org/package/2006/relationships">
<Relationship Id="rId1" Target="../printerSettings/printerSettings18.bin" Type="http://schemas.openxmlformats.org/officeDocument/2006/relationships/printerSettings"/>
</Relationships>

</file>

<file path=xl/worksheets/_rels/sheet19.xml.rels><?xml version="1.0" encoding="UTF-8" standalone="yes"?>
<Relationships xmlns="http://schemas.openxmlformats.org/package/2006/relationships">
<Relationship Id="rId1" Target="../printerSettings/printerSettings19.bin" Type="http://schemas.openxmlformats.org/officeDocument/2006/relationships/printerSettings"/>
</Relationships>

</file>

<file path=xl/worksheets/_rels/sheet20.xml.rels><?xml version="1.0" encoding="UTF-8" standalone="yes"?>
<Relationships xmlns="http://schemas.openxmlformats.org/package/2006/relationships">
<Relationship Id="rId1" Target="../printerSettings/printerSettings20.bin" Type="http://schemas.openxmlformats.org/officeDocument/2006/relationships/printerSettings"/>
</Relationships>

</file>

<file path=xl/worksheets/_rels/sheet21.xml.rels><?xml version="1.0" encoding="UTF-8" standalone="yes"?>
<Relationships xmlns="http://schemas.openxmlformats.org/package/2006/relationships">
<Relationship Id="rId1" Target="../printerSettings/printerSettings21.bin" Type="http://schemas.openxmlformats.org/officeDocument/2006/relationships/printerSettings"/>
</Relationships>

</file>

<file path=xl/worksheets/_rels/sheet22.xml.rels><?xml version="1.0" encoding="UTF-8" standalone="yes"?>
<Relationships xmlns="http://schemas.openxmlformats.org/package/2006/relationships">
<Relationship Id="rId1" Target="../printerSettings/printerSettings22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98"/>
  <sheetViews>
    <sheetView showGridLines="0" tabSelected="1" topLeftCell="A52" zoomScaleNormal="100" workbookViewId="0">
      <selection activeCell="M23" sqref="M23"/>
    </sheetView>
  </sheetViews>
  <sheetFormatPr defaultRowHeight="12.75" x14ac:dyDescent="0.2"/>
  <cols>
    <col min="1" max="1" width="25.7109375" style="681" customWidth="1"/>
    <col min="2" max="5" width="9.140625" style="681"/>
    <col min="6" max="6" width="18.7109375" style="681" customWidth="1"/>
    <col min="7" max="256" width="9.140625" style="681"/>
    <col min="257" max="257" width="100.7109375" style="681" customWidth="1"/>
    <col min="258" max="512" width="9.140625" style="681"/>
    <col min="513" max="513" width="100.7109375" style="681" customWidth="1"/>
    <col min="514" max="768" width="9.140625" style="681"/>
    <col min="769" max="769" width="100.7109375" style="681" customWidth="1"/>
    <col min="770" max="1024" width="9.140625" style="681"/>
    <col min="1025" max="1025" width="100.7109375" style="681" customWidth="1"/>
    <col min="1026" max="1280" width="9.140625" style="681"/>
    <col min="1281" max="1281" width="100.7109375" style="681" customWidth="1"/>
    <col min="1282" max="1536" width="9.140625" style="681"/>
    <col min="1537" max="1537" width="100.7109375" style="681" customWidth="1"/>
    <col min="1538" max="1792" width="9.140625" style="681"/>
    <col min="1793" max="1793" width="100.7109375" style="681" customWidth="1"/>
    <col min="1794" max="2048" width="9.140625" style="681"/>
    <col min="2049" max="2049" width="100.7109375" style="681" customWidth="1"/>
    <col min="2050" max="2304" width="9.140625" style="681"/>
    <col min="2305" max="2305" width="100.7109375" style="681" customWidth="1"/>
    <col min="2306" max="2560" width="9.140625" style="681"/>
    <col min="2561" max="2561" width="100.7109375" style="681" customWidth="1"/>
    <col min="2562" max="2816" width="9.140625" style="681"/>
    <col min="2817" max="2817" width="100.7109375" style="681" customWidth="1"/>
    <col min="2818" max="3072" width="9.140625" style="681"/>
    <col min="3073" max="3073" width="100.7109375" style="681" customWidth="1"/>
    <col min="3074" max="3328" width="9.140625" style="681"/>
    <col min="3329" max="3329" width="100.7109375" style="681" customWidth="1"/>
    <col min="3330" max="3584" width="9.140625" style="681"/>
    <col min="3585" max="3585" width="100.7109375" style="681" customWidth="1"/>
    <col min="3586" max="3840" width="9.140625" style="681"/>
    <col min="3841" max="3841" width="100.7109375" style="681" customWidth="1"/>
    <col min="3842" max="4096" width="9.140625" style="681"/>
    <col min="4097" max="4097" width="100.7109375" style="681" customWidth="1"/>
    <col min="4098" max="4352" width="9.140625" style="681"/>
    <col min="4353" max="4353" width="100.7109375" style="681" customWidth="1"/>
    <col min="4354" max="4608" width="9.140625" style="681"/>
    <col min="4609" max="4609" width="100.7109375" style="681" customWidth="1"/>
    <col min="4610" max="4864" width="9.140625" style="681"/>
    <col min="4865" max="4865" width="100.7109375" style="681" customWidth="1"/>
    <col min="4866" max="5120" width="9.140625" style="681"/>
    <col min="5121" max="5121" width="100.7109375" style="681" customWidth="1"/>
    <col min="5122" max="5376" width="9.140625" style="681"/>
    <col min="5377" max="5377" width="100.7109375" style="681" customWidth="1"/>
    <col min="5378" max="5632" width="9.140625" style="681"/>
    <col min="5633" max="5633" width="100.7109375" style="681" customWidth="1"/>
    <col min="5634" max="5888" width="9.140625" style="681"/>
    <col min="5889" max="5889" width="100.7109375" style="681" customWidth="1"/>
    <col min="5890" max="6144" width="9.140625" style="681"/>
    <col min="6145" max="6145" width="100.7109375" style="681" customWidth="1"/>
    <col min="6146" max="6400" width="9.140625" style="681"/>
    <col min="6401" max="6401" width="100.7109375" style="681" customWidth="1"/>
    <col min="6402" max="6656" width="9.140625" style="681"/>
    <col min="6657" max="6657" width="100.7109375" style="681" customWidth="1"/>
    <col min="6658" max="6912" width="9.140625" style="681"/>
    <col min="6913" max="6913" width="100.7109375" style="681" customWidth="1"/>
    <col min="6914" max="7168" width="9.140625" style="681"/>
    <col min="7169" max="7169" width="100.7109375" style="681" customWidth="1"/>
    <col min="7170" max="7424" width="9.140625" style="681"/>
    <col min="7425" max="7425" width="100.7109375" style="681" customWidth="1"/>
    <col min="7426" max="7680" width="9.140625" style="681"/>
    <col min="7681" max="7681" width="100.7109375" style="681" customWidth="1"/>
    <col min="7682" max="7936" width="9.140625" style="681"/>
    <col min="7937" max="7937" width="100.7109375" style="681" customWidth="1"/>
    <col min="7938" max="8192" width="9.140625" style="681"/>
    <col min="8193" max="8193" width="100.7109375" style="681" customWidth="1"/>
    <col min="8194" max="8448" width="9.140625" style="681"/>
    <col min="8449" max="8449" width="100.7109375" style="681" customWidth="1"/>
    <col min="8450" max="8704" width="9.140625" style="681"/>
    <col min="8705" max="8705" width="100.7109375" style="681" customWidth="1"/>
    <col min="8706" max="8960" width="9.140625" style="681"/>
    <col min="8961" max="8961" width="100.7109375" style="681" customWidth="1"/>
    <col min="8962" max="9216" width="9.140625" style="681"/>
    <col min="9217" max="9217" width="100.7109375" style="681" customWidth="1"/>
    <col min="9218" max="9472" width="9.140625" style="681"/>
    <col min="9473" max="9473" width="100.7109375" style="681" customWidth="1"/>
    <col min="9474" max="9728" width="9.140625" style="681"/>
    <col min="9729" max="9729" width="100.7109375" style="681" customWidth="1"/>
    <col min="9730" max="9984" width="9.140625" style="681"/>
    <col min="9985" max="9985" width="100.7109375" style="681" customWidth="1"/>
    <col min="9986" max="10240" width="9.140625" style="681"/>
    <col min="10241" max="10241" width="100.7109375" style="681" customWidth="1"/>
    <col min="10242" max="10496" width="9.140625" style="681"/>
    <col min="10497" max="10497" width="100.7109375" style="681" customWidth="1"/>
    <col min="10498" max="10752" width="9.140625" style="681"/>
    <col min="10753" max="10753" width="100.7109375" style="681" customWidth="1"/>
    <col min="10754" max="11008" width="9.140625" style="681"/>
    <col min="11009" max="11009" width="100.7109375" style="681" customWidth="1"/>
    <col min="11010" max="11264" width="9.140625" style="681"/>
    <col min="11265" max="11265" width="100.7109375" style="681" customWidth="1"/>
    <col min="11266" max="11520" width="9.140625" style="681"/>
    <col min="11521" max="11521" width="100.7109375" style="681" customWidth="1"/>
    <col min="11522" max="11776" width="9.140625" style="681"/>
    <col min="11777" max="11777" width="100.7109375" style="681" customWidth="1"/>
    <col min="11778" max="12032" width="9.140625" style="681"/>
    <col min="12033" max="12033" width="100.7109375" style="681" customWidth="1"/>
    <col min="12034" max="12288" width="9.140625" style="681"/>
    <col min="12289" max="12289" width="100.7109375" style="681" customWidth="1"/>
    <col min="12290" max="12544" width="9.140625" style="681"/>
    <col min="12545" max="12545" width="100.7109375" style="681" customWidth="1"/>
    <col min="12546" max="12800" width="9.140625" style="681"/>
    <col min="12801" max="12801" width="100.7109375" style="681" customWidth="1"/>
    <col min="12802" max="13056" width="9.140625" style="681"/>
    <col min="13057" max="13057" width="100.7109375" style="681" customWidth="1"/>
    <col min="13058" max="13312" width="9.140625" style="681"/>
    <col min="13313" max="13313" width="100.7109375" style="681" customWidth="1"/>
    <col min="13314" max="13568" width="9.140625" style="681"/>
    <col min="13569" max="13569" width="100.7109375" style="681" customWidth="1"/>
    <col min="13570" max="13824" width="9.140625" style="681"/>
    <col min="13825" max="13825" width="100.7109375" style="681" customWidth="1"/>
    <col min="13826" max="14080" width="9.140625" style="681"/>
    <col min="14081" max="14081" width="100.7109375" style="681" customWidth="1"/>
    <col min="14082" max="14336" width="9.140625" style="681"/>
    <col min="14337" max="14337" width="100.7109375" style="681" customWidth="1"/>
    <col min="14338" max="14592" width="9.140625" style="681"/>
    <col min="14593" max="14593" width="100.7109375" style="681" customWidth="1"/>
    <col min="14594" max="14848" width="9.140625" style="681"/>
    <col min="14849" max="14849" width="100.7109375" style="681" customWidth="1"/>
    <col min="14850" max="15104" width="9.140625" style="681"/>
    <col min="15105" max="15105" width="100.7109375" style="681" customWidth="1"/>
    <col min="15106" max="15360" width="9.140625" style="681"/>
    <col min="15361" max="15361" width="100.7109375" style="681" customWidth="1"/>
    <col min="15362" max="15616" width="9.140625" style="681"/>
    <col min="15617" max="15617" width="100.7109375" style="681" customWidth="1"/>
    <col min="15618" max="15872" width="9.140625" style="681"/>
    <col min="15873" max="15873" width="100.7109375" style="681" customWidth="1"/>
    <col min="15874" max="16128" width="9.140625" style="681"/>
    <col min="16129" max="16129" width="100.7109375" style="681" customWidth="1"/>
    <col min="16130" max="16384" width="9.140625" style="681"/>
  </cols>
  <sheetData>
    <row r="1" spans="1:8" ht="30" customHeight="1" x14ac:dyDescent="0.2">
      <c r="A1" s="679"/>
      <c r="B1" s="680"/>
      <c r="C1" s="680"/>
      <c r="D1" s="680"/>
      <c r="E1" s="680"/>
      <c r="F1" s="680"/>
      <c r="G1" s="680"/>
      <c r="H1" s="680"/>
    </row>
    <row r="2" spans="1:8" ht="14.25" x14ac:dyDescent="0.2">
      <c r="A2" s="682" t="s">
        <v>623</v>
      </c>
      <c r="B2" s="680"/>
      <c r="C2" s="680"/>
      <c r="D2" s="680"/>
      <c r="E2" s="680"/>
      <c r="F2" s="680"/>
      <c r="G2" s="680"/>
      <c r="H2" s="680"/>
    </row>
    <row r="3" spans="1:8" ht="14.25" x14ac:dyDescent="0.2">
      <c r="A3" s="682" t="s">
        <v>624</v>
      </c>
      <c r="B3" s="680"/>
      <c r="C3" s="680"/>
      <c r="D3" s="680"/>
      <c r="E3" s="680"/>
      <c r="F3" s="680"/>
      <c r="G3" s="680"/>
      <c r="H3" s="680"/>
    </row>
    <row r="4" spans="1:8" ht="14.25" x14ac:dyDescent="0.2">
      <c r="A4" s="682" t="s">
        <v>625</v>
      </c>
      <c r="B4" s="680"/>
      <c r="C4" s="680"/>
      <c r="D4" s="680"/>
      <c r="E4" s="680"/>
      <c r="F4" s="680"/>
      <c r="G4" s="680"/>
      <c r="H4" s="680"/>
    </row>
    <row r="5" spans="1:8" ht="14.25" x14ac:dyDescent="0.2">
      <c r="A5" s="682" t="s">
        <v>626</v>
      </c>
      <c r="B5" s="680"/>
      <c r="C5" s="680"/>
      <c r="D5" s="680"/>
      <c r="E5" s="680"/>
      <c r="F5" s="680"/>
      <c r="G5" s="680"/>
      <c r="H5" s="680"/>
    </row>
    <row r="6" spans="1:8" ht="14.25" x14ac:dyDescent="0.2">
      <c r="A6" s="682"/>
      <c r="B6" s="680"/>
      <c r="C6" s="680"/>
      <c r="D6" s="680"/>
      <c r="E6" s="680"/>
      <c r="F6" s="680"/>
      <c r="G6" s="680"/>
      <c r="H6" s="680"/>
    </row>
    <row r="7" spans="1:8" x14ac:dyDescent="0.2">
      <c r="A7" s="679" t="s">
        <v>627</v>
      </c>
      <c r="B7" s="680"/>
      <c r="C7" s="680"/>
      <c r="D7" s="680"/>
      <c r="E7" s="680"/>
      <c r="F7" s="680"/>
      <c r="G7" s="680"/>
      <c r="H7" s="680"/>
    </row>
    <row r="8" spans="1:8" x14ac:dyDescent="0.2">
      <c r="A8" s="679" t="s">
        <v>628</v>
      </c>
      <c r="B8" s="680"/>
      <c r="C8" s="680"/>
      <c r="D8" s="680"/>
      <c r="E8" s="680"/>
      <c r="F8" s="680"/>
      <c r="G8" s="680"/>
      <c r="H8" s="680"/>
    </row>
    <row r="9" spans="1:8" x14ac:dyDescent="0.2">
      <c r="A9" s="679"/>
      <c r="B9" s="680"/>
      <c r="C9" s="680"/>
      <c r="D9" s="680"/>
      <c r="E9" s="680"/>
      <c r="F9" s="680"/>
      <c r="G9" s="680"/>
      <c r="H9" s="680"/>
    </row>
    <row r="10" spans="1:8" x14ac:dyDescent="0.2">
      <c r="A10" s="683" t="s">
        <v>629</v>
      </c>
      <c r="B10" s="680"/>
      <c r="C10" s="680"/>
      <c r="D10" s="680"/>
      <c r="E10" s="680"/>
      <c r="F10" s="680"/>
      <c r="G10" s="680"/>
      <c r="H10" s="680"/>
    </row>
    <row r="11" spans="1:8" x14ac:dyDescent="0.2">
      <c r="A11" s="683" t="s">
        <v>630</v>
      </c>
      <c r="B11" s="680"/>
      <c r="C11" s="680"/>
      <c r="D11" s="680"/>
      <c r="E11" s="680"/>
      <c r="F11" s="680"/>
      <c r="G11" s="680"/>
      <c r="H11" s="680"/>
    </row>
    <row r="12" spans="1:8" x14ac:dyDescent="0.2">
      <c r="A12" s="683" t="s">
        <v>631</v>
      </c>
      <c r="B12" s="680"/>
      <c r="C12" s="680"/>
      <c r="D12" s="680"/>
      <c r="E12" s="680"/>
      <c r="F12" s="680"/>
      <c r="G12" s="680"/>
      <c r="H12" s="680"/>
    </row>
    <row r="13" spans="1:8" x14ac:dyDescent="0.2">
      <c r="A13" s="683" t="s">
        <v>632</v>
      </c>
      <c r="B13" s="680"/>
      <c r="C13" s="680"/>
      <c r="D13" s="680"/>
      <c r="E13" s="680"/>
      <c r="F13" s="680"/>
      <c r="G13" s="680"/>
      <c r="H13" s="680"/>
    </row>
    <row r="14" spans="1:8" x14ac:dyDescent="0.2">
      <c r="A14" s="683" t="s">
        <v>633</v>
      </c>
      <c r="B14" s="680"/>
      <c r="C14" s="680"/>
      <c r="D14" s="680"/>
      <c r="E14" s="680"/>
      <c r="F14" s="680"/>
      <c r="G14" s="680"/>
      <c r="H14" s="680"/>
    </row>
    <row r="15" spans="1:8" x14ac:dyDescent="0.2">
      <c r="A15" s="683" t="s">
        <v>634</v>
      </c>
      <c r="B15" s="680"/>
      <c r="C15" s="680"/>
      <c r="D15" s="680"/>
      <c r="E15" s="680"/>
      <c r="F15" s="680"/>
      <c r="G15" s="680"/>
      <c r="H15" s="680"/>
    </row>
    <row r="16" spans="1:8" x14ac:dyDescent="0.2">
      <c r="A16" s="683"/>
      <c r="B16" s="680"/>
      <c r="C16" s="680"/>
      <c r="D16" s="680"/>
      <c r="E16" s="680"/>
      <c r="F16" s="680"/>
      <c r="G16" s="680"/>
      <c r="H16" s="680"/>
    </row>
    <row r="17" spans="1:8" x14ac:dyDescent="0.2">
      <c r="A17" s="683" t="s">
        <v>620</v>
      </c>
      <c r="B17" s="680"/>
      <c r="C17" s="680"/>
      <c r="D17" s="680"/>
      <c r="E17" s="680"/>
      <c r="F17" s="680"/>
      <c r="G17" s="680"/>
      <c r="H17" s="680"/>
    </row>
    <row r="18" spans="1:8" x14ac:dyDescent="0.2">
      <c r="A18" s="683"/>
      <c r="B18" s="680"/>
      <c r="C18" s="680"/>
      <c r="D18" s="680"/>
      <c r="E18" s="680"/>
      <c r="F18" s="680"/>
      <c r="G18" s="680"/>
      <c r="H18" s="680"/>
    </row>
    <row r="19" spans="1:8" x14ac:dyDescent="0.2">
      <c r="A19" s="683" t="s">
        <v>621</v>
      </c>
      <c r="B19" s="680"/>
      <c r="C19" s="680"/>
      <c r="D19" s="680"/>
      <c r="E19" s="680"/>
      <c r="F19" s="680"/>
      <c r="G19" s="680"/>
      <c r="H19" s="680"/>
    </row>
    <row r="20" spans="1:8" x14ac:dyDescent="0.2">
      <c r="A20" s="679"/>
      <c r="B20" s="680"/>
      <c r="C20" s="680"/>
      <c r="D20" s="680"/>
      <c r="E20" s="680"/>
      <c r="F20" s="680"/>
      <c r="G20" s="680"/>
      <c r="H20" s="680"/>
    </row>
    <row r="21" spans="1:8" x14ac:dyDescent="0.2">
      <c r="A21" s="684" t="s">
        <v>622</v>
      </c>
      <c r="B21" s="680"/>
      <c r="C21" s="680"/>
      <c r="D21" s="680"/>
      <c r="E21" s="680"/>
      <c r="F21" s="680"/>
      <c r="G21" s="680"/>
      <c r="H21" s="680"/>
    </row>
    <row r="22" spans="1:8" x14ac:dyDescent="0.2">
      <c r="A22" s="685"/>
      <c r="B22" s="685"/>
      <c r="C22" s="685"/>
      <c r="D22" s="685"/>
      <c r="E22" s="685"/>
      <c r="F22" s="685"/>
      <c r="G22" s="685"/>
      <c r="H22" s="685"/>
    </row>
    <row r="23" spans="1:8" x14ac:dyDescent="0.2">
      <c r="A23" s="686" t="s">
        <v>917</v>
      </c>
      <c r="B23" s="685"/>
      <c r="C23" s="685"/>
      <c r="D23" s="685"/>
      <c r="E23" s="685"/>
      <c r="F23" s="685"/>
      <c r="G23" s="685"/>
      <c r="H23" s="685"/>
    </row>
    <row r="24" spans="1:8" x14ac:dyDescent="0.2">
      <c r="A24" s="686" t="s">
        <v>918</v>
      </c>
      <c r="B24" s="685"/>
      <c r="C24" s="685"/>
      <c r="D24" s="685"/>
      <c r="E24" s="685"/>
      <c r="F24" s="685"/>
      <c r="G24" s="685"/>
      <c r="H24" s="685"/>
    </row>
    <row r="25" spans="1:8" x14ac:dyDescent="0.2">
      <c r="A25" s="686" t="s">
        <v>919</v>
      </c>
      <c r="B25" s="685"/>
      <c r="C25" s="685"/>
      <c r="D25" s="685"/>
      <c r="E25" s="685"/>
      <c r="F25" s="685"/>
      <c r="G25" s="685"/>
      <c r="H25" s="685"/>
    </row>
    <row r="26" spans="1:8" x14ac:dyDescent="0.2">
      <c r="A26" s="686" t="s">
        <v>920</v>
      </c>
      <c r="B26" s="685"/>
      <c r="C26" s="685"/>
      <c r="D26" s="685"/>
      <c r="E26" s="685"/>
      <c r="F26" s="685"/>
      <c r="G26" s="685"/>
      <c r="H26" s="685"/>
    </row>
    <row r="27" spans="1:8" x14ac:dyDescent="0.2">
      <c r="A27" s="685"/>
      <c r="B27" s="685"/>
      <c r="C27" s="685"/>
      <c r="D27" s="685"/>
      <c r="E27" s="685"/>
      <c r="F27" s="685"/>
      <c r="G27" s="685"/>
      <c r="H27" s="685"/>
    </row>
    <row r="28" spans="1:8" x14ac:dyDescent="0.2">
      <c r="A28" s="685"/>
      <c r="B28" s="685"/>
      <c r="C28" s="685"/>
      <c r="D28" s="685"/>
      <c r="E28" s="685"/>
      <c r="F28" s="685"/>
      <c r="G28" s="685"/>
      <c r="H28" s="685"/>
    </row>
    <row r="29" spans="1:8" x14ac:dyDescent="0.2">
      <c r="A29" s="686" t="s">
        <v>911</v>
      </c>
      <c r="B29" s="685"/>
      <c r="C29" s="685"/>
      <c r="D29" s="685"/>
      <c r="E29" s="685"/>
      <c r="F29" s="685"/>
      <c r="G29" s="685"/>
      <c r="H29" s="685"/>
    </row>
    <row r="30" spans="1:8" x14ac:dyDescent="0.2">
      <c r="A30" s="686" t="s">
        <v>912</v>
      </c>
      <c r="B30" s="685"/>
      <c r="C30" s="685"/>
      <c r="D30" s="685"/>
      <c r="E30" s="685"/>
      <c r="F30" s="685"/>
      <c r="G30" s="685"/>
      <c r="H30" s="685"/>
    </row>
    <row r="31" spans="1:8" x14ac:dyDescent="0.2">
      <c r="A31" s="686" t="s">
        <v>913</v>
      </c>
      <c r="B31" s="685"/>
      <c r="C31" s="685"/>
      <c r="D31" s="685"/>
      <c r="E31" s="685"/>
      <c r="F31" s="685"/>
      <c r="G31" s="685"/>
      <c r="H31" s="685"/>
    </row>
    <row r="32" spans="1:8" x14ac:dyDescent="0.2">
      <c r="A32" s="686" t="s">
        <v>914</v>
      </c>
      <c r="B32" s="685"/>
      <c r="C32" s="685"/>
      <c r="D32" s="685"/>
      <c r="E32" s="685"/>
      <c r="F32" s="685"/>
      <c r="G32" s="685"/>
      <c r="H32" s="685"/>
    </row>
    <row r="33" spans="1:8" x14ac:dyDescent="0.2">
      <c r="A33" s="686" t="s">
        <v>915</v>
      </c>
      <c r="B33" s="685"/>
      <c r="C33" s="685"/>
      <c r="D33" s="685"/>
      <c r="E33" s="685"/>
      <c r="F33" s="685"/>
      <c r="G33" s="685"/>
      <c r="H33" s="685"/>
    </row>
    <row r="34" spans="1:8" x14ac:dyDescent="0.2">
      <c r="A34" s="686" t="s">
        <v>916</v>
      </c>
      <c r="B34" s="685"/>
      <c r="C34" s="685"/>
      <c r="D34" s="685"/>
      <c r="E34" s="685"/>
      <c r="F34" s="685"/>
      <c r="G34" s="685"/>
      <c r="H34" s="685"/>
    </row>
    <row r="35" spans="1:8" x14ac:dyDescent="0.2">
      <c r="A35" s="685"/>
      <c r="B35" s="685"/>
      <c r="C35" s="685"/>
      <c r="D35" s="685"/>
      <c r="E35" s="685"/>
      <c r="F35" s="685"/>
      <c r="G35" s="685"/>
      <c r="H35" s="685"/>
    </row>
    <row r="36" spans="1:8" x14ac:dyDescent="0.2">
      <c r="A36" s="686" t="s">
        <v>907</v>
      </c>
      <c r="B36" s="685"/>
      <c r="C36" s="685"/>
      <c r="D36" s="685"/>
      <c r="E36" s="685"/>
      <c r="F36" s="685"/>
      <c r="G36" s="685"/>
      <c r="H36" s="685"/>
    </row>
    <row r="37" spans="1:8" x14ac:dyDescent="0.2">
      <c r="A37" s="686" t="s">
        <v>908</v>
      </c>
      <c r="B37" s="685"/>
      <c r="C37" s="685"/>
      <c r="D37" s="685"/>
      <c r="E37" s="685"/>
      <c r="F37" s="685"/>
      <c r="G37" s="685"/>
      <c r="H37" s="685"/>
    </row>
    <row r="38" spans="1:8" x14ac:dyDescent="0.2">
      <c r="A38" s="686" t="s">
        <v>909</v>
      </c>
      <c r="B38" s="685"/>
      <c r="C38" s="685"/>
      <c r="D38" s="685"/>
      <c r="E38" s="685"/>
      <c r="F38" s="685"/>
      <c r="G38" s="685"/>
      <c r="H38" s="685"/>
    </row>
    <row r="39" spans="1:8" x14ac:dyDescent="0.2">
      <c r="A39" s="686" t="s">
        <v>910</v>
      </c>
      <c r="B39" s="685"/>
      <c r="C39" s="685"/>
      <c r="D39" s="685"/>
      <c r="E39" s="685"/>
      <c r="F39" s="685"/>
      <c r="G39" s="685"/>
      <c r="H39" s="685"/>
    </row>
    <row r="40" spans="1:8" x14ac:dyDescent="0.2">
      <c r="A40" s="685"/>
      <c r="B40" s="685"/>
      <c r="C40" s="685"/>
      <c r="D40" s="685"/>
      <c r="E40" s="685"/>
      <c r="F40" s="685"/>
      <c r="G40" s="685"/>
      <c r="H40" s="685"/>
    </row>
    <row r="41" spans="1:8" x14ac:dyDescent="0.2">
      <c r="A41" s="686" t="s">
        <v>901</v>
      </c>
      <c r="B41" s="685"/>
      <c r="C41" s="685"/>
      <c r="D41" s="685"/>
      <c r="E41" s="685"/>
      <c r="F41" s="685"/>
      <c r="G41" s="685"/>
      <c r="H41" s="685"/>
    </row>
    <row r="42" spans="1:8" x14ac:dyDescent="0.2">
      <c r="A42" s="686" t="s">
        <v>902</v>
      </c>
      <c r="B42" s="685"/>
      <c r="C42" s="685"/>
      <c r="D42" s="685"/>
      <c r="E42" s="685"/>
      <c r="F42" s="685"/>
      <c r="G42" s="685"/>
      <c r="H42" s="685"/>
    </row>
    <row r="43" spans="1:8" x14ac:dyDescent="0.2">
      <c r="A43" s="686" t="s">
        <v>903</v>
      </c>
      <c r="B43" s="685"/>
      <c r="C43" s="685"/>
      <c r="D43" s="685"/>
      <c r="E43" s="685"/>
      <c r="F43" s="685"/>
      <c r="G43" s="685"/>
      <c r="H43" s="685"/>
    </row>
    <row r="44" spans="1:8" x14ac:dyDescent="0.2">
      <c r="A44" s="686" t="s">
        <v>904</v>
      </c>
      <c r="B44" s="685"/>
      <c r="C44" s="685"/>
      <c r="D44" s="685"/>
      <c r="E44" s="685"/>
      <c r="F44" s="685"/>
      <c r="G44" s="685"/>
      <c r="H44" s="685"/>
    </row>
    <row r="45" spans="1:8" x14ac:dyDescent="0.2">
      <c r="A45" s="686" t="s">
        <v>905</v>
      </c>
      <c r="B45" s="685"/>
      <c r="C45" s="685"/>
      <c r="D45" s="685"/>
      <c r="E45" s="685"/>
      <c r="F45" s="685"/>
      <c r="G45" s="685"/>
      <c r="H45" s="685"/>
    </row>
    <row r="46" spans="1:8" x14ac:dyDescent="0.2">
      <c r="A46" s="686" t="s">
        <v>906</v>
      </c>
      <c r="B46" s="685"/>
      <c r="C46" s="685"/>
      <c r="D46" s="685"/>
      <c r="E46" s="685"/>
      <c r="F46" s="685"/>
      <c r="G46" s="685"/>
      <c r="H46" s="685"/>
    </row>
    <row r="47" spans="1:8" x14ac:dyDescent="0.2">
      <c r="A47" s="685"/>
      <c r="B47" s="685"/>
      <c r="C47" s="685"/>
      <c r="D47" s="685"/>
      <c r="E47" s="685"/>
      <c r="F47" s="685"/>
      <c r="G47" s="685"/>
      <c r="H47" s="685"/>
    </row>
    <row r="48" spans="1:8" ht="15.75" x14ac:dyDescent="0.2">
      <c r="A48" s="687" t="s">
        <v>635</v>
      </c>
      <c r="B48" s="685"/>
      <c r="C48" s="685"/>
      <c r="D48" s="685"/>
      <c r="E48" s="685"/>
      <c r="F48" s="685"/>
      <c r="G48" s="685"/>
      <c r="H48" s="685"/>
    </row>
    <row r="49" spans="1:8" x14ac:dyDescent="0.2">
      <c r="A49" s="685"/>
      <c r="B49" s="685"/>
      <c r="C49" s="685"/>
      <c r="D49" s="685"/>
      <c r="E49" s="685"/>
      <c r="F49" s="685"/>
      <c r="G49" s="685"/>
      <c r="H49" s="685"/>
    </row>
    <row r="50" spans="1:8" x14ac:dyDescent="0.2">
      <c r="A50" s="686" t="s">
        <v>897</v>
      </c>
      <c r="B50" s="685"/>
      <c r="C50" s="685"/>
      <c r="D50" s="685"/>
      <c r="E50" s="685"/>
      <c r="F50" s="685"/>
      <c r="G50" s="685"/>
      <c r="H50" s="685"/>
    </row>
    <row r="51" spans="1:8" x14ac:dyDescent="0.2">
      <c r="A51" s="686" t="s">
        <v>898</v>
      </c>
      <c r="B51" s="685"/>
      <c r="C51" s="685"/>
      <c r="D51" s="685"/>
      <c r="E51" s="685"/>
      <c r="F51" s="685"/>
      <c r="G51" s="685"/>
      <c r="H51" s="685"/>
    </row>
    <row r="52" spans="1:8" x14ac:dyDescent="0.2">
      <c r="A52" s="686" t="s">
        <v>899</v>
      </c>
      <c r="B52" s="685"/>
      <c r="C52" s="685"/>
      <c r="D52" s="685"/>
      <c r="E52" s="685"/>
      <c r="F52" s="685"/>
      <c r="G52" s="685"/>
      <c r="H52" s="685"/>
    </row>
    <row r="53" spans="1:8" x14ac:dyDescent="0.2">
      <c r="A53" s="686" t="s">
        <v>900</v>
      </c>
      <c r="B53" s="685"/>
      <c r="C53" s="685"/>
      <c r="D53" s="685"/>
      <c r="E53" s="685"/>
      <c r="F53" s="685"/>
      <c r="G53" s="685"/>
      <c r="H53" s="685"/>
    </row>
    <row r="54" spans="1:8" x14ac:dyDescent="0.2">
      <c r="A54" s="685"/>
      <c r="B54" s="685"/>
      <c r="C54" s="685"/>
      <c r="D54" s="685"/>
      <c r="E54" s="685"/>
      <c r="F54" s="685"/>
      <c r="G54" s="685"/>
      <c r="H54" s="685"/>
    </row>
    <row r="55" spans="1:8" x14ac:dyDescent="0.2">
      <c r="A55" s="686" t="s">
        <v>636</v>
      </c>
      <c r="B55" s="685"/>
      <c r="C55" s="685"/>
      <c r="D55" s="685"/>
      <c r="E55" s="685"/>
      <c r="F55" s="685"/>
      <c r="G55" s="685"/>
      <c r="H55" s="685"/>
    </row>
    <row r="56" spans="1:8" x14ac:dyDescent="0.2">
      <c r="A56" s="685"/>
      <c r="B56" s="685"/>
      <c r="C56" s="685"/>
      <c r="D56" s="685"/>
      <c r="E56" s="685"/>
      <c r="F56" s="685"/>
      <c r="G56" s="685"/>
      <c r="H56" s="685"/>
    </row>
    <row r="57" spans="1:8" ht="15.75" x14ac:dyDescent="0.2">
      <c r="A57" s="687" t="s">
        <v>637</v>
      </c>
      <c r="B57" s="685"/>
      <c r="C57" s="685"/>
      <c r="D57" s="685"/>
      <c r="E57" s="685"/>
      <c r="F57" s="685"/>
      <c r="G57" s="685"/>
      <c r="H57" s="685"/>
    </row>
    <row r="58" spans="1:8" x14ac:dyDescent="0.2">
      <c r="A58" s="685"/>
      <c r="B58" s="685"/>
      <c r="C58" s="685"/>
      <c r="D58" s="685"/>
      <c r="E58" s="685"/>
      <c r="F58" s="685"/>
      <c r="G58" s="685"/>
      <c r="H58" s="685"/>
    </row>
    <row r="59" spans="1:8" x14ac:dyDescent="0.2">
      <c r="A59" s="686" t="s">
        <v>895</v>
      </c>
      <c r="B59" s="685"/>
      <c r="C59" s="685"/>
      <c r="D59" s="685"/>
      <c r="E59" s="685"/>
      <c r="F59" s="685"/>
      <c r="G59" s="685"/>
      <c r="H59" s="685"/>
    </row>
    <row r="60" spans="1:8" x14ac:dyDescent="0.2">
      <c r="A60" s="686" t="s">
        <v>896</v>
      </c>
      <c r="B60" s="685"/>
      <c r="C60" s="685"/>
      <c r="D60" s="685"/>
      <c r="E60" s="685"/>
      <c r="F60" s="685"/>
      <c r="G60" s="685"/>
      <c r="H60" s="685"/>
    </row>
    <row r="61" spans="1:8" x14ac:dyDescent="0.2">
      <c r="A61" s="685"/>
      <c r="B61" s="685"/>
      <c r="C61" s="685"/>
      <c r="D61" s="685"/>
      <c r="E61" s="685"/>
      <c r="F61" s="685"/>
      <c r="G61" s="685"/>
      <c r="H61" s="685"/>
    </row>
    <row r="62" spans="1:8" ht="15.75" x14ac:dyDescent="0.2">
      <c r="A62" s="687" t="s">
        <v>638</v>
      </c>
      <c r="B62" s="685"/>
      <c r="C62" s="685"/>
      <c r="D62" s="685"/>
      <c r="E62" s="685"/>
      <c r="F62" s="685"/>
      <c r="G62" s="685"/>
      <c r="H62" s="685"/>
    </row>
    <row r="63" spans="1:8" x14ac:dyDescent="0.2">
      <c r="A63" s="685"/>
      <c r="B63" s="685"/>
      <c r="C63" s="685"/>
      <c r="D63" s="685"/>
      <c r="E63" s="685"/>
      <c r="F63" s="685"/>
      <c r="G63" s="685"/>
      <c r="H63" s="685"/>
    </row>
    <row r="64" spans="1:8" x14ac:dyDescent="0.2">
      <c r="A64" s="686" t="s">
        <v>893</v>
      </c>
      <c r="B64" s="685"/>
      <c r="C64" s="685"/>
      <c r="D64" s="685"/>
      <c r="E64" s="685"/>
      <c r="F64" s="685"/>
      <c r="G64" s="685"/>
      <c r="H64" s="685"/>
    </row>
    <row r="65" spans="1:8" x14ac:dyDescent="0.2">
      <c r="A65" s="686" t="s">
        <v>894</v>
      </c>
      <c r="B65" s="685"/>
      <c r="C65" s="685"/>
      <c r="D65" s="685"/>
      <c r="E65" s="685"/>
      <c r="F65" s="685"/>
      <c r="G65" s="685"/>
      <c r="H65" s="685"/>
    </row>
    <row r="66" spans="1:8" x14ac:dyDescent="0.2">
      <c r="A66" s="685"/>
      <c r="B66" s="685"/>
      <c r="C66" s="685"/>
      <c r="D66" s="685"/>
      <c r="E66" s="685"/>
      <c r="F66" s="685"/>
      <c r="G66" s="685"/>
      <c r="H66" s="685"/>
    </row>
    <row r="67" spans="1:8" x14ac:dyDescent="0.2">
      <c r="A67" s="686" t="s">
        <v>891</v>
      </c>
      <c r="B67" s="685"/>
      <c r="C67" s="685"/>
      <c r="D67" s="685"/>
      <c r="E67" s="685"/>
      <c r="F67" s="685"/>
      <c r="G67" s="685"/>
      <c r="H67" s="685"/>
    </row>
    <row r="68" spans="1:8" x14ac:dyDescent="0.2">
      <c r="A68" s="686" t="s">
        <v>892</v>
      </c>
      <c r="B68" s="685"/>
      <c r="C68" s="685"/>
      <c r="D68" s="685"/>
      <c r="E68" s="685"/>
      <c r="F68" s="685"/>
      <c r="G68" s="685"/>
      <c r="H68" s="685"/>
    </row>
    <row r="69" spans="1:8" x14ac:dyDescent="0.2">
      <c r="A69" s="685"/>
      <c r="B69" s="685"/>
      <c r="C69" s="685"/>
      <c r="D69" s="685"/>
      <c r="E69" s="685"/>
      <c r="F69" s="685"/>
      <c r="G69" s="685"/>
      <c r="H69" s="685"/>
    </row>
    <row r="70" spans="1:8" x14ac:dyDescent="0.2">
      <c r="A70" s="686" t="s">
        <v>889</v>
      </c>
      <c r="B70" s="685"/>
      <c r="C70" s="685"/>
      <c r="D70" s="685"/>
      <c r="E70" s="685"/>
      <c r="F70" s="685"/>
      <c r="G70" s="685"/>
      <c r="H70" s="685"/>
    </row>
    <row r="71" spans="1:8" x14ac:dyDescent="0.2">
      <c r="A71" s="686" t="s">
        <v>890</v>
      </c>
      <c r="B71" s="685"/>
      <c r="C71" s="685"/>
      <c r="D71" s="685"/>
      <c r="E71" s="685"/>
      <c r="F71" s="685"/>
      <c r="G71" s="685"/>
      <c r="H71" s="685"/>
    </row>
    <row r="72" spans="1:8" x14ac:dyDescent="0.2">
      <c r="A72" s="685"/>
      <c r="B72" s="685"/>
      <c r="C72" s="685"/>
      <c r="D72" s="685"/>
      <c r="E72" s="685"/>
      <c r="F72" s="685"/>
      <c r="G72" s="685"/>
      <c r="H72" s="685"/>
    </row>
    <row r="73" spans="1:8" x14ac:dyDescent="0.2">
      <c r="A73" s="686" t="s">
        <v>887</v>
      </c>
      <c r="B73" s="685"/>
      <c r="C73" s="685"/>
      <c r="D73" s="685"/>
      <c r="E73" s="685"/>
      <c r="F73" s="685"/>
      <c r="G73" s="685"/>
      <c r="H73" s="685"/>
    </row>
    <row r="74" spans="1:8" x14ac:dyDescent="0.2">
      <c r="A74" s="686" t="s">
        <v>888</v>
      </c>
      <c r="B74" s="685"/>
      <c r="C74" s="685"/>
      <c r="D74" s="685"/>
      <c r="E74" s="685"/>
      <c r="F74" s="685"/>
      <c r="G74" s="685"/>
      <c r="H74" s="685"/>
    </row>
    <row r="75" spans="1:8" x14ac:dyDescent="0.2">
      <c r="A75" s="685"/>
      <c r="B75" s="685"/>
      <c r="C75" s="685"/>
      <c r="D75" s="685"/>
      <c r="E75" s="685"/>
      <c r="F75" s="685"/>
      <c r="G75" s="685"/>
      <c r="H75" s="685"/>
    </row>
    <row r="76" spans="1:8" x14ac:dyDescent="0.2">
      <c r="A76" s="686" t="s">
        <v>885</v>
      </c>
      <c r="B76" s="685"/>
      <c r="C76" s="685"/>
      <c r="D76" s="685"/>
      <c r="E76" s="685"/>
      <c r="F76" s="685"/>
      <c r="G76" s="685"/>
      <c r="H76" s="685"/>
    </row>
    <row r="77" spans="1:8" x14ac:dyDescent="0.2">
      <c r="A77" s="686" t="s">
        <v>886</v>
      </c>
      <c r="B77" s="685"/>
      <c r="C77" s="685"/>
      <c r="D77" s="685"/>
      <c r="E77" s="685"/>
      <c r="F77" s="685"/>
      <c r="G77" s="685"/>
      <c r="H77" s="685"/>
    </row>
    <row r="78" spans="1:8" x14ac:dyDescent="0.2">
      <c r="A78" s="685"/>
      <c r="B78" s="685"/>
      <c r="C78" s="685"/>
      <c r="D78" s="685"/>
      <c r="E78" s="685"/>
      <c r="F78" s="685"/>
      <c r="G78" s="685"/>
      <c r="H78" s="685"/>
    </row>
    <row r="79" spans="1:8" x14ac:dyDescent="0.2">
      <c r="A79" s="686" t="s">
        <v>882</v>
      </c>
      <c r="B79" s="685"/>
      <c r="C79" s="685"/>
      <c r="D79" s="685"/>
      <c r="E79" s="685"/>
      <c r="F79" s="685"/>
      <c r="G79" s="685"/>
      <c r="H79" s="685"/>
    </row>
    <row r="80" spans="1:8" x14ac:dyDescent="0.2">
      <c r="A80" s="686" t="s">
        <v>883</v>
      </c>
      <c r="B80" s="685"/>
      <c r="C80" s="685"/>
      <c r="D80" s="685"/>
      <c r="E80" s="685"/>
      <c r="F80" s="685"/>
      <c r="G80" s="685"/>
      <c r="H80" s="685"/>
    </row>
    <row r="81" spans="1:8" x14ac:dyDescent="0.2">
      <c r="A81" s="686" t="s">
        <v>884</v>
      </c>
      <c r="B81" s="685"/>
      <c r="C81" s="685"/>
      <c r="D81" s="685"/>
      <c r="E81" s="685"/>
      <c r="F81" s="685"/>
      <c r="G81" s="685"/>
      <c r="H81" s="685"/>
    </row>
    <row r="82" spans="1:8" x14ac:dyDescent="0.2">
      <c r="A82" s="685"/>
      <c r="B82" s="685"/>
      <c r="C82" s="685"/>
      <c r="D82" s="685"/>
      <c r="E82" s="685"/>
      <c r="F82" s="685"/>
      <c r="G82" s="685"/>
      <c r="H82" s="685"/>
    </row>
    <row r="83" spans="1:8" x14ac:dyDescent="0.2">
      <c r="A83" s="686" t="s">
        <v>639</v>
      </c>
      <c r="B83" s="685"/>
      <c r="C83" s="685"/>
      <c r="D83" s="685"/>
      <c r="E83" s="685"/>
      <c r="F83" s="685"/>
      <c r="G83" s="685"/>
      <c r="H83" s="685"/>
    </row>
    <row r="84" spans="1:8" x14ac:dyDescent="0.2">
      <c r="A84" s="685"/>
      <c r="B84" s="685"/>
      <c r="C84" s="685"/>
      <c r="D84" s="685"/>
      <c r="E84" s="685"/>
      <c r="F84" s="685"/>
      <c r="G84" s="685"/>
      <c r="H84" s="685"/>
    </row>
    <row r="85" spans="1:8" x14ac:dyDescent="0.2">
      <c r="A85" s="686" t="s">
        <v>877</v>
      </c>
      <c r="B85" s="685"/>
      <c r="C85" s="685"/>
      <c r="D85" s="685"/>
      <c r="E85" s="685"/>
      <c r="F85" s="685"/>
      <c r="G85" s="685"/>
      <c r="H85" s="685"/>
    </row>
    <row r="86" spans="1:8" x14ac:dyDescent="0.2">
      <c r="A86" s="686" t="s">
        <v>878</v>
      </c>
      <c r="B86" s="685"/>
      <c r="C86" s="685"/>
      <c r="D86" s="685"/>
      <c r="E86" s="685"/>
      <c r="F86" s="685"/>
      <c r="G86" s="685"/>
      <c r="H86" s="685"/>
    </row>
    <row r="87" spans="1:8" x14ac:dyDescent="0.2">
      <c r="A87" s="686" t="s">
        <v>879</v>
      </c>
      <c r="B87" s="685"/>
      <c r="C87" s="685"/>
      <c r="D87" s="685"/>
      <c r="E87" s="685"/>
      <c r="F87" s="685"/>
      <c r="G87" s="685"/>
      <c r="H87" s="685"/>
    </row>
    <row r="88" spans="1:8" x14ac:dyDescent="0.2">
      <c r="A88" s="686" t="s">
        <v>880</v>
      </c>
      <c r="B88" s="685"/>
      <c r="C88" s="685"/>
      <c r="D88" s="685"/>
      <c r="E88" s="685"/>
      <c r="F88" s="685"/>
      <c r="G88" s="685"/>
      <c r="H88" s="685"/>
    </row>
    <row r="89" spans="1:8" x14ac:dyDescent="0.2">
      <c r="A89" s="686" t="s">
        <v>881</v>
      </c>
      <c r="B89" s="685"/>
      <c r="C89" s="685"/>
      <c r="D89" s="685"/>
      <c r="E89" s="685"/>
      <c r="F89" s="685"/>
      <c r="G89" s="685"/>
      <c r="H89" s="685"/>
    </row>
    <row r="90" spans="1:8" x14ac:dyDescent="0.2">
      <c r="A90" s="686" t="s">
        <v>764</v>
      </c>
      <c r="B90" s="685"/>
      <c r="C90" s="685"/>
      <c r="D90" s="685"/>
      <c r="E90" s="685"/>
      <c r="F90" s="685"/>
      <c r="G90" s="685"/>
      <c r="H90" s="685"/>
    </row>
    <row r="91" spans="1:8" x14ac:dyDescent="0.2">
      <c r="A91" s="685"/>
      <c r="B91" s="685"/>
      <c r="C91" s="685"/>
      <c r="D91" s="685"/>
      <c r="E91" s="685"/>
      <c r="F91" s="685"/>
      <c r="G91" s="685"/>
      <c r="H91" s="685"/>
    </row>
    <row r="92" spans="1:8" x14ac:dyDescent="0.2">
      <c r="A92" s="686" t="s">
        <v>870</v>
      </c>
      <c r="B92" s="685"/>
      <c r="C92" s="685"/>
      <c r="D92" s="685"/>
      <c r="E92" s="685"/>
      <c r="F92" s="685"/>
      <c r="G92" s="685"/>
      <c r="H92" s="685"/>
    </row>
    <row r="93" spans="1:8" x14ac:dyDescent="0.2">
      <c r="A93" s="686" t="s">
        <v>871</v>
      </c>
      <c r="B93" s="685"/>
      <c r="C93" s="685"/>
      <c r="D93" s="685"/>
      <c r="E93" s="685"/>
      <c r="F93" s="685"/>
      <c r="G93" s="685"/>
      <c r="H93" s="685"/>
    </row>
    <row r="94" spans="1:8" x14ac:dyDescent="0.2">
      <c r="A94" s="686" t="s">
        <v>872</v>
      </c>
      <c r="B94" s="685"/>
      <c r="C94" s="685"/>
      <c r="D94" s="685"/>
      <c r="E94" s="685"/>
      <c r="F94" s="685"/>
      <c r="G94" s="685"/>
      <c r="H94" s="685"/>
    </row>
    <row r="95" spans="1:8" x14ac:dyDescent="0.2">
      <c r="A95" s="686" t="s">
        <v>873</v>
      </c>
      <c r="B95" s="685"/>
      <c r="C95" s="685"/>
      <c r="D95" s="685"/>
      <c r="E95" s="685"/>
      <c r="F95" s="685"/>
      <c r="G95" s="685"/>
      <c r="H95" s="685"/>
    </row>
    <row r="96" spans="1:8" x14ac:dyDescent="0.2">
      <c r="A96" s="686" t="s">
        <v>874</v>
      </c>
      <c r="B96" s="685"/>
      <c r="C96" s="685"/>
      <c r="D96" s="685"/>
      <c r="E96" s="685"/>
      <c r="F96" s="685"/>
      <c r="G96" s="685"/>
      <c r="H96" s="685"/>
    </row>
    <row r="97" spans="1:8" x14ac:dyDescent="0.2">
      <c r="A97" s="686" t="s">
        <v>875</v>
      </c>
      <c r="B97" s="685"/>
      <c r="C97" s="685"/>
      <c r="D97" s="685"/>
      <c r="E97" s="685"/>
      <c r="F97" s="685"/>
      <c r="G97" s="685"/>
      <c r="H97" s="685"/>
    </row>
    <row r="98" spans="1:8" x14ac:dyDescent="0.2">
      <c r="A98" s="686" t="s">
        <v>876</v>
      </c>
      <c r="B98" s="685"/>
      <c r="C98" s="685"/>
      <c r="D98" s="685"/>
      <c r="E98" s="685"/>
      <c r="F98" s="685"/>
      <c r="G98" s="685"/>
      <c r="H98" s="685"/>
    </row>
    <row r="99" spans="1:8" x14ac:dyDescent="0.2">
      <c r="A99" s="685"/>
      <c r="B99" s="685"/>
      <c r="C99" s="685"/>
      <c r="D99" s="685"/>
      <c r="E99" s="685"/>
      <c r="F99" s="685"/>
      <c r="G99" s="685"/>
      <c r="H99" s="685"/>
    </row>
    <row r="100" spans="1:8" x14ac:dyDescent="0.2">
      <c r="A100" s="686" t="s">
        <v>868</v>
      </c>
      <c r="B100" s="685"/>
      <c r="C100" s="685"/>
      <c r="D100" s="685"/>
      <c r="E100" s="685"/>
      <c r="F100" s="685"/>
      <c r="G100" s="685"/>
      <c r="H100" s="685"/>
    </row>
    <row r="101" spans="1:8" x14ac:dyDescent="0.2">
      <c r="A101" s="686" t="s">
        <v>869</v>
      </c>
      <c r="B101" s="685"/>
      <c r="C101" s="685"/>
      <c r="D101" s="685"/>
      <c r="E101" s="685"/>
      <c r="F101" s="685"/>
      <c r="G101" s="685"/>
      <c r="H101" s="685"/>
    </row>
    <row r="102" spans="1:8" x14ac:dyDescent="0.2">
      <c r="A102" s="685"/>
      <c r="B102" s="685"/>
      <c r="C102" s="685"/>
      <c r="D102" s="685"/>
      <c r="E102" s="685"/>
      <c r="F102" s="685"/>
      <c r="G102" s="685"/>
      <c r="H102" s="685"/>
    </row>
    <row r="103" spans="1:8" ht="15.75" x14ac:dyDescent="0.2">
      <c r="A103" s="687" t="s">
        <v>640</v>
      </c>
      <c r="B103" s="685"/>
      <c r="C103" s="685"/>
      <c r="D103" s="685"/>
      <c r="E103" s="685"/>
      <c r="F103" s="685"/>
      <c r="G103" s="685"/>
      <c r="H103" s="685"/>
    </row>
    <row r="104" spans="1:8" x14ac:dyDescent="0.2">
      <c r="A104" s="685"/>
      <c r="B104" s="685"/>
      <c r="C104" s="685"/>
      <c r="D104" s="685"/>
      <c r="E104" s="685"/>
      <c r="F104" s="685"/>
      <c r="G104" s="685"/>
      <c r="H104" s="685"/>
    </row>
    <row r="105" spans="1:8" x14ac:dyDescent="0.2">
      <c r="A105" s="686" t="s">
        <v>859</v>
      </c>
      <c r="B105" s="685"/>
      <c r="C105" s="685"/>
      <c r="D105" s="685"/>
      <c r="E105" s="685"/>
      <c r="F105" s="685"/>
      <c r="G105" s="685"/>
      <c r="H105" s="685"/>
    </row>
    <row r="106" spans="1:8" x14ac:dyDescent="0.2">
      <c r="A106" s="686" t="s">
        <v>860</v>
      </c>
      <c r="B106" s="685"/>
      <c r="C106" s="685"/>
      <c r="D106" s="685"/>
      <c r="E106" s="685"/>
      <c r="F106" s="685"/>
      <c r="G106" s="685"/>
      <c r="H106" s="685"/>
    </row>
    <row r="107" spans="1:8" x14ac:dyDescent="0.2">
      <c r="A107" s="686" t="s">
        <v>861</v>
      </c>
      <c r="B107" s="685"/>
      <c r="C107" s="685"/>
      <c r="D107" s="685"/>
      <c r="E107" s="685"/>
      <c r="F107" s="685"/>
      <c r="G107" s="685"/>
      <c r="H107" s="685"/>
    </row>
    <row r="108" spans="1:8" x14ac:dyDescent="0.2">
      <c r="A108" s="686" t="s">
        <v>862</v>
      </c>
      <c r="B108" s="685"/>
      <c r="C108" s="685"/>
      <c r="D108" s="685"/>
      <c r="E108" s="685"/>
      <c r="F108" s="685"/>
      <c r="G108" s="685"/>
      <c r="H108" s="685"/>
    </row>
    <row r="109" spans="1:8" x14ac:dyDescent="0.2">
      <c r="A109" s="686" t="s">
        <v>863</v>
      </c>
      <c r="B109" s="685"/>
      <c r="C109" s="685"/>
      <c r="D109" s="685"/>
      <c r="E109" s="685"/>
      <c r="F109" s="685"/>
      <c r="G109" s="685"/>
      <c r="H109" s="685"/>
    </row>
    <row r="110" spans="1:8" x14ac:dyDescent="0.2">
      <c r="A110" s="686" t="s">
        <v>864</v>
      </c>
      <c r="B110" s="685"/>
      <c r="C110" s="685"/>
      <c r="D110" s="685"/>
      <c r="E110" s="685"/>
      <c r="F110" s="685"/>
      <c r="G110" s="685"/>
      <c r="H110" s="685"/>
    </row>
    <row r="111" spans="1:8" x14ac:dyDescent="0.2">
      <c r="A111" s="686" t="s">
        <v>865</v>
      </c>
      <c r="B111" s="685"/>
      <c r="C111" s="685"/>
      <c r="D111" s="685"/>
      <c r="E111" s="685"/>
      <c r="F111" s="685"/>
      <c r="G111" s="685"/>
      <c r="H111" s="685"/>
    </row>
    <row r="112" spans="1:8" x14ac:dyDescent="0.2">
      <c r="A112" s="686" t="s">
        <v>866</v>
      </c>
      <c r="B112" s="685"/>
      <c r="C112" s="685"/>
      <c r="D112" s="685"/>
      <c r="E112" s="685"/>
      <c r="F112" s="685"/>
      <c r="G112" s="685"/>
      <c r="H112" s="685"/>
    </row>
    <row r="113" spans="1:8" x14ac:dyDescent="0.2">
      <c r="A113" s="686" t="s">
        <v>867</v>
      </c>
      <c r="B113" s="685"/>
      <c r="C113" s="685"/>
      <c r="D113" s="685"/>
      <c r="E113" s="685"/>
      <c r="F113" s="685"/>
      <c r="G113" s="685"/>
      <c r="H113" s="685"/>
    </row>
    <row r="114" spans="1:8" x14ac:dyDescent="0.2">
      <c r="A114" s="685"/>
      <c r="B114" s="685"/>
      <c r="C114" s="685"/>
      <c r="D114" s="685"/>
      <c r="E114" s="685"/>
      <c r="F114" s="685"/>
      <c r="G114" s="685"/>
      <c r="H114" s="685"/>
    </row>
    <row r="115" spans="1:8" ht="15.75" x14ac:dyDescent="0.2">
      <c r="A115" s="706" t="s">
        <v>641</v>
      </c>
      <c r="B115" s="706"/>
      <c r="C115" s="706"/>
      <c r="D115" s="706"/>
      <c r="E115" s="706"/>
      <c r="F115" s="706"/>
      <c r="G115" s="706"/>
      <c r="H115" s="706"/>
    </row>
    <row r="116" spans="1:8" x14ac:dyDescent="0.2">
      <c r="A116" s="702" t="s">
        <v>642</v>
      </c>
      <c r="B116" s="702"/>
      <c r="C116" s="702"/>
      <c r="D116" s="702"/>
      <c r="E116" s="702"/>
      <c r="F116" s="702"/>
      <c r="G116" s="702"/>
      <c r="H116" s="702"/>
    </row>
    <row r="117" spans="1:8" x14ac:dyDescent="0.2">
      <c r="A117" s="707"/>
      <c r="B117" s="707"/>
      <c r="C117" s="707"/>
      <c r="D117" s="707"/>
      <c r="E117" s="707"/>
      <c r="F117" s="707"/>
      <c r="G117" s="707"/>
      <c r="H117" s="707"/>
    </row>
    <row r="118" spans="1:8" x14ac:dyDescent="0.2">
      <c r="A118" s="702" t="s">
        <v>857</v>
      </c>
      <c r="B118" s="702"/>
      <c r="C118" s="702"/>
      <c r="D118" s="702"/>
      <c r="E118" s="702"/>
      <c r="F118" s="702"/>
      <c r="G118" s="702"/>
      <c r="H118" s="702"/>
    </row>
    <row r="119" spans="1:8" x14ac:dyDescent="0.2">
      <c r="A119" s="686" t="s">
        <v>858</v>
      </c>
      <c r="B119" s="686"/>
      <c r="C119" s="686"/>
      <c r="D119" s="686"/>
      <c r="E119" s="686"/>
      <c r="F119" s="686"/>
      <c r="G119" s="686"/>
      <c r="H119" s="686"/>
    </row>
    <row r="120" spans="1:8" x14ac:dyDescent="0.2">
      <c r="A120" s="707"/>
      <c r="B120" s="707"/>
      <c r="C120" s="707"/>
      <c r="D120" s="707"/>
      <c r="E120" s="707"/>
      <c r="F120" s="707"/>
      <c r="G120" s="707"/>
      <c r="H120" s="707"/>
    </row>
    <row r="121" spans="1:8" x14ac:dyDescent="0.2">
      <c r="A121" s="702" t="s">
        <v>850</v>
      </c>
      <c r="B121" s="702"/>
      <c r="C121" s="702"/>
      <c r="D121" s="702"/>
      <c r="E121" s="702"/>
      <c r="F121" s="702"/>
      <c r="G121" s="702"/>
      <c r="H121" s="702"/>
    </row>
    <row r="122" spans="1:8" x14ac:dyDescent="0.2">
      <c r="A122" s="686" t="s">
        <v>851</v>
      </c>
      <c r="B122" s="686"/>
      <c r="C122" s="686"/>
      <c r="D122" s="686"/>
      <c r="E122" s="686"/>
      <c r="F122" s="686"/>
      <c r="G122" s="686"/>
      <c r="H122" s="686"/>
    </row>
    <row r="123" spans="1:8" x14ac:dyDescent="0.2">
      <c r="A123" s="686" t="s">
        <v>852</v>
      </c>
      <c r="B123" s="686"/>
      <c r="C123" s="686"/>
      <c r="D123" s="686"/>
      <c r="E123" s="686"/>
      <c r="F123" s="686"/>
      <c r="G123" s="686"/>
      <c r="H123" s="686"/>
    </row>
    <row r="124" spans="1:8" x14ac:dyDescent="0.2">
      <c r="A124" s="686" t="s">
        <v>853</v>
      </c>
      <c r="B124" s="686"/>
      <c r="C124" s="686"/>
      <c r="D124" s="686"/>
      <c r="E124" s="686"/>
      <c r="F124" s="686"/>
      <c r="G124" s="686"/>
      <c r="H124" s="686"/>
    </row>
    <row r="125" spans="1:8" x14ac:dyDescent="0.2">
      <c r="A125" s="686" t="s">
        <v>854</v>
      </c>
      <c r="B125" s="686"/>
      <c r="C125" s="686"/>
      <c r="D125" s="686"/>
      <c r="E125" s="686"/>
      <c r="F125" s="686"/>
      <c r="G125" s="686"/>
      <c r="H125" s="686"/>
    </row>
    <row r="126" spans="1:8" x14ac:dyDescent="0.2">
      <c r="A126" s="686" t="s">
        <v>855</v>
      </c>
      <c r="B126" s="686"/>
      <c r="C126" s="686"/>
      <c r="D126" s="686"/>
      <c r="E126" s="686"/>
      <c r="F126" s="686"/>
      <c r="G126" s="686"/>
      <c r="H126" s="686"/>
    </row>
    <row r="127" spans="1:8" x14ac:dyDescent="0.2">
      <c r="A127" s="686" t="s">
        <v>856</v>
      </c>
      <c r="B127" s="686"/>
      <c r="C127" s="686"/>
      <c r="D127" s="686"/>
      <c r="E127" s="686"/>
      <c r="F127" s="686"/>
      <c r="G127" s="686"/>
      <c r="H127" s="686"/>
    </row>
    <row r="128" spans="1:8" x14ac:dyDescent="0.2">
      <c r="A128" s="708"/>
      <c r="B128" s="708"/>
      <c r="C128" s="708"/>
      <c r="D128" s="708"/>
      <c r="E128" s="708"/>
      <c r="F128" s="708"/>
      <c r="G128" s="708"/>
      <c r="H128" s="708"/>
    </row>
    <row r="129" spans="1:8" x14ac:dyDescent="0.2">
      <c r="A129" s="688"/>
      <c r="B129" s="703" t="s">
        <v>643</v>
      </c>
      <c r="C129" s="704"/>
      <c r="D129" s="703" t="s">
        <v>644</v>
      </c>
      <c r="E129" s="705"/>
      <c r="F129" s="704"/>
      <c r="G129" s="703" t="s">
        <v>645</v>
      </c>
      <c r="H129" s="704"/>
    </row>
    <row r="130" spans="1:8" x14ac:dyDescent="0.2">
      <c r="A130" s="688" t="s">
        <v>646</v>
      </c>
      <c r="B130" s="688" t="s">
        <v>429</v>
      </c>
      <c r="C130" s="688" t="s">
        <v>647</v>
      </c>
      <c r="D130" s="688" t="s">
        <v>429</v>
      </c>
      <c r="E130" s="688" t="s">
        <v>648</v>
      </c>
      <c r="F130" s="688" t="s">
        <v>649</v>
      </c>
      <c r="G130" s="688" t="s">
        <v>429</v>
      </c>
      <c r="H130" s="688" t="s">
        <v>650</v>
      </c>
    </row>
    <row r="131" spans="1:8" x14ac:dyDescent="0.2">
      <c r="A131" s="688" t="s">
        <v>651</v>
      </c>
      <c r="B131" s="688">
        <v>1175</v>
      </c>
      <c r="C131" s="689">
        <v>0.37</v>
      </c>
      <c r="D131" s="688">
        <v>315</v>
      </c>
      <c r="E131" s="689">
        <v>0.41</v>
      </c>
      <c r="F131" s="689">
        <v>0.27</v>
      </c>
      <c r="G131" s="688">
        <v>555</v>
      </c>
      <c r="H131" s="689">
        <v>0.39</v>
      </c>
    </row>
    <row r="132" spans="1:8" x14ac:dyDescent="0.2">
      <c r="A132" s="688" t="s">
        <v>652</v>
      </c>
      <c r="B132" s="688">
        <v>1369</v>
      </c>
      <c r="C132" s="689">
        <v>0.43</v>
      </c>
      <c r="D132" s="688">
        <v>357</v>
      </c>
      <c r="E132" s="689">
        <v>0.47</v>
      </c>
      <c r="F132" s="689">
        <v>0.26</v>
      </c>
      <c r="G132" s="688">
        <v>643</v>
      </c>
      <c r="H132" s="689">
        <v>0.45</v>
      </c>
    </row>
    <row r="133" spans="1:8" x14ac:dyDescent="0.2">
      <c r="A133" s="688" t="s">
        <v>653</v>
      </c>
      <c r="B133" s="688">
        <v>53</v>
      </c>
      <c r="C133" s="689">
        <v>0.02</v>
      </c>
      <c r="D133" s="688">
        <v>5</v>
      </c>
      <c r="E133" s="689">
        <v>0.01</v>
      </c>
      <c r="F133" s="689">
        <v>0.09</v>
      </c>
      <c r="G133" s="688">
        <v>7</v>
      </c>
      <c r="H133" s="689">
        <v>0</v>
      </c>
    </row>
    <row r="134" spans="1:8" x14ac:dyDescent="0.2">
      <c r="A134" s="688" t="s">
        <v>654</v>
      </c>
      <c r="B134" s="688">
        <v>552</v>
      </c>
      <c r="C134" s="689">
        <v>0.18</v>
      </c>
      <c r="D134" s="688">
        <v>87</v>
      </c>
      <c r="E134" s="689">
        <v>0.11</v>
      </c>
      <c r="F134" s="689">
        <v>0.16</v>
      </c>
      <c r="G134" s="688">
        <v>222</v>
      </c>
      <c r="H134" s="689">
        <v>0.16</v>
      </c>
    </row>
    <row r="135" spans="1:8" x14ac:dyDescent="0.2">
      <c r="A135" s="688" t="s">
        <v>80</v>
      </c>
      <c r="B135" s="690">
        <v>3149</v>
      </c>
      <c r="C135" s="688"/>
      <c r="D135" s="688">
        <v>764</v>
      </c>
      <c r="E135" s="688"/>
      <c r="F135" s="688"/>
      <c r="G135" s="688">
        <v>1427</v>
      </c>
      <c r="H135" s="688"/>
    </row>
    <row r="136" spans="1:8" x14ac:dyDescent="0.2">
      <c r="A136" s="701"/>
      <c r="B136" s="701"/>
      <c r="C136" s="701"/>
      <c r="D136" s="701"/>
      <c r="E136" s="701"/>
      <c r="F136" s="701"/>
      <c r="G136" s="701"/>
      <c r="H136" s="701"/>
    </row>
    <row r="137" spans="1:8" x14ac:dyDescent="0.2">
      <c r="A137" s="702" t="s">
        <v>846</v>
      </c>
      <c r="B137" s="702"/>
      <c r="C137" s="702"/>
      <c r="D137" s="702"/>
      <c r="E137" s="702"/>
      <c r="F137" s="702"/>
      <c r="G137" s="702"/>
      <c r="H137" s="702"/>
    </row>
    <row r="138" spans="1:8" x14ac:dyDescent="0.2">
      <c r="A138" s="686" t="s">
        <v>847</v>
      </c>
      <c r="B138" s="686"/>
      <c r="C138" s="686"/>
      <c r="D138" s="686"/>
      <c r="E138" s="686"/>
      <c r="F138" s="686"/>
      <c r="G138" s="686"/>
      <c r="H138" s="686"/>
    </row>
    <row r="139" spans="1:8" x14ac:dyDescent="0.2">
      <c r="A139" s="686" t="s">
        <v>848</v>
      </c>
      <c r="B139" s="686"/>
      <c r="C139" s="686"/>
      <c r="D139" s="686"/>
      <c r="E139" s="686"/>
      <c r="F139" s="686"/>
      <c r="G139" s="686"/>
      <c r="H139" s="686"/>
    </row>
    <row r="140" spans="1:8" x14ac:dyDescent="0.2">
      <c r="A140" s="686" t="s">
        <v>849</v>
      </c>
      <c r="B140" s="686"/>
      <c r="C140" s="686"/>
      <c r="D140" s="686"/>
      <c r="E140" s="686"/>
      <c r="F140" s="686"/>
      <c r="G140" s="686"/>
      <c r="H140" s="686"/>
    </row>
    <row r="141" spans="1:8" x14ac:dyDescent="0.2">
      <c r="A141" s="685"/>
      <c r="B141" s="685"/>
      <c r="C141" s="685"/>
      <c r="D141" s="685"/>
      <c r="E141" s="685"/>
      <c r="F141" s="685"/>
      <c r="G141" s="685"/>
      <c r="H141" s="685"/>
    </row>
    <row r="142" spans="1:8" ht="15.75" x14ac:dyDescent="0.2">
      <c r="A142" s="687" t="s">
        <v>655</v>
      </c>
      <c r="B142" s="685"/>
      <c r="C142" s="685"/>
      <c r="D142" s="685"/>
      <c r="E142" s="685"/>
      <c r="F142" s="685"/>
      <c r="G142" s="685"/>
      <c r="H142" s="685"/>
    </row>
    <row r="143" spans="1:8" x14ac:dyDescent="0.2">
      <c r="A143" s="685"/>
      <c r="B143" s="685"/>
      <c r="C143" s="685"/>
      <c r="D143" s="685"/>
      <c r="E143" s="685"/>
      <c r="F143" s="685"/>
      <c r="G143" s="685"/>
      <c r="H143" s="685"/>
    </row>
    <row r="144" spans="1:8" x14ac:dyDescent="0.2">
      <c r="A144" s="686" t="s">
        <v>844</v>
      </c>
      <c r="B144" s="685"/>
      <c r="C144" s="685"/>
      <c r="D144" s="685"/>
      <c r="E144" s="685"/>
      <c r="F144" s="685"/>
      <c r="G144" s="685"/>
      <c r="H144" s="685"/>
    </row>
    <row r="145" spans="1:8" x14ac:dyDescent="0.2">
      <c r="A145" s="686" t="s">
        <v>845</v>
      </c>
      <c r="B145" s="685"/>
      <c r="C145" s="685"/>
      <c r="D145" s="685"/>
      <c r="E145" s="685"/>
      <c r="F145" s="685"/>
      <c r="G145" s="685"/>
      <c r="H145" s="685"/>
    </row>
    <row r="146" spans="1:8" x14ac:dyDescent="0.2">
      <c r="A146" s="685"/>
      <c r="B146" s="685"/>
      <c r="C146" s="685"/>
      <c r="D146" s="685"/>
      <c r="E146" s="685"/>
      <c r="F146" s="685"/>
      <c r="G146" s="685"/>
      <c r="H146" s="685"/>
    </row>
    <row r="147" spans="1:8" x14ac:dyDescent="0.2">
      <c r="A147" s="686" t="s">
        <v>841</v>
      </c>
      <c r="B147" s="685"/>
      <c r="C147" s="685"/>
      <c r="D147" s="685"/>
      <c r="E147" s="685"/>
      <c r="F147" s="685"/>
      <c r="G147" s="685"/>
      <c r="H147" s="685"/>
    </row>
    <row r="148" spans="1:8" x14ac:dyDescent="0.2">
      <c r="A148" s="686" t="s">
        <v>842</v>
      </c>
      <c r="B148" s="685"/>
      <c r="C148" s="685"/>
      <c r="D148" s="685"/>
      <c r="E148" s="685"/>
      <c r="F148" s="685"/>
      <c r="G148" s="685"/>
      <c r="H148" s="685"/>
    </row>
    <row r="149" spans="1:8" x14ac:dyDescent="0.2">
      <c r="A149" s="686" t="s">
        <v>843</v>
      </c>
      <c r="B149" s="685"/>
      <c r="C149" s="685"/>
      <c r="D149" s="685"/>
      <c r="E149" s="685"/>
      <c r="F149" s="685"/>
      <c r="G149" s="685"/>
      <c r="H149" s="685"/>
    </row>
    <row r="150" spans="1:8" x14ac:dyDescent="0.2">
      <c r="A150" s="685"/>
      <c r="B150" s="685"/>
      <c r="C150" s="685"/>
      <c r="D150" s="685"/>
      <c r="E150" s="685"/>
      <c r="F150" s="685"/>
      <c r="G150" s="685"/>
      <c r="H150" s="685"/>
    </row>
    <row r="151" spans="1:8" x14ac:dyDescent="0.2">
      <c r="A151" s="686" t="s">
        <v>838</v>
      </c>
      <c r="B151" s="685"/>
      <c r="C151" s="685"/>
      <c r="D151" s="685"/>
      <c r="E151" s="685"/>
      <c r="F151" s="685"/>
      <c r="G151" s="685"/>
      <c r="H151" s="685"/>
    </row>
    <row r="152" spans="1:8" x14ac:dyDescent="0.2">
      <c r="A152" s="686" t="s">
        <v>839</v>
      </c>
      <c r="B152" s="685"/>
      <c r="C152" s="685"/>
      <c r="D152" s="685"/>
      <c r="E152" s="685"/>
      <c r="F152" s="685"/>
      <c r="G152" s="685"/>
      <c r="H152" s="685"/>
    </row>
    <row r="153" spans="1:8" x14ac:dyDescent="0.2">
      <c r="A153" s="686" t="s">
        <v>840</v>
      </c>
      <c r="B153" s="685"/>
      <c r="C153" s="685"/>
      <c r="D153" s="685"/>
      <c r="E153" s="685"/>
      <c r="F153" s="685"/>
      <c r="G153" s="685"/>
      <c r="H153" s="685"/>
    </row>
    <row r="154" spans="1:8" x14ac:dyDescent="0.2">
      <c r="A154" s="685"/>
      <c r="B154" s="685"/>
      <c r="C154" s="685"/>
      <c r="D154" s="685"/>
      <c r="E154" s="685"/>
      <c r="F154" s="685"/>
      <c r="G154" s="685"/>
      <c r="H154" s="685"/>
    </row>
    <row r="155" spans="1:8" x14ac:dyDescent="0.2">
      <c r="A155" s="686" t="s">
        <v>835</v>
      </c>
      <c r="B155" s="685"/>
      <c r="C155" s="685"/>
      <c r="D155" s="685"/>
      <c r="E155" s="685"/>
      <c r="F155" s="685"/>
      <c r="G155" s="685"/>
      <c r="H155" s="685"/>
    </row>
    <row r="156" spans="1:8" x14ac:dyDescent="0.2">
      <c r="A156" s="686" t="s">
        <v>836</v>
      </c>
      <c r="B156" s="685"/>
      <c r="C156" s="685"/>
      <c r="D156" s="685"/>
      <c r="E156" s="685"/>
      <c r="F156" s="685"/>
      <c r="G156" s="685"/>
      <c r="H156" s="685"/>
    </row>
    <row r="157" spans="1:8" x14ac:dyDescent="0.2">
      <c r="A157" s="686" t="s">
        <v>837</v>
      </c>
      <c r="B157" s="685"/>
      <c r="C157" s="685"/>
      <c r="D157" s="685"/>
      <c r="E157" s="685"/>
      <c r="F157" s="685"/>
      <c r="G157" s="685"/>
      <c r="H157" s="685"/>
    </row>
    <row r="158" spans="1:8" x14ac:dyDescent="0.2">
      <c r="A158" s="685"/>
      <c r="B158" s="685"/>
      <c r="C158" s="685"/>
      <c r="D158" s="685"/>
      <c r="E158" s="685"/>
      <c r="F158" s="685"/>
      <c r="G158" s="685"/>
      <c r="H158" s="685"/>
    </row>
    <row r="159" spans="1:8" x14ac:dyDescent="0.2">
      <c r="A159" s="686" t="s">
        <v>833</v>
      </c>
      <c r="B159" s="685"/>
      <c r="C159" s="685"/>
      <c r="D159" s="685"/>
      <c r="E159" s="685"/>
      <c r="F159" s="685"/>
      <c r="G159" s="685"/>
      <c r="H159" s="685"/>
    </row>
    <row r="160" spans="1:8" x14ac:dyDescent="0.2">
      <c r="A160" s="686" t="s">
        <v>834</v>
      </c>
      <c r="B160" s="685"/>
      <c r="C160" s="685"/>
      <c r="D160" s="685"/>
      <c r="E160" s="685"/>
      <c r="F160" s="685"/>
      <c r="G160" s="685"/>
      <c r="H160" s="685"/>
    </row>
    <row r="161" spans="1:8" x14ac:dyDescent="0.2">
      <c r="A161" s="685"/>
      <c r="B161" s="685"/>
      <c r="C161" s="685"/>
      <c r="D161" s="685"/>
      <c r="E161" s="685"/>
      <c r="F161" s="685"/>
      <c r="G161" s="685"/>
      <c r="H161" s="685"/>
    </row>
    <row r="162" spans="1:8" ht="15.75" x14ac:dyDescent="0.2">
      <c r="A162" s="687" t="s">
        <v>656</v>
      </c>
      <c r="B162" s="685"/>
      <c r="C162" s="685"/>
      <c r="D162" s="685"/>
      <c r="E162" s="685"/>
      <c r="F162" s="685"/>
      <c r="G162" s="685"/>
      <c r="H162" s="685"/>
    </row>
    <row r="163" spans="1:8" x14ac:dyDescent="0.2">
      <c r="A163" s="685"/>
      <c r="B163" s="685"/>
      <c r="C163" s="685"/>
      <c r="D163" s="685"/>
      <c r="E163" s="685"/>
      <c r="F163" s="685"/>
      <c r="G163" s="685"/>
      <c r="H163" s="685"/>
    </row>
    <row r="164" spans="1:8" x14ac:dyDescent="0.2">
      <c r="A164" s="686" t="s">
        <v>831</v>
      </c>
      <c r="B164" s="685"/>
      <c r="C164" s="685"/>
      <c r="D164" s="685"/>
      <c r="E164" s="685"/>
      <c r="F164" s="685"/>
      <c r="G164" s="685"/>
      <c r="H164" s="685"/>
    </row>
    <row r="165" spans="1:8" x14ac:dyDescent="0.2">
      <c r="A165" s="686" t="s">
        <v>832</v>
      </c>
      <c r="B165" s="685"/>
      <c r="C165" s="685"/>
      <c r="D165" s="685"/>
      <c r="E165" s="685"/>
      <c r="F165" s="685"/>
      <c r="G165" s="685"/>
      <c r="H165" s="685"/>
    </row>
    <row r="166" spans="1:8" x14ac:dyDescent="0.2">
      <c r="A166" s="685"/>
      <c r="B166" s="685"/>
      <c r="C166" s="685"/>
      <c r="D166" s="685"/>
      <c r="E166" s="685"/>
      <c r="F166" s="685"/>
      <c r="G166" s="685"/>
      <c r="H166" s="685"/>
    </row>
    <row r="167" spans="1:8" x14ac:dyDescent="0.2">
      <c r="A167" s="686" t="s">
        <v>829</v>
      </c>
      <c r="B167" s="685"/>
      <c r="C167" s="685"/>
      <c r="D167" s="685"/>
      <c r="E167" s="685"/>
      <c r="F167" s="685"/>
      <c r="G167" s="685"/>
      <c r="H167" s="685"/>
    </row>
    <row r="168" spans="1:8" x14ac:dyDescent="0.2">
      <c r="A168" s="686" t="s">
        <v>830</v>
      </c>
      <c r="B168" s="685"/>
      <c r="C168" s="685"/>
      <c r="D168" s="685"/>
      <c r="E168" s="685"/>
      <c r="F168" s="685"/>
      <c r="G168" s="685"/>
      <c r="H168" s="685"/>
    </row>
    <row r="169" spans="1:8" x14ac:dyDescent="0.2">
      <c r="A169" s="685"/>
      <c r="B169" s="685"/>
      <c r="C169" s="685"/>
      <c r="D169" s="685"/>
      <c r="E169" s="685"/>
      <c r="F169" s="685"/>
      <c r="G169" s="685"/>
      <c r="H169" s="685"/>
    </row>
    <row r="170" spans="1:8" x14ac:dyDescent="0.2">
      <c r="A170" s="686" t="s">
        <v>827</v>
      </c>
      <c r="B170" s="685"/>
      <c r="C170" s="685"/>
      <c r="D170" s="685"/>
      <c r="E170" s="685"/>
      <c r="F170" s="685"/>
      <c r="G170" s="685"/>
      <c r="H170" s="685"/>
    </row>
    <row r="171" spans="1:8" x14ac:dyDescent="0.2">
      <c r="A171" s="686" t="s">
        <v>828</v>
      </c>
      <c r="B171" s="685"/>
      <c r="C171" s="685"/>
      <c r="D171" s="685"/>
      <c r="E171" s="685"/>
      <c r="F171" s="685"/>
      <c r="G171" s="685"/>
      <c r="H171" s="685"/>
    </row>
    <row r="172" spans="1:8" x14ac:dyDescent="0.2">
      <c r="A172" s="685"/>
      <c r="B172" s="685"/>
      <c r="C172" s="685"/>
      <c r="D172" s="685"/>
      <c r="E172" s="685"/>
      <c r="F172" s="685"/>
      <c r="G172" s="685"/>
      <c r="H172" s="685"/>
    </row>
    <row r="173" spans="1:8" x14ac:dyDescent="0.2">
      <c r="A173" s="686" t="s">
        <v>824</v>
      </c>
      <c r="B173" s="685"/>
      <c r="C173" s="685"/>
      <c r="D173" s="685"/>
      <c r="E173" s="685"/>
      <c r="F173" s="685"/>
      <c r="G173" s="685"/>
      <c r="H173" s="685"/>
    </row>
    <row r="174" spans="1:8" x14ac:dyDescent="0.2">
      <c r="A174" s="686" t="s">
        <v>825</v>
      </c>
      <c r="B174" s="685"/>
      <c r="C174" s="685"/>
      <c r="D174" s="685"/>
      <c r="E174" s="685"/>
      <c r="F174" s="685"/>
      <c r="G174" s="685"/>
      <c r="H174" s="685"/>
    </row>
    <row r="175" spans="1:8" x14ac:dyDescent="0.2">
      <c r="A175" s="686" t="s">
        <v>826</v>
      </c>
      <c r="B175" s="685"/>
      <c r="C175" s="685"/>
      <c r="D175" s="685"/>
      <c r="E175" s="685"/>
      <c r="F175" s="685"/>
      <c r="G175" s="685"/>
      <c r="H175" s="685"/>
    </row>
    <row r="176" spans="1:8" x14ac:dyDescent="0.2">
      <c r="A176" s="685"/>
      <c r="B176" s="685"/>
      <c r="C176" s="685"/>
      <c r="D176" s="685"/>
      <c r="E176" s="685"/>
      <c r="F176" s="685"/>
      <c r="G176" s="685"/>
      <c r="H176" s="685"/>
    </row>
    <row r="177" spans="1:8" x14ac:dyDescent="0.2">
      <c r="A177" s="685"/>
      <c r="B177" s="685"/>
      <c r="C177" s="685"/>
      <c r="D177" s="685"/>
      <c r="E177" s="685"/>
      <c r="F177" s="685"/>
      <c r="G177" s="685"/>
      <c r="H177" s="685"/>
    </row>
    <row r="178" spans="1:8" x14ac:dyDescent="0.2">
      <c r="A178" s="686" t="s">
        <v>445</v>
      </c>
      <c r="B178" s="685"/>
      <c r="C178" s="685"/>
      <c r="D178" s="685"/>
      <c r="E178" s="685"/>
      <c r="F178" s="685"/>
      <c r="G178" s="685"/>
      <c r="H178" s="685"/>
    </row>
    <row r="179" spans="1:8" x14ac:dyDescent="0.2">
      <c r="A179" s="685"/>
      <c r="B179" s="685"/>
      <c r="C179" s="685"/>
      <c r="D179" s="685"/>
      <c r="E179" s="685"/>
      <c r="F179" s="685"/>
      <c r="G179" s="685"/>
      <c r="H179" s="685"/>
    </row>
    <row r="180" spans="1:8" ht="15.75" x14ac:dyDescent="0.2">
      <c r="A180" s="687" t="s">
        <v>657</v>
      </c>
      <c r="B180" s="685"/>
      <c r="C180" s="685"/>
      <c r="D180" s="685"/>
      <c r="E180" s="685"/>
      <c r="F180" s="685"/>
      <c r="G180" s="685"/>
      <c r="H180" s="685"/>
    </row>
    <row r="181" spans="1:8" x14ac:dyDescent="0.2">
      <c r="A181" s="685"/>
      <c r="B181" s="685"/>
      <c r="C181" s="685"/>
      <c r="D181" s="685"/>
      <c r="E181" s="685"/>
      <c r="F181" s="685"/>
      <c r="G181" s="685"/>
      <c r="H181" s="685"/>
    </row>
    <row r="182" spans="1:8" x14ac:dyDescent="0.2">
      <c r="A182" s="685"/>
      <c r="B182" s="685"/>
      <c r="C182" s="685"/>
      <c r="D182" s="685"/>
      <c r="E182" s="685"/>
      <c r="F182" s="685"/>
      <c r="G182" s="685"/>
      <c r="H182" s="685"/>
    </row>
    <row r="183" spans="1:8" x14ac:dyDescent="0.2">
      <c r="A183" s="685"/>
      <c r="B183" s="685"/>
      <c r="C183" s="685"/>
      <c r="D183" s="685"/>
      <c r="E183" s="685"/>
      <c r="F183" s="685"/>
      <c r="G183" s="685"/>
      <c r="H183" s="685"/>
    </row>
    <row r="184" spans="1:8" x14ac:dyDescent="0.2">
      <c r="A184" s="685"/>
      <c r="B184" s="685"/>
      <c r="C184" s="685"/>
      <c r="D184" s="685"/>
      <c r="E184" s="685"/>
      <c r="F184" s="685"/>
      <c r="G184" s="685"/>
      <c r="H184" s="685"/>
    </row>
    <row r="185" spans="1:8" x14ac:dyDescent="0.2">
      <c r="A185" s="685"/>
      <c r="B185" s="685"/>
      <c r="C185" s="685"/>
      <c r="D185" s="685"/>
      <c r="E185" s="685"/>
      <c r="F185" s="685"/>
      <c r="G185" s="685"/>
      <c r="H185" s="685"/>
    </row>
    <row r="186" spans="1:8" x14ac:dyDescent="0.2">
      <c r="A186" s="685"/>
      <c r="B186" s="685"/>
      <c r="C186" s="685"/>
      <c r="D186" s="685"/>
      <c r="E186" s="685"/>
      <c r="F186" s="685"/>
      <c r="G186" s="685"/>
      <c r="H186" s="685"/>
    </row>
    <row r="187" spans="1:8" x14ac:dyDescent="0.2">
      <c r="A187" s="685"/>
      <c r="B187" s="685"/>
      <c r="C187" s="685"/>
      <c r="D187" s="685"/>
      <c r="E187" s="685"/>
      <c r="F187" s="685"/>
      <c r="G187" s="685"/>
      <c r="H187" s="685"/>
    </row>
    <row r="188" spans="1:8" x14ac:dyDescent="0.2">
      <c r="A188" s="685"/>
      <c r="B188" s="685"/>
      <c r="C188" s="685"/>
      <c r="D188" s="685"/>
      <c r="E188" s="685"/>
      <c r="F188" s="685"/>
      <c r="G188" s="685"/>
      <c r="H188" s="685"/>
    </row>
    <row r="189" spans="1:8" x14ac:dyDescent="0.2">
      <c r="A189" s="685"/>
      <c r="B189" s="685"/>
      <c r="C189" s="685"/>
      <c r="D189" s="685"/>
      <c r="E189" s="685"/>
      <c r="F189" s="685"/>
      <c r="G189" s="685"/>
      <c r="H189" s="685"/>
    </row>
    <row r="190" spans="1:8" x14ac:dyDescent="0.2">
      <c r="A190" s="685"/>
      <c r="B190" s="685"/>
      <c r="C190" s="685"/>
      <c r="D190" s="685"/>
      <c r="E190" s="685"/>
      <c r="F190" s="685"/>
      <c r="G190" s="685"/>
      <c r="H190" s="685"/>
    </row>
    <row r="191" spans="1:8" x14ac:dyDescent="0.2">
      <c r="A191" s="685"/>
      <c r="B191" s="685"/>
      <c r="C191" s="685"/>
      <c r="D191" s="685"/>
      <c r="E191" s="685"/>
      <c r="F191" s="685"/>
      <c r="G191" s="685"/>
      <c r="H191" s="685"/>
    </row>
    <row r="192" spans="1:8" x14ac:dyDescent="0.2">
      <c r="A192" s="685"/>
      <c r="B192" s="685"/>
      <c r="C192" s="685"/>
      <c r="D192" s="685"/>
      <c r="E192" s="685"/>
      <c r="F192" s="685"/>
      <c r="G192" s="685"/>
      <c r="H192" s="685"/>
    </row>
    <row r="193" spans="1:8" x14ac:dyDescent="0.2">
      <c r="A193" s="685"/>
      <c r="B193" s="685"/>
      <c r="C193" s="685"/>
      <c r="D193" s="685"/>
      <c r="E193" s="685"/>
      <c r="F193" s="685"/>
      <c r="G193" s="685"/>
      <c r="H193" s="685"/>
    </row>
    <row r="194" spans="1:8" x14ac:dyDescent="0.2">
      <c r="A194" s="685"/>
      <c r="B194" s="685"/>
      <c r="C194" s="685"/>
      <c r="D194" s="685"/>
      <c r="E194" s="685"/>
      <c r="F194" s="685"/>
      <c r="G194" s="685"/>
      <c r="H194" s="685"/>
    </row>
    <row r="195" spans="1:8" x14ac:dyDescent="0.2">
      <c r="A195" s="685"/>
      <c r="B195" s="685"/>
      <c r="C195" s="685"/>
      <c r="D195" s="685"/>
      <c r="E195" s="685"/>
      <c r="F195" s="685"/>
      <c r="G195" s="685"/>
      <c r="H195" s="685"/>
    </row>
    <row r="196" spans="1:8" x14ac:dyDescent="0.2">
      <c r="A196" s="685"/>
      <c r="B196" s="685"/>
      <c r="C196" s="685"/>
      <c r="D196" s="685"/>
      <c r="E196" s="685"/>
      <c r="F196" s="685"/>
      <c r="G196" s="685"/>
      <c r="H196" s="685"/>
    </row>
    <row r="197" spans="1:8" x14ac:dyDescent="0.2">
      <c r="A197" s="685"/>
      <c r="B197" s="685"/>
      <c r="C197" s="685"/>
      <c r="D197" s="685"/>
      <c r="E197" s="685"/>
      <c r="F197" s="685"/>
      <c r="G197" s="685"/>
      <c r="H197" s="685"/>
    </row>
    <row r="198" spans="1:8" x14ac:dyDescent="0.2">
      <c r="A198" s="685"/>
      <c r="B198" s="685"/>
      <c r="C198" s="685"/>
      <c r="D198" s="685"/>
      <c r="E198" s="685"/>
      <c r="F198" s="685"/>
      <c r="G198" s="685"/>
      <c r="H198" s="685"/>
    </row>
    <row r="199" spans="1:8" x14ac:dyDescent="0.2">
      <c r="A199" s="685"/>
      <c r="B199" s="685"/>
      <c r="C199" s="685"/>
      <c r="D199" s="685"/>
      <c r="E199" s="685"/>
      <c r="F199" s="685"/>
      <c r="G199" s="685"/>
      <c r="H199" s="685"/>
    </row>
    <row r="200" spans="1:8" x14ac:dyDescent="0.2">
      <c r="A200" s="685"/>
      <c r="B200" s="685"/>
      <c r="C200" s="685"/>
      <c r="D200" s="685"/>
      <c r="E200" s="685"/>
      <c r="F200" s="685"/>
      <c r="G200" s="685"/>
      <c r="H200" s="685"/>
    </row>
    <row r="201" spans="1:8" x14ac:dyDescent="0.2">
      <c r="A201" s="685"/>
      <c r="B201" s="685"/>
      <c r="C201" s="685"/>
      <c r="D201" s="685"/>
      <c r="E201" s="685"/>
      <c r="F201" s="685"/>
      <c r="G201" s="685"/>
      <c r="H201" s="685"/>
    </row>
    <row r="202" spans="1:8" x14ac:dyDescent="0.2">
      <c r="A202" s="685"/>
      <c r="B202" s="685"/>
      <c r="C202" s="685"/>
      <c r="D202" s="685"/>
      <c r="E202" s="685"/>
      <c r="F202" s="685"/>
      <c r="G202" s="685"/>
      <c r="H202" s="685"/>
    </row>
    <row r="203" spans="1:8" x14ac:dyDescent="0.2">
      <c r="A203" s="685"/>
      <c r="B203" s="685"/>
      <c r="C203" s="685"/>
      <c r="D203" s="685"/>
      <c r="E203" s="685"/>
      <c r="F203" s="685"/>
      <c r="G203" s="685"/>
      <c r="H203" s="685"/>
    </row>
    <row r="204" spans="1:8" x14ac:dyDescent="0.2">
      <c r="A204" s="685"/>
      <c r="B204" s="685"/>
      <c r="C204" s="685"/>
      <c r="D204" s="685"/>
      <c r="E204" s="685"/>
      <c r="F204" s="685"/>
      <c r="G204" s="685"/>
      <c r="H204" s="685"/>
    </row>
    <row r="205" spans="1:8" x14ac:dyDescent="0.2">
      <c r="A205" s="685"/>
      <c r="B205" s="685"/>
      <c r="C205" s="685"/>
      <c r="D205" s="685"/>
      <c r="E205" s="685"/>
      <c r="F205" s="685"/>
      <c r="G205" s="685"/>
      <c r="H205" s="685"/>
    </row>
    <row r="206" spans="1:8" x14ac:dyDescent="0.2">
      <c r="A206" s="685"/>
      <c r="B206" s="685"/>
      <c r="C206" s="685"/>
      <c r="D206" s="685"/>
      <c r="E206" s="685"/>
      <c r="F206" s="685"/>
      <c r="G206" s="685"/>
      <c r="H206" s="685"/>
    </row>
    <row r="207" spans="1:8" ht="15.75" x14ac:dyDescent="0.2">
      <c r="A207" s="687" t="s">
        <v>658</v>
      </c>
      <c r="B207" s="685"/>
      <c r="C207" s="685"/>
      <c r="D207" s="685"/>
      <c r="E207" s="685"/>
      <c r="F207" s="685"/>
      <c r="G207" s="685"/>
      <c r="H207" s="685"/>
    </row>
    <row r="208" spans="1:8" x14ac:dyDescent="0.2">
      <c r="A208" s="685"/>
      <c r="B208" s="685"/>
      <c r="C208" s="685"/>
      <c r="D208" s="685"/>
      <c r="E208" s="685"/>
      <c r="F208" s="685"/>
      <c r="G208" s="685"/>
      <c r="H208" s="685"/>
    </row>
    <row r="209" spans="1:8" x14ac:dyDescent="0.2">
      <c r="A209" s="686" t="s">
        <v>819</v>
      </c>
      <c r="B209" s="685"/>
      <c r="C209" s="685"/>
      <c r="D209" s="685"/>
      <c r="E209" s="685"/>
      <c r="F209" s="685"/>
      <c r="G209" s="685"/>
      <c r="H209" s="685"/>
    </row>
    <row r="210" spans="1:8" x14ac:dyDescent="0.2">
      <c r="A210" s="686" t="s">
        <v>820</v>
      </c>
      <c r="B210" s="685"/>
      <c r="C210" s="685"/>
      <c r="D210" s="685"/>
      <c r="E210" s="685"/>
      <c r="F210" s="685"/>
      <c r="G210" s="685"/>
      <c r="H210" s="685"/>
    </row>
    <row r="211" spans="1:8" x14ac:dyDescent="0.2">
      <c r="A211" s="686" t="s">
        <v>821</v>
      </c>
      <c r="B211" s="685"/>
      <c r="C211" s="685"/>
      <c r="D211" s="685"/>
      <c r="E211" s="685"/>
      <c r="F211" s="685"/>
      <c r="G211" s="685"/>
      <c r="H211" s="685"/>
    </row>
    <row r="212" spans="1:8" x14ac:dyDescent="0.2">
      <c r="A212" s="686" t="s">
        <v>822</v>
      </c>
      <c r="B212" s="685"/>
      <c r="C212" s="685"/>
      <c r="D212" s="685"/>
      <c r="E212" s="685"/>
      <c r="F212" s="685"/>
      <c r="G212" s="685"/>
      <c r="H212" s="685"/>
    </row>
    <row r="213" spans="1:8" x14ac:dyDescent="0.2">
      <c r="A213" s="686" t="s">
        <v>823</v>
      </c>
      <c r="B213" s="685"/>
      <c r="C213" s="685"/>
      <c r="D213" s="685"/>
      <c r="E213" s="685"/>
      <c r="F213" s="685"/>
      <c r="G213" s="685"/>
      <c r="H213" s="685"/>
    </row>
    <row r="214" spans="1:8" x14ac:dyDescent="0.2">
      <c r="A214" s="685"/>
      <c r="B214" s="685"/>
      <c r="C214" s="685"/>
      <c r="D214" s="685"/>
      <c r="E214" s="685"/>
      <c r="F214" s="685"/>
      <c r="G214" s="685"/>
      <c r="H214" s="685"/>
    </row>
    <row r="215" spans="1:8" x14ac:dyDescent="0.2">
      <c r="A215" s="686" t="s">
        <v>816</v>
      </c>
      <c r="B215" s="685"/>
      <c r="C215" s="685"/>
      <c r="D215" s="685"/>
      <c r="E215" s="685"/>
      <c r="F215" s="685"/>
      <c r="G215" s="685"/>
      <c r="H215" s="685"/>
    </row>
    <row r="216" spans="1:8" x14ac:dyDescent="0.2">
      <c r="A216" s="686" t="s">
        <v>817</v>
      </c>
      <c r="B216" s="685"/>
      <c r="C216" s="685"/>
      <c r="D216" s="685"/>
      <c r="E216" s="685"/>
      <c r="F216" s="685"/>
      <c r="G216" s="685"/>
      <c r="H216" s="685"/>
    </row>
    <row r="217" spans="1:8" x14ac:dyDescent="0.2">
      <c r="A217" s="686" t="s">
        <v>818</v>
      </c>
      <c r="B217" s="685"/>
      <c r="C217" s="685"/>
      <c r="D217" s="685"/>
      <c r="E217" s="685"/>
      <c r="F217" s="685"/>
      <c r="G217" s="685"/>
      <c r="H217" s="685"/>
    </row>
    <row r="218" spans="1:8" ht="15.75" x14ac:dyDescent="0.2">
      <c r="A218" s="687" t="s">
        <v>659</v>
      </c>
      <c r="B218" s="685"/>
      <c r="C218" s="685"/>
      <c r="D218" s="685"/>
      <c r="E218" s="685"/>
      <c r="F218" s="685"/>
      <c r="G218" s="685"/>
      <c r="H218" s="685"/>
    </row>
    <row r="219" spans="1:8" x14ac:dyDescent="0.2">
      <c r="A219" s="685"/>
      <c r="B219" s="685"/>
      <c r="C219" s="685"/>
      <c r="D219" s="685"/>
      <c r="E219" s="685"/>
      <c r="F219" s="685"/>
      <c r="G219" s="685"/>
      <c r="H219" s="685"/>
    </row>
    <row r="220" spans="1:8" x14ac:dyDescent="0.2">
      <c r="A220" s="686" t="s">
        <v>814</v>
      </c>
      <c r="B220" s="685"/>
      <c r="C220" s="685"/>
      <c r="D220" s="685"/>
      <c r="E220" s="685"/>
      <c r="F220" s="685"/>
      <c r="G220" s="685"/>
      <c r="H220" s="685"/>
    </row>
    <row r="221" spans="1:8" x14ac:dyDescent="0.2">
      <c r="A221" s="686" t="s">
        <v>815</v>
      </c>
      <c r="B221" s="685"/>
      <c r="C221" s="685"/>
      <c r="D221" s="685"/>
      <c r="E221" s="685"/>
      <c r="F221" s="685"/>
      <c r="G221" s="685"/>
      <c r="H221" s="685"/>
    </row>
    <row r="222" spans="1:8" x14ac:dyDescent="0.2">
      <c r="A222" s="685"/>
      <c r="B222" s="685"/>
      <c r="C222" s="685"/>
      <c r="D222" s="685"/>
      <c r="E222" s="685"/>
      <c r="F222" s="685"/>
      <c r="G222" s="685"/>
      <c r="H222" s="685"/>
    </row>
    <row r="223" spans="1:8" x14ac:dyDescent="0.2">
      <c r="A223" s="686" t="s">
        <v>807</v>
      </c>
      <c r="B223" s="685"/>
      <c r="C223" s="685"/>
      <c r="D223" s="685"/>
      <c r="E223" s="685"/>
      <c r="F223" s="685"/>
      <c r="G223" s="685"/>
      <c r="H223" s="685"/>
    </row>
    <row r="224" spans="1:8" x14ac:dyDescent="0.2">
      <c r="A224" s="686" t="s">
        <v>808</v>
      </c>
      <c r="B224" s="685"/>
      <c r="C224" s="685"/>
      <c r="D224" s="685"/>
      <c r="E224" s="685"/>
      <c r="F224" s="685"/>
      <c r="G224" s="685"/>
      <c r="H224" s="685"/>
    </row>
    <row r="225" spans="1:8" x14ac:dyDescent="0.2">
      <c r="A225" s="686" t="s">
        <v>809</v>
      </c>
      <c r="B225" s="685"/>
      <c r="C225" s="685"/>
      <c r="D225" s="685"/>
      <c r="E225" s="685"/>
      <c r="F225" s="685"/>
      <c r="G225" s="685"/>
      <c r="H225" s="685"/>
    </row>
    <row r="226" spans="1:8" x14ac:dyDescent="0.2">
      <c r="A226" s="686" t="s">
        <v>810</v>
      </c>
      <c r="B226" s="685"/>
      <c r="C226" s="685"/>
      <c r="D226" s="685"/>
      <c r="E226" s="685"/>
      <c r="F226" s="685"/>
      <c r="G226" s="685"/>
      <c r="H226" s="685"/>
    </row>
    <row r="227" spans="1:8" x14ac:dyDescent="0.2">
      <c r="A227" s="686" t="s">
        <v>811</v>
      </c>
      <c r="B227" s="685"/>
      <c r="C227" s="685"/>
      <c r="D227" s="685"/>
      <c r="E227" s="685"/>
      <c r="F227" s="685"/>
      <c r="G227" s="685"/>
      <c r="H227" s="685"/>
    </row>
    <row r="228" spans="1:8" x14ac:dyDescent="0.2">
      <c r="A228" s="686" t="s">
        <v>812</v>
      </c>
      <c r="B228" s="685"/>
      <c r="C228" s="685"/>
      <c r="D228" s="685"/>
      <c r="E228" s="685"/>
      <c r="F228" s="685"/>
      <c r="G228" s="685"/>
      <c r="H228" s="685"/>
    </row>
    <row r="229" spans="1:8" x14ac:dyDescent="0.2">
      <c r="A229" s="686" t="s">
        <v>813</v>
      </c>
      <c r="B229" s="685"/>
      <c r="C229" s="685"/>
      <c r="D229" s="685"/>
      <c r="E229" s="685"/>
      <c r="F229" s="685"/>
      <c r="G229" s="685"/>
      <c r="H229" s="685"/>
    </row>
    <row r="230" spans="1:8" x14ac:dyDescent="0.2">
      <c r="A230" s="685"/>
      <c r="B230" s="685"/>
      <c r="C230" s="685"/>
      <c r="D230" s="685"/>
      <c r="E230" s="685"/>
      <c r="F230" s="685"/>
      <c r="G230" s="685"/>
      <c r="H230" s="685"/>
    </row>
    <row r="231" spans="1:8" x14ac:dyDescent="0.2">
      <c r="A231" s="686" t="s">
        <v>804</v>
      </c>
      <c r="B231" s="685"/>
      <c r="C231" s="685"/>
      <c r="D231" s="685"/>
      <c r="E231" s="685"/>
      <c r="F231" s="685"/>
      <c r="G231" s="685"/>
      <c r="H231" s="685"/>
    </row>
    <row r="232" spans="1:8" x14ac:dyDescent="0.2">
      <c r="A232" s="686" t="s">
        <v>805</v>
      </c>
      <c r="B232" s="685"/>
      <c r="C232" s="685"/>
      <c r="D232" s="685"/>
      <c r="E232" s="685"/>
      <c r="F232" s="685"/>
      <c r="G232" s="685"/>
      <c r="H232" s="685"/>
    </row>
    <row r="233" spans="1:8" x14ac:dyDescent="0.2">
      <c r="A233" s="686" t="s">
        <v>806</v>
      </c>
      <c r="B233" s="685"/>
      <c r="C233" s="685"/>
      <c r="D233" s="685"/>
      <c r="E233" s="685"/>
      <c r="F233" s="685"/>
      <c r="G233" s="685"/>
      <c r="H233" s="685"/>
    </row>
    <row r="234" spans="1:8" x14ac:dyDescent="0.2">
      <c r="A234" s="685"/>
      <c r="B234" s="685"/>
      <c r="C234" s="685"/>
      <c r="D234" s="685"/>
      <c r="E234" s="685"/>
      <c r="F234" s="685"/>
      <c r="G234" s="685"/>
      <c r="H234" s="685"/>
    </row>
    <row r="235" spans="1:8" x14ac:dyDescent="0.2">
      <c r="A235" s="686" t="s">
        <v>799</v>
      </c>
      <c r="B235" s="685"/>
      <c r="C235" s="685"/>
      <c r="D235" s="685"/>
      <c r="E235" s="685"/>
      <c r="F235" s="685"/>
      <c r="G235" s="685"/>
      <c r="H235" s="685"/>
    </row>
    <row r="236" spans="1:8" x14ac:dyDescent="0.2">
      <c r="A236" s="686" t="s">
        <v>800</v>
      </c>
      <c r="B236" s="685"/>
      <c r="C236" s="685"/>
      <c r="D236" s="685"/>
      <c r="E236" s="685"/>
      <c r="F236" s="685"/>
      <c r="G236" s="685"/>
      <c r="H236" s="685"/>
    </row>
    <row r="237" spans="1:8" x14ac:dyDescent="0.2">
      <c r="A237" s="686" t="s">
        <v>801</v>
      </c>
      <c r="B237" s="685"/>
      <c r="C237" s="685"/>
      <c r="D237" s="685"/>
      <c r="E237" s="685"/>
      <c r="F237" s="685"/>
      <c r="G237" s="685"/>
      <c r="H237" s="685"/>
    </row>
    <row r="238" spans="1:8" x14ac:dyDescent="0.2">
      <c r="A238" s="686" t="s">
        <v>802</v>
      </c>
      <c r="B238" s="685"/>
      <c r="C238" s="685"/>
      <c r="D238" s="685"/>
      <c r="E238" s="685"/>
      <c r="F238" s="685"/>
      <c r="G238" s="685"/>
      <c r="H238" s="685"/>
    </row>
    <row r="239" spans="1:8" x14ac:dyDescent="0.2">
      <c r="A239" s="686" t="s">
        <v>803</v>
      </c>
      <c r="B239" s="685"/>
      <c r="C239" s="685"/>
      <c r="D239" s="685"/>
      <c r="E239" s="685"/>
      <c r="F239" s="685"/>
      <c r="G239" s="685"/>
      <c r="H239" s="685"/>
    </row>
    <row r="240" spans="1:8" x14ac:dyDescent="0.2">
      <c r="A240" s="685"/>
      <c r="B240" s="685"/>
      <c r="C240" s="685"/>
      <c r="D240" s="685"/>
      <c r="E240" s="685"/>
      <c r="F240" s="685"/>
      <c r="G240" s="685"/>
      <c r="H240" s="685"/>
    </row>
    <row r="241" spans="1:8" x14ac:dyDescent="0.2">
      <c r="A241" s="686" t="s">
        <v>793</v>
      </c>
      <c r="B241" s="685"/>
      <c r="C241" s="685"/>
      <c r="D241" s="685"/>
      <c r="E241" s="685"/>
      <c r="F241" s="685"/>
      <c r="G241" s="685"/>
      <c r="H241" s="685"/>
    </row>
    <row r="242" spans="1:8" x14ac:dyDescent="0.2">
      <c r="A242" s="686" t="s">
        <v>794</v>
      </c>
      <c r="B242" s="685"/>
      <c r="C242" s="685"/>
      <c r="D242" s="685"/>
      <c r="E242" s="685"/>
      <c r="F242" s="685"/>
      <c r="G242" s="685"/>
      <c r="H242" s="685"/>
    </row>
    <row r="243" spans="1:8" x14ac:dyDescent="0.2">
      <c r="A243" s="686" t="s">
        <v>795</v>
      </c>
      <c r="B243" s="685"/>
      <c r="C243" s="685"/>
      <c r="D243" s="685"/>
      <c r="E243" s="685"/>
      <c r="F243" s="685"/>
      <c r="G243" s="685"/>
      <c r="H243" s="685"/>
    </row>
    <row r="244" spans="1:8" x14ac:dyDescent="0.2">
      <c r="A244" s="686" t="s">
        <v>796</v>
      </c>
      <c r="B244" s="685"/>
      <c r="C244" s="685"/>
      <c r="D244" s="685"/>
      <c r="E244" s="685"/>
      <c r="F244" s="685"/>
      <c r="G244" s="685"/>
      <c r="H244" s="685"/>
    </row>
    <row r="245" spans="1:8" x14ac:dyDescent="0.2">
      <c r="A245" s="686" t="s">
        <v>797</v>
      </c>
      <c r="B245" s="685"/>
      <c r="C245" s="685"/>
      <c r="D245" s="685"/>
      <c r="E245" s="685"/>
      <c r="F245" s="685"/>
      <c r="G245" s="685"/>
      <c r="H245" s="685"/>
    </row>
    <row r="246" spans="1:8" x14ac:dyDescent="0.2">
      <c r="A246" s="686" t="s">
        <v>798</v>
      </c>
      <c r="B246" s="685"/>
      <c r="C246" s="685"/>
      <c r="D246" s="685"/>
      <c r="E246" s="685"/>
      <c r="F246" s="685"/>
      <c r="G246" s="685"/>
      <c r="H246" s="685"/>
    </row>
    <row r="247" spans="1:8" x14ac:dyDescent="0.2">
      <c r="A247" s="685"/>
      <c r="B247" s="685"/>
      <c r="C247" s="685"/>
      <c r="D247" s="685"/>
      <c r="E247" s="685"/>
      <c r="F247" s="685"/>
      <c r="G247" s="685"/>
      <c r="H247" s="685"/>
    </row>
    <row r="248" spans="1:8" x14ac:dyDescent="0.2">
      <c r="A248" s="686" t="s">
        <v>783</v>
      </c>
      <c r="B248" s="685"/>
      <c r="C248" s="685"/>
      <c r="D248" s="685"/>
      <c r="E248" s="685"/>
      <c r="F248" s="685"/>
      <c r="G248" s="685"/>
      <c r="H248" s="685"/>
    </row>
    <row r="249" spans="1:8" x14ac:dyDescent="0.2">
      <c r="A249" s="686" t="s">
        <v>784</v>
      </c>
      <c r="B249" s="685"/>
      <c r="C249" s="685"/>
      <c r="D249" s="685"/>
      <c r="E249" s="685"/>
      <c r="F249" s="685"/>
      <c r="G249" s="685"/>
      <c r="H249" s="685"/>
    </row>
    <row r="250" spans="1:8" x14ac:dyDescent="0.2">
      <c r="A250" s="686" t="s">
        <v>785</v>
      </c>
      <c r="B250" s="685"/>
      <c r="C250" s="685"/>
      <c r="D250" s="685"/>
      <c r="E250" s="685"/>
      <c r="F250" s="685"/>
      <c r="G250" s="685"/>
      <c r="H250" s="685"/>
    </row>
    <row r="251" spans="1:8" x14ac:dyDescent="0.2">
      <c r="A251" s="686" t="s">
        <v>786</v>
      </c>
      <c r="B251" s="685"/>
      <c r="C251" s="685"/>
      <c r="D251" s="685"/>
      <c r="E251" s="685"/>
      <c r="F251" s="685"/>
      <c r="G251" s="685"/>
      <c r="H251" s="685"/>
    </row>
    <row r="252" spans="1:8" x14ac:dyDescent="0.2">
      <c r="A252" s="686" t="s">
        <v>787</v>
      </c>
      <c r="B252" s="685"/>
      <c r="C252" s="685"/>
      <c r="D252" s="685"/>
      <c r="E252" s="685"/>
      <c r="F252" s="685"/>
      <c r="G252" s="685"/>
      <c r="H252" s="685"/>
    </row>
    <row r="253" spans="1:8" x14ac:dyDescent="0.2">
      <c r="A253" s="686" t="s">
        <v>788</v>
      </c>
      <c r="B253" s="685"/>
      <c r="C253" s="685"/>
      <c r="D253" s="685"/>
      <c r="E253" s="685"/>
      <c r="F253" s="685"/>
      <c r="G253" s="685"/>
      <c r="H253" s="685"/>
    </row>
    <row r="254" spans="1:8" x14ac:dyDescent="0.2">
      <c r="A254" s="686" t="s">
        <v>789</v>
      </c>
      <c r="B254" s="685"/>
      <c r="C254" s="685"/>
      <c r="D254" s="685"/>
      <c r="E254" s="685"/>
      <c r="F254" s="685"/>
      <c r="G254" s="685"/>
      <c r="H254" s="685"/>
    </row>
    <row r="255" spans="1:8" x14ac:dyDescent="0.2">
      <c r="A255" s="686" t="s">
        <v>790</v>
      </c>
      <c r="B255" s="685"/>
      <c r="C255" s="685"/>
      <c r="D255" s="685"/>
      <c r="E255" s="685"/>
      <c r="F255" s="685"/>
      <c r="G255" s="685"/>
      <c r="H255" s="685"/>
    </row>
    <row r="256" spans="1:8" x14ac:dyDescent="0.2">
      <c r="A256" s="686" t="s">
        <v>791</v>
      </c>
      <c r="B256" s="685"/>
      <c r="C256" s="685"/>
      <c r="D256" s="685"/>
      <c r="E256" s="685"/>
      <c r="F256" s="685"/>
      <c r="G256" s="685"/>
      <c r="H256" s="685"/>
    </row>
    <row r="257" spans="1:8" x14ac:dyDescent="0.2">
      <c r="A257" s="686" t="s">
        <v>792</v>
      </c>
      <c r="B257" s="685"/>
      <c r="C257" s="685"/>
      <c r="D257" s="685"/>
      <c r="E257" s="685"/>
      <c r="F257" s="685"/>
      <c r="G257" s="685"/>
      <c r="H257" s="685"/>
    </row>
    <row r="258" spans="1:8" x14ac:dyDescent="0.2">
      <c r="A258" s="685"/>
      <c r="B258" s="685"/>
      <c r="C258" s="685"/>
      <c r="D258" s="685"/>
      <c r="E258" s="685"/>
      <c r="F258" s="685"/>
      <c r="G258" s="685"/>
      <c r="H258" s="685"/>
    </row>
    <row r="259" spans="1:8" x14ac:dyDescent="0.2">
      <c r="A259" s="686" t="s">
        <v>781</v>
      </c>
      <c r="B259" s="685"/>
      <c r="C259" s="685"/>
      <c r="D259" s="685"/>
      <c r="E259" s="685"/>
      <c r="F259" s="685"/>
      <c r="G259" s="685"/>
      <c r="H259" s="685"/>
    </row>
    <row r="260" spans="1:8" x14ac:dyDescent="0.2">
      <c r="A260" s="686" t="s">
        <v>782</v>
      </c>
      <c r="B260" s="685"/>
      <c r="C260" s="685"/>
      <c r="D260" s="685"/>
      <c r="E260" s="685"/>
      <c r="F260" s="685"/>
      <c r="G260" s="685"/>
      <c r="H260" s="685"/>
    </row>
    <row r="261" spans="1:8" x14ac:dyDescent="0.2">
      <c r="A261" s="685"/>
      <c r="B261" s="685"/>
      <c r="C261" s="685"/>
      <c r="D261" s="685"/>
      <c r="E261" s="685"/>
      <c r="F261" s="685"/>
      <c r="G261" s="685"/>
      <c r="H261" s="685"/>
    </row>
    <row r="262" spans="1:8" x14ac:dyDescent="0.2">
      <c r="A262" s="686" t="s">
        <v>765</v>
      </c>
      <c r="B262" s="685"/>
      <c r="C262" s="685"/>
      <c r="D262" s="685"/>
      <c r="E262" s="685"/>
      <c r="F262" s="685"/>
      <c r="G262" s="685"/>
      <c r="H262" s="685"/>
    </row>
    <row r="263" spans="1:8" x14ac:dyDescent="0.2">
      <c r="A263" s="686" t="s">
        <v>766</v>
      </c>
      <c r="B263" s="685"/>
      <c r="C263" s="685"/>
      <c r="D263" s="685"/>
      <c r="E263" s="685"/>
      <c r="F263" s="685"/>
      <c r="G263" s="685"/>
      <c r="H263" s="685"/>
    </row>
    <row r="264" spans="1:8" x14ac:dyDescent="0.2">
      <c r="A264" s="686" t="s">
        <v>767</v>
      </c>
      <c r="B264" s="685"/>
      <c r="C264" s="685"/>
      <c r="D264" s="685"/>
      <c r="E264" s="685"/>
      <c r="F264" s="685"/>
      <c r="G264" s="685"/>
      <c r="H264" s="685"/>
    </row>
    <row r="265" spans="1:8" x14ac:dyDescent="0.2">
      <c r="A265" s="686" t="s">
        <v>768</v>
      </c>
      <c r="B265" s="685"/>
      <c r="C265" s="685"/>
      <c r="D265" s="685"/>
      <c r="E265" s="685"/>
      <c r="F265" s="685"/>
      <c r="G265" s="685"/>
      <c r="H265" s="685"/>
    </row>
    <row r="266" spans="1:8" x14ac:dyDescent="0.2">
      <c r="A266" s="686" t="s">
        <v>769</v>
      </c>
      <c r="B266" s="685"/>
      <c r="C266" s="685"/>
      <c r="D266" s="685"/>
      <c r="E266" s="685"/>
      <c r="F266" s="685"/>
      <c r="G266" s="685"/>
      <c r="H266" s="685"/>
    </row>
    <row r="267" spans="1:8" x14ac:dyDescent="0.2">
      <c r="A267" s="686" t="s">
        <v>770</v>
      </c>
      <c r="B267" s="685"/>
      <c r="C267" s="685"/>
      <c r="D267" s="685"/>
      <c r="E267" s="685"/>
      <c r="F267" s="685"/>
      <c r="G267" s="685"/>
      <c r="H267" s="685"/>
    </row>
    <row r="268" spans="1:8" x14ac:dyDescent="0.2">
      <c r="A268" s="686" t="s">
        <v>771</v>
      </c>
      <c r="B268" s="685"/>
      <c r="C268" s="685"/>
      <c r="D268" s="685"/>
      <c r="E268" s="685"/>
      <c r="F268" s="685"/>
      <c r="G268" s="685"/>
      <c r="H268" s="685"/>
    </row>
    <row r="269" spans="1:8" x14ac:dyDescent="0.2">
      <c r="A269" s="686" t="s">
        <v>772</v>
      </c>
      <c r="B269" s="685"/>
      <c r="C269" s="685"/>
      <c r="D269" s="685"/>
      <c r="E269" s="685"/>
      <c r="F269" s="685"/>
      <c r="G269" s="685"/>
      <c r="H269" s="685"/>
    </row>
    <row r="270" spans="1:8" x14ac:dyDescent="0.2">
      <c r="A270" s="686" t="s">
        <v>773</v>
      </c>
      <c r="B270" s="685"/>
      <c r="C270" s="685"/>
      <c r="D270" s="685"/>
      <c r="E270" s="685"/>
      <c r="F270" s="685"/>
      <c r="G270" s="685"/>
      <c r="H270" s="685"/>
    </row>
    <row r="271" spans="1:8" x14ac:dyDescent="0.2">
      <c r="A271" s="686" t="s">
        <v>774</v>
      </c>
      <c r="B271" s="685"/>
      <c r="C271" s="685"/>
      <c r="D271" s="685"/>
      <c r="E271" s="685"/>
      <c r="F271" s="685"/>
      <c r="G271" s="685"/>
      <c r="H271" s="685"/>
    </row>
    <row r="272" spans="1:8" x14ac:dyDescent="0.2">
      <c r="A272" s="686" t="s">
        <v>775</v>
      </c>
      <c r="B272" s="685"/>
      <c r="C272" s="685"/>
      <c r="D272" s="685"/>
      <c r="E272" s="685"/>
      <c r="F272" s="685"/>
      <c r="G272" s="685"/>
      <c r="H272" s="685"/>
    </row>
    <row r="273" spans="1:8" x14ac:dyDescent="0.2">
      <c r="A273" s="686" t="s">
        <v>776</v>
      </c>
      <c r="B273" s="685"/>
      <c r="C273" s="685"/>
      <c r="D273" s="685"/>
      <c r="E273" s="685"/>
      <c r="F273" s="685"/>
      <c r="G273" s="685"/>
      <c r="H273" s="685"/>
    </row>
    <row r="274" spans="1:8" x14ac:dyDescent="0.2">
      <c r="A274" s="686" t="s">
        <v>777</v>
      </c>
      <c r="B274" s="685"/>
      <c r="C274" s="685"/>
      <c r="D274" s="685"/>
      <c r="E274" s="685"/>
      <c r="F274" s="685"/>
      <c r="G274" s="685"/>
      <c r="H274" s="685"/>
    </row>
    <row r="275" spans="1:8" x14ac:dyDescent="0.2">
      <c r="A275" s="686" t="s">
        <v>778</v>
      </c>
      <c r="B275" s="685"/>
      <c r="C275" s="685"/>
      <c r="D275" s="685"/>
      <c r="E275" s="685"/>
      <c r="F275" s="685"/>
      <c r="G275" s="685"/>
      <c r="H275" s="685"/>
    </row>
    <row r="276" spans="1:8" x14ac:dyDescent="0.2">
      <c r="A276" s="686" t="s">
        <v>779</v>
      </c>
      <c r="B276" s="685"/>
      <c r="C276" s="685"/>
      <c r="D276" s="685"/>
      <c r="E276" s="685"/>
      <c r="F276" s="685"/>
      <c r="G276" s="685"/>
      <c r="H276" s="685"/>
    </row>
    <row r="277" spans="1:8" x14ac:dyDescent="0.2">
      <c r="A277" s="686" t="s">
        <v>780</v>
      </c>
      <c r="B277" s="685"/>
      <c r="C277" s="685"/>
      <c r="D277" s="685"/>
      <c r="E277" s="685"/>
      <c r="F277" s="685"/>
      <c r="G277" s="685"/>
      <c r="H277" s="685"/>
    </row>
    <row r="278" spans="1:8" x14ac:dyDescent="0.2">
      <c r="A278" s="685"/>
      <c r="B278" s="685"/>
      <c r="C278" s="685"/>
      <c r="D278" s="685"/>
      <c r="E278" s="685"/>
      <c r="F278" s="685"/>
      <c r="G278" s="685"/>
      <c r="H278" s="685"/>
    </row>
    <row r="279" spans="1:8" x14ac:dyDescent="0.2">
      <c r="A279" s="686" t="s">
        <v>758</v>
      </c>
      <c r="B279" s="685"/>
      <c r="C279" s="685"/>
      <c r="D279" s="685"/>
      <c r="E279" s="685"/>
      <c r="F279" s="685"/>
      <c r="G279" s="685"/>
      <c r="H279" s="685"/>
    </row>
    <row r="280" spans="1:8" x14ac:dyDescent="0.2">
      <c r="A280" s="686" t="s">
        <v>759</v>
      </c>
      <c r="B280" s="685"/>
      <c r="C280" s="685"/>
      <c r="D280" s="685"/>
      <c r="E280" s="685"/>
      <c r="F280" s="685"/>
      <c r="G280" s="685"/>
      <c r="H280" s="685"/>
    </row>
    <row r="281" spans="1:8" x14ac:dyDescent="0.2">
      <c r="A281" s="686" t="s">
        <v>760</v>
      </c>
      <c r="B281" s="685"/>
      <c r="C281" s="685"/>
      <c r="D281" s="685"/>
      <c r="E281" s="685"/>
      <c r="F281" s="685"/>
      <c r="G281" s="685"/>
      <c r="H281" s="685"/>
    </row>
    <row r="282" spans="1:8" x14ac:dyDescent="0.2">
      <c r="A282" s="686" t="s">
        <v>761</v>
      </c>
      <c r="B282" s="685"/>
      <c r="C282" s="685"/>
      <c r="D282" s="685"/>
      <c r="E282" s="685"/>
      <c r="F282" s="685"/>
      <c r="G282" s="685"/>
      <c r="H282" s="685"/>
    </row>
    <row r="283" spans="1:8" x14ac:dyDescent="0.2">
      <c r="A283" s="686" t="s">
        <v>762</v>
      </c>
      <c r="B283" s="685"/>
      <c r="C283" s="685"/>
      <c r="D283" s="685"/>
      <c r="E283" s="685"/>
      <c r="F283" s="685"/>
      <c r="G283" s="685"/>
      <c r="H283" s="685"/>
    </row>
    <row r="284" spans="1:8" x14ac:dyDescent="0.2">
      <c r="A284" s="686" t="s">
        <v>763</v>
      </c>
      <c r="B284" s="685"/>
      <c r="C284" s="685"/>
      <c r="D284" s="685"/>
      <c r="E284" s="685"/>
      <c r="F284" s="685"/>
      <c r="G284" s="685"/>
      <c r="H284" s="685"/>
    </row>
    <row r="285" spans="1:8" x14ac:dyDescent="0.2">
      <c r="A285" s="686" t="s">
        <v>764</v>
      </c>
      <c r="B285" s="685"/>
      <c r="C285" s="685"/>
      <c r="D285" s="685"/>
      <c r="E285" s="685"/>
      <c r="F285" s="685"/>
      <c r="G285" s="685"/>
      <c r="H285" s="685"/>
    </row>
    <row r="286" spans="1:8" x14ac:dyDescent="0.2">
      <c r="A286" s="685"/>
      <c r="B286" s="685"/>
      <c r="C286" s="685"/>
      <c r="D286" s="685"/>
      <c r="E286" s="685"/>
      <c r="F286" s="685"/>
      <c r="G286" s="685"/>
      <c r="H286" s="685"/>
    </row>
    <row r="287" spans="1:8" x14ac:dyDescent="0.2">
      <c r="A287" s="686" t="s">
        <v>749</v>
      </c>
      <c r="B287" s="685"/>
      <c r="C287" s="685"/>
      <c r="D287" s="685"/>
      <c r="E287" s="685"/>
      <c r="F287" s="685"/>
      <c r="G287" s="685"/>
      <c r="H287" s="685"/>
    </row>
    <row r="288" spans="1:8" x14ac:dyDescent="0.2">
      <c r="A288" s="686" t="s">
        <v>750</v>
      </c>
      <c r="B288" s="685"/>
      <c r="C288" s="685"/>
      <c r="D288" s="685"/>
      <c r="E288" s="685"/>
      <c r="F288" s="685"/>
      <c r="G288" s="685"/>
      <c r="H288" s="685"/>
    </row>
    <row r="289" spans="1:8" x14ac:dyDescent="0.2">
      <c r="A289" s="686" t="s">
        <v>751</v>
      </c>
      <c r="B289" s="685"/>
      <c r="C289" s="685"/>
      <c r="D289" s="685"/>
      <c r="E289" s="685"/>
      <c r="F289" s="685"/>
      <c r="G289" s="685"/>
      <c r="H289" s="685"/>
    </row>
    <row r="290" spans="1:8" x14ac:dyDescent="0.2">
      <c r="A290" s="686" t="s">
        <v>752</v>
      </c>
      <c r="B290" s="685"/>
      <c r="C290" s="685"/>
      <c r="D290" s="685"/>
      <c r="E290" s="685"/>
      <c r="F290" s="685"/>
      <c r="G290" s="685"/>
      <c r="H290" s="685"/>
    </row>
    <row r="291" spans="1:8" x14ac:dyDescent="0.2">
      <c r="A291" s="686" t="s">
        <v>753</v>
      </c>
      <c r="B291" s="685"/>
      <c r="C291" s="685"/>
      <c r="D291" s="685"/>
      <c r="E291" s="685"/>
      <c r="F291" s="685"/>
      <c r="G291" s="685"/>
      <c r="H291" s="685"/>
    </row>
    <row r="292" spans="1:8" x14ac:dyDescent="0.2">
      <c r="A292" s="686" t="s">
        <v>754</v>
      </c>
      <c r="B292" s="685"/>
      <c r="C292" s="685"/>
      <c r="D292" s="685"/>
      <c r="E292" s="685"/>
      <c r="F292" s="685"/>
      <c r="G292" s="685"/>
      <c r="H292" s="685"/>
    </row>
    <row r="293" spans="1:8" x14ac:dyDescent="0.2">
      <c r="A293" s="686" t="s">
        <v>755</v>
      </c>
      <c r="B293" s="685"/>
      <c r="C293" s="685"/>
      <c r="D293" s="685"/>
      <c r="E293" s="685"/>
      <c r="F293" s="685"/>
      <c r="G293" s="685"/>
      <c r="H293" s="685"/>
    </row>
    <row r="294" spans="1:8" x14ac:dyDescent="0.2">
      <c r="A294" s="686" t="s">
        <v>756</v>
      </c>
      <c r="B294" s="685"/>
      <c r="C294" s="685"/>
      <c r="D294" s="685"/>
      <c r="E294" s="685"/>
      <c r="F294" s="685"/>
      <c r="G294" s="685"/>
      <c r="H294" s="685"/>
    </row>
    <row r="295" spans="1:8" x14ac:dyDescent="0.2">
      <c r="A295" s="686" t="s">
        <v>757</v>
      </c>
      <c r="B295" s="685"/>
      <c r="C295" s="685"/>
      <c r="D295" s="685"/>
      <c r="E295" s="685"/>
      <c r="F295" s="685"/>
      <c r="G295" s="685"/>
      <c r="H295" s="685"/>
    </row>
    <row r="296" spans="1:8" x14ac:dyDescent="0.2">
      <c r="A296" s="685"/>
      <c r="B296" s="685"/>
      <c r="C296" s="685"/>
      <c r="D296" s="685"/>
      <c r="E296" s="685"/>
      <c r="F296" s="685"/>
      <c r="G296" s="685"/>
      <c r="H296" s="685"/>
    </row>
    <row r="297" spans="1:8" x14ac:dyDescent="0.2">
      <c r="A297" s="686" t="s">
        <v>742</v>
      </c>
      <c r="B297" s="685"/>
      <c r="C297" s="685"/>
      <c r="D297" s="685"/>
      <c r="E297" s="685"/>
      <c r="F297" s="685"/>
      <c r="G297" s="685"/>
      <c r="H297" s="685"/>
    </row>
    <row r="298" spans="1:8" x14ac:dyDescent="0.2">
      <c r="A298" s="686" t="s">
        <v>743</v>
      </c>
      <c r="B298" s="685"/>
      <c r="C298" s="685"/>
      <c r="D298" s="685"/>
      <c r="E298" s="685"/>
      <c r="F298" s="685"/>
      <c r="G298" s="685"/>
      <c r="H298" s="685"/>
    </row>
    <row r="299" spans="1:8" x14ac:dyDescent="0.2">
      <c r="A299" s="686" t="s">
        <v>744</v>
      </c>
      <c r="B299" s="685"/>
      <c r="C299" s="685"/>
      <c r="D299" s="685"/>
      <c r="E299" s="685"/>
      <c r="F299" s="685"/>
      <c r="G299" s="685"/>
      <c r="H299" s="685"/>
    </row>
    <row r="300" spans="1:8" x14ac:dyDescent="0.2">
      <c r="A300" s="686" t="s">
        <v>745</v>
      </c>
      <c r="B300" s="685"/>
      <c r="C300" s="685"/>
      <c r="D300" s="685"/>
      <c r="E300" s="685"/>
      <c r="F300" s="685"/>
      <c r="G300" s="685"/>
      <c r="H300" s="685"/>
    </row>
    <row r="301" spans="1:8" x14ac:dyDescent="0.2">
      <c r="A301" s="686" t="s">
        <v>746</v>
      </c>
      <c r="B301" s="685"/>
      <c r="C301" s="685"/>
      <c r="D301" s="685"/>
      <c r="E301" s="685"/>
      <c r="F301" s="685"/>
      <c r="G301" s="685"/>
      <c r="H301" s="685"/>
    </row>
    <row r="302" spans="1:8" x14ac:dyDescent="0.2">
      <c r="A302" s="686" t="s">
        <v>747</v>
      </c>
      <c r="B302" s="685"/>
      <c r="C302" s="685"/>
      <c r="D302" s="685"/>
      <c r="E302" s="685"/>
      <c r="F302" s="685"/>
      <c r="G302" s="685"/>
      <c r="H302" s="685"/>
    </row>
    <row r="303" spans="1:8" x14ac:dyDescent="0.2">
      <c r="A303" s="686" t="s">
        <v>748</v>
      </c>
      <c r="B303" s="685"/>
      <c r="C303" s="685"/>
      <c r="D303" s="685"/>
      <c r="E303" s="685"/>
      <c r="F303" s="685"/>
      <c r="G303" s="685"/>
      <c r="H303" s="685"/>
    </row>
    <row r="304" spans="1:8" x14ac:dyDescent="0.2">
      <c r="A304" s="685"/>
      <c r="B304" s="685"/>
      <c r="C304" s="685"/>
      <c r="D304" s="685"/>
      <c r="E304" s="685"/>
      <c r="F304" s="685"/>
      <c r="G304" s="685"/>
      <c r="H304" s="685"/>
    </row>
    <row r="305" spans="1:8" x14ac:dyDescent="0.2">
      <c r="A305" s="686" t="s">
        <v>739</v>
      </c>
      <c r="B305" s="685"/>
      <c r="C305" s="685"/>
      <c r="D305" s="685"/>
      <c r="E305" s="685"/>
      <c r="F305" s="685"/>
      <c r="G305" s="685"/>
      <c r="H305" s="685"/>
    </row>
    <row r="306" spans="1:8" x14ac:dyDescent="0.2">
      <c r="A306" s="686" t="s">
        <v>740</v>
      </c>
      <c r="B306" s="685"/>
      <c r="C306" s="685"/>
      <c r="D306" s="685"/>
      <c r="E306" s="685"/>
      <c r="F306" s="685"/>
      <c r="G306" s="685"/>
      <c r="H306" s="685"/>
    </row>
    <row r="307" spans="1:8" x14ac:dyDescent="0.2">
      <c r="A307" s="686" t="s">
        <v>741</v>
      </c>
      <c r="B307" s="685"/>
      <c r="C307" s="685"/>
      <c r="D307" s="685"/>
      <c r="E307" s="685"/>
      <c r="F307" s="685"/>
      <c r="G307" s="685"/>
      <c r="H307" s="685"/>
    </row>
    <row r="308" spans="1:8" x14ac:dyDescent="0.2">
      <c r="A308" s="685"/>
      <c r="B308" s="685"/>
      <c r="C308" s="685"/>
      <c r="D308" s="685"/>
      <c r="E308" s="685"/>
      <c r="F308" s="685"/>
      <c r="G308" s="685"/>
      <c r="H308" s="685"/>
    </row>
    <row r="309" spans="1:8" x14ac:dyDescent="0.2">
      <c r="A309" s="686" t="s">
        <v>737</v>
      </c>
      <c r="B309" s="685"/>
      <c r="C309" s="685"/>
      <c r="D309" s="685"/>
      <c r="E309" s="685"/>
      <c r="F309" s="685"/>
      <c r="G309" s="685"/>
      <c r="H309" s="685"/>
    </row>
    <row r="310" spans="1:8" x14ac:dyDescent="0.2">
      <c r="A310" s="686" t="s">
        <v>738</v>
      </c>
      <c r="B310" s="685"/>
      <c r="C310" s="685"/>
      <c r="D310" s="685"/>
      <c r="E310" s="685"/>
      <c r="F310" s="685"/>
      <c r="G310" s="685"/>
      <c r="H310" s="685"/>
    </row>
    <row r="311" spans="1:8" x14ac:dyDescent="0.2">
      <c r="A311" s="685"/>
      <c r="B311" s="685"/>
      <c r="C311" s="685"/>
      <c r="D311" s="685"/>
      <c r="E311" s="685"/>
      <c r="F311" s="685"/>
      <c r="G311" s="685"/>
      <c r="H311" s="685"/>
    </row>
    <row r="312" spans="1:8" x14ac:dyDescent="0.2">
      <c r="A312" s="686" t="s">
        <v>724</v>
      </c>
      <c r="B312" s="685"/>
      <c r="C312" s="685"/>
      <c r="D312" s="685"/>
      <c r="E312" s="685"/>
      <c r="F312" s="685"/>
      <c r="G312" s="685"/>
      <c r="H312" s="685"/>
    </row>
    <row r="313" spans="1:8" x14ac:dyDescent="0.2">
      <c r="A313" s="686" t="s">
        <v>725</v>
      </c>
      <c r="B313" s="685"/>
      <c r="C313" s="685"/>
      <c r="D313" s="685"/>
      <c r="E313" s="685"/>
      <c r="F313" s="685"/>
      <c r="G313" s="685"/>
      <c r="H313" s="685"/>
    </row>
    <row r="314" spans="1:8" x14ac:dyDescent="0.2">
      <c r="A314" s="686" t="s">
        <v>726</v>
      </c>
      <c r="B314" s="685"/>
      <c r="C314" s="685"/>
      <c r="D314" s="685"/>
      <c r="E314" s="685"/>
      <c r="F314" s="685"/>
      <c r="G314" s="685"/>
      <c r="H314" s="685"/>
    </row>
    <row r="315" spans="1:8" x14ac:dyDescent="0.2">
      <c r="A315" s="686" t="s">
        <v>727</v>
      </c>
      <c r="B315" s="685"/>
      <c r="C315" s="685"/>
      <c r="D315" s="685"/>
      <c r="E315" s="685"/>
      <c r="F315" s="685"/>
      <c r="G315" s="685"/>
      <c r="H315" s="685"/>
    </row>
    <row r="316" spans="1:8" x14ac:dyDescent="0.2">
      <c r="A316" s="686" t="s">
        <v>728</v>
      </c>
      <c r="B316" s="685"/>
      <c r="C316" s="685"/>
      <c r="D316" s="685"/>
      <c r="E316" s="685"/>
      <c r="F316" s="685"/>
      <c r="G316" s="685"/>
      <c r="H316" s="685"/>
    </row>
    <row r="317" spans="1:8" x14ac:dyDescent="0.2">
      <c r="A317" s="686" t="s">
        <v>729</v>
      </c>
      <c r="B317" s="685"/>
      <c r="C317" s="685"/>
      <c r="D317" s="685"/>
      <c r="E317" s="685"/>
      <c r="F317" s="685"/>
      <c r="G317" s="685"/>
      <c r="H317" s="685"/>
    </row>
    <row r="318" spans="1:8" x14ac:dyDescent="0.2">
      <c r="A318" s="686" t="s">
        <v>730</v>
      </c>
      <c r="B318" s="685"/>
      <c r="C318" s="685"/>
      <c r="D318" s="685"/>
      <c r="E318" s="685"/>
      <c r="F318" s="685"/>
      <c r="G318" s="685"/>
      <c r="H318" s="685"/>
    </row>
    <row r="319" spans="1:8" x14ac:dyDescent="0.2">
      <c r="A319" s="686" t="s">
        <v>731</v>
      </c>
      <c r="B319" s="685"/>
      <c r="C319" s="685"/>
      <c r="D319" s="685"/>
      <c r="E319" s="685"/>
      <c r="F319" s="685"/>
      <c r="G319" s="685"/>
      <c r="H319" s="685"/>
    </row>
    <row r="320" spans="1:8" x14ac:dyDescent="0.2">
      <c r="A320" s="686" t="s">
        <v>732</v>
      </c>
      <c r="B320" s="685"/>
      <c r="C320" s="685"/>
      <c r="D320" s="685"/>
      <c r="E320" s="685"/>
      <c r="F320" s="685"/>
      <c r="G320" s="685"/>
      <c r="H320" s="685"/>
    </row>
    <row r="321" spans="1:8" x14ac:dyDescent="0.2">
      <c r="A321" s="686" t="s">
        <v>733</v>
      </c>
      <c r="B321" s="685"/>
      <c r="C321" s="685"/>
      <c r="D321" s="685"/>
      <c r="E321" s="685"/>
      <c r="F321" s="685"/>
      <c r="G321" s="685"/>
      <c r="H321" s="685"/>
    </row>
    <row r="322" spans="1:8" x14ac:dyDescent="0.2">
      <c r="A322" s="686" t="s">
        <v>734</v>
      </c>
      <c r="B322" s="685"/>
      <c r="C322" s="685"/>
      <c r="D322" s="685"/>
      <c r="E322" s="685"/>
      <c r="F322" s="685"/>
      <c r="G322" s="685"/>
      <c r="H322" s="685"/>
    </row>
    <row r="323" spans="1:8" x14ac:dyDescent="0.2">
      <c r="A323" s="686" t="s">
        <v>735</v>
      </c>
      <c r="B323" s="685"/>
      <c r="C323" s="685"/>
      <c r="D323" s="685"/>
      <c r="E323" s="685"/>
      <c r="F323" s="685"/>
      <c r="G323" s="685"/>
      <c r="H323" s="685"/>
    </row>
    <row r="324" spans="1:8" x14ac:dyDescent="0.2">
      <c r="A324" s="686" t="s">
        <v>736</v>
      </c>
      <c r="B324" s="685"/>
      <c r="C324" s="685"/>
      <c r="D324" s="685"/>
      <c r="E324" s="685"/>
      <c r="F324" s="685"/>
      <c r="G324" s="685"/>
      <c r="H324" s="685"/>
    </row>
    <row r="325" spans="1:8" x14ac:dyDescent="0.2">
      <c r="A325" s="685"/>
      <c r="B325" s="685"/>
      <c r="C325" s="685"/>
      <c r="D325" s="685"/>
      <c r="E325" s="685"/>
      <c r="F325" s="685"/>
      <c r="G325" s="685"/>
      <c r="H325" s="685"/>
    </row>
    <row r="326" spans="1:8" x14ac:dyDescent="0.2">
      <c r="A326" s="686" t="s">
        <v>716</v>
      </c>
      <c r="B326" s="685"/>
      <c r="C326" s="685"/>
      <c r="D326" s="685"/>
      <c r="E326" s="685"/>
      <c r="F326" s="685"/>
      <c r="G326" s="685"/>
      <c r="H326" s="685"/>
    </row>
    <row r="327" spans="1:8" x14ac:dyDescent="0.2">
      <c r="A327" s="686" t="s">
        <v>717</v>
      </c>
      <c r="B327" s="685"/>
      <c r="C327" s="685"/>
      <c r="D327" s="685"/>
      <c r="E327" s="685"/>
      <c r="F327" s="685"/>
      <c r="G327" s="685"/>
      <c r="H327" s="685"/>
    </row>
    <row r="328" spans="1:8" x14ac:dyDescent="0.2">
      <c r="A328" s="686" t="s">
        <v>718</v>
      </c>
      <c r="B328" s="685"/>
      <c r="C328" s="685"/>
      <c r="D328" s="685"/>
      <c r="E328" s="685"/>
      <c r="F328" s="685"/>
      <c r="G328" s="685"/>
      <c r="H328" s="685"/>
    </row>
    <row r="329" spans="1:8" x14ac:dyDescent="0.2">
      <c r="A329" s="686" t="s">
        <v>719</v>
      </c>
      <c r="B329" s="685"/>
      <c r="C329" s="685"/>
      <c r="D329" s="685"/>
      <c r="E329" s="685"/>
      <c r="F329" s="685"/>
      <c r="G329" s="685"/>
      <c r="H329" s="685"/>
    </row>
    <row r="330" spans="1:8" x14ac:dyDescent="0.2">
      <c r="A330" s="686" t="s">
        <v>720</v>
      </c>
      <c r="B330" s="685"/>
      <c r="C330" s="685"/>
      <c r="D330" s="685"/>
      <c r="E330" s="685"/>
      <c r="F330" s="685"/>
      <c r="G330" s="685"/>
      <c r="H330" s="685"/>
    </row>
    <row r="331" spans="1:8" x14ac:dyDescent="0.2">
      <c r="A331" s="686" t="s">
        <v>721</v>
      </c>
      <c r="B331" s="685"/>
      <c r="C331" s="685"/>
      <c r="D331" s="685"/>
      <c r="E331" s="685"/>
      <c r="F331" s="685"/>
      <c r="G331" s="685"/>
      <c r="H331" s="685"/>
    </row>
    <row r="332" spans="1:8" x14ac:dyDescent="0.2">
      <c r="A332" s="686" t="s">
        <v>722</v>
      </c>
      <c r="B332" s="685"/>
      <c r="C332" s="685"/>
      <c r="D332" s="685"/>
      <c r="E332" s="685"/>
      <c r="F332" s="685"/>
      <c r="G332" s="685"/>
      <c r="H332" s="685"/>
    </row>
    <row r="333" spans="1:8" x14ac:dyDescent="0.2">
      <c r="A333" s="686" t="s">
        <v>723</v>
      </c>
      <c r="B333" s="685"/>
      <c r="C333" s="685"/>
      <c r="D333" s="685"/>
      <c r="E333" s="685"/>
      <c r="F333" s="685"/>
      <c r="G333" s="685"/>
      <c r="H333" s="685"/>
    </row>
    <row r="334" spans="1:8" x14ac:dyDescent="0.2">
      <c r="A334" s="685"/>
      <c r="B334" s="685"/>
      <c r="C334" s="685"/>
      <c r="D334" s="685"/>
      <c r="E334" s="685"/>
      <c r="F334" s="685"/>
      <c r="G334" s="685"/>
      <c r="H334" s="685"/>
    </row>
    <row r="335" spans="1:8" x14ac:dyDescent="0.2">
      <c r="A335" s="686" t="s">
        <v>681</v>
      </c>
      <c r="B335" s="685"/>
      <c r="C335" s="685"/>
      <c r="D335" s="685"/>
      <c r="E335" s="685"/>
      <c r="F335" s="685"/>
      <c r="G335" s="685"/>
      <c r="H335" s="685"/>
    </row>
    <row r="336" spans="1:8" x14ac:dyDescent="0.2">
      <c r="A336" s="686" t="s">
        <v>682</v>
      </c>
      <c r="B336" s="685"/>
      <c r="C336" s="685"/>
      <c r="D336" s="685"/>
      <c r="E336" s="685"/>
      <c r="F336" s="685"/>
      <c r="G336" s="685"/>
      <c r="H336" s="685"/>
    </row>
    <row r="337" spans="1:8" x14ac:dyDescent="0.2">
      <c r="A337" s="686" t="s">
        <v>683</v>
      </c>
      <c r="B337" s="685"/>
      <c r="C337" s="685"/>
      <c r="D337" s="685"/>
      <c r="E337" s="685"/>
      <c r="F337" s="685"/>
      <c r="G337" s="685"/>
      <c r="H337" s="685"/>
    </row>
    <row r="338" spans="1:8" x14ac:dyDescent="0.2">
      <c r="A338" s="686" t="s">
        <v>684</v>
      </c>
      <c r="B338" s="685"/>
      <c r="C338" s="685"/>
      <c r="D338" s="685"/>
      <c r="E338" s="685"/>
      <c r="F338" s="685"/>
      <c r="G338" s="685"/>
      <c r="H338" s="685"/>
    </row>
    <row r="339" spans="1:8" x14ac:dyDescent="0.2">
      <c r="A339" s="686" t="s">
        <v>685</v>
      </c>
      <c r="B339" s="685"/>
      <c r="C339" s="685"/>
      <c r="D339" s="685"/>
      <c r="E339" s="685"/>
      <c r="F339" s="685"/>
      <c r="G339" s="685"/>
      <c r="H339" s="685"/>
    </row>
    <row r="340" spans="1:8" x14ac:dyDescent="0.2">
      <c r="A340" s="686" t="s">
        <v>686</v>
      </c>
      <c r="B340" s="685"/>
      <c r="C340" s="685"/>
      <c r="D340" s="685"/>
      <c r="E340" s="685"/>
      <c r="F340" s="685"/>
      <c r="G340" s="685"/>
      <c r="H340" s="685"/>
    </row>
    <row r="341" spans="1:8" x14ac:dyDescent="0.2">
      <c r="A341" s="686" t="s">
        <v>687</v>
      </c>
      <c r="B341" s="685"/>
      <c r="C341" s="685"/>
      <c r="D341" s="685"/>
      <c r="E341" s="685"/>
      <c r="F341" s="685"/>
      <c r="G341" s="685"/>
      <c r="H341" s="685"/>
    </row>
    <row r="342" spans="1:8" x14ac:dyDescent="0.2">
      <c r="A342" s="686" t="s">
        <v>688</v>
      </c>
      <c r="B342" s="685"/>
      <c r="C342" s="685"/>
      <c r="D342" s="685"/>
      <c r="E342" s="685"/>
      <c r="F342" s="685"/>
      <c r="G342" s="685"/>
      <c r="H342" s="685"/>
    </row>
    <row r="343" spans="1:8" x14ac:dyDescent="0.2">
      <c r="A343" s="686" t="s">
        <v>689</v>
      </c>
      <c r="B343" s="685"/>
      <c r="C343" s="685"/>
      <c r="D343" s="685"/>
      <c r="E343" s="685"/>
      <c r="F343" s="685"/>
      <c r="G343" s="685"/>
      <c r="H343" s="685"/>
    </row>
    <row r="344" spans="1:8" x14ac:dyDescent="0.2">
      <c r="A344" s="686" t="s">
        <v>690</v>
      </c>
      <c r="B344" s="685"/>
      <c r="C344" s="685"/>
      <c r="D344" s="685"/>
      <c r="E344" s="685"/>
      <c r="F344" s="685"/>
      <c r="G344" s="685"/>
      <c r="H344" s="685"/>
    </row>
    <row r="345" spans="1:8" x14ac:dyDescent="0.2">
      <c r="A345" s="686" t="s">
        <v>691</v>
      </c>
      <c r="B345" s="685"/>
      <c r="C345" s="685"/>
      <c r="D345" s="685"/>
      <c r="E345" s="685"/>
      <c r="F345" s="685"/>
      <c r="G345" s="685"/>
      <c r="H345" s="685"/>
    </row>
    <row r="346" spans="1:8" x14ac:dyDescent="0.2">
      <c r="A346" s="686" t="s">
        <v>692</v>
      </c>
      <c r="B346" s="685"/>
      <c r="C346" s="685"/>
      <c r="D346" s="685"/>
      <c r="E346" s="685"/>
      <c r="F346" s="685"/>
      <c r="G346" s="685"/>
      <c r="H346" s="685"/>
    </row>
    <row r="347" spans="1:8" x14ac:dyDescent="0.2">
      <c r="A347" s="686" t="s">
        <v>693</v>
      </c>
      <c r="B347" s="685"/>
      <c r="C347" s="685"/>
      <c r="D347" s="685"/>
      <c r="E347" s="685"/>
      <c r="F347" s="685"/>
      <c r="G347" s="685"/>
      <c r="H347" s="685"/>
    </row>
    <row r="348" spans="1:8" x14ac:dyDescent="0.2">
      <c r="A348" s="686" t="s">
        <v>694</v>
      </c>
      <c r="B348" s="685"/>
      <c r="C348" s="685"/>
      <c r="D348" s="685"/>
      <c r="E348" s="685"/>
      <c r="F348" s="685"/>
      <c r="G348" s="685"/>
      <c r="H348" s="685"/>
    </row>
    <row r="349" spans="1:8" x14ac:dyDescent="0.2">
      <c r="A349" s="686" t="s">
        <v>695</v>
      </c>
      <c r="B349" s="685"/>
      <c r="C349" s="685"/>
      <c r="D349" s="685"/>
      <c r="E349" s="685"/>
      <c r="F349" s="685"/>
      <c r="G349" s="685"/>
      <c r="H349" s="685"/>
    </row>
    <row r="350" spans="1:8" x14ac:dyDescent="0.2">
      <c r="A350" s="686" t="s">
        <v>696</v>
      </c>
      <c r="B350" s="685"/>
      <c r="C350" s="685"/>
      <c r="D350" s="685"/>
      <c r="E350" s="685"/>
      <c r="F350" s="685"/>
      <c r="G350" s="685"/>
      <c r="H350" s="685"/>
    </row>
    <row r="351" spans="1:8" x14ac:dyDescent="0.2">
      <c r="A351" s="686" t="s">
        <v>697</v>
      </c>
      <c r="B351" s="685"/>
      <c r="C351" s="685"/>
      <c r="D351" s="685"/>
      <c r="E351" s="685"/>
      <c r="F351" s="685"/>
      <c r="G351" s="685"/>
      <c r="H351" s="685"/>
    </row>
    <row r="352" spans="1:8" x14ac:dyDescent="0.2">
      <c r="A352" s="686" t="s">
        <v>698</v>
      </c>
      <c r="B352" s="685"/>
      <c r="C352" s="685"/>
      <c r="D352" s="685"/>
      <c r="E352" s="685"/>
      <c r="F352" s="685"/>
      <c r="G352" s="685"/>
      <c r="H352" s="685"/>
    </row>
    <row r="353" spans="1:8" x14ac:dyDescent="0.2">
      <c r="A353" s="686" t="s">
        <v>699</v>
      </c>
      <c r="B353" s="685"/>
      <c r="C353" s="685"/>
      <c r="D353" s="685"/>
      <c r="E353" s="685"/>
      <c r="F353" s="685"/>
      <c r="G353" s="685"/>
      <c r="H353" s="685"/>
    </row>
    <row r="354" spans="1:8" x14ac:dyDescent="0.2">
      <c r="A354" s="686" t="s">
        <v>700</v>
      </c>
      <c r="B354" s="685"/>
      <c r="C354" s="685"/>
      <c r="D354" s="685"/>
      <c r="E354" s="685"/>
      <c r="F354" s="685"/>
      <c r="G354" s="685"/>
      <c r="H354" s="685"/>
    </row>
    <row r="355" spans="1:8" x14ac:dyDescent="0.2">
      <c r="A355" s="686" t="s">
        <v>701</v>
      </c>
      <c r="B355" s="685"/>
      <c r="C355" s="685"/>
      <c r="D355" s="685"/>
      <c r="E355" s="685"/>
      <c r="F355" s="685"/>
      <c r="G355" s="685"/>
      <c r="H355" s="685"/>
    </row>
    <row r="356" spans="1:8" x14ac:dyDescent="0.2">
      <c r="A356" s="686" t="s">
        <v>702</v>
      </c>
      <c r="B356" s="685"/>
      <c r="C356" s="685"/>
      <c r="D356" s="685"/>
      <c r="E356" s="685"/>
      <c r="F356" s="685"/>
      <c r="G356" s="685"/>
      <c r="H356" s="685"/>
    </row>
    <row r="357" spans="1:8" x14ac:dyDescent="0.2">
      <c r="A357" s="686" t="s">
        <v>703</v>
      </c>
      <c r="B357" s="685"/>
      <c r="C357" s="685"/>
      <c r="D357" s="685"/>
      <c r="E357" s="685"/>
      <c r="F357" s="685"/>
      <c r="G357" s="685"/>
      <c r="H357" s="685"/>
    </row>
    <row r="358" spans="1:8" x14ac:dyDescent="0.2">
      <c r="A358" s="686" t="s">
        <v>704</v>
      </c>
      <c r="B358" s="685"/>
      <c r="C358" s="685"/>
      <c r="D358" s="685"/>
      <c r="E358" s="685"/>
      <c r="F358" s="685"/>
      <c r="G358" s="685"/>
      <c r="H358" s="685"/>
    </row>
    <row r="359" spans="1:8" x14ac:dyDescent="0.2">
      <c r="A359" s="686" t="s">
        <v>705</v>
      </c>
      <c r="B359" s="685"/>
      <c r="C359" s="685"/>
      <c r="D359" s="685"/>
      <c r="E359" s="685"/>
      <c r="F359" s="685"/>
      <c r="G359" s="685"/>
      <c r="H359" s="685"/>
    </row>
    <row r="360" spans="1:8" x14ac:dyDescent="0.2">
      <c r="A360" s="686" t="s">
        <v>706</v>
      </c>
      <c r="B360" s="685"/>
      <c r="C360" s="685"/>
      <c r="D360" s="685"/>
      <c r="E360" s="685"/>
      <c r="F360" s="685"/>
      <c r="G360" s="685"/>
      <c r="H360" s="685"/>
    </row>
    <row r="361" spans="1:8" x14ac:dyDescent="0.2">
      <c r="A361" s="686" t="s">
        <v>707</v>
      </c>
      <c r="B361" s="685"/>
      <c r="C361" s="685"/>
      <c r="D361" s="685"/>
      <c r="E361" s="685"/>
      <c r="F361" s="685"/>
      <c r="G361" s="685"/>
      <c r="H361" s="685"/>
    </row>
    <row r="362" spans="1:8" x14ac:dyDescent="0.2">
      <c r="A362" s="686" t="s">
        <v>708</v>
      </c>
      <c r="B362" s="685"/>
      <c r="C362" s="685"/>
      <c r="D362" s="685"/>
      <c r="E362" s="685"/>
      <c r="F362" s="685"/>
      <c r="G362" s="685"/>
      <c r="H362" s="685"/>
    </row>
    <row r="363" spans="1:8" x14ac:dyDescent="0.2">
      <c r="A363" s="686" t="s">
        <v>709</v>
      </c>
      <c r="B363" s="685"/>
      <c r="C363" s="685"/>
      <c r="D363" s="685"/>
      <c r="E363" s="685"/>
      <c r="F363" s="685"/>
      <c r="G363" s="685"/>
      <c r="H363" s="685"/>
    </row>
    <row r="364" spans="1:8" x14ac:dyDescent="0.2">
      <c r="A364" s="686" t="s">
        <v>710</v>
      </c>
      <c r="B364" s="685"/>
      <c r="C364" s="685"/>
      <c r="D364" s="685"/>
      <c r="E364" s="685"/>
      <c r="F364" s="685"/>
      <c r="G364" s="685"/>
      <c r="H364" s="685"/>
    </row>
    <row r="365" spans="1:8" x14ac:dyDescent="0.2">
      <c r="A365" s="686" t="s">
        <v>711</v>
      </c>
      <c r="B365" s="685"/>
      <c r="C365" s="685"/>
      <c r="D365" s="685"/>
      <c r="E365" s="685"/>
      <c r="F365" s="685"/>
      <c r="G365" s="685"/>
      <c r="H365" s="685"/>
    </row>
    <row r="366" spans="1:8" x14ac:dyDescent="0.2">
      <c r="A366" s="686" t="s">
        <v>712</v>
      </c>
      <c r="B366" s="685"/>
      <c r="C366" s="685"/>
      <c r="D366" s="685"/>
      <c r="E366" s="685"/>
      <c r="F366" s="685"/>
      <c r="G366" s="685"/>
      <c r="H366" s="685"/>
    </row>
    <row r="367" spans="1:8" x14ac:dyDescent="0.2">
      <c r="A367" s="686" t="s">
        <v>713</v>
      </c>
      <c r="B367" s="685"/>
      <c r="C367" s="685"/>
      <c r="D367" s="685"/>
      <c r="E367" s="685"/>
      <c r="F367" s="685"/>
      <c r="G367" s="685"/>
      <c r="H367" s="685"/>
    </row>
    <row r="368" spans="1:8" x14ac:dyDescent="0.2">
      <c r="A368" s="686" t="s">
        <v>714</v>
      </c>
      <c r="B368" s="685"/>
      <c r="C368" s="685"/>
      <c r="D368" s="685"/>
      <c r="E368" s="685"/>
      <c r="F368" s="685"/>
      <c r="G368" s="685"/>
      <c r="H368" s="685"/>
    </row>
    <row r="369" spans="1:8" x14ac:dyDescent="0.2">
      <c r="A369" s="686" t="s">
        <v>715</v>
      </c>
      <c r="B369" s="685"/>
      <c r="C369" s="685"/>
      <c r="D369" s="685"/>
      <c r="E369" s="685"/>
      <c r="F369" s="685"/>
      <c r="G369" s="685"/>
      <c r="H369" s="685"/>
    </row>
    <row r="370" spans="1:8" x14ac:dyDescent="0.2">
      <c r="A370" s="685"/>
      <c r="B370" s="685"/>
      <c r="C370" s="685"/>
      <c r="D370" s="685"/>
      <c r="E370" s="685"/>
      <c r="F370" s="685"/>
      <c r="G370" s="685"/>
      <c r="H370" s="685"/>
    </row>
    <row r="371" spans="1:8" x14ac:dyDescent="0.2">
      <c r="A371" s="686" t="s">
        <v>673</v>
      </c>
      <c r="B371" s="685"/>
      <c r="C371" s="685"/>
      <c r="D371" s="685"/>
      <c r="E371" s="685"/>
      <c r="F371" s="685"/>
      <c r="G371" s="685"/>
      <c r="H371" s="685"/>
    </row>
    <row r="372" spans="1:8" x14ac:dyDescent="0.2">
      <c r="A372" s="686" t="s">
        <v>677</v>
      </c>
      <c r="B372" s="685"/>
      <c r="C372" s="685"/>
      <c r="D372" s="685"/>
      <c r="E372" s="685"/>
      <c r="F372" s="685"/>
      <c r="G372" s="685"/>
      <c r="H372" s="685"/>
    </row>
    <row r="373" spans="1:8" x14ac:dyDescent="0.2">
      <c r="A373" s="686" t="s">
        <v>678</v>
      </c>
      <c r="B373" s="685"/>
      <c r="C373" s="685"/>
      <c r="D373" s="685"/>
      <c r="E373" s="685"/>
      <c r="F373" s="685"/>
      <c r="G373" s="685"/>
      <c r="H373" s="685"/>
    </row>
    <row r="374" spans="1:8" x14ac:dyDescent="0.2">
      <c r="A374" s="686" t="s">
        <v>679</v>
      </c>
      <c r="B374" s="685"/>
      <c r="C374" s="685"/>
      <c r="D374" s="685"/>
      <c r="E374" s="685"/>
      <c r="F374" s="685"/>
      <c r="G374" s="685"/>
      <c r="H374" s="685"/>
    </row>
    <row r="375" spans="1:8" x14ac:dyDescent="0.2">
      <c r="A375" s="686" t="s">
        <v>680</v>
      </c>
      <c r="B375" s="685"/>
      <c r="C375" s="685"/>
      <c r="D375" s="685"/>
      <c r="E375" s="685"/>
      <c r="F375" s="685"/>
      <c r="G375" s="685"/>
      <c r="H375" s="685"/>
    </row>
    <row r="376" spans="1:8" x14ac:dyDescent="0.2">
      <c r="A376" s="685"/>
      <c r="B376" s="685"/>
      <c r="C376" s="685"/>
      <c r="D376" s="685"/>
      <c r="E376" s="685"/>
      <c r="F376" s="685"/>
      <c r="G376" s="685"/>
      <c r="H376" s="685"/>
    </row>
    <row r="377" spans="1:8" x14ac:dyDescent="0.2">
      <c r="A377" s="686" t="s">
        <v>673</v>
      </c>
      <c r="B377" s="685"/>
      <c r="C377" s="685"/>
      <c r="D377" s="685"/>
      <c r="E377" s="685"/>
      <c r="F377" s="685"/>
      <c r="G377" s="685"/>
      <c r="H377" s="685"/>
    </row>
    <row r="378" spans="1:8" x14ac:dyDescent="0.2">
      <c r="A378" s="686" t="s">
        <v>674</v>
      </c>
      <c r="B378" s="685"/>
      <c r="C378" s="685"/>
      <c r="D378" s="685"/>
      <c r="E378" s="685"/>
      <c r="F378" s="685"/>
      <c r="G378" s="685"/>
      <c r="H378" s="685"/>
    </row>
    <row r="379" spans="1:8" x14ac:dyDescent="0.2">
      <c r="A379" s="686" t="s">
        <v>675</v>
      </c>
      <c r="B379" s="685"/>
      <c r="C379" s="685"/>
      <c r="D379" s="685"/>
      <c r="E379" s="685"/>
      <c r="F379" s="685"/>
      <c r="G379" s="685"/>
      <c r="H379" s="685"/>
    </row>
    <row r="380" spans="1:8" x14ac:dyDescent="0.2">
      <c r="A380" s="686" t="s">
        <v>676</v>
      </c>
      <c r="B380" s="685"/>
      <c r="C380" s="685"/>
      <c r="D380" s="685"/>
      <c r="E380" s="685"/>
      <c r="F380" s="685"/>
      <c r="G380" s="685"/>
      <c r="H380" s="685"/>
    </row>
    <row r="381" spans="1:8" x14ac:dyDescent="0.2">
      <c r="A381" s="685"/>
      <c r="B381" s="685"/>
      <c r="C381" s="685"/>
      <c r="D381" s="685"/>
      <c r="E381" s="685"/>
      <c r="F381" s="685"/>
      <c r="G381" s="685"/>
      <c r="H381" s="685"/>
    </row>
    <row r="382" spans="1:8" x14ac:dyDescent="0.2">
      <c r="A382" s="686" t="s">
        <v>667</v>
      </c>
      <c r="B382" s="685"/>
      <c r="C382" s="685"/>
      <c r="D382" s="685"/>
      <c r="E382" s="685"/>
      <c r="F382" s="685"/>
      <c r="G382" s="685"/>
      <c r="H382" s="685"/>
    </row>
    <row r="383" spans="1:8" x14ac:dyDescent="0.2">
      <c r="A383" s="686" t="s">
        <v>668</v>
      </c>
      <c r="B383" s="685"/>
      <c r="C383" s="685"/>
      <c r="D383" s="685"/>
      <c r="E383" s="685"/>
      <c r="F383" s="685"/>
      <c r="G383" s="685"/>
      <c r="H383" s="685"/>
    </row>
    <row r="384" spans="1:8" x14ac:dyDescent="0.2">
      <c r="A384" s="686" t="s">
        <v>669</v>
      </c>
      <c r="B384" s="685"/>
      <c r="C384" s="685"/>
      <c r="D384" s="685"/>
      <c r="E384" s="685"/>
      <c r="F384" s="685"/>
      <c r="G384" s="685"/>
      <c r="H384" s="685"/>
    </row>
    <row r="385" spans="1:8" x14ac:dyDescent="0.2">
      <c r="A385" s="686" t="s">
        <v>670</v>
      </c>
      <c r="B385" s="685"/>
      <c r="C385" s="685"/>
      <c r="D385" s="685"/>
      <c r="E385" s="685"/>
      <c r="F385" s="685"/>
      <c r="G385" s="685"/>
      <c r="H385" s="685"/>
    </row>
    <row r="386" spans="1:8" x14ac:dyDescent="0.2">
      <c r="A386" s="686" t="s">
        <v>671</v>
      </c>
      <c r="B386" s="685"/>
      <c r="C386" s="685"/>
      <c r="D386" s="685"/>
      <c r="E386" s="685"/>
      <c r="F386" s="685"/>
      <c r="G386" s="685"/>
      <c r="H386" s="685"/>
    </row>
    <row r="387" spans="1:8" x14ac:dyDescent="0.2">
      <c r="A387" s="686" t="s">
        <v>672</v>
      </c>
      <c r="B387" s="685"/>
      <c r="C387" s="685"/>
      <c r="D387" s="685"/>
      <c r="E387" s="685"/>
      <c r="F387" s="685"/>
      <c r="G387" s="685"/>
      <c r="H387" s="685"/>
    </row>
    <row r="388" spans="1:8" x14ac:dyDescent="0.2">
      <c r="A388" s="685"/>
      <c r="B388" s="685"/>
      <c r="C388" s="685"/>
      <c r="D388" s="685"/>
      <c r="E388" s="685"/>
      <c r="F388" s="685"/>
      <c r="G388" s="685"/>
      <c r="H388" s="685"/>
    </row>
    <row r="389" spans="1:8" x14ac:dyDescent="0.2">
      <c r="A389" s="686" t="s">
        <v>662</v>
      </c>
      <c r="B389" s="685"/>
      <c r="C389" s="685"/>
      <c r="D389" s="685"/>
      <c r="E389" s="685"/>
      <c r="F389" s="685"/>
      <c r="G389" s="685"/>
      <c r="H389" s="685"/>
    </row>
    <row r="390" spans="1:8" x14ac:dyDescent="0.2">
      <c r="A390" s="686" t="s">
        <v>663</v>
      </c>
      <c r="B390" s="685"/>
      <c r="C390" s="685"/>
      <c r="D390" s="685"/>
      <c r="E390" s="685"/>
      <c r="F390" s="685"/>
      <c r="G390" s="685"/>
      <c r="H390" s="685"/>
    </row>
    <row r="391" spans="1:8" x14ac:dyDescent="0.2">
      <c r="A391" s="686" t="s">
        <v>664</v>
      </c>
      <c r="B391" s="685"/>
      <c r="C391" s="685"/>
      <c r="D391" s="685"/>
      <c r="E391" s="685"/>
      <c r="F391" s="685"/>
      <c r="G391" s="685"/>
      <c r="H391" s="685"/>
    </row>
    <row r="392" spans="1:8" x14ac:dyDescent="0.2">
      <c r="A392" s="686" t="s">
        <v>665</v>
      </c>
      <c r="B392" s="685"/>
      <c r="C392" s="685"/>
      <c r="D392" s="685"/>
      <c r="E392" s="685"/>
      <c r="F392" s="685"/>
      <c r="G392" s="685"/>
      <c r="H392" s="685"/>
    </row>
    <row r="393" spans="1:8" x14ac:dyDescent="0.2">
      <c r="A393" s="686" t="s">
        <v>666</v>
      </c>
      <c r="B393" s="685"/>
      <c r="C393" s="685"/>
      <c r="D393" s="685"/>
      <c r="E393" s="685"/>
      <c r="F393" s="685"/>
      <c r="G393" s="685"/>
      <c r="H393" s="685"/>
    </row>
    <row r="394" spans="1:8" x14ac:dyDescent="0.2">
      <c r="A394" s="685"/>
      <c r="B394" s="685"/>
      <c r="C394" s="685"/>
      <c r="D394" s="685"/>
      <c r="E394" s="685"/>
      <c r="F394" s="685"/>
      <c r="G394" s="685"/>
      <c r="H394" s="685"/>
    </row>
    <row r="395" spans="1:8" x14ac:dyDescent="0.2">
      <c r="A395" s="686" t="s">
        <v>660</v>
      </c>
      <c r="B395" s="685"/>
      <c r="C395" s="685"/>
      <c r="D395" s="685"/>
      <c r="E395" s="685"/>
      <c r="F395" s="685"/>
      <c r="G395" s="685"/>
      <c r="H395" s="685"/>
    </row>
    <row r="396" spans="1:8" x14ac:dyDescent="0.2">
      <c r="A396" s="686" t="s">
        <v>661</v>
      </c>
      <c r="B396" s="685"/>
      <c r="C396" s="685"/>
      <c r="D396" s="685"/>
      <c r="E396" s="685"/>
      <c r="F396" s="685"/>
      <c r="G396" s="685"/>
      <c r="H396" s="685"/>
    </row>
    <row r="398" spans="1:8" x14ac:dyDescent="0.2">
      <c r="A398" s="681" t="s">
        <v>921</v>
      </c>
    </row>
  </sheetData>
  <mergeCells count="12">
    <mergeCell ref="A121:H121"/>
    <mergeCell ref="A128:H128"/>
    <mergeCell ref="A115:H115"/>
    <mergeCell ref="A116:H116"/>
    <mergeCell ref="A117:H117"/>
    <mergeCell ref="A118:H118"/>
    <mergeCell ref="A120:H120"/>
    <mergeCell ref="A136:H136"/>
    <mergeCell ref="A137:H137"/>
    <mergeCell ref="B129:C129"/>
    <mergeCell ref="D129:F129"/>
    <mergeCell ref="G129:H129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B1:B11"/>
  <sheetViews>
    <sheetView showGridLines="0" showRowColHeaders="0" workbookViewId="0">
      <selection activeCell="N1" sqref="N1"/>
    </sheetView>
  </sheetViews>
  <sheetFormatPr defaultRowHeight="12.75" x14ac:dyDescent="0.2"/>
  <cols>
    <col min="1" max="1" width="9.140625" style="608"/>
    <col min="2" max="2" width="88.28515625" style="608" customWidth="1"/>
    <col min="3" max="257" width="9.140625" style="608"/>
    <col min="258" max="258" width="88.28515625" style="608" customWidth="1"/>
    <col min="259" max="513" width="9.140625" style="608"/>
    <col min="514" max="514" width="88.28515625" style="608" customWidth="1"/>
    <col min="515" max="769" width="9.140625" style="608"/>
    <col min="770" max="770" width="88.28515625" style="608" customWidth="1"/>
    <col min="771" max="1025" width="9.140625" style="608"/>
    <col min="1026" max="1026" width="88.28515625" style="608" customWidth="1"/>
    <col min="1027" max="1281" width="9.140625" style="608"/>
    <col min="1282" max="1282" width="88.28515625" style="608" customWidth="1"/>
    <col min="1283" max="1537" width="9.140625" style="608"/>
    <col min="1538" max="1538" width="88.28515625" style="608" customWidth="1"/>
    <col min="1539" max="1793" width="9.140625" style="608"/>
    <col min="1794" max="1794" width="88.28515625" style="608" customWidth="1"/>
    <col min="1795" max="2049" width="9.140625" style="608"/>
    <col min="2050" max="2050" width="88.28515625" style="608" customWidth="1"/>
    <col min="2051" max="2305" width="9.140625" style="608"/>
    <col min="2306" max="2306" width="88.28515625" style="608" customWidth="1"/>
    <col min="2307" max="2561" width="9.140625" style="608"/>
    <col min="2562" max="2562" width="88.28515625" style="608" customWidth="1"/>
    <col min="2563" max="2817" width="9.140625" style="608"/>
    <col min="2818" max="2818" width="88.28515625" style="608" customWidth="1"/>
    <col min="2819" max="3073" width="9.140625" style="608"/>
    <col min="3074" max="3074" width="88.28515625" style="608" customWidth="1"/>
    <col min="3075" max="3329" width="9.140625" style="608"/>
    <col min="3330" max="3330" width="88.28515625" style="608" customWidth="1"/>
    <col min="3331" max="3585" width="9.140625" style="608"/>
    <col min="3586" max="3586" width="88.28515625" style="608" customWidth="1"/>
    <col min="3587" max="3841" width="9.140625" style="608"/>
    <col min="3842" max="3842" width="88.28515625" style="608" customWidth="1"/>
    <col min="3843" max="4097" width="9.140625" style="608"/>
    <col min="4098" max="4098" width="88.28515625" style="608" customWidth="1"/>
    <col min="4099" max="4353" width="9.140625" style="608"/>
    <col min="4354" max="4354" width="88.28515625" style="608" customWidth="1"/>
    <col min="4355" max="4609" width="9.140625" style="608"/>
    <col min="4610" max="4610" width="88.28515625" style="608" customWidth="1"/>
    <col min="4611" max="4865" width="9.140625" style="608"/>
    <col min="4866" max="4866" width="88.28515625" style="608" customWidth="1"/>
    <col min="4867" max="5121" width="9.140625" style="608"/>
    <col min="5122" max="5122" width="88.28515625" style="608" customWidth="1"/>
    <col min="5123" max="5377" width="9.140625" style="608"/>
    <col min="5378" max="5378" width="88.28515625" style="608" customWidth="1"/>
    <col min="5379" max="5633" width="9.140625" style="608"/>
    <col min="5634" max="5634" width="88.28515625" style="608" customWidth="1"/>
    <col min="5635" max="5889" width="9.140625" style="608"/>
    <col min="5890" max="5890" width="88.28515625" style="608" customWidth="1"/>
    <col min="5891" max="6145" width="9.140625" style="608"/>
    <col min="6146" max="6146" width="88.28515625" style="608" customWidth="1"/>
    <col min="6147" max="6401" width="9.140625" style="608"/>
    <col min="6402" max="6402" width="88.28515625" style="608" customWidth="1"/>
    <col min="6403" max="6657" width="9.140625" style="608"/>
    <col min="6658" max="6658" width="88.28515625" style="608" customWidth="1"/>
    <col min="6659" max="6913" width="9.140625" style="608"/>
    <col min="6914" max="6914" width="88.28515625" style="608" customWidth="1"/>
    <col min="6915" max="7169" width="9.140625" style="608"/>
    <col min="7170" max="7170" width="88.28515625" style="608" customWidth="1"/>
    <col min="7171" max="7425" width="9.140625" style="608"/>
    <col min="7426" max="7426" width="88.28515625" style="608" customWidth="1"/>
    <col min="7427" max="7681" width="9.140625" style="608"/>
    <col min="7682" max="7682" width="88.28515625" style="608" customWidth="1"/>
    <col min="7683" max="7937" width="9.140625" style="608"/>
    <col min="7938" max="7938" width="88.28515625" style="608" customWidth="1"/>
    <col min="7939" max="8193" width="9.140625" style="608"/>
    <col min="8194" max="8194" width="88.28515625" style="608" customWidth="1"/>
    <col min="8195" max="8449" width="9.140625" style="608"/>
    <col min="8450" max="8450" width="88.28515625" style="608" customWidth="1"/>
    <col min="8451" max="8705" width="9.140625" style="608"/>
    <col min="8706" max="8706" width="88.28515625" style="608" customWidth="1"/>
    <col min="8707" max="8961" width="9.140625" style="608"/>
    <col min="8962" max="8962" width="88.28515625" style="608" customWidth="1"/>
    <col min="8963" max="9217" width="9.140625" style="608"/>
    <col min="9218" max="9218" width="88.28515625" style="608" customWidth="1"/>
    <col min="9219" max="9473" width="9.140625" style="608"/>
    <col min="9474" max="9474" width="88.28515625" style="608" customWidth="1"/>
    <col min="9475" max="9729" width="9.140625" style="608"/>
    <col min="9730" max="9730" width="88.28515625" style="608" customWidth="1"/>
    <col min="9731" max="9985" width="9.140625" style="608"/>
    <col min="9986" max="9986" width="88.28515625" style="608" customWidth="1"/>
    <col min="9987" max="10241" width="9.140625" style="608"/>
    <col min="10242" max="10242" width="88.28515625" style="608" customWidth="1"/>
    <col min="10243" max="10497" width="9.140625" style="608"/>
    <col min="10498" max="10498" width="88.28515625" style="608" customWidth="1"/>
    <col min="10499" max="10753" width="9.140625" style="608"/>
    <col min="10754" max="10754" width="88.28515625" style="608" customWidth="1"/>
    <col min="10755" max="11009" width="9.140625" style="608"/>
    <col min="11010" max="11010" width="88.28515625" style="608" customWidth="1"/>
    <col min="11011" max="11265" width="9.140625" style="608"/>
    <col min="11266" max="11266" width="88.28515625" style="608" customWidth="1"/>
    <col min="11267" max="11521" width="9.140625" style="608"/>
    <col min="11522" max="11522" width="88.28515625" style="608" customWidth="1"/>
    <col min="11523" max="11777" width="9.140625" style="608"/>
    <col min="11778" max="11778" width="88.28515625" style="608" customWidth="1"/>
    <col min="11779" max="12033" width="9.140625" style="608"/>
    <col min="12034" max="12034" width="88.28515625" style="608" customWidth="1"/>
    <col min="12035" max="12289" width="9.140625" style="608"/>
    <col min="12290" max="12290" width="88.28515625" style="608" customWidth="1"/>
    <col min="12291" max="12545" width="9.140625" style="608"/>
    <col min="12546" max="12546" width="88.28515625" style="608" customWidth="1"/>
    <col min="12547" max="12801" width="9.140625" style="608"/>
    <col min="12802" max="12802" width="88.28515625" style="608" customWidth="1"/>
    <col min="12803" max="13057" width="9.140625" style="608"/>
    <col min="13058" max="13058" width="88.28515625" style="608" customWidth="1"/>
    <col min="13059" max="13313" width="9.140625" style="608"/>
    <col min="13314" max="13314" width="88.28515625" style="608" customWidth="1"/>
    <col min="13315" max="13569" width="9.140625" style="608"/>
    <col min="13570" max="13570" width="88.28515625" style="608" customWidth="1"/>
    <col min="13571" max="13825" width="9.140625" style="608"/>
    <col min="13826" max="13826" width="88.28515625" style="608" customWidth="1"/>
    <col min="13827" max="14081" width="9.140625" style="608"/>
    <col min="14082" max="14082" width="88.28515625" style="608" customWidth="1"/>
    <col min="14083" max="14337" width="9.140625" style="608"/>
    <col min="14338" max="14338" width="88.28515625" style="608" customWidth="1"/>
    <col min="14339" max="14593" width="9.140625" style="608"/>
    <col min="14594" max="14594" width="88.28515625" style="608" customWidth="1"/>
    <col min="14595" max="14849" width="9.140625" style="608"/>
    <col min="14850" max="14850" width="88.28515625" style="608" customWidth="1"/>
    <col min="14851" max="15105" width="9.140625" style="608"/>
    <col min="15106" max="15106" width="88.28515625" style="608" customWidth="1"/>
    <col min="15107" max="15361" width="9.140625" style="608"/>
    <col min="15362" max="15362" width="88.28515625" style="608" customWidth="1"/>
    <col min="15363" max="15617" width="9.140625" style="608"/>
    <col min="15618" max="15618" width="88.28515625" style="608" customWidth="1"/>
    <col min="15619" max="15873" width="9.140625" style="608"/>
    <col min="15874" max="15874" width="88.28515625" style="608" customWidth="1"/>
    <col min="15875" max="16129" width="9.140625" style="608"/>
    <col min="16130" max="16130" width="88.28515625" style="608" customWidth="1"/>
    <col min="16131" max="16384" width="9.140625" style="608"/>
  </cols>
  <sheetData>
    <row r="1" spans="2:2" ht="32.25" customHeight="1" x14ac:dyDescent="0.2"/>
    <row r="2" spans="2:2" ht="72" hidden="1" x14ac:dyDescent="0.25">
      <c r="B2" s="697" t="s">
        <v>989</v>
      </c>
    </row>
    <row r="3" spans="2:2" ht="72" x14ac:dyDescent="0.25">
      <c r="B3" s="697" t="s">
        <v>990</v>
      </c>
    </row>
    <row r="4" spans="2:2" ht="18" hidden="1" x14ac:dyDescent="0.25">
      <c r="B4" s="697"/>
    </row>
    <row r="5" spans="2:2" ht="54" hidden="1" x14ac:dyDescent="0.25">
      <c r="B5" s="697" t="s">
        <v>991</v>
      </c>
    </row>
    <row r="6" spans="2:2" ht="7.5" customHeight="1" x14ac:dyDescent="0.25">
      <c r="B6" s="697"/>
    </row>
    <row r="7" spans="2:2" ht="18" x14ac:dyDescent="0.25">
      <c r="B7" s="698" t="s">
        <v>992</v>
      </c>
    </row>
    <row r="8" spans="2:2" ht="18" x14ac:dyDescent="0.25">
      <c r="B8" s="698" t="s">
        <v>994</v>
      </c>
    </row>
    <row r="9" spans="2:2" ht="18" x14ac:dyDescent="0.25">
      <c r="B9" s="698" t="s">
        <v>995</v>
      </c>
    </row>
    <row r="10" spans="2:2" ht="18" x14ac:dyDescent="0.25">
      <c r="B10" s="699"/>
    </row>
    <row r="11" spans="2:2" ht="54" x14ac:dyDescent="0.25">
      <c r="B11" s="700" t="s">
        <v>993</v>
      </c>
    </row>
  </sheetData>
  <dataConsolidate/>
  <pageMargins left="0.75" right="0.75" top="1" bottom="1" header="0.5" footer="0.5"/>
  <pageSetup orientation="portrait" horizont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3" tint="0.79998168889431442"/>
  </sheetPr>
  <dimension ref="A1:U46"/>
  <sheetViews>
    <sheetView showGridLines="0" topLeftCell="A13" workbookViewId="0"/>
  </sheetViews>
  <sheetFormatPr defaultRowHeight="15" x14ac:dyDescent="0.25"/>
  <cols>
    <col min="1" max="16384" width="9.140625" style="619"/>
  </cols>
  <sheetData>
    <row r="1" spans="1:21" x14ac:dyDescent="0.25">
      <c r="A1" s="617"/>
      <c r="B1" s="617"/>
      <c r="C1" s="617"/>
      <c r="D1" s="617"/>
      <c r="E1" s="617"/>
      <c r="F1" s="617"/>
      <c r="G1" s="617"/>
      <c r="H1" s="617"/>
      <c r="I1" s="617"/>
      <c r="J1" s="617"/>
      <c r="K1" s="617"/>
      <c r="L1" s="617"/>
      <c r="M1" s="617"/>
      <c r="N1" s="617"/>
      <c r="O1" s="618"/>
      <c r="P1" s="618"/>
      <c r="Q1" s="618"/>
      <c r="R1" s="618"/>
      <c r="S1" s="618"/>
      <c r="T1" s="618"/>
      <c r="U1" s="618"/>
    </row>
    <row r="2" spans="1:21" x14ac:dyDescent="0.25">
      <c r="A2" s="617"/>
      <c r="B2" s="617"/>
      <c r="C2" s="617"/>
      <c r="D2" s="617"/>
      <c r="E2" s="617"/>
      <c r="F2" s="617"/>
      <c r="G2" s="617"/>
      <c r="H2" s="617"/>
      <c r="I2" s="617"/>
      <c r="J2" s="617"/>
      <c r="K2" s="617"/>
      <c r="L2" s="617"/>
      <c r="M2" s="617"/>
      <c r="N2" s="617"/>
      <c r="O2" s="618"/>
      <c r="P2" s="618"/>
      <c r="Q2" s="618"/>
      <c r="R2" s="618"/>
      <c r="S2" s="618"/>
      <c r="T2" s="618"/>
      <c r="U2" s="618"/>
    </row>
    <row r="3" spans="1:21" x14ac:dyDescent="0.25">
      <c r="A3" s="617"/>
      <c r="B3" s="617"/>
      <c r="C3" s="617"/>
      <c r="D3" s="617"/>
      <c r="E3" s="617"/>
      <c r="F3" s="617"/>
      <c r="G3" s="617"/>
      <c r="H3" s="617"/>
      <c r="I3" s="617"/>
      <c r="J3" s="617"/>
      <c r="K3" s="617"/>
      <c r="L3" s="617"/>
      <c r="M3" s="617"/>
      <c r="N3" s="617"/>
      <c r="O3" s="618"/>
      <c r="P3" s="618"/>
      <c r="Q3" s="618"/>
      <c r="R3" s="618"/>
      <c r="S3" s="618"/>
      <c r="T3" s="618"/>
      <c r="U3" s="618"/>
    </row>
    <row r="4" spans="1:21" x14ac:dyDescent="0.25">
      <c r="A4" s="617"/>
      <c r="B4" s="617"/>
      <c r="C4" s="617"/>
      <c r="D4" s="617"/>
      <c r="E4" s="617"/>
      <c r="F4" s="617"/>
      <c r="G4" s="617"/>
      <c r="H4" s="617"/>
      <c r="I4" s="617"/>
      <c r="J4" s="617"/>
      <c r="K4" s="617"/>
      <c r="L4" s="617"/>
      <c r="M4" s="617"/>
      <c r="N4" s="617"/>
      <c r="O4" s="618"/>
      <c r="P4" s="618"/>
      <c r="Q4" s="618"/>
      <c r="R4" s="618"/>
      <c r="S4" s="618"/>
      <c r="T4" s="618"/>
      <c r="U4" s="618"/>
    </row>
    <row r="5" spans="1:21" x14ac:dyDescent="0.25">
      <c r="A5" s="617"/>
      <c r="B5" s="617"/>
      <c r="C5" s="617"/>
      <c r="D5" s="617"/>
      <c r="E5" s="617"/>
      <c r="F5" s="617"/>
      <c r="G5" s="617"/>
      <c r="H5" s="617"/>
      <c r="I5" s="617"/>
      <c r="J5" s="617"/>
      <c r="K5" s="617"/>
      <c r="L5" s="617"/>
      <c r="M5" s="617"/>
      <c r="N5" s="617"/>
      <c r="O5" s="618"/>
      <c r="P5" s="618"/>
      <c r="Q5" s="618"/>
      <c r="R5" s="618"/>
      <c r="S5" s="618"/>
      <c r="T5" s="618"/>
      <c r="U5" s="618"/>
    </row>
    <row r="6" spans="1:21" x14ac:dyDescent="0.25">
      <c r="A6" s="617"/>
      <c r="B6" s="617"/>
      <c r="C6" s="617"/>
      <c r="D6" s="617"/>
      <c r="E6" s="617"/>
      <c r="F6" s="617"/>
      <c r="G6" s="617"/>
      <c r="H6" s="617"/>
      <c r="I6" s="617"/>
      <c r="J6" s="617"/>
      <c r="K6" s="617"/>
      <c r="L6" s="617"/>
      <c r="M6" s="617"/>
      <c r="N6" s="617"/>
      <c r="O6" s="618"/>
      <c r="P6" s="618"/>
      <c r="Q6" s="618"/>
      <c r="R6" s="618"/>
      <c r="S6" s="618"/>
      <c r="T6" s="618"/>
      <c r="U6" s="618"/>
    </row>
    <row r="7" spans="1:21" x14ac:dyDescent="0.25">
      <c r="A7" s="617"/>
      <c r="B7" s="617"/>
      <c r="C7" s="617"/>
      <c r="D7" s="617"/>
      <c r="E7" s="617"/>
      <c r="F7" s="617"/>
      <c r="G7" s="617"/>
      <c r="H7" s="617"/>
      <c r="I7" s="617"/>
      <c r="J7" s="617"/>
      <c r="K7" s="617"/>
      <c r="L7" s="617"/>
      <c r="M7" s="617"/>
      <c r="N7" s="617"/>
      <c r="O7" s="618"/>
      <c r="P7" s="618"/>
      <c r="Q7" s="618"/>
      <c r="R7" s="618"/>
      <c r="S7" s="618"/>
      <c r="T7" s="618"/>
      <c r="U7" s="618"/>
    </row>
    <row r="8" spans="1:21" x14ac:dyDescent="0.25">
      <c r="A8" s="617"/>
      <c r="B8" s="617"/>
      <c r="C8" s="617"/>
      <c r="D8" s="617"/>
      <c r="E8" s="617"/>
      <c r="F8" s="617"/>
      <c r="G8" s="617"/>
      <c r="H8" s="617"/>
      <c r="I8" s="617"/>
      <c r="J8" s="617"/>
      <c r="K8" s="617"/>
      <c r="L8" s="617"/>
      <c r="M8" s="617"/>
      <c r="N8" s="617"/>
      <c r="O8" s="618"/>
      <c r="P8" s="618"/>
      <c r="Q8" s="618"/>
      <c r="R8" s="618"/>
      <c r="S8" s="618"/>
      <c r="T8" s="618"/>
      <c r="U8" s="618"/>
    </row>
    <row r="9" spans="1:21" x14ac:dyDescent="0.25">
      <c r="A9" s="617"/>
      <c r="B9" s="617"/>
      <c r="C9" s="617"/>
      <c r="D9" s="617"/>
      <c r="E9" s="617"/>
      <c r="F9" s="617"/>
      <c r="G9" s="617"/>
      <c r="H9" s="617"/>
      <c r="I9" s="617"/>
      <c r="J9" s="617"/>
      <c r="K9" s="617"/>
      <c r="L9" s="617"/>
      <c r="M9" s="617"/>
      <c r="N9" s="617"/>
      <c r="O9" s="618"/>
      <c r="P9" s="618"/>
      <c r="Q9" s="618"/>
      <c r="R9" s="618"/>
      <c r="S9" s="618"/>
      <c r="T9" s="618"/>
      <c r="U9" s="618"/>
    </row>
    <row r="10" spans="1:21" x14ac:dyDescent="0.25">
      <c r="A10" s="617"/>
      <c r="B10" s="617"/>
      <c r="C10" s="617"/>
      <c r="D10" s="617"/>
      <c r="E10" s="617"/>
      <c r="F10" s="617"/>
      <c r="G10" s="617"/>
      <c r="H10" s="617"/>
      <c r="I10" s="617"/>
      <c r="J10" s="617"/>
      <c r="K10" s="617"/>
      <c r="L10" s="617"/>
      <c r="M10" s="617"/>
      <c r="N10" s="617"/>
      <c r="O10" s="618"/>
      <c r="P10" s="618"/>
      <c r="Q10" s="618"/>
      <c r="R10" s="618"/>
      <c r="S10" s="618"/>
      <c r="T10" s="618"/>
      <c r="U10" s="618"/>
    </row>
    <row r="11" spans="1:21" x14ac:dyDescent="0.25">
      <c r="A11" s="617"/>
      <c r="B11" s="617"/>
      <c r="C11" s="617"/>
      <c r="D11" s="617"/>
      <c r="E11" s="617"/>
      <c r="F11" s="617"/>
      <c r="G11" s="617"/>
      <c r="H11" s="617"/>
      <c r="I11" s="617"/>
      <c r="J11" s="617"/>
      <c r="K11" s="617"/>
      <c r="L11" s="617"/>
      <c r="M11" s="617"/>
      <c r="N11" s="617"/>
      <c r="O11" s="620"/>
      <c r="P11" s="620"/>
      <c r="Q11" s="620"/>
      <c r="R11" s="620"/>
      <c r="S11" s="620"/>
      <c r="T11" s="620"/>
      <c r="U11" s="620"/>
    </row>
    <row r="12" spans="1:21" x14ac:dyDescent="0.25">
      <c r="A12" s="617"/>
      <c r="B12" s="621" t="s">
        <v>423</v>
      </c>
      <c r="C12" s="621"/>
      <c r="D12" s="622"/>
      <c r="E12" s="623"/>
      <c r="F12" s="617"/>
      <c r="G12" s="617"/>
      <c r="H12" s="617"/>
      <c r="I12" s="617"/>
      <c r="J12" s="617"/>
      <c r="K12" s="617"/>
      <c r="L12" s="617"/>
      <c r="M12" s="617"/>
      <c r="N12" s="617"/>
      <c r="O12" s="620"/>
      <c r="P12" s="620"/>
      <c r="Q12" s="620"/>
      <c r="R12" s="620"/>
      <c r="S12" s="620"/>
      <c r="T12" s="620"/>
      <c r="U12" s="620"/>
    </row>
    <row r="13" spans="1:21" x14ac:dyDescent="0.25">
      <c r="A13" s="617"/>
      <c r="B13" s="617"/>
      <c r="C13" s="617"/>
      <c r="D13" s="617"/>
      <c r="E13" s="617"/>
      <c r="F13" s="617"/>
      <c r="G13" s="617"/>
      <c r="H13" s="617"/>
      <c r="I13" s="617"/>
      <c r="J13" s="617"/>
      <c r="K13" s="617"/>
      <c r="L13" s="617"/>
      <c r="M13" s="617"/>
      <c r="N13" s="617"/>
      <c r="O13" s="620"/>
      <c r="P13" s="620"/>
      <c r="Q13" s="620"/>
      <c r="R13" s="620"/>
      <c r="S13" s="620"/>
      <c r="T13" s="620"/>
      <c r="U13" s="620"/>
    </row>
    <row r="14" spans="1:21" x14ac:dyDescent="0.25">
      <c r="A14" s="617"/>
      <c r="B14" s="617"/>
      <c r="C14" s="617"/>
      <c r="D14" s="617"/>
      <c r="E14" s="617"/>
      <c r="F14" s="617"/>
      <c r="G14" s="617"/>
      <c r="H14" s="617"/>
      <c r="I14" s="617"/>
      <c r="J14" s="617"/>
      <c r="K14" s="617"/>
      <c r="L14" s="617"/>
      <c r="M14" s="617"/>
      <c r="N14" s="617"/>
      <c r="O14" s="620"/>
      <c r="P14" s="620"/>
      <c r="Q14" s="620"/>
      <c r="R14" s="620"/>
      <c r="S14" s="620"/>
      <c r="T14" s="620"/>
      <c r="U14" s="620"/>
    </row>
    <row r="15" spans="1:21" x14ac:dyDescent="0.25">
      <c r="A15" s="617"/>
      <c r="B15" s="617"/>
      <c r="C15" s="617"/>
      <c r="D15" s="617"/>
      <c r="E15" s="617"/>
      <c r="F15" s="617"/>
      <c r="G15" s="617"/>
      <c r="H15" s="617"/>
      <c r="I15" s="617"/>
      <c r="J15" s="617"/>
      <c r="K15" s="617"/>
      <c r="L15" s="617"/>
      <c r="M15" s="617"/>
      <c r="N15" s="617"/>
      <c r="O15" s="620"/>
      <c r="P15" s="620"/>
      <c r="Q15" s="620"/>
      <c r="R15" s="620"/>
      <c r="S15" s="620"/>
      <c r="T15" s="620"/>
      <c r="U15" s="620"/>
    </row>
    <row r="16" spans="1:21" x14ac:dyDescent="0.25">
      <c r="A16" s="617"/>
      <c r="B16" s="617"/>
      <c r="C16" s="617"/>
      <c r="D16" s="617"/>
      <c r="E16" s="617"/>
      <c r="F16" s="617"/>
      <c r="G16" s="617"/>
      <c r="H16" s="617"/>
      <c r="I16" s="617"/>
      <c r="J16" s="617"/>
      <c r="K16" s="617"/>
      <c r="L16" s="617"/>
      <c r="M16" s="617"/>
      <c r="N16" s="617"/>
      <c r="O16" s="620"/>
      <c r="P16" s="620"/>
      <c r="Q16" s="620"/>
      <c r="R16" s="620"/>
      <c r="S16" s="620"/>
      <c r="T16" s="620"/>
      <c r="U16" s="620"/>
    </row>
    <row r="17" spans="1:21" x14ac:dyDescent="0.25">
      <c r="A17" s="617"/>
      <c r="B17" s="617"/>
      <c r="C17" s="617"/>
      <c r="D17" s="617"/>
      <c r="E17" s="617"/>
      <c r="F17" s="617"/>
      <c r="G17" s="617"/>
      <c r="H17" s="617"/>
      <c r="I17" s="617"/>
      <c r="J17" s="617"/>
      <c r="K17" s="617"/>
      <c r="L17" s="617"/>
      <c r="M17" s="617"/>
      <c r="N17" s="617"/>
      <c r="O17" s="620"/>
      <c r="P17" s="620"/>
      <c r="Q17" s="620"/>
      <c r="R17" s="620"/>
      <c r="S17" s="620"/>
      <c r="T17" s="620"/>
      <c r="U17" s="620"/>
    </row>
    <row r="18" spans="1:21" x14ac:dyDescent="0.25">
      <c r="A18" s="617"/>
      <c r="B18" s="617"/>
      <c r="C18" s="617"/>
      <c r="D18" s="617"/>
      <c r="E18" s="617"/>
      <c r="F18" s="617"/>
      <c r="G18" s="617"/>
      <c r="H18" s="617"/>
      <c r="I18" s="617"/>
      <c r="J18" s="617"/>
      <c r="K18" s="617"/>
      <c r="L18" s="617"/>
      <c r="M18" s="617"/>
      <c r="N18" s="617"/>
      <c r="O18" s="620"/>
      <c r="P18" s="620"/>
      <c r="Q18" s="620"/>
      <c r="R18" s="620"/>
      <c r="S18" s="620"/>
      <c r="T18" s="620"/>
      <c r="U18" s="620"/>
    </row>
    <row r="19" spans="1:21" x14ac:dyDescent="0.25">
      <c r="A19" s="617"/>
      <c r="B19" s="617"/>
      <c r="C19" s="617"/>
      <c r="D19" s="617"/>
      <c r="E19" s="617"/>
      <c r="F19" s="617"/>
      <c r="G19" s="617"/>
      <c r="H19" s="617"/>
      <c r="I19" s="617"/>
      <c r="J19" s="617"/>
      <c r="K19" s="617"/>
      <c r="L19" s="617"/>
      <c r="M19" s="617"/>
      <c r="N19" s="617"/>
      <c r="O19" s="620"/>
      <c r="P19" s="620"/>
      <c r="Q19" s="620"/>
      <c r="R19" s="620"/>
      <c r="S19" s="620"/>
      <c r="T19" s="620"/>
      <c r="U19" s="620"/>
    </row>
    <row r="20" spans="1:21" x14ac:dyDescent="0.25">
      <c r="A20" s="617"/>
      <c r="B20" s="624" t="s">
        <v>514</v>
      </c>
      <c r="C20" s="624"/>
      <c r="D20" s="625"/>
      <c r="E20" s="625"/>
      <c r="F20" s="625"/>
      <c r="G20" s="625"/>
      <c r="H20" s="625"/>
      <c r="I20" s="625"/>
      <c r="J20" s="625"/>
      <c r="K20" s="625"/>
      <c r="L20" s="625"/>
      <c r="M20" s="625"/>
      <c r="N20" s="625"/>
      <c r="O20" s="626"/>
      <c r="P20" s="626"/>
      <c r="Q20" s="626"/>
      <c r="R20" s="626"/>
      <c r="S20" s="626"/>
      <c r="T20" s="620"/>
      <c r="U20" s="620"/>
    </row>
    <row r="21" spans="1:21" x14ac:dyDescent="0.25">
      <c r="A21" s="617"/>
      <c r="B21" s="627"/>
      <c r="C21" s="627"/>
      <c r="D21" s="628"/>
      <c r="E21" s="628"/>
      <c r="F21" s="628"/>
      <c r="G21" s="627"/>
      <c r="H21" s="627"/>
      <c r="I21" s="628"/>
      <c r="J21" s="629"/>
      <c r="K21" s="629"/>
      <c r="L21" s="629"/>
      <c r="M21" s="629"/>
      <c r="N21" s="629"/>
      <c r="O21" s="620"/>
      <c r="P21" s="628"/>
      <c r="Q21" s="628"/>
      <c r="R21" s="620"/>
      <c r="S21" s="620"/>
      <c r="T21" s="620"/>
      <c r="U21" s="620"/>
    </row>
    <row r="22" spans="1:21" x14ac:dyDescent="0.25">
      <c r="A22" s="617"/>
      <c r="B22" s="627" t="s">
        <v>515</v>
      </c>
      <c r="C22" s="627"/>
      <c r="D22" s="628"/>
      <c r="E22" s="620"/>
      <c r="G22" s="627" t="s">
        <v>517</v>
      </c>
      <c r="H22" s="629"/>
      <c r="I22" s="620"/>
      <c r="J22" s="620"/>
      <c r="K22" s="627" t="s">
        <v>518</v>
      </c>
      <c r="M22" s="629"/>
      <c r="N22" s="620"/>
      <c r="P22" s="627" t="s">
        <v>516</v>
      </c>
      <c r="Q22" s="628"/>
      <c r="R22" s="620"/>
      <c r="S22" s="620"/>
      <c r="T22" s="620"/>
      <c r="U22" s="620"/>
    </row>
    <row r="23" spans="1:21" x14ac:dyDescent="0.25">
      <c r="A23" s="617"/>
      <c r="B23" s="629" t="s">
        <v>519</v>
      </c>
      <c r="C23" s="629"/>
      <c r="D23" s="629"/>
      <c r="E23" s="620"/>
      <c r="G23" s="629" t="s">
        <v>521</v>
      </c>
      <c r="H23" s="629"/>
      <c r="I23" s="620"/>
      <c r="J23" s="620"/>
      <c r="K23" s="629" t="s">
        <v>522</v>
      </c>
      <c r="M23" s="629"/>
      <c r="N23" s="620"/>
      <c r="P23" s="629" t="s">
        <v>520</v>
      </c>
      <c r="Q23" s="629"/>
      <c r="R23" s="620"/>
      <c r="S23" s="620"/>
      <c r="T23" s="620"/>
      <c r="U23" s="620"/>
    </row>
    <row r="24" spans="1:21" x14ac:dyDescent="0.25">
      <c r="A24" s="617"/>
      <c r="B24" s="629" t="s">
        <v>523</v>
      </c>
      <c r="C24" s="629"/>
      <c r="D24" s="629"/>
      <c r="E24" s="620"/>
      <c r="G24" s="629" t="s">
        <v>525</v>
      </c>
      <c r="H24" s="629"/>
      <c r="I24" s="620"/>
      <c r="J24" s="620"/>
      <c r="K24" s="629" t="s">
        <v>526</v>
      </c>
      <c r="M24" s="629"/>
      <c r="N24" s="620"/>
      <c r="P24" s="629" t="s">
        <v>524</v>
      </c>
      <c r="Q24" s="629"/>
      <c r="R24" s="620"/>
      <c r="S24" s="620"/>
      <c r="T24" s="620"/>
      <c r="U24" s="620"/>
    </row>
    <row r="25" spans="1:21" x14ac:dyDescent="0.25">
      <c r="A25" s="617"/>
      <c r="B25" s="617"/>
      <c r="C25" s="617"/>
      <c r="D25" s="617"/>
      <c r="E25" s="617"/>
      <c r="F25" s="617"/>
      <c r="G25" s="617"/>
      <c r="H25" s="617"/>
      <c r="I25" s="617"/>
      <c r="J25" s="617"/>
      <c r="K25" s="617"/>
      <c r="L25" s="617"/>
      <c r="M25" s="617"/>
      <c r="N25" s="617"/>
      <c r="O25" s="620"/>
      <c r="P25" s="620"/>
      <c r="Q25" s="620"/>
      <c r="R25" s="620"/>
      <c r="S25" s="620"/>
      <c r="T25" s="620"/>
      <c r="U25" s="620"/>
    </row>
    <row r="26" spans="1:21" x14ac:dyDescent="0.25">
      <c r="A26" s="617"/>
      <c r="B26" s="617"/>
      <c r="C26" s="617"/>
      <c r="D26" s="617"/>
      <c r="E26" s="617"/>
      <c r="F26" s="617"/>
      <c r="G26" s="617"/>
      <c r="H26" s="617"/>
      <c r="I26" s="617"/>
      <c r="J26" s="617"/>
      <c r="K26" s="617"/>
      <c r="L26" s="617"/>
      <c r="M26" s="617"/>
      <c r="N26" s="617"/>
      <c r="O26" s="620"/>
      <c r="P26" s="620"/>
      <c r="Q26" s="620"/>
      <c r="R26" s="620"/>
      <c r="S26" s="620"/>
      <c r="T26" s="620"/>
      <c r="U26" s="620"/>
    </row>
    <row r="27" spans="1:21" x14ac:dyDescent="0.25">
      <c r="A27" s="617"/>
      <c r="B27" s="617"/>
      <c r="C27" s="617"/>
      <c r="D27" s="617"/>
      <c r="E27" s="617"/>
      <c r="F27" s="617"/>
      <c r="G27" s="617"/>
      <c r="H27" s="617"/>
      <c r="I27" s="617"/>
      <c r="J27" s="617"/>
      <c r="L27" s="617"/>
      <c r="M27" s="617"/>
      <c r="N27" s="617"/>
      <c r="O27" s="620"/>
      <c r="P27" s="620"/>
      <c r="Q27" s="620"/>
      <c r="R27" s="620"/>
      <c r="S27" s="620"/>
      <c r="T27" s="620"/>
      <c r="U27" s="620"/>
    </row>
    <row r="28" spans="1:21" x14ac:dyDescent="0.25">
      <c r="A28" s="617"/>
      <c r="B28" s="617"/>
      <c r="C28" s="617"/>
      <c r="D28" s="617"/>
      <c r="E28" s="617"/>
      <c r="F28" s="617"/>
      <c r="G28" s="617"/>
      <c r="H28" s="617"/>
      <c r="I28" s="617"/>
      <c r="J28" s="617"/>
      <c r="L28" s="617"/>
      <c r="M28" s="617"/>
      <c r="N28" s="617"/>
      <c r="O28" s="620"/>
      <c r="P28" s="620"/>
      <c r="Q28" s="620"/>
      <c r="R28" s="620"/>
      <c r="S28" s="620"/>
      <c r="T28" s="620"/>
      <c r="U28" s="620"/>
    </row>
    <row r="29" spans="1:21" x14ac:dyDescent="0.25">
      <c r="A29" s="617"/>
      <c r="B29" s="617"/>
      <c r="C29" s="617"/>
      <c r="D29" s="617"/>
      <c r="E29" s="617"/>
      <c r="F29" s="617"/>
      <c r="G29" s="617"/>
      <c r="H29" s="617"/>
      <c r="I29" s="617"/>
      <c r="J29" s="617"/>
      <c r="L29" s="617"/>
      <c r="M29" s="617"/>
      <c r="N29" s="617"/>
      <c r="O29" s="620"/>
      <c r="P29" s="620"/>
      <c r="Q29" s="620"/>
      <c r="R29" s="620"/>
      <c r="S29" s="620"/>
      <c r="T29" s="620"/>
      <c r="U29" s="620"/>
    </row>
    <row r="30" spans="1:21" x14ac:dyDescent="0.25">
      <c r="A30" s="620"/>
      <c r="B30" s="620"/>
      <c r="C30" s="620"/>
      <c r="D30" s="620"/>
      <c r="E30" s="620"/>
      <c r="F30" s="620"/>
      <c r="G30" s="620"/>
      <c r="H30" s="620"/>
      <c r="I30" s="620"/>
      <c r="J30" s="620"/>
      <c r="K30" s="620"/>
      <c r="L30" s="620"/>
      <c r="M30" s="620"/>
      <c r="N30" s="620"/>
      <c r="O30" s="620"/>
      <c r="P30" s="620"/>
      <c r="Q30" s="620"/>
      <c r="R30" s="620"/>
      <c r="S30" s="620"/>
      <c r="T30" s="620"/>
      <c r="U30" s="620"/>
    </row>
    <row r="31" spans="1:21" x14ac:dyDescent="0.25">
      <c r="A31" s="620"/>
      <c r="B31" s="620"/>
      <c r="C31" s="620"/>
      <c r="D31" s="620"/>
      <c r="E31" s="620"/>
      <c r="F31" s="620"/>
      <c r="G31" s="620"/>
      <c r="H31" s="620"/>
      <c r="I31" s="620"/>
      <c r="J31" s="620"/>
      <c r="K31" s="620"/>
      <c r="L31" s="620"/>
      <c r="M31" s="620"/>
      <c r="N31" s="620"/>
      <c r="O31" s="620"/>
      <c r="P31" s="620"/>
      <c r="Q31" s="620"/>
      <c r="R31" s="620"/>
      <c r="S31" s="620"/>
      <c r="T31" s="620"/>
      <c r="U31" s="620"/>
    </row>
    <row r="32" spans="1:21" x14ac:dyDescent="0.25">
      <c r="A32" s="620"/>
      <c r="B32" s="620"/>
      <c r="C32" s="620"/>
      <c r="D32" s="620"/>
      <c r="E32" s="620"/>
      <c r="F32" s="620"/>
      <c r="G32" s="620"/>
      <c r="H32" s="620"/>
      <c r="I32" s="620"/>
      <c r="J32" s="620"/>
      <c r="K32" s="620"/>
      <c r="L32" s="620"/>
      <c r="M32" s="620"/>
      <c r="N32" s="620"/>
      <c r="O32" s="620"/>
      <c r="P32" s="620"/>
      <c r="Q32" s="620"/>
      <c r="R32" s="620"/>
      <c r="S32" s="620"/>
      <c r="T32" s="620"/>
      <c r="U32" s="620"/>
    </row>
    <row r="33" spans="1:21" x14ac:dyDescent="0.25">
      <c r="A33" s="620"/>
      <c r="B33" s="620"/>
      <c r="C33" s="620"/>
      <c r="D33" s="620"/>
      <c r="E33" s="620"/>
      <c r="F33" s="620"/>
      <c r="G33" s="620"/>
      <c r="H33" s="620"/>
      <c r="I33" s="620"/>
      <c r="J33" s="620"/>
      <c r="K33" s="620"/>
      <c r="L33" s="620"/>
      <c r="M33" s="620"/>
      <c r="N33" s="620"/>
      <c r="O33" s="620"/>
      <c r="P33" s="620"/>
      <c r="Q33" s="620"/>
      <c r="R33" s="620"/>
      <c r="S33" s="620"/>
      <c r="T33" s="620"/>
      <c r="U33" s="620"/>
    </row>
    <row r="34" spans="1:21" x14ac:dyDescent="0.25">
      <c r="A34" s="620"/>
      <c r="B34" s="620"/>
      <c r="C34" s="620"/>
      <c r="D34" s="620"/>
      <c r="E34" s="620"/>
      <c r="F34" s="620"/>
      <c r="G34" s="620"/>
      <c r="H34" s="620"/>
      <c r="I34" s="620"/>
      <c r="J34" s="620"/>
      <c r="K34" s="620"/>
      <c r="L34" s="620"/>
      <c r="M34" s="620"/>
      <c r="N34" s="620"/>
      <c r="O34" s="620"/>
      <c r="P34" s="620"/>
      <c r="Q34" s="620"/>
      <c r="R34" s="620"/>
      <c r="S34" s="620"/>
      <c r="T34" s="620"/>
      <c r="U34" s="620"/>
    </row>
    <row r="35" spans="1:21" x14ac:dyDescent="0.25">
      <c r="A35" s="630"/>
      <c r="B35" s="630"/>
      <c r="C35" s="630"/>
      <c r="D35" s="630"/>
      <c r="E35" s="630"/>
      <c r="F35" s="630"/>
      <c r="G35" s="630"/>
      <c r="H35" s="630"/>
      <c r="I35" s="630"/>
      <c r="J35" s="630"/>
      <c r="K35" s="630"/>
      <c r="L35" s="630"/>
      <c r="M35" s="630"/>
      <c r="N35" s="630"/>
      <c r="O35" s="618"/>
      <c r="P35" s="618"/>
      <c r="Q35" s="618"/>
      <c r="R35" s="618"/>
      <c r="S35" s="618"/>
      <c r="T35" s="618"/>
      <c r="U35" s="618"/>
    </row>
    <row r="36" spans="1:21" x14ac:dyDescent="0.25">
      <c r="A36" s="630"/>
      <c r="B36" s="630"/>
      <c r="C36" s="630"/>
      <c r="D36" s="630"/>
      <c r="E36" s="630"/>
      <c r="F36" s="630"/>
      <c r="G36" s="630"/>
      <c r="H36" s="630"/>
      <c r="I36" s="630"/>
      <c r="J36" s="630"/>
      <c r="K36" s="630"/>
      <c r="L36" s="630"/>
      <c r="M36" s="630"/>
      <c r="N36" s="630"/>
      <c r="O36" s="618"/>
      <c r="P36" s="618"/>
      <c r="Q36" s="618"/>
      <c r="R36" s="618"/>
      <c r="S36" s="618"/>
      <c r="T36" s="618"/>
      <c r="U36" s="618"/>
    </row>
    <row r="37" spans="1:21" x14ac:dyDescent="0.25">
      <c r="A37" s="630"/>
      <c r="B37" s="630"/>
      <c r="C37" s="630"/>
      <c r="D37" s="630"/>
      <c r="E37" s="630"/>
      <c r="F37" s="630"/>
      <c r="G37" s="630"/>
      <c r="H37" s="630"/>
      <c r="I37" s="630"/>
      <c r="J37" s="630"/>
      <c r="K37" s="630"/>
      <c r="L37" s="630"/>
      <c r="M37" s="630"/>
      <c r="N37" s="630"/>
      <c r="O37" s="618"/>
      <c r="P37" s="618"/>
      <c r="Q37" s="618"/>
      <c r="R37" s="618"/>
      <c r="S37" s="618"/>
      <c r="T37" s="618"/>
      <c r="U37" s="618"/>
    </row>
    <row r="38" spans="1:21" x14ac:dyDescent="0.25">
      <c r="A38" s="630"/>
      <c r="B38" s="630"/>
      <c r="C38" s="630"/>
      <c r="D38" s="630"/>
      <c r="E38" s="630"/>
      <c r="F38" s="630"/>
      <c r="G38" s="630"/>
      <c r="H38" s="630"/>
      <c r="I38" s="630"/>
      <c r="J38" s="630"/>
      <c r="K38" s="630"/>
      <c r="L38" s="630"/>
      <c r="M38" s="630"/>
      <c r="N38" s="630"/>
      <c r="O38" s="618"/>
      <c r="P38" s="618"/>
      <c r="Q38" s="618"/>
      <c r="R38" s="618"/>
      <c r="S38" s="618"/>
      <c r="T38" s="618"/>
      <c r="U38" s="618"/>
    </row>
    <row r="39" spans="1:21" x14ac:dyDescent="0.25">
      <c r="A39" s="630"/>
      <c r="B39" s="630"/>
      <c r="C39" s="630"/>
      <c r="D39" s="630"/>
      <c r="E39" s="630"/>
      <c r="F39" s="630"/>
      <c r="G39" s="630"/>
      <c r="H39" s="630"/>
      <c r="I39" s="630"/>
      <c r="J39" s="630"/>
      <c r="K39" s="630"/>
      <c r="L39" s="630"/>
      <c r="M39" s="630"/>
      <c r="N39" s="630"/>
      <c r="O39" s="618"/>
      <c r="P39" s="618"/>
      <c r="Q39" s="618"/>
      <c r="R39" s="618"/>
      <c r="S39" s="618"/>
      <c r="T39" s="618"/>
      <c r="U39" s="618"/>
    </row>
    <row r="40" spans="1:21" x14ac:dyDescent="0.25">
      <c r="A40" s="630"/>
      <c r="B40" s="630"/>
      <c r="C40" s="630"/>
      <c r="D40" s="630"/>
      <c r="E40" s="630"/>
      <c r="F40" s="630"/>
      <c r="G40" s="630"/>
      <c r="H40" s="630"/>
      <c r="I40" s="630"/>
      <c r="J40" s="630"/>
      <c r="K40" s="630"/>
      <c r="L40" s="630"/>
      <c r="M40" s="630"/>
      <c r="N40" s="630"/>
      <c r="O40" s="618"/>
      <c r="P40" s="618"/>
      <c r="Q40" s="618"/>
      <c r="R40" s="618"/>
      <c r="S40" s="618"/>
      <c r="T40" s="618"/>
      <c r="U40" s="618"/>
    </row>
    <row r="41" spans="1:21" x14ac:dyDescent="0.25">
      <c r="A41" s="618"/>
      <c r="B41" s="618"/>
      <c r="C41" s="618"/>
      <c r="D41" s="618"/>
      <c r="E41" s="618"/>
      <c r="F41" s="618"/>
      <c r="G41" s="618"/>
      <c r="H41" s="618"/>
      <c r="I41" s="618"/>
      <c r="J41" s="618"/>
      <c r="K41" s="618"/>
      <c r="L41" s="618"/>
      <c r="M41" s="618"/>
      <c r="N41" s="618"/>
      <c r="O41" s="618"/>
      <c r="P41" s="618"/>
      <c r="Q41" s="618"/>
      <c r="R41" s="618"/>
      <c r="S41" s="618"/>
      <c r="T41" s="618"/>
      <c r="U41" s="618"/>
    </row>
    <row r="42" spans="1:21" x14ac:dyDescent="0.25">
      <c r="A42" s="618"/>
      <c r="B42" s="618"/>
      <c r="C42" s="618"/>
      <c r="D42" s="618"/>
      <c r="E42" s="618"/>
      <c r="F42" s="618"/>
      <c r="G42" s="618"/>
      <c r="H42" s="618"/>
      <c r="I42" s="618"/>
      <c r="J42" s="618"/>
      <c r="K42" s="618"/>
      <c r="L42" s="618"/>
      <c r="M42" s="618"/>
      <c r="N42" s="618"/>
      <c r="O42" s="618"/>
      <c r="P42" s="618"/>
      <c r="Q42" s="618"/>
      <c r="R42" s="618"/>
      <c r="S42" s="618"/>
      <c r="T42" s="618"/>
      <c r="U42" s="618"/>
    </row>
    <row r="43" spans="1:21" x14ac:dyDescent="0.25">
      <c r="A43" s="618"/>
      <c r="B43" s="618"/>
      <c r="C43" s="618"/>
      <c r="D43" s="618"/>
      <c r="E43" s="618"/>
      <c r="F43" s="618"/>
      <c r="G43" s="618"/>
      <c r="H43" s="618"/>
      <c r="I43" s="618"/>
      <c r="J43" s="618"/>
      <c r="K43" s="618"/>
      <c r="L43" s="618"/>
      <c r="M43" s="618"/>
      <c r="N43" s="618"/>
      <c r="O43" s="618"/>
      <c r="P43" s="618"/>
      <c r="Q43" s="618"/>
      <c r="R43" s="618"/>
      <c r="S43" s="618"/>
      <c r="T43" s="618"/>
      <c r="U43" s="618"/>
    </row>
    <row r="44" spans="1:21" x14ac:dyDescent="0.25">
      <c r="A44" s="618"/>
      <c r="B44" s="618"/>
      <c r="C44" s="618"/>
      <c r="D44" s="618"/>
      <c r="E44" s="618"/>
      <c r="F44" s="618"/>
      <c r="G44" s="618"/>
      <c r="H44" s="618"/>
      <c r="I44" s="618"/>
      <c r="J44" s="618"/>
      <c r="K44" s="618"/>
      <c r="L44" s="618"/>
      <c r="M44" s="618"/>
      <c r="N44" s="618"/>
      <c r="O44" s="618"/>
      <c r="P44" s="618"/>
      <c r="Q44" s="618"/>
      <c r="R44" s="618"/>
      <c r="S44" s="618"/>
      <c r="T44" s="618"/>
      <c r="U44" s="618"/>
    </row>
    <row r="45" spans="1:21" x14ac:dyDescent="0.25">
      <c r="A45" s="618"/>
      <c r="B45" s="618"/>
      <c r="C45" s="618"/>
      <c r="D45" s="618"/>
      <c r="E45" s="618"/>
      <c r="F45" s="618"/>
      <c r="G45" s="618"/>
      <c r="H45" s="618"/>
      <c r="I45" s="618"/>
      <c r="J45" s="618"/>
      <c r="K45" s="618"/>
      <c r="L45" s="618"/>
      <c r="M45" s="618"/>
      <c r="N45" s="618"/>
      <c r="O45" s="618"/>
      <c r="P45" s="618"/>
      <c r="Q45" s="618"/>
      <c r="R45" s="618"/>
      <c r="S45" s="618"/>
      <c r="T45" s="618"/>
      <c r="U45" s="618"/>
    </row>
    <row r="46" spans="1:21" x14ac:dyDescent="0.25">
      <c r="A46" s="618"/>
      <c r="B46" s="618"/>
      <c r="C46" s="618"/>
      <c r="D46" s="618"/>
      <c r="E46" s="618"/>
      <c r="F46" s="618"/>
      <c r="G46" s="618"/>
      <c r="H46" s="618"/>
      <c r="I46" s="618"/>
      <c r="J46" s="618"/>
      <c r="K46" s="618"/>
      <c r="L46" s="618"/>
      <c r="M46" s="618"/>
      <c r="N46" s="618"/>
      <c r="O46" s="618"/>
      <c r="P46" s="618"/>
      <c r="Q46" s="618"/>
      <c r="R46" s="618"/>
      <c r="S46" s="618"/>
      <c r="T46" s="618"/>
      <c r="U46" s="618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/>
  </sheetPr>
  <dimension ref="A2:AS92"/>
  <sheetViews>
    <sheetView showGridLines="0" topLeftCell="H35" zoomScale="70" zoomScaleNormal="70" workbookViewId="0">
      <selection activeCell="H35" sqref="A1:XFD1048576"/>
    </sheetView>
  </sheetViews>
  <sheetFormatPr defaultRowHeight="12.75" x14ac:dyDescent="0.2"/>
  <cols>
    <col min="1" max="1" width="3.5703125" customWidth="1"/>
    <col min="2" max="2" width="29.85546875" customWidth="1"/>
    <col min="3" max="3" width="24" customWidth="1"/>
    <col min="4" max="4" width="10.140625" customWidth="1"/>
    <col min="5" max="5" width="17.140625" customWidth="1"/>
    <col min="6" max="8" width="23.5703125" customWidth="1"/>
    <col min="30" max="30" width="12.42578125" customWidth="1"/>
    <col min="37" max="37" width="11.28515625" customWidth="1"/>
    <col min="38" max="40" width="10.28515625" customWidth="1"/>
  </cols>
  <sheetData>
    <row r="2" spans="1:40" ht="13.5" thickBot="1" x14ac:dyDescent="0.25">
      <c r="A2" s="479" t="s">
        <v>444</v>
      </c>
    </row>
    <row r="3" spans="1:40" ht="15" x14ac:dyDescent="0.3">
      <c r="B3" s="506"/>
      <c r="C3" s="507" t="s">
        <v>127</v>
      </c>
      <c r="D3" s="507" t="s">
        <v>128</v>
      </c>
      <c r="E3" s="507" t="s">
        <v>129</v>
      </c>
      <c r="F3" s="535" t="s">
        <v>510</v>
      </c>
      <c r="G3" s="531" t="s">
        <v>511</v>
      </c>
      <c r="H3" s="532" t="s">
        <v>512</v>
      </c>
      <c r="J3" s="259"/>
    </row>
    <row r="4" spans="1:40" ht="15" x14ac:dyDescent="0.3">
      <c r="B4" s="508" t="s">
        <v>184</v>
      </c>
      <c r="C4" s="509"/>
      <c r="D4" s="510"/>
      <c r="E4" s="510"/>
      <c r="F4" s="511"/>
      <c r="G4" s="6"/>
      <c r="H4" s="317"/>
    </row>
    <row r="5" spans="1:40" ht="15" customHeight="1" x14ac:dyDescent="0.3">
      <c r="B5" s="511" t="s">
        <v>138</v>
      </c>
      <c r="C5" s="512">
        <f ca="1">'Valuation Drivers'!V25</f>
        <v>29773.744184539304</v>
      </c>
      <c r="D5" s="513">
        <v>1</v>
      </c>
      <c r="E5" s="512">
        <f ca="1">C5*D5</f>
        <v>29773.744184539304</v>
      </c>
      <c r="F5" s="536">
        <f ca="1">'Valuation Drivers'!M26</f>
        <v>5.7755512123968975</v>
      </c>
      <c r="G5" s="318">
        <f ca="1">'Valuation Drivers'!M27</f>
        <v>17.264632379993689</v>
      </c>
      <c r="H5" s="319">
        <f ca="1">'Valuation Drivers'!M28</f>
        <v>25.577233155546203</v>
      </c>
      <c r="I5" s="429"/>
      <c r="S5" s="479" t="s">
        <v>530</v>
      </c>
      <c r="T5">
        <v>3.2</v>
      </c>
    </row>
    <row r="6" spans="1:40" ht="15" x14ac:dyDescent="0.3">
      <c r="B6" s="511" t="s">
        <v>125</v>
      </c>
      <c r="C6" s="512">
        <f>'Valuation Drivers'!V10</f>
        <v>38151.663541812442</v>
      </c>
      <c r="D6" s="513">
        <v>1</v>
      </c>
      <c r="E6" s="512">
        <f>C6*D6</f>
        <v>38151.663541812442</v>
      </c>
      <c r="F6" s="536">
        <f>'Valuation Drivers'!M11</f>
        <v>10.638171404486185</v>
      </c>
      <c r="G6" s="318">
        <f>'Valuation Drivers'!M12</f>
        <v>14.140966647165326</v>
      </c>
      <c r="H6" s="319">
        <f>'Valuation Drivers'!M13</f>
        <v>20.949580218022707</v>
      </c>
      <c r="I6" s="429"/>
      <c r="S6" s="479" t="s">
        <v>134</v>
      </c>
      <c r="T6">
        <v>9961</v>
      </c>
    </row>
    <row r="7" spans="1:40" ht="15" x14ac:dyDescent="0.3">
      <c r="B7" s="511" t="s">
        <v>597</v>
      </c>
      <c r="C7" s="512">
        <f>'Valuation Drivers'!V41</f>
        <v>8067.7692492271644</v>
      </c>
      <c r="D7" s="513">
        <v>1</v>
      </c>
      <c r="E7" s="512">
        <f>C7*D7</f>
        <v>8067.7692492271644</v>
      </c>
      <c r="F7" s="536">
        <f>'Valuation Drivers'!M42</f>
        <v>15.827845187999618</v>
      </c>
      <c r="G7" s="318">
        <f>'Valuation Drivers'!M43</f>
        <v>24.885015322942785</v>
      </c>
      <c r="H7" s="319">
        <f>'Valuation Drivers'!M44</f>
        <v>36.866689367322635</v>
      </c>
      <c r="I7" s="429"/>
      <c r="S7" s="479" t="s">
        <v>599</v>
      </c>
      <c r="T7">
        <f>T5*T6</f>
        <v>31875.200000000001</v>
      </c>
    </row>
    <row r="8" spans="1:40" ht="15" x14ac:dyDescent="0.3">
      <c r="B8" s="511" t="s">
        <v>440</v>
      </c>
      <c r="C8" s="512">
        <f ca="1">C5+C6+C7</f>
        <v>75993.176975578914</v>
      </c>
      <c r="D8" s="513">
        <v>1</v>
      </c>
      <c r="E8" s="512">
        <f ca="1">C8*D8</f>
        <v>75993.176975578914</v>
      </c>
      <c r="F8" s="536">
        <f ca="1">E8/(Interims!BU31+Interims!BU188)</f>
        <v>8.2144540870801421</v>
      </c>
      <c r="G8" s="318">
        <f ca="1">E8/(Interims!BU31+Interims!BU188-Interims!BU55-Interims!BU201+1100)</f>
        <v>12.997604849318348</v>
      </c>
      <c r="H8" s="319">
        <f ca="1">G8/(1-'Valuation Drivers'!V4)</f>
        <v>19.255710887879033</v>
      </c>
      <c r="I8" s="429"/>
      <c r="J8" s="484" t="s">
        <v>408</v>
      </c>
      <c r="Q8" s="479"/>
      <c r="S8" s="479" t="s">
        <v>486</v>
      </c>
      <c r="T8" s="672">
        <v>0.12</v>
      </c>
      <c r="AJ8" s="530"/>
      <c r="AL8" s="530"/>
    </row>
    <row r="9" spans="1:40" ht="15" x14ac:dyDescent="0.3">
      <c r="B9" s="511"/>
      <c r="C9" s="509"/>
      <c r="D9" s="510"/>
      <c r="E9" s="514">
        <f ca="1">E8-E7</f>
        <v>67925.407726351754</v>
      </c>
      <c r="F9" s="536">
        <f ca="1">E9/Interims!CA31</f>
        <v>7.4637068806098164</v>
      </c>
      <c r="G9" s="318"/>
      <c r="H9" s="319"/>
      <c r="S9" s="479" t="s">
        <v>486</v>
      </c>
      <c r="T9">
        <f>T7*T8</f>
        <v>3825.0239999999999</v>
      </c>
      <c r="U9">
        <f>T9*1.075</f>
        <v>4111.9007999999994</v>
      </c>
      <c r="AJ9" s="530"/>
      <c r="AL9" s="530"/>
    </row>
    <row r="10" spans="1:40" ht="15" x14ac:dyDescent="0.3">
      <c r="B10" s="508" t="s">
        <v>185</v>
      </c>
      <c r="C10" s="509"/>
      <c r="D10" s="510"/>
      <c r="E10" s="514"/>
      <c r="F10" s="536"/>
      <c r="G10" s="318"/>
      <c r="H10" s="319"/>
      <c r="J10" s="473">
        <f ca="1">E8-67922</f>
        <v>8071.1769755789137</v>
      </c>
      <c r="K10">
        <f ca="1">J10/E43</f>
        <v>1.6950285239612946</v>
      </c>
      <c r="S10" s="479" t="s">
        <v>600</v>
      </c>
      <c r="T10" s="673">
        <v>4.8000000000000001E-2</v>
      </c>
      <c r="AJ10" s="530"/>
      <c r="AL10" s="530"/>
    </row>
    <row r="11" spans="1:40" ht="15.75" thickBot="1" x14ac:dyDescent="0.35">
      <c r="B11" s="511" t="s">
        <v>165</v>
      </c>
      <c r="C11" s="512">
        <f>'Valuation Drivers'!V57/'Valuation Drivers'!V59</f>
        <v>75521.203939513129</v>
      </c>
      <c r="D11" s="515">
        <v>0.67300000000000004</v>
      </c>
      <c r="E11" s="512">
        <f>C11*D11</f>
        <v>50825.770251292342</v>
      </c>
      <c r="F11" s="536">
        <v>7</v>
      </c>
      <c r="G11" s="318">
        <f>'Valuation Drivers'!M59</f>
        <v>20.195394688344944</v>
      </c>
      <c r="H11" s="319">
        <f>'Valuation Drivers'!M60</f>
        <v>28.850563840492775</v>
      </c>
      <c r="T11">
        <f>T9*T10</f>
        <v>183.60115199999998</v>
      </c>
      <c r="AJ11" s="530"/>
      <c r="AL11" s="530"/>
    </row>
    <row r="12" spans="1:40" ht="15" x14ac:dyDescent="0.3">
      <c r="B12" s="511"/>
      <c r="C12" s="512"/>
      <c r="D12" s="513"/>
      <c r="E12" s="560"/>
      <c r="F12" s="536"/>
      <c r="G12" s="318"/>
      <c r="H12" s="319"/>
      <c r="S12" s="479" t="s">
        <v>365</v>
      </c>
      <c r="T12">
        <f>T11*1.14</f>
        <v>209.30531327999998</v>
      </c>
      <c r="AJ12" s="571"/>
      <c r="AK12" s="572"/>
      <c r="AL12" s="599" t="s">
        <v>438</v>
      </c>
      <c r="AM12" s="599" t="s">
        <v>436</v>
      </c>
      <c r="AN12" s="28" t="s">
        <v>437</v>
      </c>
    </row>
    <row r="13" spans="1:40" ht="18.75" x14ac:dyDescent="0.3">
      <c r="B13" s="508" t="s">
        <v>501</v>
      </c>
      <c r="C13" s="512" t="s">
        <v>35</v>
      </c>
      <c r="D13" s="513" t="s">
        <v>35</v>
      </c>
      <c r="E13" s="512">
        <v>0</v>
      </c>
      <c r="F13" s="536" t="s">
        <v>35</v>
      </c>
      <c r="G13" s="318" t="s">
        <v>35</v>
      </c>
      <c r="H13" s="319" t="s">
        <v>35</v>
      </c>
      <c r="K13" s="578"/>
      <c r="AJ13" s="580"/>
      <c r="AK13" s="534"/>
      <c r="AL13" s="534"/>
      <c r="AM13" s="534"/>
      <c r="AN13" s="528"/>
    </row>
    <row r="14" spans="1:40" ht="15" x14ac:dyDescent="0.3">
      <c r="B14" s="511"/>
      <c r="C14" s="512"/>
      <c r="D14" s="515"/>
      <c r="E14" s="512"/>
      <c r="F14" s="536"/>
      <c r="G14" s="318"/>
      <c r="H14" s="319"/>
      <c r="AJ14" s="581" t="s">
        <v>499</v>
      </c>
      <c r="AK14" s="600"/>
      <c r="AL14" s="601">
        <f ca="1">AM14</f>
        <v>124774.76782987377</v>
      </c>
      <c r="AM14" s="601">
        <f ca="1">E37</f>
        <v>124774.76782987377</v>
      </c>
      <c r="AN14" s="605">
        <f ca="1">AM14</f>
        <v>124774.76782987377</v>
      </c>
    </row>
    <row r="15" spans="1:40" ht="15" x14ac:dyDescent="0.3">
      <c r="B15" s="508" t="s">
        <v>196</v>
      </c>
      <c r="C15" s="512"/>
      <c r="D15" s="515"/>
      <c r="E15" s="516"/>
      <c r="F15" s="536"/>
      <c r="G15" s="318"/>
      <c r="H15" s="319"/>
      <c r="AJ15" s="580"/>
      <c r="AK15" s="534"/>
      <c r="AL15" s="602"/>
      <c r="AM15" s="602"/>
      <c r="AN15" s="603"/>
    </row>
    <row r="16" spans="1:40" ht="15" x14ac:dyDescent="0.3">
      <c r="B16" s="511" t="s">
        <v>173</v>
      </c>
      <c r="C16" s="512">
        <f>'Valuation Drivers'!V132</f>
        <v>1624.2979468776739</v>
      </c>
      <c r="D16" s="513">
        <v>1</v>
      </c>
      <c r="E16" s="512">
        <f t="shared" ref="E16:E22" si="0">C16*D16</f>
        <v>1624.2979468776739</v>
      </c>
      <c r="F16" s="536">
        <f>'Valuation Drivers'!M133</f>
        <v>4.1791803205952816</v>
      </c>
      <c r="G16" s="318">
        <f>'Valuation Drivers'!M134</f>
        <v>8.6698860366552637</v>
      </c>
      <c r="H16" s="319">
        <f>'Valuation Drivers'!M135</f>
        <v>10.837357545819078</v>
      </c>
      <c r="AJ16" s="582" t="s">
        <v>492</v>
      </c>
      <c r="AK16" s="534"/>
      <c r="AL16" s="602">
        <f>AF69</f>
        <v>-10556.170491803279</v>
      </c>
      <c r="AM16" s="602"/>
      <c r="AN16" s="603">
        <f>AG69</f>
        <v>5048.6032786885244</v>
      </c>
    </row>
    <row r="17" spans="2:40" ht="15" x14ac:dyDescent="0.3">
      <c r="B17" s="511" t="s">
        <v>199</v>
      </c>
      <c r="C17" s="512">
        <f>'Valuation Drivers'!V87</f>
        <v>2527.3901599793298</v>
      </c>
      <c r="D17" s="513">
        <v>1</v>
      </c>
      <c r="E17" s="512">
        <f t="shared" si="0"/>
        <v>2527.3901599793298</v>
      </c>
      <c r="F17" s="536">
        <f>'Valuation Drivers'!M88</f>
        <v>6.5130457180823242</v>
      </c>
      <c r="G17" s="318">
        <f>'Valuation Drivers'!M89</f>
        <v>10.937506676688816</v>
      </c>
      <c r="H17" s="319">
        <f>'Valuation Drivers'!M90</f>
        <v>14.583342235585087</v>
      </c>
      <c r="AJ17" s="582" t="s">
        <v>186</v>
      </c>
      <c r="AK17" s="534"/>
      <c r="AL17" s="602">
        <f ca="1">AF48</f>
        <v>-4872.5772104347107</v>
      </c>
      <c r="AM17" s="602"/>
      <c r="AN17" s="603">
        <f ca="1">AG48</f>
        <v>1848.2189418890284</v>
      </c>
    </row>
    <row r="18" spans="2:40" ht="15" x14ac:dyDescent="0.3">
      <c r="B18" s="511" t="s">
        <v>201</v>
      </c>
      <c r="C18" s="512">
        <f>'Valuation Drivers'!V117</f>
        <v>3177.6164426353143</v>
      </c>
      <c r="D18" s="513">
        <v>1</v>
      </c>
      <c r="E18" s="512">
        <f t="shared" si="0"/>
        <v>3177.6164426353143</v>
      </c>
      <c r="F18" s="536">
        <f>'Valuation Drivers'!M118</f>
        <v>7.5797290474542258</v>
      </c>
      <c r="G18" s="318">
        <f>'Valuation Drivers'!M119</f>
        <v>10.58239926965808</v>
      </c>
      <c r="H18" s="319">
        <f>'Valuation Drivers'!M120</f>
        <v>13.2279990870726</v>
      </c>
      <c r="AJ18" s="582" t="s">
        <v>184</v>
      </c>
      <c r="AK18" s="534"/>
      <c r="AL18" s="602">
        <f ca="1">AF40</f>
        <v>-20486.25502800665</v>
      </c>
      <c r="AM18" s="602"/>
      <c r="AN18" s="603">
        <f ca="1">AG40</f>
        <v>7267.2059457794967</v>
      </c>
    </row>
    <row r="19" spans="2:40" ht="15" x14ac:dyDescent="0.3">
      <c r="B19" s="511" t="s">
        <v>200</v>
      </c>
      <c r="C19" s="512">
        <f>'Valuation Drivers'!V102</f>
        <v>1422.8765644477726</v>
      </c>
      <c r="D19" s="513">
        <v>1</v>
      </c>
      <c r="E19" s="512">
        <f t="shared" si="0"/>
        <v>1422.8765644477726</v>
      </c>
      <c r="F19" s="536">
        <f>'Valuation Drivers'!M103</f>
        <v>5.5881754792667788</v>
      </c>
      <c r="G19" s="318">
        <f>'Valuation Drivers'!M104</f>
        <v>14.714224258338334</v>
      </c>
      <c r="H19" s="319">
        <f>'Valuation Drivers'!M105</f>
        <v>19.618965677784445</v>
      </c>
      <c r="AJ19" s="582" t="s">
        <v>229</v>
      </c>
      <c r="AK19" s="534"/>
      <c r="AL19" s="602">
        <f>AF56</f>
        <v>-2193.0367574517404</v>
      </c>
      <c r="AM19" s="602"/>
      <c r="AN19" s="603">
        <f>AG56</f>
        <v>4824.68086639383</v>
      </c>
    </row>
    <row r="20" spans="2:40" ht="15" x14ac:dyDescent="0.3">
      <c r="B20" s="511" t="s">
        <v>202</v>
      </c>
      <c r="C20" s="512">
        <f>'Valuation Drivers'!V147</f>
        <v>1721.3672562822355</v>
      </c>
      <c r="D20" s="515">
        <v>0.59199999999999997</v>
      </c>
      <c r="E20" s="512">
        <f t="shared" si="0"/>
        <v>1019.0494157190834</v>
      </c>
      <c r="F20" s="536">
        <f>'Valuation Drivers'!M148</f>
        <v>6.0761738855269529</v>
      </c>
      <c r="G20" s="318">
        <f>'Valuation Drivers'!M149</f>
        <v>10.900923789711882</v>
      </c>
      <c r="H20" s="319">
        <f>'Valuation Drivers'!M150</f>
        <v>13.45793060458257</v>
      </c>
      <c r="AJ20" s="580"/>
      <c r="AK20" s="534"/>
      <c r="AL20" s="602"/>
      <c r="AM20" s="602"/>
      <c r="AN20" s="603"/>
    </row>
    <row r="21" spans="2:40" ht="15" x14ac:dyDescent="0.3">
      <c r="B21" s="511" t="s">
        <v>203</v>
      </c>
      <c r="C21" s="512">
        <f ca="1">'Valuation Drivers'!V162</f>
        <v>1283.9163489827874</v>
      </c>
      <c r="D21" s="515">
        <v>1</v>
      </c>
      <c r="E21" s="512">
        <f t="shared" ca="1" si="0"/>
        <v>1283.9163489827874</v>
      </c>
      <c r="F21" s="536">
        <f ca="1">'Valuation Drivers'!M163</f>
        <v>6.9553305994774384</v>
      </c>
      <c r="G21" s="318">
        <f ca="1">'Valuation Drivers'!M164</f>
        <v>9.9935172465747311</v>
      </c>
      <c r="H21" s="319">
        <f ca="1">'Valuation Drivers'!M165</f>
        <v>12.337675613055223</v>
      </c>
      <c r="AJ21" s="582" t="s">
        <v>495</v>
      </c>
      <c r="AK21" s="534"/>
      <c r="AL21" s="602">
        <f>AM21</f>
        <v>11250</v>
      </c>
      <c r="AM21" s="602">
        <f>E53+E55+E53</f>
        <v>11250</v>
      </c>
      <c r="AN21" s="603">
        <f>AM21</f>
        <v>11250</v>
      </c>
    </row>
    <row r="22" spans="2:40" ht="15.75" thickBot="1" x14ac:dyDescent="0.35">
      <c r="B22" s="511" t="s">
        <v>204</v>
      </c>
      <c r="C22" s="512">
        <f>'Valuation Drivers'!V177</f>
        <v>1055.346047287228</v>
      </c>
      <c r="D22" s="515">
        <v>0.51</v>
      </c>
      <c r="E22" s="512">
        <f t="shared" si="0"/>
        <v>538.22648411648629</v>
      </c>
      <c r="F22" s="536">
        <f>'Valuation Drivers'!M178</f>
        <v>6.6686318648875709</v>
      </c>
      <c r="G22" s="318">
        <f>'Valuation Drivers'!M179</f>
        <v>10.036234188677536</v>
      </c>
      <c r="H22" s="319">
        <f>'Valuation Drivers'!M180</f>
        <v>12.545292735846918</v>
      </c>
      <c r="AJ22" s="604" t="s">
        <v>493</v>
      </c>
      <c r="AK22" s="540"/>
      <c r="AL22" s="606">
        <f ca="1">AL14+AL16+AL17+AL18+AL19+AL21</f>
        <v>97916.72834217739</v>
      </c>
      <c r="AM22" s="606">
        <f ca="1">AM14+AM16+AM17+AM18+AM19+AM21</f>
        <v>136024.76782987377</v>
      </c>
      <c r="AN22" s="607">
        <f ca="1">AN14+AN16+AN17+AN18+AN19+AN21</f>
        <v>155013.47686262464</v>
      </c>
    </row>
    <row r="23" spans="2:40" ht="15" x14ac:dyDescent="0.3">
      <c r="B23" s="517"/>
      <c r="C23" s="512"/>
      <c r="D23" s="513"/>
      <c r="E23" s="512"/>
      <c r="F23" s="536"/>
      <c r="G23" s="318"/>
      <c r="H23" s="319"/>
      <c r="AL23" s="477"/>
      <c r="AM23" s="477"/>
      <c r="AN23" s="477"/>
    </row>
    <row r="24" spans="2:40" ht="12.75" hidden="1" customHeight="1" x14ac:dyDescent="0.3">
      <c r="B24" s="508" t="s">
        <v>197</v>
      </c>
      <c r="C24" s="512"/>
      <c r="D24" s="513"/>
      <c r="E24" s="512"/>
      <c r="F24" s="536"/>
      <c r="G24" s="318"/>
      <c r="H24" s="319"/>
      <c r="AJ24" s="479" t="s">
        <v>82</v>
      </c>
      <c r="AL24" s="561" t="e">
        <f ca="1">AL29-AL21+#REF!-#REF!</f>
        <v>#REF!</v>
      </c>
      <c r="AM24" s="561" t="e">
        <f ca="1">AM29-AM21+#REF!-#REF!</f>
        <v>#REF!</v>
      </c>
      <c r="AN24" s="561" t="e">
        <f ca="1">AN29-AN21+#REF!-#REF!</f>
        <v>#REF!</v>
      </c>
    </row>
    <row r="25" spans="2:40" ht="12.75" hidden="1" customHeight="1" x14ac:dyDescent="0.3">
      <c r="B25" s="511" t="s">
        <v>205</v>
      </c>
      <c r="C25" s="512">
        <f>'Valuation Drivers'!V207</f>
        <v>1020.5960504799717</v>
      </c>
      <c r="D25" s="515">
        <v>0.59299999999999997</v>
      </c>
      <c r="E25" s="512">
        <f>C25*D25</f>
        <v>605.21345793462319</v>
      </c>
      <c r="F25" s="536">
        <f>'Valuation Drivers'!J208</f>
        <v>0</v>
      </c>
      <c r="G25" s="318">
        <f>'Valuation Drivers'!J209</f>
        <v>0</v>
      </c>
      <c r="H25" s="319">
        <f>'Valuation Drivers'!J210</f>
        <v>0</v>
      </c>
      <c r="AL25" s="477"/>
      <c r="AM25" s="477"/>
      <c r="AN25" s="477"/>
    </row>
    <row r="26" spans="2:40" ht="12.75" hidden="1" customHeight="1" x14ac:dyDescent="0.3">
      <c r="B26" s="511" t="s">
        <v>208</v>
      </c>
      <c r="C26" s="512">
        <f>'Valuation Drivers'!V222</f>
        <v>511.8138391454429</v>
      </c>
      <c r="D26" s="515">
        <v>1</v>
      </c>
      <c r="E26" s="512">
        <f>C26*D26</f>
        <v>511.8138391454429</v>
      </c>
      <c r="F26" s="536">
        <f>'Valuation Drivers'!J223</f>
        <v>0</v>
      </c>
      <c r="G26" s="318">
        <f>'Valuation Drivers'!J224</f>
        <v>0</v>
      </c>
      <c r="H26" s="319">
        <f>'Valuation Drivers'!J225</f>
        <v>0</v>
      </c>
      <c r="AL26" s="477"/>
      <c r="AM26" s="477"/>
      <c r="AN26" s="477"/>
    </row>
    <row r="27" spans="2:40" ht="12.75" hidden="1" customHeight="1" x14ac:dyDescent="0.3">
      <c r="B27" s="511" t="s">
        <v>209</v>
      </c>
      <c r="C27" s="512">
        <f>'Valuation Drivers'!V237</f>
        <v>803.36078976074077</v>
      </c>
      <c r="D27" s="515">
        <v>0.51</v>
      </c>
      <c r="E27" s="512">
        <f>C27*D27</f>
        <v>409.71400277797778</v>
      </c>
      <c r="F27" s="536">
        <f>'Valuation Drivers'!J238</f>
        <v>0</v>
      </c>
      <c r="G27" s="318">
        <f>'Valuation Drivers'!J239</f>
        <v>0</v>
      </c>
      <c r="H27" s="319">
        <f>'Valuation Drivers'!J240</f>
        <v>0</v>
      </c>
      <c r="AJ27" s="485" t="s">
        <v>122</v>
      </c>
      <c r="AK27" s="485"/>
      <c r="AL27" s="561" t="e">
        <f ca="1">AL18/AL24</f>
        <v>#REF!</v>
      </c>
      <c r="AM27" s="561" t="e">
        <f ca="1">AM18/AM24</f>
        <v>#REF!</v>
      </c>
      <c r="AN27" s="561" t="e">
        <f ca="1">AN18/AN24</f>
        <v>#REF!</v>
      </c>
    </row>
    <row r="28" spans="2:40" ht="12.75" hidden="1" customHeight="1" x14ac:dyDescent="0.3">
      <c r="B28" s="511"/>
      <c r="C28" s="509"/>
      <c r="D28" s="510"/>
      <c r="E28" s="514"/>
      <c r="F28" s="511"/>
      <c r="G28" s="6"/>
      <c r="H28" s="317"/>
      <c r="AL28" s="477"/>
      <c r="AM28" s="477"/>
      <c r="AN28" s="477"/>
    </row>
    <row r="29" spans="2:40" ht="15" x14ac:dyDescent="0.3">
      <c r="B29" s="508" t="s">
        <v>198</v>
      </c>
      <c r="C29" s="512">
        <f>5700+250</f>
        <v>5950</v>
      </c>
      <c r="D29" s="513">
        <v>0.4</v>
      </c>
      <c r="E29" s="512">
        <f>C29*D29</f>
        <v>2380</v>
      </c>
      <c r="F29" s="536" t="s">
        <v>35</v>
      </c>
      <c r="G29" s="318" t="s">
        <v>35</v>
      </c>
      <c r="H29" s="319" t="s">
        <v>35</v>
      </c>
      <c r="AJ29" s="485" t="s">
        <v>513</v>
      </c>
      <c r="AL29" s="561">
        <f ca="1">AM29</f>
        <v>22538.518282637273</v>
      </c>
      <c r="AM29" s="561">
        <f ca="1">Interims!BU48</f>
        <v>22538.518282637273</v>
      </c>
      <c r="AN29" s="561">
        <f ca="1">AM29</f>
        <v>22538.518282637273</v>
      </c>
    </row>
    <row r="30" spans="2:40" ht="15" x14ac:dyDescent="0.3">
      <c r="B30" s="511"/>
      <c r="C30" s="509"/>
      <c r="D30" s="510"/>
      <c r="E30" s="514"/>
      <c r="F30" s="511"/>
      <c r="G30" s="6"/>
      <c r="H30" s="317"/>
      <c r="AJ30" s="479" t="s">
        <v>496</v>
      </c>
      <c r="AL30" s="477">
        <f>AM30</f>
        <v>-3085.5282576640602</v>
      </c>
      <c r="AM30" s="477">
        <f>-(1-'Sum of parts'!D11)*Interims!BU36</f>
        <v>-3085.5282576640602</v>
      </c>
      <c r="AN30" s="477">
        <f>AM30</f>
        <v>-3085.5282576640602</v>
      </c>
    </row>
    <row r="31" spans="2:40" ht="15" x14ac:dyDescent="0.3">
      <c r="B31" s="508" t="s">
        <v>177</v>
      </c>
      <c r="C31" s="512">
        <f>'Valuation Drivers'!V192</f>
        <v>420.6022926376109</v>
      </c>
      <c r="D31" s="513">
        <v>1</v>
      </c>
      <c r="E31" s="512">
        <f>C31*D31</f>
        <v>420.6022926376109</v>
      </c>
      <c r="F31" s="536" t="s">
        <v>35</v>
      </c>
      <c r="G31" s="318" t="s">
        <v>35</v>
      </c>
      <c r="H31" s="319" t="s">
        <v>35</v>
      </c>
      <c r="AJ31" s="479" t="s">
        <v>497</v>
      </c>
      <c r="AL31" s="477"/>
      <c r="AM31" s="477"/>
      <c r="AN31" s="477"/>
    </row>
    <row r="32" spans="2:40" ht="15" x14ac:dyDescent="0.3">
      <c r="B32" s="511"/>
      <c r="C32" s="512"/>
      <c r="D32" s="513"/>
      <c r="E32" s="512"/>
      <c r="F32" s="537"/>
      <c r="G32" s="8"/>
      <c r="H32" s="48"/>
      <c r="AJ32" s="485" t="s">
        <v>494</v>
      </c>
      <c r="AL32" s="561">
        <f ca="1">AL29+AL30+AL31</f>
        <v>19452.990024973213</v>
      </c>
      <c r="AM32" s="561">
        <f ca="1">AM29+AM30+AM31</f>
        <v>19452.990024973213</v>
      </c>
      <c r="AN32" s="561">
        <f ca="1">AN29+AN30+AN31</f>
        <v>19452.990024973213</v>
      </c>
    </row>
    <row r="33" spans="2:45" ht="15" x14ac:dyDescent="0.3">
      <c r="B33" s="508" t="s">
        <v>181</v>
      </c>
      <c r="C33" s="512">
        <f>'Valuation Drivers'!V252</f>
        <v>-10318.496352251535</v>
      </c>
      <c r="D33" s="513">
        <v>1</v>
      </c>
      <c r="E33" s="512">
        <f>C33*D33</f>
        <v>-10318.496352251535</v>
      </c>
      <c r="F33" s="537" t="s">
        <v>212</v>
      </c>
      <c r="G33" s="8" t="s">
        <v>212</v>
      </c>
      <c r="H33" s="48" t="s">
        <v>212</v>
      </c>
      <c r="AJ33" s="479" t="s">
        <v>498</v>
      </c>
      <c r="AL33" s="477">
        <f ca="1">AL32*0.95</f>
        <v>18480.34052372455</v>
      </c>
      <c r="AM33" s="477">
        <f ca="1">AM32</f>
        <v>19452.990024973213</v>
      </c>
      <c r="AN33" s="477">
        <f ca="1">AM33*1.03</f>
        <v>20036.579725722411</v>
      </c>
    </row>
    <row r="34" spans="2:45" ht="15.75" thickBot="1" x14ac:dyDescent="0.35">
      <c r="B34" s="508"/>
      <c r="C34" s="512"/>
      <c r="D34" s="513"/>
      <c r="E34" s="512"/>
      <c r="F34" s="537"/>
      <c r="G34" s="8"/>
      <c r="H34" s="48"/>
    </row>
    <row r="35" spans="2:45" ht="15.75" thickBot="1" x14ac:dyDescent="0.35">
      <c r="B35" s="508" t="s">
        <v>360</v>
      </c>
      <c r="C35" s="512">
        <f>(Interims!BU46-Interims!BU70-1100)*0.675*H35</f>
        <v>-7646.4000000000005</v>
      </c>
      <c r="D35" s="513">
        <v>1</v>
      </c>
      <c r="E35" s="512">
        <f>C35*D35</f>
        <v>-7646.4000000000005</v>
      </c>
      <c r="F35" s="537" t="s">
        <v>35</v>
      </c>
      <c r="G35" s="8" t="s">
        <v>35</v>
      </c>
      <c r="H35" s="319">
        <v>12</v>
      </c>
      <c r="AD35" s="571" t="s">
        <v>184</v>
      </c>
      <c r="AE35" s="572"/>
      <c r="AF35" s="572"/>
      <c r="AG35" s="573"/>
      <c r="AJ35" s="485" t="s">
        <v>500</v>
      </c>
      <c r="AL35" s="562">
        <f ca="1">AL22/AL33</f>
        <v>5.2984266289073298</v>
      </c>
      <c r="AM35" s="562">
        <f ca="1">AM22/AM33</f>
        <v>6.9924863815407772</v>
      </c>
      <c r="AN35" s="562">
        <f ca="1">AN22/AN33</f>
        <v>7.7365238471126183</v>
      </c>
    </row>
    <row r="36" spans="2:45" ht="15" x14ac:dyDescent="0.3">
      <c r="B36" s="511"/>
      <c r="C36" s="512"/>
      <c r="D36" s="513"/>
      <c r="E36" s="512"/>
      <c r="F36" s="537"/>
      <c r="G36" s="8"/>
      <c r="H36" s="48"/>
      <c r="AD36" s="580"/>
      <c r="AE36" s="38" t="s">
        <v>436</v>
      </c>
      <c r="AF36" s="6" t="s">
        <v>438</v>
      </c>
      <c r="AG36" s="317" t="s">
        <v>437</v>
      </c>
    </row>
    <row r="37" spans="2:45" ht="16.5" x14ac:dyDescent="0.3">
      <c r="B37" s="518" t="s">
        <v>80</v>
      </c>
      <c r="C37" s="519"/>
      <c r="D37" s="519"/>
      <c r="E37" s="520">
        <f ca="1">E8+E11+E13+E17+E19+E18+E16+E20+E21+E22+E25+E26+E27+E29+E31+E33+E35</f>
        <v>124774.76782987377</v>
      </c>
      <c r="F37" s="538"/>
      <c r="G37" s="533"/>
      <c r="H37" s="505"/>
      <c r="AD37" s="581" t="s">
        <v>122</v>
      </c>
      <c r="AE37" s="80">
        <f ca="1">F8</f>
        <v>8.2144540870801421</v>
      </c>
      <c r="AF37" s="79">
        <v>6</v>
      </c>
      <c r="AG37" s="82">
        <v>9</v>
      </c>
    </row>
    <row r="38" spans="2:45" ht="15" x14ac:dyDescent="0.3">
      <c r="B38" s="511"/>
      <c r="C38" s="509"/>
      <c r="D38" s="510"/>
      <c r="E38" s="614"/>
      <c r="F38" s="511"/>
      <c r="G38" s="6"/>
      <c r="H38" s="317"/>
      <c r="AD38" s="582" t="s">
        <v>363</v>
      </c>
      <c r="AE38" s="55">
        <f ca="1">E8</f>
        <v>75993.176975578914</v>
      </c>
      <c r="AF38" s="7">
        <f ca="1">AF37/AE37*AE38</f>
        <v>55506.921947572264</v>
      </c>
      <c r="AG38" s="34">
        <f ca="1">AG37/AE37*AE38</f>
        <v>83260.38292135841</v>
      </c>
    </row>
    <row r="39" spans="2:45" ht="15" x14ac:dyDescent="0.3">
      <c r="B39" s="517" t="s">
        <v>130</v>
      </c>
      <c r="C39" s="521"/>
      <c r="D39" s="522"/>
      <c r="E39" s="523">
        <f ca="1">E60</f>
        <v>46350.779793961359</v>
      </c>
      <c r="F39" s="539"/>
      <c r="G39" s="6"/>
      <c r="H39" s="317"/>
      <c r="AD39" s="580"/>
      <c r="AE39" s="55"/>
      <c r="AF39" s="7"/>
      <c r="AG39" s="34"/>
    </row>
    <row r="40" spans="2:45" ht="15" x14ac:dyDescent="0.3">
      <c r="B40" s="511"/>
      <c r="C40" s="509"/>
      <c r="D40" s="510"/>
      <c r="E40" s="514"/>
      <c r="F40" s="511"/>
      <c r="G40" s="534"/>
      <c r="H40" s="528"/>
      <c r="AD40" s="582" t="s">
        <v>291</v>
      </c>
      <c r="AE40" s="55"/>
      <c r="AF40" s="7">
        <f ca="1">AF38-AE38</f>
        <v>-20486.25502800665</v>
      </c>
      <c r="AG40" s="34">
        <f ca="1">AG38-AE38</f>
        <v>7267.2059457794967</v>
      </c>
    </row>
    <row r="41" spans="2:45" ht="15.75" thickBot="1" x14ac:dyDescent="0.35">
      <c r="B41" s="511" t="s">
        <v>132</v>
      </c>
      <c r="C41" s="509"/>
      <c r="D41" s="510"/>
      <c r="E41" s="512">
        <f ca="1">E37-E39</f>
        <v>78423.988035912422</v>
      </c>
      <c r="F41" s="511"/>
      <c r="G41" s="534"/>
      <c r="H41" s="528"/>
      <c r="AD41" s="583" t="s">
        <v>488</v>
      </c>
      <c r="AE41" s="74"/>
      <c r="AF41" s="584">
        <f ca="1">AF40/$E$43</f>
        <v>-4.3023200614587056</v>
      </c>
      <c r="AG41" s="585">
        <f ca="1">AG40/$E$43</f>
        <v>1.5261865035134896</v>
      </c>
    </row>
    <row r="42" spans="2:45" ht="13.5" thickBot="1" x14ac:dyDescent="0.25">
      <c r="B42" s="511"/>
      <c r="C42" s="509"/>
      <c r="D42" s="510"/>
      <c r="E42" s="510"/>
      <c r="F42" s="511"/>
      <c r="G42" s="534"/>
      <c r="H42" s="528"/>
    </row>
    <row r="43" spans="2:45" ht="13.5" thickBot="1" x14ac:dyDescent="0.25">
      <c r="B43" s="511" t="s">
        <v>439</v>
      </c>
      <c r="C43" s="509"/>
      <c r="D43" s="510"/>
      <c r="E43" s="512">
        <f>Financials!L55</f>
        <v>4761.6761968798683</v>
      </c>
      <c r="F43" s="511"/>
      <c r="G43" s="534"/>
      <c r="H43" s="528"/>
      <c r="AD43" s="571" t="s">
        <v>186</v>
      </c>
      <c r="AE43" s="572"/>
      <c r="AF43" s="572"/>
      <c r="AG43" s="573"/>
    </row>
    <row r="44" spans="2:45" ht="15" x14ac:dyDescent="0.3">
      <c r="B44" s="511"/>
      <c r="C44" s="510"/>
      <c r="D44" s="510"/>
      <c r="E44" s="510"/>
      <c r="F44" s="511"/>
      <c r="G44" s="534"/>
      <c r="H44" s="528"/>
      <c r="J44" s="259"/>
      <c r="K44" s="259"/>
      <c r="AD44" s="580"/>
      <c r="AE44" s="38" t="s">
        <v>436</v>
      </c>
      <c r="AF44" s="6" t="s">
        <v>438</v>
      </c>
      <c r="AG44" s="317" t="s">
        <v>437</v>
      </c>
      <c r="AI44" s="586" t="s">
        <v>491</v>
      </c>
      <c r="AJ44" s="598" t="s">
        <v>229</v>
      </c>
      <c r="AK44" s="598" t="s">
        <v>184</v>
      </c>
      <c r="AL44" s="598" t="s">
        <v>443</v>
      </c>
      <c r="AM44" s="598" t="s">
        <v>441</v>
      </c>
      <c r="AN44" s="587" t="s">
        <v>490</v>
      </c>
      <c r="AO44" s="598" t="s">
        <v>442</v>
      </c>
      <c r="AP44" s="598" t="s">
        <v>443</v>
      </c>
      <c r="AQ44" s="598" t="s">
        <v>184</v>
      </c>
      <c r="AR44" s="598" t="s">
        <v>229</v>
      </c>
      <c r="AS44" s="588" t="s">
        <v>489</v>
      </c>
    </row>
    <row r="45" spans="2:45" ht="15.75" x14ac:dyDescent="0.3">
      <c r="B45" s="518" t="s">
        <v>136</v>
      </c>
      <c r="C45" s="524"/>
      <c r="D45" s="524"/>
      <c r="E45" s="525">
        <f ca="1">E41/E43</f>
        <v>16.469828017138262</v>
      </c>
      <c r="F45" s="518"/>
      <c r="G45" s="534"/>
      <c r="H45" s="528"/>
      <c r="AD45" s="581" t="s">
        <v>122</v>
      </c>
      <c r="AE45" s="80">
        <v>6.9</v>
      </c>
      <c r="AF45" s="23">
        <v>4</v>
      </c>
      <c r="AG45" s="32">
        <v>8</v>
      </c>
      <c r="AI45" s="589">
        <f ca="1">AJ45-AI46</f>
        <v>8.4698280171382621</v>
      </c>
      <c r="AJ45" s="590">
        <f ca="1">AK45-AJ46</f>
        <v>8.4698280171382621</v>
      </c>
      <c r="AK45" s="590">
        <f ca="1">AL45-AK46</f>
        <v>8.9698280171382621</v>
      </c>
      <c r="AL45" s="590">
        <f ca="1">AM45-AL46</f>
        <v>13.269828017138263</v>
      </c>
      <c r="AM45" s="590">
        <f ca="1">AN45-AM46</f>
        <v>14.269828017138263</v>
      </c>
      <c r="AN45" s="591">
        <f ca="1">E45</f>
        <v>16.469828017138262</v>
      </c>
      <c r="AO45" s="590">
        <f ca="1">AN45</f>
        <v>16.469828017138262</v>
      </c>
      <c r="AP45" s="590">
        <f ca="1">AO45+AO46</f>
        <v>17.569828017138263</v>
      </c>
      <c r="AQ45" s="590">
        <f ca="1">AP45+AP46</f>
        <v>17.969828017138262</v>
      </c>
      <c r="AR45" s="590">
        <f ca="1">AQ45+AQ46</f>
        <v>19.469828017138262</v>
      </c>
      <c r="AS45" s="592">
        <f ca="1">AR45+AR46</f>
        <v>20.469828017138262</v>
      </c>
    </row>
    <row r="46" spans="2:45" ht="15.75" thickBot="1" x14ac:dyDescent="0.35">
      <c r="B46" s="526"/>
      <c r="C46" s="527"/>
      <c r="D46" s="527"/>
      <c r="E46" s="527"/>
      <c r="F46" s="526"/>
      <c r="G46" s="540"/>
      <c r="H46" s="529"/>
      <c r="AD46" s="582" t="s">
        <v>363</v>
      </c>
      <c r="AE46" s="55">
        <f ca="1">E16+E17+E18+E19+E20+E21+E22</f>
        <v>11593.37336275845</v>
      </c>
      <c r="AF46" s="7">
        <f ca="1">AF45/AE45*AE46</f>
        <v>6720.7961523237391</v>
      </c>
      <c r="AG46" s="34">
        <f ca="1">AG45/AE45*AE46</f>
        <v>13441.592304647478</v>
      </c>
      <c r="AI46" s="593"/>
      <c r="AJ46" s="594">
        <v>0.5</v>
      </c>
      <c r="AK46" s="594">
        <v>4.3</v>
      </c>
      <c r="AL46" s="594">
        <v>1</v>
      </c>
      <c r="AM46" s="594">
        <v>2.2000000000000002</v>
      </c>
      <c r="AN46" s="595">
        <v>0</v>
      </c>
      <c r="AO46" s="596">
        <v>1.1000000000000001</v>
      </c>
      <c r="AP46" s="596">
        <v>0.4</v>
      </c>
      <c r="AQ46" s="594">
        <v>1.5</v>
      </c>
      <c r="AR46" s="594">
        <v>1</v>
      </c>
      <c r="AS46" s="597"/>
    </row>
    <row r="47" spans="2:45" ht="15" x14ac:dyDescent="0.3">
      <c r="B47" s="1"/>
      <c r="C47" s="1"/>
      <c r="D47" s="1"/>
      <c r="E47" s="1"/>
      <c r="F47" s="1"/>
      <c r="G47" s="1"/>
      <c r="H47" s="1"/>
      <c r="AD47" s="580"/>
      <c r="AE47" s="55"/>
      <c r="AF47" s="7"/>
      <c r="AG47" s="34"/>
    </row>
    <row r="48" spans="2:45" ht="15.75" thickBot="1" x14ac:dyDescent="0.35">
      <c r="B48" s="1"/>
      <c r="C48" s="1"/>
      <c r="D48" s="1"/>
      <c r="E48" s="1"/>
      <c r="F48" s="1"/>
      <c r="G48" s="1"/>
      <c r="H48" s="1"/>
      <c r="AD48" s="582" t="s">
        <v>291</v>
      </c>
      <c r="AE48" s="55"/>
      <c r="AF48" s="7">
        <f ca="1">AF46-AE46</f>
        <v>-4872.5772104347107</v>
      </c>
      <c r="AG48" s="34">
        <f ca="1">AG46-AE46</f>
        <v>1848.2189418890284</v>
      </c>
    </row>
    <row r="49" spans="2:39" ht="15.75" thickBot="1" x14ac:dyDescent="0.35">
      <c r="B49" s="139" t="s">
        <v>610</v>
      </c>
      <c r="C49" s="323"/>
      <c r="D49" s="323"/>
      <c r="E49" s="35">
        <f ca="1">Financials!M128</f>
        <v>50219.583818610001</v>
      </c>
      <c r="F49" s="1"/>
      <c r="G49" s="139" t="s">
        <v>131</v>
      </c>
      <c r="H49" s="46">
        <f ca="1">E45</f>
        <v>16.469828017138262</v>
      </c>
      <c r="AD49" s="583" t="s">
        <v>488</v>
      </c>
      <c r="AE49" s="74"/>
      <c r="AF49" s="584">
        <f ca="1">AF48/$E$43</f>
        <v>-1.0232903307510728</v>
      </c>
      <c r="AG49" s="585">
        <f ca="1">AG48/$E$43</f>
        <v>0.38814460821592423</v>
      </c>
    </row>
    <row r="50" spans="2:39" ht="15.75" thickBot="1" x14ac:dyDescent="0.35">
      <c r="B50" s="5"/>
      <c r="C50" s="6"/>
      <c r="D50" s="6"/>
      <c r="E50" s="317"/>
      <c r="F50" s="1"/>
      <c r="G50" s="5" t="s">
        <v>611</v>
      </c>
      <c r="H50" s="613">
        <f>Financials!L51</f>
        <v>0.65</v>
      </c>
    </row>
    <row r="51" spans="2:39" ht="15.75" thickBot="1" x14ac:dyDescent="0.35">
      <c r="B51" s="5" t="s">
        <v>343</v>
      </c>
      <c r="C51" s="6"/>
      <c r="D51" s="6"/>
      <c r="E51" s="34">
        <f ca="1">C72</f>
        <v>8875.3953378460792</v>
      </c>
      <c r="F51" s="1"/>
      <c r="G51" s="105" t="s">
        <v>133</v>
      </c>
      <c r="H51" s="82">
        <f ca="1">H49+H50</f>
        <v>17.119828017138261</v>
      </c>
      <c r="AD51" s="571" t="s">
        <v>229</v>
      </c>
      <c r="AE51" s="572"/>
      <c r="AF51" s="572"/>
      <c r="AG51" s="573"/>
    </row>
    <row r="52" spans="2:39" ht="15" x14ac:dyDescent="0.3">
      <c r="B52" s="5" t="s">
        <v>344</v>
      </c>
      <c r="C52" s="6"/>
      <c r="D52" s="6"/>
      <c r="E52" s="34">
        <f ca="1">C75</f>
        <v>2011.6567880683854</v>
      </c>
      <c r="G52" s="5"/>
      <c r="H52" s="48"/>
      <c r="AD52" s="580"/>
      <c r="AE52" s="38" t="s">
        <v>436</v>
      </c>
      <c r="AF52" s="6" t="s">
        <v>438</v>
      </c>
      <c r="AG52" s="317" t="s">
        <v>437</v>
      </c>
    </row>
    <row r="53" spans="2:39" ht="15" x14ac:dyDescent="0.3">
      <c r="B53" s="5" t="s">
        <v>345</v>
      </c>
      <c r="C53" s="6"/>
      <c r="D53" s="6"/>
      <c r="E53" s="34">
        <f>C80*0.75</f>
        <v>5625</v>
      </c>
      <c r="G53" s="5" t="s">
        <v>135</v>
      </c>
      <c r="H53" s="319">
        <v>12.9</v>
      </c>
      <c r="AD53" s="581" t="s">
        <v>122</v>
      </c>
      <c r="AE53" s="80"/>
      <c r="AF53" s="23"/>
      <c r="AG53" s="32"/>
      <c r="AK53" s="479" t="s">
        <v>607</v>
      </c>
      <c r="AL53" s="479" t="s">
        <v>608</v>
      </c>
    </row>
    <row r="54" spans="2:39" ht="16.5" x14ac:dyDescent="0.3">
      <c r="B54" s="5" t="s">
        <v>609</v>
      </c>
      <c r="C54" s="6"/>
      <c r="D54" s="6"/>
      <c r="E54" s="34">
        <f>(33*61)*D11*(1/1.185)</f>
        <v>1143.2481012658227</v>
      </c>
      <c r="G54" s="5"/>
      <c r="H54" s="324"/>
      <c r="AD54" s="582" t="s">
        <v>363</v>
      </c>
      <c r="AE54" s="55">
        <f>E31+E33+E35</f>
        <v>-17544.294059613923</v>
      </c>
      <c r="AF54" s="7">
        <f>AE54*1.125</f>
        <v>-19737.330817065664</v>
      </c>
      <c r="AG54" s="34">
        <f>AE54*0.725</f>
        <v>-12719.613193220093</v>
      </c>
      <c r="AI54" s="479" t="s">
        <v>605</v>
      </c>
      <c r="AJ54" s="473">
        <f>AJ55*AJ57</f>
        <v>535.39199999999994</v>
      </c>
      <c r="AK54" s="481">
        <f>500/61</f>
        <v>8.1967213114754092</v>
      </c>
      <c r="AL54" s="481">
        <f>AK54+AJ54</f>
        <v>543.5887213114753</v>
      </c>
      <c r="AM54" s="481">
        <f>AL54</f>
        <v>543.5887213114753</v>
      </c>
    </row>
    <row r="55" spans="2:39" ht="17.25" thickBot="1" x14ac:dyDescent="0.35">
      <c r="B55" s="5" t="s">
        <v>346</v>
      </c>
      <c r="C55" s="6"/>
      <c r="D55" s="6"/>
      <c r="E55" s="34">
        <v>0</v>
      </c>
      <c r="F55" s="1"/>
      <c r="G55" s="321" t="s">
        <v>137</v>
      </c>
      <c r="H55" s="425">
        <f ca="1">H51/H53-1</f>
        <v>0.32711845094095038</v>
      </c>
      <c r="AD55" s="580"/>
      <c r="AE55" s="55"/>
      <c r="AF55" s="7"/>
      <c r="AG55" s="34"/>
      <c r="AI55" s="479" t="s">
        <v>128</v>
      </c>
      <c r="AJ55" s="673">
        <v>0.64349999999999996</v>
      </c>
      <c r="AL55" s="429">
        <f>AL54/AL57</f>
        <v>0.67325006091123185</v>
      </c>
      <c r="AM55" s="429">
        <f>AM54/AM57</f>
        <v>0.64681384960499344</v>
      </c>
    </row>
    <row r="56" spans="2:39" ht="15" x14ac:dyDescent="0.3">
      <c r="B56" s="5" t="s">
        <v>347</v>
      </c>
      <c r="C56" s="6"/>
      <c r="D56" s="6"/>
      <c r="E56" s="34">
        <v>250</v>
      </c>
      <c r="H56" s="1"/>
      <c r="AD56" s="582" t="s">
        <v>291</v>
      </c>
      <c r="AE56" s="55"/>
      <c r="AF56" s="7">
        <f>AF54-AE54</f>
        <v>-2193.0367574517404</v>
      </c>
      <c r="AG56" s="34">
        <f>AG54-AE54</f>
        <v>4824.68086639383</v>
      </c>
      <c r="AI56" s="479" t="s">
        <v>606</v>
      </c>
      <c r="AJ56" s="473">
        <f>AJ57-AJ54</f>
        <v>296.60800000000006</v>
      </c>
      <c r="AK56" s="481">
        <f>1500/61</f>
        <v>24.590163934426229</v>
      </c>
      <c r="AL56" s="473">
        <f>+AJ56-AK56-AK54</f>
        <v>263.8211147540984</v>
      </c>
      <c r="AM56" s="676"/>
    </row>
    <row r="57" spans="2:39" ht="15.75" thickBot="1" x14ac:dyDescent="0.35">
      <c r="B57" s="5"/>
      <c r="C57" s="6"/>
      <c r="D57" s="6"/>
      <c r="E57" s="34"/>
      <c r="F57" s="1"/>
      <c r="G57" s="1"/>
      <c r="H57" s="1"/>
      <c r="AD57" s="583" t="s">
        <v>488</v>
      </c>
      <c r="AE57" s="74"/>
      <c r="AF57" s="584">
        <f>AF56/$E$43</f>
        <v>-0.46055982531713258</v>
      </c>
      <c r="AG57" s="585">
        <f>AG56/$E$43</f>
        <v>1.0132316156976919</v>
      </c>
      <c r="AI57" s="479" t="s">
        <v>80</v>
      </c>
      <c r="AJ57">
        <v>832</v>
      </c>
      <c r="AL57" s="481">
        <f>AJ57-AK56</f>
        <v>807.40983606557381</v>
      </c>
      <c r="AM57" s="481">
        <f>AL57+33</f>
        <v>840.40983606557381</v>
      </c>
    </row>
    <row r="58" spans="2:39" ht="15.75" thickBot="1" x14ac:dyDescent="0.35">
      <c r="B58" s="232"/>
      <c r="C58" s="241"/>
      <c r="D58" s="241"/>
      <c r="E58" s="443"/>
      <c r="F58" s="1"/>
      <c r="G58" s="322"/>
      <c r="H58" s="1"/>
      <c r="AL58" s="677"/>
    </row>
    <row r="59" spans="2:39" ht="15.75" thickBot="1" x14ac:dyDescent="0.35">
      <c r="B59" s="5"/>
      <c r="C59" s="6"/>
      <c r="D59" s="6"/>
      <c r="E59" s="317"/>
      <c r="F59" s="1"/>
      <c r="G59" s="322"/>
      <c r="H59" s="1"/>
      <c r="AD59" s="571" t="s">
        <v>487</v>
      </c>
      <c r="AE59" s="572"/>
      <c r="AF59" s="572"/>
      <c r="AG59" s="573"/>
    </row>
    <row r="60" spans="2:39" ht="15.75" thickBot="1" x14ac:dyDescent="0.35">
      <c r="B60" s="325" t="s">
        <v>139</v>
      </c>
      <c r="C60" s="326"/>
      <c r="D60" s="326"/>
      <c r="E60" s="102">
        <f ca="1">E49-E51-E52+E53+E54+E55+E56+E57</f>
        <v>46350.779793961359</v>
      </c>
      <c r="H60" s="1"/>
      <c r="AD60" s="5"/>
      <c r="AE60" s="38" t="s">
        <v>436</v>
      </c>
      <c r="AF60" s="6" t="s">
        <v>438</v>
      </c>
      <c r="AG60" s="317" t="s">
        <v>437</v>
      </c>
    </row>
    <row r="61" spans="2:39" ht="15" x14ac:dyDescent="0.3">
      <c r="F61" s="1"/>
      <c r="G61" s="322"/>
      <c r="AD61" s="105" t="s">
        <v>410</v>
      </c>
      <c r="AE61" s="579">
        <v>74</v>
      </c>
      <c r="AF61" s="23">
        <v>51</v>
      </c>
      <c r="AG61" s="32">
        <v>85</v>
      </c>
    </row>
    <row r="62" spans="2:39" ht="15" x14ac:dyDescent="0.3">
      <c r="AD62" s="5" t="s">
        <v>16</v>
      </c>
      <c r="AE62" s="55">
        <v>832</v>
      </c>
      <c r="AF62" s="7">
        <f>AE62</f>
        <v>832</v>
      </c>
      <c r="AG62" s="34">
        <f>AF62</f>
        <v>832</v>
      </c>
    </row>
    <row r="63" spans="2:39" ht="15" x14ac:dyDescent="0.3">
      <c r="F63" s="1"/>
      <c r="G63" s="322"/>
      <c r="AD63" s="5" t="s">
        <v>411</v>
      </c>
      <c r="AE63" s="55">
        <f>AE61*AE62</f>
        <v>61568</v>
      </c>
      <c r="AF63" s="7">
        <f>AF61*AF62</f>
        <v>42432</v>
      </c>
      <c r="AG63" s="34">
        <f>AG61*AG62</f>
        <v>70720</v>
      </c>
    </row>
    <row r="64" spans="2:39" ht="15" x14ac:dyDescent="0.3">
      <c r="B64" s="479" t="s">
        <v>385</v>
      </c>
      <c r="C64" s="476">
        <f>1200*0.72*9</f>
        <v>7776</v>
      </c>
      <c r="AD64" s="5" t="s">
        <v>412</v>
      </c>
      <c r="AE64" s="55">
        <f ca="1">'US Metro PF'!BC286</f>
        <v>30352.239486765189</v>
      </c>
      <c r="AF64" s="7">
        <f ca="1">AE64</f>
        <v>30352.239486765189</v>
      </c>
      <c r="AG64" s="34">
        <f ca="1">AE64</f>
        <v>30352.239486765189</v>
      </c>
    </row>
    <row r="65" spans="2:33" ht="15.75" thickBot="1" x14ac:dyDescent="0.35">
      <c r="AD65" s="105" t="s">
        <v>363</v>
      </c>
      <c r="AE65" s="74">
        <f ca="1">AE63+AE64</f>
        <v>91920.239486765189</v>
      </c>
      <c r="AF65" s="17">
        <f ca="1">AF63+AF64</f>
        <v>72784.239486765189</v>
      </c>
      <c r="AG65" s="99">
        <f ca="1">AG63+AG64</f>
        <v>101072.23948676519</v>
      </c>
    </row>
    <row r="66" spans="2:33" ht="15" x14ac:dyDescent="0.3">
      <c r="AD66" s="5"/>
      <c r="AE66" s="6"/>
      <c r="AF66" s="6"/>
      <c r="AG66" s="317"/>
    </row>
    <row r="67" spans="2:33" ht="15" x14ac:dyDescent="0.3">
      <c r="AD67" s="5" t="s">
        <v>291</v>
      </c>
      <c r="AE67" s="6"/>
      <c r="AF67" s="320">
        <f>AF63-AE63</f>
        <v>-19136</v>
      </c>
      <c r="AG67" s="574">
        <f>AG63-AE63</f>
        <v>9152</v>
      </c>
    </row>
    <row r="68" spans="2:33" ht="15" x14ac:dyDescent="0.3">
      <c r="B68" s="226" t="s">
        <v>339</v>
      </c>
      <c r="C68" s="451">
        <v>43435</v>
      </c>
      <c r="AD68" s="5" t="s">
        <v>484</v>
      </c>
      <c r="AE68" s="6"/>
      <c r="AF68" s="6">
        <f>AF67/'Valuation Drivers'!V59</f>
        <v>-15685.245901639344</v>
      </c>
      <c r="AG68" s="317">
        <f>AG67/'Valuation Drivers'!V59</f>
        <v>7501.6393442622948</v>
      </c>
    </row>
    <row r="69" spans="2:33" ht="15" x14ac:dyDescent="0.3">
      <c r="B69" t="s">
        <v>198</v>
      </c>
      <c r="C69" s="114">
        <f>400*0.6</f>
        <v>240</v>
      </c>
      <c r="G69" s="445"/>
      <c r="H69" s="445"/>
      <c r="AD69" s="5" t="s">
        <v>486</v>
      </c>
      <c r="AE69" s="6"/>
      <c r="AF69" s="6">
        <f>AF68*'Sum of parts'!$D$11</f>
        <v>-10556.170491803279</v>
      </c>
      <c r="AG69" s="317">
        <f>AG68*'Sum of parts'!$D$11</f>
        <v>5048.6032786885244</v>
      </c>
    </row>
    <row r="70" spans="2:33" ht="15.75" thickBot="1" x14ac:dyDescent="0.35">
      <c r="B70" t="s">
        <v>342</v>
      </c>
      <c r="C70" s="114">
        <v>500</v>
      </c>
      <c r="AD70" s="140" t="s">
        <v>485</v>
      </c>
      <c r="AE70" s="575"/>
      <c r="AF70" s="576">
        <f>AF69/'Sum of parts'!$E$43</f>
        <v>-2.216902211603617</v>
      </c>
      <c r="AG70" s="577">
        <f>AG69/'Sum of parts'!$E$43</f>
        <v>1.0602575794625992</v>
      </c>
    </row>
    <row r="71" spans="2:33" x14ac:dyDescent="0.2">
      <c r="B71" t="s">
        <v>185</v>
      </c>
      <c r="C71" s="114">
        <f ca="1">(1-D11)*'Sum of parts'!AE64/'Valuation Drivers'!V59</f>
        <v>8135.3953378460783</v>
      </c>
    </row>
    <row r="72" spans="2:33" x14ac:dyDescent="0.2">
      <c r="B72" s="226" t="s">
        <v>80</v>
      </c>
      <c r="C72" s="197">
        <f ca="1">C69+C70+C71</f>
        <v>8875.3953378460792</v>
      </c>
    </row>
    <row r="74" spans="2:33" x14ac:dyDescent="0.2">
      <c r="B74" s="226" t="s">
        <v>340</v>
      </c>
    </row>
    <row r="75" spans="2:33" x14ac:dyDescent="0.2">
      <c r="B75" s="565" t="s">
        <v>566</v>
      </c>
      <c r="C75" s="114">
        <f ca="1">I83</f>
        <v>2011.6567880683854</v>
      </c>
      <c r="I75" s="226">
        <v>2012</v>
      </c>
      <c r="J75" s="226">
        <v>2013</v>
      </c>
      <c r="K75" s="226">
        <v>2014</v>
      </c>
      <c r="L75" s="226">
        <v>2015</v>
      </c>
      <c r="M75" s="226">
        <v>2016</v>
      </c>
      <c r="N75" s="226">
        <v>2017</v>
      </c>
      <c r="O75" s="226">
        <v>2018</v>
      </c>
      <c r="P75" s="226">
        <v>2019</v>
      </c>
      <c r="Q75" s="226">
        <v>2020</v>
      </c>
      <c r="R75" s="226"/>
    </row>
    <row r="76" spans="2:33" x14ac:dyDescent="0.2">
      <c r="H76" t="s">
        <v>368</v>
      </c>
      <c r="I76" s="259">
        <f>'Valuation Drivers'!G5+'Valuation Drivers'!G20-'Valuation Drivers'!G6-'Valuation Drivers'!G21+'Valuation Drivers'!G61+'Valuation Drivers'!G91+'Valuation Drivers'!G196+'Valuation Drivers'!G106+'Valuation Drivers'!G121+'Valuation Drivers'!G136+'Valuation Drivers'!G151+'Valuation Drivers'!G166+'Valuation Drivers'!G181+'Valuation Drivers'!G211+'Valuation Drivers'!G226+'Valuation Drivers'!G241</f>
        <v>1867.8869402943192</v>
      </c>
      <c r="J76" s="259">
        <f>'Valuation Drivers'!H5+'Valuation Drivers'!H20-'Valuation Drivers'!H6-'Valuation Drivers'!H21+'Valuation Drivers'!H61+'Valuation Drivers'!H91+'Valuation Drivers'!H196+'Valuation Drivers'!H106+'Valuation Drivers'!H121+'Valuation Drivers'!H136+'Valuation Drivers'!H151+'Valuation Drivers'!H166+'Valuation Drivers'!H181+'Valuation Drivers'!H211+'Valuation Drivers'!H226+'Valuation Drivers'!H241</f>
        <v>1795.1898110038246</v>
      </c>
      <c r="K76" s="259">
        <f>'Valuation Drivers'!I5+'Valuation Drivers'!I20-'Valuation Drivers'!I6-'Valuation Drivers'!I21+'Valuation Drivers'!I61+'Valuation Drivers'!I91+'Valuation Drivers'!I196+'Valuation Drivers'!I106+'Valuation Drivers'!I121+'Valuation Drivers'!I136+'Valuation Drivers'!I151+'Valuation Drivers'!I166+'Valuation Drivers'!I181+'Valuation Drivers'!I211+'Valuation Drivers'!I226+'Valuation Drivers'!I241</f>
        <v>1625.8612497039733</v>
      </c>
      <c r="L76" s="259">
        <f>'Valuation Drivers'!J5+'Valuation Drivers'!J20-'Valuation Drivers'!J6-'Valuation Drivers'!J21+'Valuation Drivers'!J61+'Valuation Drivers'!J91+'Valuation Drivers'!J196+'Valuation Drivers'!J106+'Valuation Drivers'!J121+'Valuation Drivers'!J136+'Valuation Drivers'!J151+'Valuation Drivers'!J166+'Valuation Drivers'!J181+'Valuation Drivers'!J211+'Valuation Drivers'!J226+'Valuation Drivers'!J241</f>
        <v>1568.7024660873058</v>
      </c>
      <c r="M76" s="259">
        <f>'Valuation Drivers'!K5+'Valuation Drivers'!K20-'Valuation Drivers'!K6-'Valuation Drivers'!K21+'Valuation Drivers'!K61+'Valuation Drivers'!K91+'Valuation Drivers'!K196+'Valuation Drivers'!K106+'Valuation Drivers'!K121+'Valuation Drivers'!K136+'Valuation Drivers'!K151+'Valuation Drivers'!K166+'Valuation Drivers'!K181+'Valuation Drivers'!K211+'Valuation Drivers'!K226+'Valuation Drivers'!K241</f>
        <v>1367.8097959100717</v>
      </c>
      <c r="N76" s="259">
        <f ca="1">'Valuation Drivers'!L5+'Valuation Drivers'!L20-'Valuation Drivers'!L6-'Valuation Drivers'!L21+'Valuation Drivers'!L61+'Valuation Drivers'!L91+'Valuation Drivers'!L196+'Valuation Drivers'!L106+'Valuation Drivers'!L121+'Valuation Drivers'!L136+'Valuation Drivers'!L151+'Valuation Drivers'!L166+'Valuation Drivers'!L181+'Valuation Drivers'!L211+'Valuation Drivers'!L226+'Valuation Drivers'!L241</f>
        <v>1704.1467636475845</v>
      </c>
      <c r="O76" s="259">
        <f ca="1">'Valuation Drivers'!M5+'Valuation Drivers'!M20-'Valuation Drivers'!M6-'Valuation Drivers'!M21+'Valuation Drivers'!M61+'Valuation Drivers'!M91+'Valuation Drivers'!M196+'Valuation Drivers'!M106+'Valuation Drivers'!M121+'Valuation Drivers'!M136+'Valuation Drivers'!M151+'Valuation Drivers'!M166+'Valuation Drivers'!M181+'Valuation Drivers'!M211+'Valuation Drivers'!M226+'Valuation Drivers'!M241</f>
        <v>1755.3018620202208</v>
      </c>
      <c r="P76" s="259">
        <f ca="1">'Valuation Drivers'!N5+'Valuation Drivers'!N20-'Valuation Drivers'!N6-'Valuation Drivers'!N21+'Valuation Drivers'!N61+'Valuation Drivers'!N91+'Valuation Drivers'!N196+'Valuation Drivers'!N106+'Valuation Drivers'!N121+'Valuation Drivers'!N136+'Valuation Drivers'!N151+'Valuation Drivers'!N166+'Valuation Drivers'!N181+'Valuation Drivers'!N211+'Valuation Drivers'!N226+'Valuation Drivers'!N241</f>
        <v>1885.9727632331724</v>
      </c>
      <c r="Q76" s="259">
        <f ca="1">'Valuation Drivers'!O5+'Valuation Drivers'!O20-'Valuation Drivers'!O6-'Valuation Drivers'!O21+'Valuation Drivers'!O61+'Valuation Drivers'!O91+'Valuation Drivers'!O196+'Valuation Drivers'!O106+'Valuation Drivers'!O121+'Valuation Drivers'!O136+'Valuation Drivers'!O151+'Valuation Drivers'!O166+'Valuation Drivers'!O181+'Valuation Drivers'!O211+'Valuation Drivers'!O226+'Valuation Drivers'!O241</f>
        <v>1654.9246881778593</v>
      </c>
      <c r="R76" s="259"/>
    </row>
    <row r="77" spans="2:33" x14ac:dyDescent="0.2">
      <c r="B77" s="226" t="s">
        <v>341</v>
      </c>
      <c r="H77" t="s">
        <v>361</v>
      </c>
      <c r="I77" s="259">
        <f>-Financials!G150</f>
        <v>694</v>
      </c>
      <c r="J77" s="259">
        <f>-Financials!H150</f>
        <v>648.23325533379216</v>
      </c>
      <c r="K77" s="259">
        <f>-Financials!I150</f>
        <v>679</v>
      </c>
      <c r="L77" s="259">
        <f>-Financials!J150</f>
        <v>695</v>
      </c>
      <c r="M77" s="259">
        <f>-Financials!K150</f>
        <v>527</v>
      </c>
      <c r="N77" s="259">
        <f>-Financials!L150</f>
        <v>634</v>
      </c>
      <c r="O77" s="259">
        <f>-Financials!M150</f>
        <v>675</v>
      </c>
      <c r="P77" s="259">
        <f>-Financials!N150</f>
        <v>750</v>
      </c>
      <c r="Q77" s="259">
        <f ca="1">-Financials!O150</f>
        <v>857.91362678147152</v>
      </c>
      <c r="R77" s="259"/>
    </row>
    <row r="78" spans="2:33" x14ac:dyDescent="0.2">
      <c r="B78" t="s">
        <v>185</v>
      </c>
      <c r="C78" s="114">
        <v>4000</v>
      </c>
      <c r="H78" t="s">
        <v>80</v>
      </c>
      <c r="I78" s="259">
        <f t="shared" ref="I78:O78" si="1">I76-I77</f>
        <v>1173.8869402943192</v>
      </c>
      <c r="J78" s="259">
        <f t="shared" si="1"/>
        <v>1146.9565556700325</v>
      </c>
      <c r="K78" s="259">
        <f t="shared" si="1"/>
        <v>946.86124970397327</v>
      </c>
      <c r="L78" s="259">
        <f t="shared" si="1"/>
        <v>873.70246608730577</v>
      </c>
      <c r="M78" s="259">
        <f t="shared" si="1"/>
        <v>840.80979591007167</v>
      </c>
      <c r="N78" s="259">
        <f t="shared" ca="1" si="1"/>
        <v>1070.1467636475845</v>
      </c>
      <c r="O78" s="259">
        <f t="shared" ca="1" si="1"/>
        <v>1080.3018620202208</v>
      </c>
      <c r="P78" s="259">
        <f ca="1">P76-P77</f>
        <v>1135.9727632331724</v>
      </c>
      <c r="Q78" s="259">
        <f ca="1">Q76-Q77</f>
        <v>797.01106139638773</v>
      </c>
      <c r="R78" s="259"/>
    </row>
    <row r="79" spans="2:33" x14ac:dyDescent="0.2">
      <c r="B79" t="s">
        <v>342</v>
      </c>
      <c r="C79" s="114">
        <v>3500</v>
      </c>
      <c r="D79" s="479"/>
    </row>
    <row r="80" spans="2:33" ht="15" x14ac:dyDescent="0.3">
      <c r="B80" t="s">
        <v>80</v>
      </c>
      <c r="C80" s="197">
        <f>C78+C79</f>
        <v>7500</v>
      </c>
      <c r="H80" t="s">
        <v>369</v>
      </c>
      <c r="I80" s="98"/>
      <c r="J80" s="98"/>
      <c r="K80" s="98"/>
      <c r="L80" s="98"/>
      <c r="M80" s="98"/>
      <c r="N80" s="98"/>
      <c r="O80" s="98"/>
      <c r="P80" s="98">
        <f ca="1">P78/(1+'Valuation Drivers'!$V$2)^('Valuation Drivers'!N8)</f>
        <v>1061.6567880683854</v>
      </c>
      <c r="Q80" s="98">
        <v>500</v>
      </c>
      <c r="R80" s="98">
        <v>450</v>
      </c>
    </row>
    <row r="83" spans="2:9" x14ac:dyDescent="0.2">
      <c r="H83" t="s">
        <v>370</v>
      </c>
      <c r="I83" s="259">
        <f ca="1">I80+J80+K80+L80+M80+N80+O80+P80+Q80+R80</f>
        <v>2011.6567880683854</v>
      </c>
    </row>
    <row r="84" spans="2:9" x14ac:dyDescent="0.2">
      <c r="B84" s="226"/>
    </row>
    <row r="85" spans="2:9" x14ac:dyDescent="0.2">
      <c r="C85" s="259"/>
    </row>
    <row r="86" spans="2:9" x14ac:dyDescent="0.2">
      <c r="C86" s="259"/>
    </row>
    <row r="88" spans="2:9" x14ac:dyDescent="0.2">
      <c r="C88" s="259"/>
    </row>
    <row r="90" spans="2:9" x14ac:dyDescent="0.2">
      <c r="C90" s="345"/>
    </row>
    <row r="92" spans="2:9" x14ac:dyDescent="0.2">
      <c r="C92" s="259"/>
    </row>
  </sheetData>
  <phoneticPr fontId="3" type="noConversion"/>
  <pageMargins left="0.75" right="0.75" top="1" bottom="1" header="0.5" footer="0.5"/>
  <pageSetup paperSize="9" scale="95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4"/>
  </sheetPr>
  <dimension ref="A2:N43"/>
  <sheetViews>
    <sheetView showGridLines="0" topLeftCell="A16" workbookViewId="0">
      <selection activeCell="A16" sqref="A1:XFD1048576"/>
    </sheetView>
  </sheetViews>
  <sheetFormatPr defaultColWidth="9.28515625" defaultRowHeight="12.75" x14ac:dyDescent="0.2"/>
  <cols>
    <col min="1" max="1" width="5" style="632" customWidth="1"/>
    <col min="2" max="2" width="31.5703125" style="632" customWidth="1"/>
    <col min="3" max="5" width="9.28515625" style="632" customWidth="1"/>
    <col min="6" max="6" width="9.28515625" style="633" customWidth="1"/>
    <col min="7" max="13" width="9.28515625" style="632"/>
    <col min="14" max="14" width="9.28515625" style="633"/>
    <col min="15" max="246" width="9.28515625" style="632"/>
    <col min="247" max="247" width="5" style="632" customWidth="1"/>
    <col min="248" max="248" width="31.5703125" style="632" customWidth="1"/>
    <col min="249" max="253" width="9.28515625" style="632" customWidth="1"/>
    <col min="254" max="502" width="9.28515625" style="632"/>
    <col min="503" max="503" width="5" style="632" customWidth="1"/>
    <col min="504" max="504" width="31.5703125" style="632" customWidth="1"/>
    <col min="505" max="509" width="9.28515625" style="632" customWidth="1"/>
    <col min="510" max="758" width="9.28515625" style="632"/>
    <col min="759" max="759" width="5" style="632" customWidth="1"/>
    <col min="760" max="760" width="31.5703125" style="632" customWidth="1"/>
    <col min="761" max="765" width="9.28515625" style="632" customWidth="1"/>
    <col min="766" max="1014" width="9.28515625" style="632"/>
    <col min="1015" max="1015" width="5" style="632" customWidth="1"/>
    <col min="1016" max="1016" width="31.5703125" style="632" customWidth="1"/>
    <col min="1017" max="1021" width="9.28515625" style="632" customWidth="1"/>
    <col min="1022" max="1270" width="9.28515625" style="632"/>
    <col min="1271" max="1271" width="5" style="632" customWidth="1"/>
    <col min="1272" max="1272" width="31.5703125" style="632" customWidth="1"/>
    <col min="1273" max="1277" width="9.28515625" style="632" customWidth="1"/>
    <col min="1278" max="1526" width="9.28515625" style="632"/>
    <col min="1527" max="1527" width="5" style="632" customWidth="1"/>
    <col min="1528" max="1528" width="31.5703125" style="632" customWidth="1"/>
    <col min="1529" max="1533" width="9.28515625" style="632" customWidth="1"/>
    <col min="1534" max="1782" width="9.28515625" style="632"/>
    <col min="1783" max="1783" width="5" style="632" customWidth="1"/>
    <col min="1784" max="1784" width="31.5703125" style="632" customWidth="1"/>
    <col min="1785" max="1789" width="9.28515625" style="632" customWidth="1"/>
    <col min="1790" max="2038" width="9.28515625" style="632"/>
    <col min="2039" max="2039" width="5" style="632" customWidth="1"/>
    <col min="2040" max="2040" width="31.5703125" style="632" customWidth="1"/>
    <col min="2041" max="2045" width="9.28515625" style="632" customWidth="1"/>
    <col min="2046" max="2294" width="9.28515625" style="632"/>
    <col min="2295" max="2295" width="5" style="632" customWidth="1"/>
    <col min="2296" max="2296" width="31.5703125" style="632" customWidth="1"/>
    <col min="2297" max="2301" width="9.28515625" style="632" customWidth="1"/>
    <col min="2302" max="2550" width="9.28515625" style="632"/>
    <col min="2551" max="2551" width="5" style="632" customWidth="1"/>
    <col min="2552" max="2552" width="31.5703125" style="632" customWidth="1"/>
    <col min="2553" max="2557" width="9.28515625" style="632" customWidth="1"/>
    <col min="2558" max="2806" width="9.28515625" style="632"/>
    <col min="2807" max="2807" width="5" style="632" customWidth="1"/>
    <col min="2808" max="2808" width="31.5703125" style="632" customWidth="1"/>
    <col min="2809" max="2813" width="9.28515625" style="632" customWidth="1"/>
    <col min="2814" max="3062" width="9.28515625" style="632"/>
    <col min="3063" max="3063" width="5" style="632" customWidth="1"/>
    <col min="3064" max="3064" width="31.5703125" style="632" customWidth="1"/>
    <col min="3065" max="3069" width="9.28515625" style="632" customWidth="1"/>
    <col min="3070" max="3318" width="9.28515625" style="632"/>
    <col min="3319" max="3319" width="5" style="632" customWidth="1"/>
    <col min="3320" max="3320" width="31.5703125" style="632" customWidth="1"/>
    <col min="3321" max="3325" width="9.28515625" style="632" customWidth="1"/>
    <col min="3326" max="3574" width="9.28515625" style="632"/>
    <col min="3575" max="3575" width="5" style="632" customWidth="1"/>
    <col min="3576" max="3576" width="31.5703125" style="632" customWidth="1"/>
    <col min="3577" max="3581" width="9.28515625" style="632" customWidth="1"/>
    <col min="3582" max="3830" width="9.28515625" style="632"/>
    <col min="3831" max="3831" width="5" style="632" customWidth="1"/>
    <col min="3832" max="3832" width="31.5703125" style="632" customWidth="1"/>
    <col min="3833" max="3837" width="9.28515625" style="632" customWidth="1"/>
    <col min="3838" max="4086" width="9.28515625" style="632"/>
    <col min="4087" max="4087" width="5" style="632" customWidth="1"/>
    <col min="4088" max="4088" width="31.5703125" style="632" customWidth="1"/>
    <col min="4089" max="4093" width="9.28515625" style="632" customWidth="1"/>
    <col min="4094" max="4342" width="9.28515625" style="632"/>
    <col min="4343" max="4343" width="5" style="632" customWidth="1"/>
    <col min="4344" max="4344" width="31.5703125" style="632" customWidth="1"/>
    <col min="4345" max="4349" width="9.28515625" style="632" customWidth="1"/>
    <col min="4350" max="4598" width="9.28515625" style="632"/>
    <col min="4599" max="4599" width="5" style="632" customWidth="1"/>
    <col min="4600" max="4600" width="31.5703125" style="632" customWidth="1"/>
    <col min="4601" max="4605" width="9.28515625" style="632" customWidth="1"/>
    <col min="4606" max="4854" width="9.28515625" style="632"/>
    <col min="4855" max="4855" width="5" style="632" customWidth="1"/>
    <col min="4856" max="4856" width="31.5703125" style="632" customWidth="1"/>
    <col min="4857" max="4861" width="9.28515625" style="632" customWidth="1"/>
    <col min="4862" max="5110" width="9.28515625" style="632"/>
    <col min="5111" max="5111" width="5" style="632" customWidth="1"/>
    <col min="5112" max="5112" width="31.5703125" style="632" customWidth="1"/>
    <col min="5113" max="5117" width="9.28515625" style="632" customWidth="1"/>
    <col min="5118" max="5366" width="9.28515625" style="632"/>
    <col min="5367" max="5367" width="5" style="632" customWidth="1"/>
    <col min="5368" max="5368" width="31.5703125" style="632" customWidth="1"/>
    <col min="5369" max="5373" width="9.28515625" style="632" customWidth="1"/>
    <col min="5374" max="5622" width="9.28515625" style="632"/>
    <col min="5623" max="5623" width="5" style="632" customWidth="1"/>
    <col min="5624" max="5624" width="31.5703125" style="632" customWidth="1"/>
    <col min="5625" max="5629" width="9.28515625" style="632" customWidth="1"/>
    <col min="5630" max="5878" width="9.28515625" style="632"/>
    <col min="5879" max="5879" width="5" style="632" customWidth="1"/>
    <col min="5880" max="5880" width="31.5703125" style="632" customWidth="1"/>
    <col min="5881" max="5885" width="9.28515625" style="632" customWidth="1"/>
    <col min="5886" max="6134" width="9.28515625" style="632"/>
    <col min="6135" max="6135" width="5" style="632" customWidth="1"/>
    <col min="6136" max="6136" width="31.5703125" style="632" customWidth="1"/>
    <col min="6137" max="6141" width="9.28515625" style="632" customWidth="1"/>
    <col min="6142" max="6390" width="9.28515625" style="632"/>
    <col min="6391" max="6391" width="5" style="632" customWidth="1"/>
    <col min="6392" max="6392" width="31.5703125" style="632" customWidth="1"/>
    <col min="6393" max="6397" width="9.28515625" style="632" customWidth="1"/>
    <col min="6398" max="6646" width="9.28515625" style="632"/>
    <col min="6647" max="6647" width="5" style="632" customWidth="1"/>
    <col min="6648" max="6648" width="31.5703125" style="632" customWidth="1"/>
    <col min="6649" max="6653" width="9.28515625" style="632" customWidth="1"/>
    <col min="6654" max="6902" width="9.28515625" style="632"/>
    <col min="6903" max="6903" width="5" style="632" customWidth="1"/>
    <col min="6904" max="6904" width="31.5703125" style="632" customWidth="1"/>
    <col min="6905" max="6909" width="9.28515625" style="632" customWidth="1"/>
    <col min="6910" max="7158" width="9.28515625" style="632"/>
    <col min="7159" max="7159" width="5" style="632" customWidth="1"/>
    <col min="7160" max="7160" width="31.5703125" style="632" customWidth="1"/>
    <col min="7161" max="7165" width="9.28515625" style="632" customWidth="1"/>
    <col min="7166" max="7414" width="9.28515625" style="632"/>
    <col min="7415" max="7415" width="5" style="632" customWidth="1"/>
    <col min="7416" max="7416" width="31.5703125" style="632" customWidth="1"/>
    <col min="7417" max="7421" width="9.28515625" style="632" customWidth="1"/>
    <col min="7422" max="7670" width="9.28515625" style="632"/>
    <col min="7671" max="7671" width="5" style="632" customWidth="1"/>
    <col min="7672" max="7672" width="31.5703125" style="632" customWidth="1"/>
    <col min="7673" max="7677" width="9.28515625" style="632" customWidth="1"/>
    <col min="7678" max="7926" width="9.28515625" style="632"/>
    <col min="7927" max="7927" width="5" style="632" customWidth="1"/>
    <col min="7928" max="7928" width="31.5703125" style="632" customWidth="1"/>
    <col min="7929" max="7933" width="9.28515625" style="632" customWidth="1"/>
    <col min="7934" max="8182" width="9.28515625" style="632"/>
    <col min="8183" max="8183" width="5" style="632" customWidth="1"/>
    <col min="8184" max="8184" width="31.5703125" style="632" customWidth="1"/>
    <col min="8185" max="8189" width="9.28515625" style="632" customWidth="1"/>
    <col min="8190" max="8438" width="9.28515625" style="632"/>
    <col min="8439" max="8439" width="5" style="632" customWidth="1"/>
    <col min="8440" max="8440" width="31.5703125" style="632" customWidth="1"/>
    <col min="8441" max="8445" width="9.28515625" style="632" customWidth="1"/>
    <col min="8446" max="8694" width="9.28515625" style="632"/>
    <col min="8695" max="8695" width="5" style="632" customWidth="1"/>
    <col min="8696" max="8696" width="31.5703125" style="632" customWidth="1"/>
    <col min="8697" max="8701" width="9.28515625" style="632" customWidth="1"/>
    <col min="8702" max="8950" width="9.28515625" style="632"/>
    <col min="8951" max="8951" width="5" style="632" customWidth="1"/>
    <col min="8952" max="8952" width="31.5703125" style="632" customWidth="1"/>
    <col min="8953" max="8957" width="9.28515625" style="632" customWidth="1"/>
    <col min="8958" max="9206" width="9.28515625" style="632"/>
    <col min="9207" max="9207" width="5" style="632" customWidth="1"/>
    <col min="9208" max="9208" width="31.5703125" style="632" customWidth="1"/>
    <col min="9209" max="9213" width="9.28515625" style="632" customWidth="1"/>
    <col min="9214" max="9462" width="9.28515625" style="632"/>
    <col min="9463" max="9463" width="5" style="632" customWidth="1"/>
    <col min="9464" max="9464" width="31.5703125" style="632" customWidth="1"/>
    <col min="9465" max="9469" width="9.28515625" style="632" customWidth="1"/>
    <col min="9470" max="9718" width="9.28515625" style="632"/>
    <col min="9719" max="9719" width="5" style="632" customWidth="1"/>
    <col min="9720" max="9720" width="31.5703125" style="632" customWidth="1"/>
    <col min="9721" max="9725" width="9.28515625" style="632" customWidth="1"/>
    <col min="9726" max="9974" width="9.28515625" style="632"/>
    <col min="9975" max="9975" width="5" style="632" customWidth="1"/>
    <col min="9976" max="9976" width="31.5703125" style="632" customWidth="1"/>
    <col min="9977" max="9981" width="9.28515625" style="632" customWidth="1"/>
    <col min="9982" max="10230" width="9.28515625" style="632"/>
    <col min="10231" max="10231" width="5" style="632" customWidth="1"/>
    <col min="10232" max="10232" width="31.5703125" style="632" customWidth="1"/>
    <col min="10233" max="10237" width="9.28515625" style="632" customWidth="1"/>
    <col min="10238" max="10486" width="9.28515625" style="632"/>
    <col min="10487" max="10487" width="5" style="632" customWidth="1"/>
    <col min="10488" max="10488" width="31.5703125" style="632" customWidth="1"/>
    <col min="10489" max="10493" width="9.28515625" style="632" customWidth="1"/>
    <col min="10494" max="10742" width="9.28515625" style="632"/>
    <col min="10743" max="10743" width="5" style="632" customWidth="1"/>
    <col min="10744" max="10744" width="31.5703125" style="632" customWidth="1"/>
    <col min="10745" max="10749" width="9.28515625" style="632" customWidth="1"/>
    <col min="10750" max="10998" width="9.28515625" style="632"/>
    <col min="10999" max="10999" width="5" style="632" customWidth="1"/>
    <col min="11000" max="11000" width="31.5703125" style="632" customWidth="1"/>
    <col min="11001" max="11005" width="9.28515625" style="632" customWidth="1"/>
    <col min="11006" max="11254" width="9.28515625" style="632"/>
    <col min="11255" max="11255" width="5" style="632" customWidth="1"/>
    <col min="11256" max="11256" width="31.5703125" style="632" customWidth="1"/>
    <col min="11257" max="11261" width="9.28515625" style="632" customWidth="1"/>
    <col min="11262" max="11510" width="9.28515625" style="632"/>
    <col min="11511" max="11511" width="5" style="632" customWidth="1"/>
    <col min="11512" max="11512" width="31.5703125" style="632" customWidth="1"/>
    <col min="11513" max="11517" width="9.28515625" style="632" customWidth="1"/>
    <col min="11518" max="11766" width="9.28515625" style="632"/>
    <col min="11767" max="11767" width="5" style="632" customWidth="1"/>
    <col min="11768" max="11768" width="31.5703125" style="632" customWidth="1"/>
    <col min="11769" max="11773" width="9.28515625" style="632" customWidth="1"/>
    <col min="11774" max="12022" width="9.28515625" style="632"/>
    <col min="12023" max="12023" width="5" style="632" customWidth="1"/>
    <col min="12024" max="12024" width="31.5703125" style="632" customWidth="1"/>
    <col min="12025" max="12029" width="9.28515625" style="632" customWidth="1"/>
    <col min="12030" max="12278" width="9.28515625" style="632"/>
    <col min="12279" max="12279" width="5" style="632" customWidth="1"/>
    <col min="12280" max="12280" width="31.5703125" style="632" customWidth="1"/>
    <col min="12281" max="12285" width="9.28515625" style="632" customWidth="1"/>
    <col min="12286" max="12534" width="9.28515625" style="632"/>
    <col min="12535" max="12535" width="5" style="632" customWidth="1"/>
    <col min="12536" max="12536" width="31.5703125" style="632" customWidth="1"/>
    <col min="12537" max="12541" width="9.28515625" style="632" customWidth="1"/>
    <col min="12542" max="12790" width="9.28515625" style="632"/>
    <col min="12791" max="12791" width="5" style="632" customWidth="1"/>
    <col min="12792" max="12792" width="31.5703125" style="632" customWidth="1"/>
    <col min="12793" max="12797" width="9.28515625" style="632" customWidth="1"/>
    <col min="12798" max="13046" width="9.28515625" style="632"/>
    <col min="13047" max="13047" width="5" style="632" customWidth="1"/>
    <col min="13048" max="13048" width="31.5703125" style="632" customWidth="1"/>
    <col min="13049" max="13053" width="9.28515625" style="632" customWidth="1"/>
    <col min="13054" max="13302" width="9.28515625" style="632"/>
    <col min="13303" max="13303" width="5" style="632" customWidth="1"/>
    <col min="13304" max="13304" width="31.5703125" style="632" customWidth="1"/>
    <col min="13305" max="13309" width="9.28515625" style="632" customWidth="1"/>
    <col min="13310" max="13558" width="9.28515625" style="632"/>
    <col min="13559" max="13559" width="5" style="632" customWidth="1"/>
    <col min="13560" max="13560" width="31.5703125" style="632" customWidth="1"/>
    <col min="13561" max="13565" width="9.28515625" style="632" customWidth="1"/>
    <col min="13566" max="13814" width="9.28515625" style="632"/>
    <col min="13815" max="13815" width="5" style="632" customWidth="1"/>
    <col min="13816" max="13816" width="31.5703125" style="632" customWidth="1"/>
    <col min="13817" max="13821" width="9.28515625" style="632" customWidth="1"/>
    <col min="13822" max="14070" width="9.28515625" style="632"/>
    <col min="14071" max="14071" width="5" style="632" customWidth="1"/>
    <col min="14072" max="14072" width="31.5703125" style="632" customWidth="1"/>
    <col min="14073" max="14077" width="9.28515625" style="632" customWidth="1"/>
    <col min="14078" max="14326" width="9.28515625" style="632"/>
    <col min="14327" max="14327" width="5" style="632" customWidth="1"/>
    <col min="14328" max="14328" width="31.5703125" style="632" customWidth="1"/>
    <col min="14329" max="14333" width="9.28515625" style="632" customWidth="1"/>
    <col min="14334" max="14582" width="9.28515625" style="632"/>
    <col min="14583" max="14583" width="5" style="632" customWidth="1"/>
    <col min="14584" max="14584" width="31.5703125" style="632" customWidth="1"/>
    <col min="14585" max="14589" width="9.28515625" style="632" customWidth="1"/>
    <col min="14590" max="14838" width="9.28515625" style="632"/>
    <col min="14839" max="14839" width="5" style="632" customWidth="1"/>
    <col min="14840" max="14840" width="31.5703125" style="632" customWidth="1"/>
    <col min="14841" max="14845" width="9.28515625" style="632" customWidth="1"/>
    <col min="14846" max="15094" width="9.28515625" style="632"/>
    <col min="15095" max="15095" width="5" style="632" customWidth="1"/>
    <col min="15096" max="15096" width="31.5703125" style="632" customWidth="1"/>
    <col min="15097" max="15101" width="9.28515625" style="632" customWidth="1"/>
    <col min="15102" max="15350" width="9.28515625" style="632"/>
    <col min="15351" max="15351" width="5" style="632" customWidth="1"/>
    <col min="15352" max="15352" width="31.5703125" style="632" customWidth="1"/>
    <col min="15353" max="15357" width="9.28515625" style="632" customWidth="1"/>
    <col min="15358" max="15606" width="9.28515625" style="632"/>
    <col min="15607" max="15607" width="5" style="632" customWidth="1"/>
    <col min="15608" max="15608" width="31.5703125" style="632" customWidth="1"/>
    <col min="15609" max="15613" width="9.28515625" style="632" customWidth="1"/>
    <col min="15614" max="15862" width="9.28515625" style="632"/>
    <col min="15863" max="15863" width="5" style="632" customWidth="1"/>
    <col min="15864" max="15864" width="31.5703125" style="632" customWidth="1"/>
    <col min="15865" max="15869" width="9.28515625" style="632" customWidth="1"/>
    <col min="15870" max="16118" width="9.28515625" style="632"/>
    <col min="16119" max="16119" width="5" style="632" customWidth="1"/>
    <col min="16120" max="16120" width="31.5703125" style="632" customWidth="1"/>
    <col min="16121" max="16125" width="9.28515625" style="632" customWidth="1"/>
    <col min="16126" max="16384" width="9.28515625" style="632"/>
  </cols>
  <sheetData>
    <row r="2" spans="1:6" s="632" customFormat="1" x14ac:dyDescent="0.2">
      <c r="A2" s="631"/>
      <c r="F2" s="633"/>
    </row>
    <row r="3" spans="1:6" s="632" customFormat="1" x14ac:dyDescent="0.2">
      <c r="A3" s="631"/>
      <c r="B3" s="634" t="s">
        <v>527</v>
      </c>
      <c r="F3" s="633"/>
    </row>
    <row r="5" spans="1:6" s="632" customFormat="1" x14ac:dyDescent="0.2">
      <c r="B5" s="635" t="s">
        <v>528</v>
      </c>
      <c r="C5" s="635"/>
      <c r="D5" s="635"/>
      <c r="E5" s="635"/>
      <c r="F5" s="636"/>
    </row>
    <row r="6" spans="1:6" s="632" customFormat="1" x14ac:dyDescent="0.2">
      <c r="B6" s="634" t="s">
        <v>529</v>
      </c>
      <c r="C6" s="634" t="s">
        <v>128</v>
      </c>
      <c r="F6" s="633"/>
    </row>
    <row r="7" spans="1:6" s="632" customFormat="1" x14ac:dyDescent="0.2">
      <c r="B7" s="632" t="s">
        <v>165</v>
      </c>
      <c r="C7" s="637">
        <v>0.65239999999999998</v>
      </c>
      <c r="F7" s="633"/>
    </row>
    <row r="8" spans="1:6" s="632" customFormat="1" x14ac:dyDescent="0.2">
      <c r="B8" s="632" t="s">
        <v>530</v>
      </c>
      <c r="C8" s="637">
        <v>0.1201</v>
      </c>
      <c r="F8" s="633"/>
    </row>
    <row r="9" spans="1:6" s="632" customFormat="1" x14ac:dyDescent="0.2">
      <c r="C9" s="637"/>
      <c r="F9" s="633"/>
    </row>
    <row r="10" spans="1:6" s="632" customFormat="1" x14ac:dyDescent="0.2">
      <c r="B10" s="635" t="s">
        <v>531</v>
      </c>
      <c r="C10" s="635"/>
      <c r="D10" s="635"/>
      <c r="E10" s="635"/>
      <c r="F10" s="636"/>
    </row>
    <row r="11" spans="1:6" s="632" customFormat="1" x14ac:dyDescent="0.2">
      <c r="B11" s="632" t="s">
        <v>532</v>
      </c>
      <c r="C11" s="638">
        <v>14.84</v>
      </c>
      <c r="D11" s="639" t="s">
        <v>533</v>
      </c>
      <c r="E11" s="640">
        <v>42709</v>
      </c>
      <c r="F11" s="633"/>
    </row>
    <row r="12" spans="1:6" s="632" customFormat="1" x14ac:dyDescent="0.2">
      <c r="B12" s="632" t="s">
        <v>534</v>
      </c>
      <c r="C12" s="638">
        <v>54.44</v>
      </c>
      <c r="D12" s="639"/>
      <c r="E12" s="640"/>
      <c r="F12" s="633"/>
    </row>
    <row r="13" spans="1:6" s="632" customFormat="1" x14ac:dyDescent="0.2">
      <c r="B13" s="632" t="s">
        <v>535</v>
      </c>
      <c r="C13" s="638">
        <v>3.5529999999999999</v>
      </c>
      <c r="D13" s="639"/>
      <c r="E13" s="640"/>
      <c r="F13" s="633"/>
    </row>
    <row r="14" spans="1:6" s="633" customFormat="1" x14ac:dyDescent="0.2">
      <c r="C14" s="641"/>
      <c r="D14" s="639"/>
      <c r="E14" s="642"/>
    </row>
    <row r="15" spans="1:6" s="632" customFormat="1" x14ac:dyDescent="0.2">
      <c r="B15" s="635" t="s">
        <v>536</v>
      </c>
      <c r="C15" s="635"/>
      <c r="D15" s="635"/>
      <c r="E15" s="635"/>
      <c r="F15" s="636"/>
    </row>
    <row r="16" spans="1:6" s="632" customFormat="1" x14ac:dyDescent="0.2">
      <c r="B16" s="632" t="s">
        <v>537</v>
      </c>
      <c r="C16" s="638">
        <v>1.0641</v>
      </c>
      <c r="D16" s="639" t="s">
        <v>533</v>
      </c>
      <c r="E16" s="640">
        <v>42709</v>
      </c>
      <c r="F16" s="633"/>
    </row>
    <row r="17" spans="2:14" x14ac:dyDescent="0.2">
      <c r="B17" s="632" t="s">
        <v>538</v>
      </c>
      <c r="C17" s="638">
        <v>1.1952</v>
      </c>
      <c r="D17" s="639"/>
      <c r="E17" s="640"/>
    </row>
    <row r="20" spans="2:14" x14ac:dyDescent="0.2">
      <c r="B20" s="643" t="s">
        <v>423</v>
      </c>
      <c r="C20" s="643"/>
      <c r="D20" s="643"/>
      <c r="E20" s="643"/>
      <c r="F20" s="644"/>
      <c r="G20" s="643" t="s">
        <v>539</v>
      </c>
      <c r="H20" s="643"/>
      <c r="I20" s="643"/>
      <c r="J20" s="643"/>
      <c r="K20" s="643"/>
      <c r="L20" s="643"/>
      <c r="M20" s="643"/>
      <c r="N20" s="644"/>
    </row>
    <row r="21" spans="2:14" x14ac:dyDescent="0.2">
      <c r="B21" s="645"/>
      <c r="C21" s="646"/>
      <c r="D21" s="646"/>
      <c r="E21" s="646"/>
      <c r="F21" s="646"/>
      <c r="G21" s="647"/>
      <c r="H21" s="648"/>
      <c r="I21" s="648"/>
      <c r="J21" s="648"/>
      <c r="K21" s="648"/>
      <c r="L21" s="648"/>
      <c r="M21" s="649"/>
      <c r="N21" s="650"/>
    </row>
    <row r="22" spans="2:14" x14ac:dyDescent="0.2">
      <c r="B22" s="651" t="s">
        <v>540</v>
      </c>
      <c r="C22" s="652"/>
      <c r="F22" s="646"/>
      <c r="G22" s="651" t="s">
        <v>540</v>
      </c>
      <c r="H22" s="652"/>
      <c r="I22" s="652"/>
      <c r="J22" s="652"/>
      <c r="K22" s="652"/>
      <c r="L22" s="646"/>
      <c r="M22" s="646"/>
      <c r="N22" s="646"/>
    </row>
    <row r="23" spans="2:14" x14ac:dyDescent="0.2">
      <c r="B23" s="653" t="s">
        <v>541</v>
      </c>
      <c r="C23" s="654">
        <f>+C11</f>
        <v>14.84</v>
      </c>
      <c r="D23" s="639" t="s">
        <v>533</v>
      </c>
      <c r="E23" s="640">
        <v>42709</v>
      </c>
      <c r="F23" s="655"/>
      <c r="G23" s="653" t="s">
        <v>542</v>
      </c>
      <c r="K23" s="632">
        <f>+C25</f>
        <v>69405.226169720001</v>
      </c>
      <c r="N23" s="646"/>
    </row>
    <row r="24" spans="2:14" x14ac:dyDescent="0.2">
      <c r="B24" s="646" t="s">
        <v>543</v>
      </c>
      <c r="C24" s="656">
        <v>4676.9020330000003</v>
      </c>
      <c r="D24" s="657"/>
      <c r="E24" s="657"/>
      <c r="F24" s="658"/>
      <c r="G24" s="653" t="s">
        <v>544</v>
      </c>
      <c r="K24" s="632">
        <f>-C12*824.015429*C7/C16</f>
        <v>-27503.310337830488</v>
      </c>
      <c r="L24" s="646"/>
      <c r="M24" s="646"/>
      <c r="N24" s="646"/>
    </row>
    <row r="25" spans="2:14" x14ac:dyDescent="0.2">
      <c r="B25" s="645" t="s">
        <v>545</v>
      </c>
      <c r="C25" s="634">
        <f>+C23*C24</f>
        <v>69405.226169720001</v>
      </c>
      <c r="D25" s="639"/>
      <c r="E25" s="640"/>
      <c r="F25" s="659"/>
      <c r="G25" s="653" t="s">
        <v>546</v>
      </c>
      <c r="K25" s="632">
        <f>-C13*9957.814959*C8*C17</f>
        <v>-5078.5864675006505</v>
      </c>
      <c r="L25" s="646"/>
      <c r="M25" s="646"/>
      <c r="N25" s="646"/>
    </row>
    <row r="26" spans="2:14" x14ac:dyDescent="0.2">
      <c r="B26" s="653" t="s">
        <v>547</v>
      </c>
      <c r="C26" s="660">
        <f ca="1">+'Sum of parts'!E49</f>
        <v>50219.583818610001</v>
      </c>
      <c r="D26" s="657"/>
      <c r="E26" s="657"/>
      <c r="F26" s="658"/>
      <c r="G26" s="645" t="s">
        <v>548</v>
      </c>
      <c r="K26" s="634">
        <f>SUM(K23:K25)</f>
        <v>36823.329364388861</v>
      </c>
      <c r="L26" s="646"/>
      <c r="M26" s="646"/>
      <c r="N26" s="646"/>
    </row>
    <row r="27" spans="2:14" x14ac:dyDescent="0.2">
      <c r="B27" s="653" t="s">
        <v>549</v>
      </c>
      <c r="C27" s="660">
        <f ca="1">-'Sum of parts'!E51</f>
        <v>-8875.3953378460792</v>
      </c>
      <c r="D27" s="657"/>
      <c r="E27" s="657"/>
      <c r="F27" s="658"/>
      <c r="G27" s="653" t="s">
        <v>550</v>
      </c>
      <c r="K27" s="632">
        <f ca="1">+'Sum of parts'!E49-'US Metro PF'!AW286/'Mark-to-Market'!C17</f>
        <v>25378.340647129979</v>
      </c>
      <c r="L27" s="646"/>
      <c r="M27" s="646"/>
      <c r="N27" s="646"/>
    </row>
    <row r="28" spans="2:14" x14ac:dyDescent="0.2">
      <c r="B28" s="653" t="s">
        <v>551</v>
      </c>
      <c r="C28" s="660">
        <f ca="1">-'Sum of parts'!E52+'Sum of parts'!E53+'Sum of parts'!E55+'Sum of parts'!E56</f>
        <v>3863.3432119316149</v>
      </c>
      <c r="D28" s="656"/>
      <c r="E28" s="656"/>
      <c r="F28" s="655"/>
      <c r="G28" s="653" t="s">
        <v>552</v>
      </c>
      <c r="K28" s="632">
        <f>-'Sum of parts'!C69-'Sum of parts'!C70</f>
        <v>-740</v>
      </c>
      <c r="L28" s="646"/>
      <c r="M28" s="646"/>
      <c r="N28" s="646"/>
    </row>
    <row r="29" spans="2:14" x14ac:dyDescent="0.2">
      <c r="B29" s="645" t="s">
        <v>553</v>
      </c>
      <c r="C29" s="634">
        <f ca="1">SUM(C25:C28)</f>
        <v>114612.75786241554</v>
      </c>
      <c r="D29" s="634"/>
      <c r="E29" s="634"/>
      <c r="F29" s="659"/>
      <c r="G29" s="653" t="s">
        <v>551</v>
      </c>
      <c r="K29" s="632">
        <f>+'Sum of parts'!C79+'Sum of parts'!E55+'Sum of parts'!E56</f>
        <v>3750</v>
      </c>
      <c r="L29" s="646"/>
      <c r="M29" s="646"/>
      <c r="N29" s="646"/>
    </row>
    <row r="30" spans="2:14" x14ac:dyDescent="0.2">
      <c r="D30" s="634"/>
      <c r="E30" s="634"/>
      <c r="F30" s="659"/>
      <c r="G30" s="645" t="s">
        <v>553</v>
      </c>
      <c r="K30" s="634">
        <f ca="1">SUM(K26:K29)</f>
        <v>65211.670011518843</v>
      </c>
      <c r="L30" s="646"/>
      <c r="M30" s="646"/>
      <c r="N30" s="646"/>
    </row>
    <row r="31" spans="2:14" x14ac:dyDescent="0.2">
      <c r="D31" s="634"/>
      <c r="E31" s="634"/>
      <c r="F31" s="659"/>
      <c r="G31" s="645"/>
      <c r="K31" s="634"/>
      <c r="L31" s="646"/>
      <c r="M31" s="646"/>
      <c r="N31" s="646"/>
    </row>
    <row r="32" spans="2:14" x14ac:dyDescent="0.2">
      <c r="B32" s="645"/>
      <c r="C32" s="646"/>
      <c r="D32" s="646"/>
      <c r="E32" s="646"/>
      <c r="F32" s="646"/>
      <c r="G32" s="645"/>
      <c r="K32" s="646"/>
      <c r="L32" s="646"/>
      <c r="M32" s="646"/>
      <c r="N32" s="646"/>
    </row>
    <row r="33" spans="2:14" x14ac:dyDescent="0.2">
      <c r="B33" s="651" t="s">
        <v>554</v>
      </c>
      <c r="C33" s="661">
        <v>2016</v>
      </c>
      <c r="D33" s="661">
        <f>+C33+1</f>
        <v>2017</v>
      </c>
      <c r="E33" s="661">
        <f>+D33+1</f>
        <v>2018</v>
      </c>
      <c r="G33" s="651" t="s">
        <v>555</v>
      </c>
      <c r="H33" s="651"/>
      <c r="I33" s="651"/>
      <c r="J33" s="651"/>
      <c r="K33" s="661">
        <v>2016</v>
      </c>
      <c r="L33" s="661">
        <f>+K33+1</f>
        <v>2017</v>
      </c>
      <c r="M33" s="661">
        <f>+L33+1</f>
        <v>2018</v>
      </c>
    </row>
    <row r="34" spans="2:14" x14ac:dyDescent="0.2">
      <c r="B34" s="653" t="s">
        <v>122</v>
      </c>
      <c r="C34" s="662">
        <f t="shared" ref="C34:E35" ca="1" si="0">+$C$29/C39</f>
        <v>6.8585073602971161</v>
      </c>
      <c r="D34" s="662">
        <f t="shared" ca="1" si="0"/>
        <v>6.2652664886187424</v>
      </c>
      <c r="E34" s="662">
        <f t="shared" ca="1" si="0"/>
        <v>6.3311506941287803</v>
      </c>
      <c r="G34" s="646" t="s">
        <v>122</v>
      </c>
      <c r="K34" s="662">
        <f t="shared" ref="K34:M35" ca="1" si="1">+$K$30/K39</f>
        <v>5.0709102984652876</v>
      </c>
      <c r="L34" s="662">
        <f t="shared" ca="1" si="1"/>
        <v>5.0498239612174594</v>
      </c>
      <c r="M34" s="662">
        <f t="shared" ca="1" si="1"/>
        <v>4.976982503729392</v>
      </c>
    </row>
    <row r="35" spans="2:14" x14ac:dyDescent="0.2">
      <c r="B35" s="653" t="s">
        <v>123</v>
      </c>
      <c r="C35" s="662">
        <f t="shared" ca="1" si="0"/>
        <v>16.188937867902908</v>
      </c>
      <c r="D35" s="662">
        <f t="shared" ca="1" si="0"/>
        <v>14.917478413807835</v>
      </c>
      <c r="E35" s="662">
        <f t="shared" ca="1" si="0"/>
        <v>15.258260802634101</v>
      </c>
      <c r="G35" s="653" t="s">
        <v>123</v>
      </c>
      <c r="K35" s="662">
        <f t="shared" ca="1" si="1"/>
        <v>10.725876131879311</v>
      </c>
      <c r="L35" s="662">
        <f t="shared" ca="1" si="1"/>
        <v>12.188101438254893</v>
      </c>
      <c r="M35" s="662">
        <f t="shared" ca="1" si="1"/>
        <v>11.913536793211955</v>
      </c>
    </row>
    <row r="36" spans="2:14" x14ac:dyDescent="0.2">
      <c r="B36" s="663" t="s">
        <v>556</v>
      </c>
      <c r="C36" s="664">
        <f>+C41/$C$25</f>
        <v>0.10022016464007219</v>
      </c>
      <c r="D36" s="664">
        <f>+D41/$C$25</f>
        <v>0.12326315917923665</v>
      </c>
      <c r="E36" s="664">
        <f ca="1">+E41/$C$25</f>
        <v>5.0663120053905782E-2</v>
      </c>
      <c r="G36" s="653" t="s">
        <v>556</v>
      </c>
      <c r="K36" s="664">
        <f>+K41/$K$26</f>
        <v>0.16418810774546846</v>
      </c>
      <c r="L36" s="664">
        <f>+L41/$K$26</f>
        <v>0.18826178726048984</v>
      </c>
      <c r="M36" s="664">
        <f ca="1">+M41/$K$26</f>
        <v>4.6940600471158341E-2</v>
      </c>
    </row>
    <row r="37" spans="2:14" x14ac:dyDescent="0.2">
      <c r="B37" s="645"/>
      <c r="C37" s="646"/>
      <c r="D37" s="646"/>
      <c r="E37" s="646"/>
      <c r="G37" s="645"/>
      <c r="K37" s="646"/>
      <c r="M37" s="646"/>
    </row>
    <row r="38" spans="2:14" x14ac:dyDescent="0.2">
      <c r="B38" s="651" t="s">
        <v>557</v>
      </c>
      <c r="C38" s="661">
        <v>2016</v>
      </c>
      <c r="D38" s="661">
        <f>+C38+1</f>
        <v>2017</v>
      </c>
      <c r="E38" s="661">
        <f>+D38+1</f>
        <v>2018</v>
      </c>
      <c r="G38" s="651" t="s">
        <v>557</v>
      </c>
      <c r="H38" s="651"/>
      <c r="I38" s="651"/>
      <c r="J38" s="651"/>
      <c r="K38" s="661">
        <v>2016</v>
      </c>
      <c r="L38" s="661">
        <f>+K38+1</f>
        <v>2017</v>
      </c>
      <c r="M38" s="661">
        <f>+L38+1</f>
        <v>2018</v>
      </c>
    </row>
    <row r="39" spans="2:14" x14ac:dyDescent="0.2">
      <c r="B39" s="646" t="s">
        <v>558</v>
      </c>
      <c r="C39" s="632">
        <f>Financials!K250</f>
        <v>16711.035191985335</v>
      </c>
      <c r="D39" s="632">
        <f>Financials!L250</f>
        <v>18293.35720525487</v>
      </c>
      <c r="E39" s="632">
        <f ca="1">Financials!M250</f>
        <v>18102.990024973213</v>
      </c>
      <c r="G39" s="646" t="s">
        <v>558</v>
      </c>
      <c r="K39" s="632">
        <f>+Interims!BI48-Interims!BI36</f>
        <v>12859.953375877143</v>
      </c>
      <c r="L39" s="632">
        <f>+Interims!BO48-Interims!BO36</f>
        <v>12913.652141607921</v>
      </c>
      <c r="M39" s="632">
        <f ca="1">+Interims!BU48-Interims!BU36</f>
        <v>13102.652051248708</v>
      </c>
    </row>
    <row r="40" spans="2:14" x14ac:dyDescent="0.2">
      <c r="B40" s="653" t="s">
        <v>38</v>
      </c>
      <c r="C40" s="632">
        <f>+Financials!K250-Financials!K252</f>
        <v>7079.695950260777</v>
      </c>
      <c r="D40" s="632">
        <f>+Financials!L250-Financials!L252</f>
        <v>7683.118733815516</v>
      </c>
      <c r="E40" s="632">
        <f ca="1">+Financials!M250-Financials!M252</f>
        <v>7511.5217484439272</v>
      </c>
      <c r="G40" s="653" t="s">
        <v>38</v>
      </c>
      <c r="K40" s="632">
        <f>+'Mark-to-Market'!K39-(Interims!BI72-Interims!BI60)</f>
        <v>6079.845525877141</v>
      </c>
      <c r="L40" s="632">
        <f>+'Mark-to-Market'!L39-(Interims!BO72-Interims!BO60)</f>
        <v>5350.4370916079224</v>
      </c>
      <c r="M40" s="632">
        <f ca="1">+'Mark-to-Market'!M39-(Interims!BU72-Interims!BU60)</f>
        <v>5473.745634350571</v>
      </c>
    </row>
    <row r="41" spans="2:14" x14ac:dyDescent="0.2">
      <c r="B41" s="632" t="s">
        <v>559</v>
      </c>
      <c r="C41" s="632">
        <f>+Financials!K221-Financials!K224-Financials!K256+Financials!K257+400</f>
        <v>6955.8031936107855</v>
      </c>
      <c r="D41" s="632">
        <f>+Financials!L221-Financials!L224-Financials!L256+Financials!L257+400</f>
        <v>8555.1074412291182</v>
      </c>
      <c r="E41" s="632">
        <f ca="1">+Financials!M221-Financials!M224-Financials!M256+Financials!M257+400</f>
        <v>3516.2853058050077</v>
      </c>
      <c r="G41" s="653" t="s">
        <v>559</v>
      </c>
      <c r="K41" s="632">
        <f>+C41-Financials!K254*Financials!K255+2000</f>
        <v>6045.9527692271513</v>
      </c>
      <c r="L41" s="632">
        <f>+D41-Financials!L254*Financials!L255+1600</f>
        <v>6932.4257990215247</v>
      </c>
      <c r="M41" s="632">
        <f ca="1">+E41-Financials!M254*Financials!M255+1600</f>
        <v>1728.5091917116506</v>
      </c>
    </row>
    <row r="42" spans="2:14" x14ac:dyDescent="0.2">
      <c r="B42" s="653"/>
      <c r="G42" s="653"/>
      <c r="K42" s="646"/>
      <c r="L42" s="646"/>
      <c r="M42" s="646"/>
      <c r="N42" s="646"/>
    </row>
    <row r="43" spans="2:14" x14ac:dyDescent="0.2">
      <c r="C43" s="665"/>
      <c r="D43" s="666"/>
      <c r="E43" s="666"/>
      <c r="F43" s="666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4"/>
  </sheetPr>
  <dimension ref="A2:AD333"/>
  <sheetViews>
    <sheetView showGridLines="0" zoomScale="85" zoomScaleNormal="85" workbookViewId="0">
      <pane xSplit="2" ySplit="2" topLeftCell="L159" activePane="bottomRight" state="frozen"/>
      <selection activeCell="J59" sqref="J59"/>
      <selection pane="topRight" activeCell="J59" sqref="J59"/>
      <selection pane="bottomLeft" activeCell="J59" sqref="J59"/>
      <selection pane="bottomRight" sqref="A1:XFD1048576"/>
    </sheetView>
  </sheetViews>
  <sheetFormatPr defaultRowHeight="12.75" outlineLevelCol="1" x14ac:dyDescent="0.2"/>
  <cols>
    <col min="1" max="1" width="3.42578125" customWidth="1"/>
    <col min="2" max="2" width="57.42578125" customWidth="1"/>
    <col min="3" max="6" width="15" hidden="1" customWidth="1" outlineLevel="1"/>
    <col min="7" max="7" width="15" customWidth="1" collapsed="1"/>
    <col min="8" max="15" width="15" customWidth="1"/>
    <col min="16" max="21" width="14.85546875" customWidth="1"/>
    <col min="25" max="25" width="48.140625" customWidth="1"/>
    <col min="27" max="27" width="41.5703125" bestFit="1" customWidth="1"/>
  </cols>
  <sheetData>
    <row r="2" spans="2:20" ht="15" x14ac:dyDescent="0.3">
      <c r="B2" s="351" t="s">
        <v>254</v>
      </c>
      <c r="C2" s="3" t="s">
        <v>240</v>
      </c>
      <c r="D2" s="3" t="s">
        <v>241</v>
      </c>
      <c r="E2" s="3" t="s">
        <v>366</v>
      </c>
      <c r="F2" s="3" t="s">
        <v>372</v>
      </c>
      <c r="G2" s="3" t="s">
        <v>378</v>
      </c>
      <c r="H2" s="3" t="s">
        <v>409</v>
      </c>
      <c r="I2" s="3" t="s">
        <v>476</v>
      </c>
      <c r="J2" s="3" t="s">
        <v>502</v>
      </c>
      <c r="K2" s="3" t="s">
        <v>560</v>
      </c>
      <c r="L2" s="3" t="s">
        <v>612</v>
      </c>
      <c r="M2" s="3" t="s">
        <v>242</v>
      </c>
      <c r="N2" s="3" t="s">
        <v>396</v>
      </c>
      <c r="O2" s="3" t="s">
        <v>397</v>
      </c>
      <c r="P2" s="3" t="s">
        <v>398</v>
      </c>
      <c r="Q2" s="3" t="s">
        <v>613</v>
      </c>
      <c r="R2" s="3" t="s">
        <v>614</v>
      </c>
      <c r="S2" s="3" t="s">
        <v>615</v>
      </c>
      <c r="T2" s="3" t="s">
        <v>616</v>
      </c>
    </row>
    <row r="4" spans="2:20" x14ac:dyDescent="0.2">
      <c r="B4" s="417" t="s">
        <v>300</v>
      </c>
    </row>
    <row r="5" spans="2:20" x14ac:dyDescent="0.2">
      <c r="B5" s="417"/>
      <c r="D5" s="486"/>
      <c r="J5" s="429"/>
    </row>
    <row r="6" spans="2:20" ht="15" x14ac:dyDescent="0.3">
      <c r="B6" s="13" t="s">
        <v>145</v>
      </c>
      <c r="C6" s="197">
        <f>Interims!M23</f>
        <v>61666</v>
      </c>
      <c r="D6" s="487">
        <f>Interims!S23</f>
        <v>64639</v>
      </c>
      <c r="E6" s="197">
        <f>Interims!Y23</f>
        <v>62421.192238259995</v>
      </c>
      <c r="F6" s="197">
        <f>Interims!AE23</f>
        <v>58653.149167925003</v>
      </c>
      <c r="G6" s="197">
        <f>Interims!AK23</f>
        <v>58168.678360560501</v>
      </c>
      <c r="H6" s="197">
        <f>Interims!AQ23</f>
        <v>60132.47986705292</v>
      </c>
      <c r="I6" s="197">
        <f>Interims!AW23</f>
        <v>62657.6632266175</v>
      </c>
      <c r="J6" s="197">
        <f>Interims!BC23</f>
        <v>69228.231236315332</v>
      </c>
      <c r="K6" s="197">
        <f>Interims!BI23</f>
        <v>73095.273526263263</v>
      </c>
      <c r="L6" s="197">
        <f>Interims!BO23</f>
        <v>74947.040755895505</v>
      </c>
      <c r="M6" s="197">
        <f ca="1">Interims!BU23</f>
        <v>74404.409193235348</v>
      </c>
      <c r="N6" s="197">
        <f ca="1">Interims!CA23</f>
        <v>76375.338850960747</v>
      </c>
      <c r="O6" s="197">
        <f ca="1">Interims!CG23</f>
        <v>78725.264843965459</v>
      </c>
      <c r="P6" s="197">
        <f ca="1">Interims!CM23</f>
        <v>80784.751768758288</v>
      </c>
      <c r="Q6" s="197">
        <f ca="1">Interims!CS23</f>
        <v>82719.682694170435</v>
      </c>
      <c r="R6" s="197">
        <f ca="1">Interims!CY23</f>
        <v>84538.152599939291</v>
      </c>
      <c r="S6" s="197">
        <f ca="1">Interims!DE23</f>
        <v>86216.124990787735</v>
      </c>
      <c r="T6" s="197">
        <f ca="1">Interims!DK23</f>
        <v>87665.265760809911</v>
      </c>
    </row>
    <row r="7" spans="2:20" ht="15" x14ac:dyDescent="0.3">
      <c r="B7" s="1" t="s">
        <v>83</v>
      </c>
      <c r="C7" s="103" t="s">
        <v>35</v>
      </c>
      <c r="D7" s="488">
        <f t="shared" ref="D7:T7" si="0">D6/C6-1</f>
        <v>4.8211332014400199E-2</v>
      </c>
      <c r="E7" s="227">
        <f t="shared" si="0"/>
        <v>-3.4310675625241815E-2</v>
      </c>
      <c r="F7" s="227">
        <f t="shared" si="0"/>
        <v>-6.0364804567533348E-2</v>
      </c>
      <c r="G7" s="227">
        <f t="shared" si="0"/>
        <v>-8.2599283113929944E-3</v>
      </c>
      <c r="H7" s="227">
        <f t="shared" si="0"/>
        <v>3.376046287866008E-2</v>
      </c>
      <c r="I7" s="227">
        <f t="shared" si="0"/>
        <v>4.1993667401502677E-2</v>
      </c>
      <c r="J7" s="227">
        <f t="shared" si="0"/>
        <v>0.10486455560804564</v>
      </c>
      <c r="K7" s="227">
        <f t="shared" si="0"/>
        <v>5.5859325319861375E-2</v>
      </c>
      <c r="L7" s="227">
        <f t="shared" si="0"/>
        <v>2.533361105717602E-2</v>
      </c>
      <c r="M7" s="227">
        <f t="shared" ca="1" si="0"/>
        <v>-7.2401999757071289E-3</v>
      </c>
      <c r="N7" s="227">
        <f t="shared" ca="1" si="0"/>
        <v>2.6489420171413647E-2</v>
      </c>
      <c r="O7" s="227">
        <f t="shared" ca="1" si="0"/>
        <v>3.0768125266067425E-2</v>
      </c>
      <c r="P7" s="227">
        <f t="shared" ca="1" si="0"/>
        <v>2.6160431836904641E-2</v>
      </c>
      <c r="Q7" s="227">
        <f t="shared" ca="1" si="0"/>
        <v>2.3951684978259058E-2</v>
      </c>
      <c r="R7" s="227">
        <f t="shared" ca="1" si="0"/>
        <v>2.1983521291928376E-2</v>
      </c>
      <c r="S7" s="227">
        <f t="shared" ca="1" si="0"/>
        <v>1.9848699542668324E-2</v>
      </c>
      <c r="T7" s="227">
        <f t="shared" ca="1" si="0"/>
        <v>1.6808233612645163E-2</v>
      </c>
    </row>
    <row r="8" spans="2:20" ht="15" x14ac:dyDescent="0.3">
      <c r="B8" s="1"/>
      <c r="D8" s="486"/>
    </row>
    <row r="9" spans="2:20" ht="15" x14ac:dyDescent="0.3">
      <c r="B9" s="1" t="s">
        <v>92</v>
      </c>
      <c r="C9" s="114">
        <f t="shared" ref="C9:M9" si="1">C6-C15</f>
        <v>42207</v>
      </c>
      <c r="D9" s="489">
        <f t="shared" si="1"/>
        <v>43971</v>
      </c>
      <c r="E9" s="114">
        <f t="shared" si="1"/>
        <v>42948.627130609995</v>
      </c>
      <c r="F9" s="114">
        <f t="shared" si="1"/>
        <v>39968.554794040196</v>
      </c>
      <c r="G9" s="114">
        <f t="shared" si="1"/>
        <v>40195.958706115794</v>
      </c>
      <c r="H9" s="114">
        <f t="shared" si="1"/>
        <v>42708.606713434463</v>
      </c>
      <c r="I9" s="114">
        <f t="shared" si="1"/>
        <v>45088.327669122664</v>
      </c>
      <c r="J9" s="114">
        <f t="shared" si="1"/>
        <v>49320.638746974379</v>
      </c>
      <c r="K9" s="114">
        <f t="shared" si="1"/>
        <v>51675.020275039627</v>
      </c>
      <c r="L9" s="114">
        <f t="shared" si="1"/>
        <v>52717.333542003857</v>
      </c>
      <c r="M9" s="114">
        <f t="shared" ca="1" si="1"/>
        <v>51865.890910598071</v>
      </c>
      <c r="N9" s="114">
        <f t="shared" ref="N9:T9" ca="1" si="2">N6-N15</f>
        <v>52822.189979554591</v>
      </c>
      <c r="O9" s="114">
        <f t="shared" ca="1" si="2"/>
        <v>54145.593513335079</v>
      </c>
      <c r="P9" s="114">
        <f t="shared" ca="1" si="2"/>
        <v>55208.289510058734</v>
      </c>
      <c r="Q9" s="114">
        <f t="shared" ca="1" si="2"/>
        <v>56221.688086549861</v>
      </c>
      <c r="R9" s="114">
        <f t="shared" ca="1" si="2"/>
        <v>57236.175989922056</v>
      </c>
      <c r="S9" s="114">
        <f t="shared" ca="1" si="2"/>
        <v>58084.41765212758</v>
      </c>
      <c r="T9" s="114">
        <f t="shared" ca="1" si="2"/>
        <v>58859.429470195086</v>
      </c>
    </row>
    <row r="10" spans="2:20" ht="15" x14ac:dyDescent="0.3">
      <c r="B10" s="1" t="s">
        <v>83</v>
      </c>
      <c r="C10" s="103" t="s">
        <v>35</v>
      </c>
      <c r="D10" s="488">
        <f t="shared" ref="D10:T10" si="3">D9/C9-1</f>
        <v>4.1794015210746993E-2</v>
      </c>
      <c r="E10" s="227">
        <f t="shared" si="3"/>
        <v>-2.3251071601510187E-2</v>
      </c>
      <c r="F10" s="227">
        <f t="shared" si="3"/>
        <v>-6.9386905604856164E-2</v>
      </c>
      <c r="G10" s="227">
        <f t="shared" si="3"/>
        <v>5.6895705448301026E-3</v>
      </c>
      <c r="H10" s="227">
        <f t="shared" si="3"/>
        <v>6.250996588212665E-2</v>
      </c>
      <c r="I10" s="227">
        <f t="shared" si="3"/>
        <v>5.571993887919624E-2</v>
      </c>
      <c r="J10" s="227">
        <f t="shared" si="3"/>
        <v>9.3867111437581308E-2</v>
      </c>
      <c r="K10" s="227">
        <f t="shared" si="3"/>
        <v>4.7736233509540371E-2</v>
      </c>
      <c r="L10" s="227">
        <f t="shared" si="3"/>
        <v>2.0170543938183849E-2</v>
      </c>
      <c r="M10" s="227">
        <f t="shared" ca="1" si="3"/>
        <v>-1.6151094416172906E-2</v>
      </c>
      <c r="N10" s="227">
        <f t="shared" ca="1" si="3"/>
        <v>1.8437918488759975E-2</v>
      </c>
      <c r="O10" s="227">
        <f t="shared" ca="1" si="3"/>
        <v>2.5053931582403655E-2</v>
      </c>
      <c r="P10" s="227">
        <f t="shared" ca="1" si="3"/>
        <v>1.9626638619482994E-2</v>
      </c>
      <c r="Q10" s="227">
        <f t="shared" ca="1" si="3"/>
        <v>1.8355913314548333E-2</v>
      </c>
      <c r="R10" s="227">
        <f t="shared" ca="1" si="3"/>
        <v>1.8044422675648875E-2</v>
      </c>
      <c r="S10" s="227">
        <f t="shared" ca="1" si="3"/>
        <v>1.4820026801840802E-2</v>
      </c>
      <c r="T10" s="227">
        <f t="shared" ca="1" si="3"/>
        <v>1.3342852513545278E-2</v>
      </c>
    </row>
    <row r="11" spans="2:20" ht="15" x14ac:dyDescent="0.3">
      <c r="B11" s="1"/>
      <c r="C11" s="103"/>
      <c r="D11" s="488"/>
      <c r="E11" s="227"/>
      <c r="F11" s="227"/>
      <c r="G11" s="227"/>
      <c r="H11" s="227"/>
      <c r="I11" s="227"/>
      <c r="J11" s="227"/>
      <c r="K11" s="227"/>
      <c r="L11" s="227"/>
      <c r="M11" s="227"/>
      <c r="N11" s="227"/>
      <c r="O11" s="227"/>
      <c r="P11" s="227"/>
      <c r="Q11" s="227"/>
      <c r="R11" s="227"/>
      <c r="S11" s="227"/>
      <c r="T11" s="227"/>
    </row>
    <row r="12" spans="2:20" ht="15" x14ac:dyDescent="0.3">
      <c r="B12" s="1" t="s">
        <v>54</v>
      </c>
      <c r="C12" s="227">
        <f>C9/C6</f>
        <v>0.68444523724580808</v>
      </c>
      <c r="D12" s="488">
        <f t="shared" ref="D12:M12" si="4">D9/D6</f>
        <v>0.68025495443927042</v>
      </c>
      <c r="E12" s="227">
        <f t="shared" si="4"/>
        <v>0.68804560743851628</v>
      </c>
      <c r="F12" s="227">
        <f t="shared" si="4"/>
        <v>0.68143919569620237</v>
      </c>
      <c r="G12" s="227">
        <f t="shared" si="4"/>
        <v>0.69102410161289551</v>
      </c>
      <c r="H12" s="227">
        <f t="shared" si="4"/>
        <v>0.71024189935055149</v>
      </c>
      <c r="I12" s="227">
        <f t="shared" si="4"/>
        <v>0.71959797648452306</v>
      </c>
      <c r="J12" s="227">
        <f t="shared" si="4"/>
        <v>0.71243534416782917</v>
      </c>
      <c r="K12" s="227">
        <f t="shared" si="4"/>
        <v>0.70695433209471059</v>
      </c>
      <c r="L12" s="227">
        <f t="shared" si="4"/>
        <v>0.70339446374814996</v>
      </c>
      <c r="M12" s="227">
        <f t="shared" ca="1" si="4"/>
        <v>0.69708087831055021</v>
      </c>
      <c r="N12" s="227">
        <f t="shared" ref="N12:T12" ca="1" si="5">N9/N6</f>
        <v>0.69161316694950581</v>
      </c>
      <c r="O12" s="227">
        <f t="shared" ca="1" si="5"/>
        <v>0.68777912174258649</v>
      </c>
      <c r="P12" s="227">
        <f t="shared" ca="1" si="5"/>
        <v>0.68339987808700942</v>
      </c>
      <c r="Q12" s="227">
        <f t="shared" ca="1" si="5"/>
        <v>0.6796651807093067</v>
      </c>
      <c r="R12" s="227">
        <f t="shared" ca="1" si="5"/>
        <v>0.677045502292691</v>
      </c>
      <c r="S12" s="227">
        <f t="shared" ca="1" si="5"/>
        <v>0.67370712448899728</v>
      </c>
      <c r="T12" s="227">
        <f t="shared" ca="1" si="5"/>
        <v>0.67141106525348315</v>
      </c>
    </row>
    <row r="13" spans="2:20" ht="15" x14ac:dyDescent="0.3">
      <c r="B13" s="1" t="s">
        <v>83</v>
      </c>
      <c r="C13" s="103" t="s">
        <v>35</v>
      </c>
      <c r="D13" s="490">
        <f>D12-C12</f>
        <v>-4.1902828065376596E-3</v>
      </c>
      <c r="E13" s="136">
        <f t="shared" ref="E13:T13" si="6">E12-D12</f>
        <v>7.7906529992458617E-3</v>
      </c>
      <c r="F13" s="136">
        <f t="shared" si="6"/>
        <v>-6.6064117423139113E-3</v>
      </c>
      <c r="G13" s="136">
        <f t="shared" si="6"/>
        <v>9.5849059166931427E-3</v>
      </c>
      <c r="H13" s="136">
        <f t="shared" si="6"/>
        <v>1.9217797737655973E-2</v>
      </c>
      <c r="I13" s="136">
        <f t="shared" si="6"/>
        <v>9.3560771339715743E-3</v>
      </c>
      <c r="J13" s="136">
        <f t="shared" si="6"/>
        <v>-7.1626323166938954E-3</v>
      </c>
      <c r="K13" s="136">
        <f t="shared" si="6"/>
        <v>-5.4810120731185741E-3</v>
      </c>
      <c r="L13" s="136">
        <f t="shared" si="6"/>
        <v>-3.5598683465606351E-3</v>
      </c>
      <c r="M13" s="136">
        <f t="shared" ca="1" si="6"/>
        <v>-6.3135854375997447E-3</v>
      </c>
      <c r="N13" s="136">
        <f t="shared" ca="1" si="6"/>
        <v>-5.4677113610444028E-3</v>
      </c>
      <c r="O13" s="136">
        <f t="shared" ca="1" si="6"/>
        <v>-3.8340452069193232E-3</v>
      </c>
      <c r="P13" s="136">
        <f t="shared" ca="1" si="6"/>
        <v>-4.3792436555770697E-3</v>
      </c>
      <c r="Q13" s="136">
        <f t="shared" ca="1" si="6"/>
        <v>-3.7346973777027115E-3</v>
      </c>
      <c r="R13" s="136">
        <f t="shared" ca="1" si="6"/>
        <v>-2.6196784166157006E-3</v>
      </c>
      <c r="S13" s="136">
        <f t="shared" ca="1" si="6"/>
        <v>-3.3383778036937262E-3</v>
      </c>
      <c r="T13" s="136">
        <f t="shared" ca="1" si="6"/>
        <v>-2.2960592355141252E-3</v>
      </c>
    </row>
    <row r="14" spans="2:20" ht="15" x14ac:dyDescent="0.3">
      <c r="B14" s="1"/>
      <c r="D14" s="486"/>
      <c r="J14" s="473"/>
      <c r="K14" s="473"/>
      <c r="L14" s="473"/>
    </row>
    <row r="15" spans="2:20" ht="15" x14ac:dyDescent="0.3">
      <c r="B15" s="13" t="s">
        <v>82</v>
      </c>
      <c r="C15" s="197">
        <f>Interims!M48</f>
        <v>19459</v>
      </c>
      <c r="D15" s="487">
        <f>Interims!S48</f>
        <v>20668</v>
      </c>
      <c r="E15" s="197">
        <f>Interims!Y48</f>
        <v>19472.56510765</v>
      </c>
      <c r="F15" s="197">
        <f>Interims!AE48</f>
        <v>18684.594373884807</v>
      </c>
      <c r="G15" s="197">
        <f>Interims!AK48</f>
        <v>17972.719654444707</v>
      </c>
      <c r="H15" s="197">
        <f>Interims!AQ48</f>
        <v>17423.87315361846</v>
      </c>
      <c r="I15" s="197">
        <f>Interims!AW48</f>
        <v>17569.335557494836</v>
      </c>
      <c r="J15" s="197">
        <f>Interims!BC48</f>
        <v>19907.592489340954</v>
      </c>
      <c r="K15" s="197">
        <f>Interims!BI48</f>
        <v>21420.253251223636</v>
      </c>
      <c r="L15" s="197">
        <f>Interims!BO48</f>
        <v>22229.707213891648</v>
      </c>
      <c r="M15" s="197">
        <f ca="1">Interims!BU48</f>
        <v>22538.518282637273</v>
      </c>
      <c r="N15" s="197">
        <f ca="1">Interims!CA48</f>
        <v>23553.14887140616</v>
      </c>
      <c r="O15" s="197">
        <f ca="1">Interims!CG48</f>
        <v>24579.671330630379</v>
      </c>
      <c r="P15" s="197">
        <f ca="1">Interims!CM48</f>
        <v>25576.462258699554</v>
      </c>
      <c r="Q15" s="197">
        <f ca="1">Interims!CS48</f>
        <v>26497.994607620574</v>
      </c>
      <c r="R15" s="197">
        <f ca="1">Interims!CY48</f>
        <v>27301.976610017235</v>
      </c>
      <c r="S15" s="197">
        <f ca="1">Interims!DE48</f>
        <v>28131.707338660151</v>
      </c>
      <c r="T15" s="197">
        <f ca="1">Interims!DK48</f>
        <v>28805.836290614825</v>
      </c>
    </row>
    <row r="16" spans="2:20" ht="15" x14ac:dyDescent="0.3">
      <c r="B16" s="1" t="s">
        <v>83</v>
      </c>
      <c r="C16" s="103" t="s">
        <v>35</v>
      </c>
      <c r="D16" s="488">
        <f t="shared" ref="D16:T16" si="7">D15/C15-1</f>
        <v>6.2130633639960964E-2</v>
      </c>
      <c r="E16" s="227">
        <f t="shared" si="7"/>
        <v>-5.7839892217437572E-2</v>
      </c>
      <c r="F16" s="227">
        <f t="shared" si="7"/>
        <v>-4.0465687463827282E-2</v>
      </c>
      <c r="G16" s="227">
        <f t="shared" si="7"/>
        <v>-3.8099554381286316E-2</v>
      </c>
      <c r="H16" s="227">
        <f t="shared" si="7"/>
        <v>-3.053775451788765E-2</v>
      </c>
      <c r="I16" s="227">
        <f t="shared" si="7"/>
        <v>8.3484540201768098E-3</v>
      </c>
      <c r="J16" s="227">
        <f t="shared" si="7"/>
        <v>0.13308738535924025</v>
      </c>
      <c r="K16" s="227">
        <f t="shared" si="7"/>
        <v>7.5984113231803319E-2</v>
      </c>
      <c r="L16" s="227">
        <f t="shared" si="7"/>
        <v>3.7789187325400597E-2</v>
      </c>
      <c r="M16" s="227">
        <f t="shared" ca="1" si="7"/>
        <v>1.3891818986830673E-2</v>
      </c>
      <c r="N16" s="227">
        <f t="shared" ca="1" si="7"/>
        <v>4.5017626094369989E-2</v>
      </c>
      <c r="O16" s="227">
        <f t="shared" ca="1" si="7"/>
        <v>4.35832365697153E-2</v>
      </c>
      <c r="P16" s="227">
        <f t="shared" ca="1" si="7"/>
        <v>4.0553468541583149E-2</v>
      </c>
      <c r="Q16" s="227">
        <f t="shared" ca="1" si="7"/>
        <v>3.6030485357980702E-2</v>
      </c>
      <c r="R16" s="227">
        <f t="shared" ca="1" si="7"/>
        <v>3.0341239565557343E-2</v>
      </c>
      <c r="S16" s="227">
        <f t="shared" ca="1" si="7"/>
        <v>3.0390866584307563E-2</v>
      </c>
      <c r="T16" s="227">
        <f t="shared" ca="1" si="7"/>
        <v>2.3963314556036508E-2</v>
      </c>
    </row>
    <row r="17" spans="2:20" ht="15" x14ac:dyDescent="0.3">
      <c r="B17" s="1"/>
      <c r="D17" s="486"/>
      <c r="J17" s="227"/>
      <c r="K17" s="227"/>
      <c r="L17" s="227"/>
    </row>
    <row r="18" spans="2:20" ht="15" x14ac:dyDescent="0.3">
      <c r="B18" s="13" t="s">
        <v>36</v>
      </c>
      <c r="C18" s="390">
        <f t="shared" ref="C18:M18" si="8">C15/C6</f>
        <v>0.31555476275419192</v>
      </c>
      <c r="D18" s="491">
        <f t="shared" si="8"/>
        <v>0.31974504556072958</v>
      </c>
      <c r="E18" s="390">
        <f t="shared" si="8"/>
        <v>0.31195439256148372</v>
      </c>
      <c r="F18" s="390">
        <f t="shared" si="8"/>
        <v>0.31856080430379763</v>
      </c>
      <c r="G18" s="390">
        <f t="shared" si="8"/>
        <v>0.30897589838710454</v>
      </c>
      <c r="H18" s="390">
        <f t="shared" si="8"/>
        <v>0.28975810064944857</v>
      </c>
      <c r="I18" s="390">
        <f t="shared" si="8"/>
        <v>0.28040202351547694</v>
      </c>
      <c r="J18" s="390">
        <f t="shared" si="8"/>
        <v>0.28756465583217078</v>
      </c>
      <c r="K18" s="390">
        <f t="shared" si="8"/>
        <v>0.29304566790528941</v>
      </c>
      <c r="L18" s="390">
        <f t="shared" si="8"/>
        <v>0.29660553625185004</v>
      </c>
      <c r="M18" s="390">
        <f t="shared" ca="1" si="8"/>
        <v>0.30291912168944979</v>
      </c>
      <c r="N18" s="390">
        <f t="shared" ref="N18:T18" ca="1" si="9">N15/N6</f>
        <v>0.30838683305049425</v>
      </c>
      <c r="O18" s="390">
        <f t="shared" ca="1" si="9"/>
        <v>0.31222087825741357</v>
      </c>
      <c r="P18" s="390">
        <f t="shared" ca="1" si="9"/>
        <v>0.31660012191299058</v>
      </c>
      <c r="Q18" s="390">
        <f t="shared" ca="1" si="9"/>
        <v>0.3203348192906933</v>
      </c>
      <c r="R18" s="390">
        <f t="shared" ca="1" si="9"/>
        <v>0.32295449770730905</v>
      </c>
      <c r="S18" s="390">
        <f t="shared" ca="1" si="9"/>
        <v>0.32629287551100272</v>
      </c>
      <c r="T18" s="390">
        <f t="shared" ca="1" si="9"/>
        <v>0.32858893474651685</v>
      </c>
    </row>
    <row r="19" spans="2:20" ht="15" x14ac:dyDescent="0.3">
      <c r="B19" s="1" t="s">
        <v>253</v>
      </c>
      <c r="C19" s="103" t="s">
        <v>35</v>
      </c>
      <c r="D19" s="492">
        <f t="shared" ref="D19:T19" si="10">D18-C18</f>
        <v>4.1902828065376596E-3</v>
      </c>
      <c r="E19" s="434">
        <f t="shared" si="10"/>
        <v>-7.7906529992458617E-3</v>
      </c>
      <c r="F19" s="434">
        <f t="shared" si="10"/>
        <v>6.6064117423139113E-3</v>
      </c>
      <c r="G19" s="434">
        <f t="shared" si="10"/>
        <v>-9.5849059166930872E-3</v>
      </c>
      <c r="H19" s="434">
        <f t="shared" si="10"/>
        <v>-1.9217797737655973E-2</v>
      </c>
      <c r="I19" s="434">
        <f t="shared" si="10"/>
        <v>-9.3560771339716298E-3</v>
      </c>
      <c r="J19" s="434">
        <f t="shared" si="10"/>
        <v>7.1626323166938399E-3</v>
      </c>
      <c r="K19" s="434">
        <f t="shared" si="10"/>
        <v>5.4810120731186296E-3</v>
      </c>
      <c r="L19" s="434">
        <f t="shared" si="10"/>
        <v>3.5598683465606351E-3</v>
      </c>
      <c r="M19" s="434">
        <f t="shared" ca="1" si="10"/>
        <v>6.3135854375997447E-3</v>
      </c>
      <c r="N19" s="434">
        <f t="shared" ca="1" si="10"/>
        <v>5.4677113610444583E-3</v>
      </c>
      <c r="O19" s="434">
        <f t="shared" ca="1" si="10"/>
        <v>3.8340452069193232E-3</v>
      </c>
      <c r="P19" s="434">
        <f t="shared" ca="1" si="10"/>
        <v>4.3792436555770142E-3</v>
      </c>
      <c r="Q19" s="434">
        <f t="shared" ca="1" si="10"/>
        <v>3.7346973777027115E-3</v>
      </c>
      <c r="R19" s="434">
        <f t="shared" ca="1" si="10"/>
        <v>2.6196784166157561E-3</v>
      </c>
      <c r="S19" s="434">
        <f t="shared" ca="1" si="10"/>
        <v>3.3383778036936707E-3</v>
      </c>
      <c r="T19" s="434">
        <f t="shared" ca="1" si="10"/>
        <v>2.2960592355141252E-3</v>
      </c>
    </row>
    <row r="20" spans="2:20" ht="15" x14ac:dyDescent="0.3">
      <c r="B20" s="1"/>
      <c r="D20" s="486"/>
    </row>
    <row r="21" spans="2:20" ht="15" x14ac:dyDescent="0.3">
      <c r="B21" s="1" t="s">
        <v>293</v>
      </c>
      <c r="C21" s="114">
        <f>Interims!M146</f>
        <v>10639</v>
      </c>
      <c r="D21" s="493">
        <f>Interims!S146</f>
        <v>11510</v>
      </c>
      <c r="E21" s="416">
        <f>Interims!Y146</f>
        <v>11109</v>
      </c>
      <c r="F21" s="416">
        <f ca="1">Interims!AE146</f>
        <v>11079.215800000002</v>
      </c>
      <c r="G21" s="416">
        <f>Interims!AK146</f>
        <v>10994</v>
      </c>
      <c r="H21" s="416">
        <f>Interims!AQ146</f>
        <v>10173</v>
      </c>
      <c r="I21" s="416">
        <f>Interims!AW146</f>
        <v>10514</v>
      </c>
      <c r="J21" s="416">
        <f>Interims!BC146</f>
        <v>11235</v>
      </c>
      <c r="K21" s="416">
        <f>Interims!BI146</f>
        <v>12757</v>
      </c>
      <c r="L21" s="416">
        <f>Interims!BO146</f>
        <v>12472</v>
      </c>
      <c r="M21" s="416">
        <f>Interims!BU146</f>
        <v>11382.708224043716</v>
      </c>
      <c r="N21" s="416">
        <f>Interims!CA146</f>
        <v>11340.523079508195</v>
      </c>
      <c r="O21" s="416">
        <f>Interims!CG146</f>
        <v>11333.9369076209</v>
      </c>
      <c r="P21" s="416">
        <f>Interims!CM146</f>
        <v>11396.165236168921</v>
      </c>
      <c r="Q21" s="416">
        <f>Interims!CS146</f>
        <v>11436.452346719951</v>
      </c>
      <c r="R21" s="416">
        <f>Interims!CY146</f>
        <v>11426.9769820334</v>
      </c>
      <c r="S21" s="416">
        <f>Interims!DE146</f>
        <v>11418.645262581518</v>
      </c>
      <c r="T21" s="416">
        <f>Interims!DK146</f>
        <v>11411.456240827845</v>
      </c>
    </row>
    <row r="22" spans="2:20" ht="15" x14ac:dyDescent="0.3">
      <c r="B22" s="1" t="s">
        <v>9</v>
      </c>
      <c r="C22" s="114">
        <f>153+236+14+9+111</f>
        <v>523</v>
      </c>
      <c r="D22" s="493">
        <v>957</v>
      </c>
      <c r="E22" s="416">
        <f>-(-201-536-264-788)</f>
        <v>1789</v>
      </c>
      <c r="F22" s="416">
        <f>(163+793+244+375)</f>
        <v>1575</v>
      </c>
      <c r="G22" s="416">
        <f>689+289+33+66+250+75</f>
        <v>1402</v>
      </c>
      <c r="H22" s="416">
        <f>486+714+85+166+196+173</f>
        <v>1820</v>
      </c>
      <c r="I22" s="416">
        <f>1410+'US Metro PF'!AF246/1.25</f>
        <v>1502</v>
      </c>
      <c r="J22" s="416">
        <v>1765</v>
      </c>
      <c r="K22" s="416">
        <v>1910</v>
      </c>
      <c r="L22" s="416">
        <v>890</v>
      </c>
      <c r="M22" s="416">
        <v>1350</v>
      </c>
      <c r="N22" s="416">
        <v>1250</v>
      </c>
      <c r="O22" s="416">
        <v>1150</v>
      </c>
      <c r="P22" s="416">
        <v>1100</v>
      </c>
      <c r="Q22" s="416">
        <v>1100</v>
      </c>
      <c r="R22" s="416">
        <v>1100</v>
      </c>
      <c r="S22" s="416">
        <v>1100</v>
      </c>
      <c r="T22" s="416">
        <v>1100</v>
      </c>
    </row>
    <row r="23" spans="2:20" x14ac:dyDescent="0.2">
      <c r="C23" s="259"/>
      <c r="D23" s="494"/>
      <c r="E23" s="259"/>
      <c r="F23" s="246"/>
      <c r="J23" s="473"/>
    </row>
    <row r="24" spans="2:20" ht="15" x14ac:dyDescent="0.3">
      <c r="B24" s="13" t="s">
        <v>166</v>
      </c>
      <c r="C24" s="197">
        <f t="shared" ref="C24:M24" si="11">C15-C21-C22</f>
        <v>8297</v>
      </c>
      <c r="D24" s="487">
        <f t="shared" si="11"/>
        <v>8201</v>
      </c>
      <c r="E24" s="197">
        <f t="shared" si="11"/>
        <v>6574.5651076499998</v>
      </c>
      <c r="F24" s="197">
        <f t="shared" ca="1" si="11"/>
        <v>6030.3785738848055</v>
      </c>
      <c r="G24" s="197">
        <f t="shared" si="11"/>
        <v>5576.719654444707</v>
      </c>
      <c r="H24" s="197">
        <f t="shared" si="11"/>
        <v>5430.8731536184605</v>
      </c>
      <c r="I24" s="197">
        <f t="shared" si="11"/>
        <v>5553.3355574948364</v>
      </c>
      <c r="J24" s="197">
        <f t="shared" si="11"/>
        <v>6907.5924893409538</v>
      </c>
      <c r="K24" s="197">
        <f t="shared" si="11"/>
        <v>6753.2532512236357</v>
      </c>
      <c r="L24" s="197">
        <f t="shared" si="11"/>
        <v>8867.7072138916483</v>
      </c>
      <c r="M24" s="197">
        <f t="shared" ca="1" si="11"/>
        <v>9805.8100585935572</v>
      </c>
      <c r="N24" s="197">
        <f t="shared" ref="N24:T24" ca="1" si="12">N15-N21-N22</f>
        <v>10962.625791897965</v>
      </c>
      <c r="O24" s="197">
        <f t="shared" ca="1" si="12"/>
        <v>12095.734423009479</v>
      </c>
      <c r="P24" s="197">
        <f t="shared" ca="1" si="12"/>
        <v>13080.297022530633</v>
      </c>
      <c r="Q24" s="197">
        <f t="shared" ca="1" si="12"/>
        <v>13961.542260900624</v>
      </c>
      <c r="R24" s="197">
        <f t="shared" ca="1" si="12"/>
        <v>14774.999627983834</v>
      </c>
      <c r="S24" s="197">
        <f t="shared" ca="1" si="12"/>
        <v>15613.062076078633</v>
      </c>
      <c r="T24" s="197">
        <f t="shared" ca="1" si="12"/>
        <v>16294.380049786982</v>
      </c>
    </row>
    <row r="25" spans="2:20" ht="15" x14ac:dyDescent="0.3">
      <c r="B25" s="1" t="s">
        <v>83</v>
      </c>
      <c r="C25" s="103" t="s">
        <v>35</v>
      </c>
      <c r="D25" s="488">
        <f t="shared" ref="D25:T25" si="13">D24/C24-1</f>
        <v>-1.1570447149572116E-2</v>
      </c>
      <c r="E25" s="227">
        <f t="shared" si="13"/>
        <v>-0.19832153302646016</v>
      </c>
      <c r="F25" s="227">
        <f t="shared" ca="1" si="13"/>
        <v>-8.277148752120389E-2</v>
      </c>
      <c r="G25" s="227">
        <f t="shared" ca="1" si="13"/>
        <v>-7.5228928645494464E-2</v>
      </c>
      <c r="H25" s="227">
        <f t="shared" si="13"/>
        <v>-2.6152740295992016E-2</v>
      </c>
      <c r="I25" s="227">
        <f t="shared" si="13"/>
        <v>2.2549302922824088E-2</v>
      </c>
      <c r="J25" s="227">
        <f t="shared" si="13"/>
        <v>0.24386369557992915</v>
      </c>
      <c r="K25" s="227">
        <f t="shared" si="13"/>
        <v>-2.2343419701651102E-2</v>
      </c>
      <c r="L25" s="227">
        <f t="shared" si="13"/>
        <v>0.31310153551325648</v>
      </c>
      <c r="M25" s="227">
        <f t="shared" ca="1" si="13"/>
        <v>0.10578865788806491</v>
      </c>
      <c r="N25" s="227">
        <f t="shared" ca="1" si="13"/>
        <v>0.11797248023283946</v>
      </c>
      <c r="O25" s="227">
        <f t="shared" ca="1" si="13"/>
        <v>0.10336106080980612</v>
      </c>
      <c r="P25" s="227">
        <f t="shared" ca="1" si="13"/>
        <v>8.1397504697874323E-2</v>
      </c>
      <c r="Q25" s="227">
        <f t="shared" ca="1" si="13"/>
        <v>6.7371959279828086E-2</v>
      </c>
      <c r="R25" s="227">
        <f t="shared" ca="1" si="13"/>
        <v>5.8264148178049258E-2</v>
      </c>
      <c r="S25" s="227">
        <f t="shared" ca="1" si="13"/>
        <v>5.6721656121568431E-2</v>
      </c>
      <c r="T25" s="227">
        <f t="shared" ca="1" si="13"/>
        <v>4.3637690696959552E-2</v>
      </c>
    </row>
    <row r="26" spans="2:20" ht="15" x14ac:dyDescent="0.3">
      <c r="B26" s="1"/>
      <c r="D26" s="486"/>
    </row>
    <row r="27" spans="2:20" ht="15" x14ac:dyDescent="0.3">
      <c r="B27" s="1" t="s">
        <v>246</v>
      </c>
      <c r="C27" s="114">
        <v>-388</v>
      </c>
      <c r="D27" s="493">
        <f>Interims!S152</f>
        <v>-24</v>
      </c>
      <c r="E27" s="416">
        <f>Interims!Y152</f>
        <v>57</v>
      </c>
      <c r="F27" s="416">
        <v>73</v>
      </c>
      <c r="G27" s="416">
        <v>154</v>
      </c>
      <c r="H27" s="416">
        <f>Interims!AQ152</f>
        <v>71</v>
      </c>
      <c r="I27" s="416">
        <v>198</v>
      </c>
      <c r="J27" s="416">
        <v>-24</v>
      </c>
      <c r="K27" s="416">
        <v>53</v>
      </c>
      <c r="L27" s="416">
        <v>-67</v>
      </c>
      <c r="M27" s="416">
        <v>0</v>
      </c>
      <c r="N27" s="416">
        <v>0</v>
      </c>
      <c r="O27" s="416">
        <v>0</v>
      </c>
      <c r="P27" s="416">
        <v>0</v>
      </c>
      <c r="Q27" s="416">
        <v>0</v>
      </c>
      <c r="R27" s="416">
        <v>0</v>
      </c>
      <c r="S27" s="416">
        <v>0</v>
      </c>
      <c r="T27" s="416">
        <v>0</v>
      </c>
    </row>
    <row r="28" spans="2:20" ht="15" x14ac:dyDescent="0.3">
      <c r="B28" s="1" t="s">
        <v>247</v>
      </c>
      <c r="C28" s="114">
        <f>-3588+652</f>
        <v>-2936</v>
      </c>
      <c r="D28" s="489">
        <v>-3101</v>
      </c>
      <c r="E28" s="114">
        <v>-2500</v>
      </c>
      <c r="F28" s="114">
        <v>-2325</v>
      </c>
      <c r="G28" s="114">
        <v>-2063</v>
      </c>
      <c r="H28" s="114">
        <v>-2162</v>
      </c>
      <c r="I28" s="114">
        <f t="shared" ref="I28:T28" ca="1" si="14">-(I130*I129)</f>
        <v>-2322.5424407199189</v>
      </c>
      <c r="J28" s="114">
        <v>-2367</v>
      </c>
      <c r="K28" s="114">
        <v>-2492</v>
      </c>
      <c r="L28" s="114">
        <v>-2197</v>
      </c>
      <c r="M28" s="114">
        <f t="shared" ca="1" si="14"/>
        <v>-2076.4191786583619</v>
      </c>
      <c r="N28" s="114">
        <f t="shared" ca="1" si="14"/>
        <v>-1982.6037461169205</v>
      </c>
      <c r="O28" s="114">
        <f t="shared" ca="1" si="14"/>
        <v>-1823.623380511365</v>
      </c>
      <c r="P28" s="114">
        <f t="shared" ca="1" si="14"/>
        <v>-1628.428299493188</v>
      </c>
      <c r="Q28" s="114">
        <f t="shared" ca="1" si="14"/>
        <v>-1375.2290998508176</v>
      </c>
      <c r="R28" s="114">
        <f t="shared" ca="1" si="14"/>
        <v>-1077.6753369881392</v>
      </c>
      <c r="S28" s="114">
        <f t="shared" ca="1" si="14"/>
        <v>-759.76898662456688</v>
      </c>
      <c r="T28" s="114">
        <f t="shared" ca="1" si="14"/>
        <v>-434.73453674231905</v>
      </c>
    </row>
    <row r="29" spans="2:20" ht="15" x14ac:dyDescent="0.3">
      <c r="B29" s="1"/>
      <c r="D29" s="486"/>
    </row>
    <row r="30" spans="2:20" ht="15" x14ac:dyDescent="0.3">
      <c r="B30" s="13" t="s">
        <v>168</v>
      </c>
      <c r="C30" s="197">
        <f t="shared" ref="C30:T30" si="15">C24+C27+C28</f>
        <v>4973</v>
      </c>
      <c r="D30" s="487">
        <f t="shared" si="15"/>
        <v>5076</v>
      </c>
      <c r="E30" s="197">
        <f t="shared" si="15"/>
        <v>4131.5651076499998</v>
      </c>
      <c r="F30" s="197">
        <f t="shared" ca="1" si="15"/>
        <v>3778.3785738848055</v>
      </c>
      <c r="G30" s="197">
        <f t="shared" si="15"/>
        <v>3667.719654444707</v>
      </c>
      <c r="H30" s="197">
        <f t="shared" si="15"/>
        <v>3339.8731536184605</v>
      </c>
      <c r="I30" s="197">
        <f t="shared" ca="1" si="15"/>
        <v>3428.7931167749175</v>
      </c>
      <c r="J30" s="197">
        <f t="shared" si="15"/>
        <v>4516.5924893409538</v>
      </c>
      <c r="K30" s="197">
        <f t="shared" si="15"/>
        <v>4314.2532512236357</v>
      </c>
      <c r="L30" s="197">
        <f t="shared" si="15"/>
        <v>6603.7072138916483</v>
      </c>
      <c r="M30" s="197">
        <f t="shared" ca="1" si="15"/>
        <v>7729.3908799351957</v>
      </c>
      <c r="N30" s="197">
        <f t="shared" ca="1" si="15"/>
        <v>8980.0220457810447</v>
      </c>
      <c r="O30" s="197">
        <f t="shared" ca="1" si="15"/>
        <v>10272.111042498114</v>
      </c>
      <c r="P30" s="197">
        <f t="shared" ca="1" si="15"/>
        <v>11451.868723037445</v>
      </c>
      <c r="Q30" s="197">
        <f t="shared" ca="1" si="15"/>
        <v>12586.313161049806</v>
      </c>
      <c r="R30" s="197">
        <f t="shared" ca="1" si="15"/>
        <v>13697.324290995695</v>
      </c>
      <c r="S30" s="197">
        <f t="shared" ca="1" si="15"/>
        <v>14853.293089454066</v>
      </c>
      <c r="T30" s="197">
        <f t="shared" ca="1" si="15"/>
        <v>15859.645513044663</v>
      </c>
    </row>
    <row r="31" spans="2:20" ht="15" x14ac:dyDescent="0.3">
      <c r="B31" s="1"/>
      <c r="D31" s="486"/>
    </row>
    <row r="32" spans="2:20" ht="15" x14ac:dyDescent="0.3">
      <c r="B32" s="1" t="s">
        <v>298</v>
      </c>
      <c r="C32" s="114">
        <v>-1521</v>
      </c>
      <c r="D32" s="489">
        <v>-2421</v>
      </c>
      <c r="E32" s="114">
        <v>-1437</v>
      </c>
      <c r="F32" s="103">
        <v>0</v>
      </c>
      <c r="G32" s="103">
        <v>0</v>
      </c>
      <c r="H32" s="103">
        <v>0</v>
      </c>
      <c r="I32" s="103">
        <v>0</v>
      </c>
      <c r="J32" s="103">
        <v>0</v>
      </c>
      <c r="K32" s="103">
        <v>0</v>
      </c>
      <c r="L32" s="103">
        <v>0</v>
      </c>
      <c r="M32" s="103">
        <v>0</v>
      </c>
      <c r="N32" s="103">
        <v>0</v>
      </c>
      <c r="O32" s="103">
        <v>0</v>
      </c>
      <c r="P32" s="103">
        <v>0</v>
      </c>
      <c r="Q32" s="103">
        <v>0</v>
      </c>
      <c r="R32" s="103">
        <v>0</v>
      </c>
      <c r="S32" s="103">
        <v>0</v>
      </c>
      <c r="T32" s="103">
        <v>0</v>
      </c>
    </row>
    <row r="33" spans="1:20" ht="15" x14ac:dyDescent="0.3">
      <c r="B33" s="1"/>
    </row>
    <row r="34" spans="1:20" ht="15" x14ac:dyDescent="0.3">
      <c r="B34" s="1" t="s">
        <v>248</v>
      </c>
      <c r="C34" s="114">
        <f>-1889+461</f>
        <v>-1428</v>
      </c>
      <c r="D34" s="114">
        <f>-2102+320</f>
        <v>-1782</v>
      </c>
      <c r="E34" s="114">
        <v>-935</v>
      </c>
      <c r="F34" s="114">
        <v>-1708</v>
      </c>
      <c r="G34" s="114">
        <v>-1453</v>
      </c>
      <c r="H34" s="114">
        <v>-1364</v>
      </c>
      <c r="I34" s="114">
        <v>-1474</v>
      </c>
      <c r="J34" s="114">
        <v>-1927</v>
      </c>
      <c r="K34" s="114">
        <v>-1443</v>
      </c>
      <c r="L34" s="114">
        <v>558</v>
      </c>
      <c r="M34" s="114">
        <f t="shared" ref="M34:T34" ca="1" si="16">-M35*M30</f>
        <v>-2318.8172639805584</v>
      </c>
      <c r="N34" s="114">
        <f t="shared" ca="1" si="16"/>
        <v>-2694.0066137343133</v>
      </c>
      <c r="O34" s="114">
        <f t="shared" ca="1" si="16"/>
        <v>-3081.633312749434</v>
      </c>
      <c r="P34" s="114">
        <f t="shared" ca="1" si="16"/>
        <v>-3435.5606169112334</v>
      </c>
      <c r="Q34" s="114">
        <f t="shared" ca="1" si="16"/>
        <v>-3775.8939483149416</v>
      </c>
      <c r="R34" s="114">
        <f t="shared" ca="1" si="16"/>
        <v>-4109.197287298708</v>
      </c>
      <c r="S34" s="114">
        <f t="shared" ca="1" si="16"/>
        <v>-4455.9879268362192</v>
      </c>
      <c r="T34" s="114">
        <f t="shared" ca="1" si="16"/>
        <v>-4757.8936539133983</v>
      </c>
    </row>
    <row r="35" spans="1:20" ht="15" x14ac:dyDescent="0.3">
      <c r="B35" s="1" t="s">
        <v>249</v>
      </c>
      <c r="C35" s="227">
        <f t="shared" ref="C35:K35" si="17">-C34/C30</f>
        <v>0.28715061331188418</v>
      </c>
      <c r="D35" s="227">
        <f t="shared" si="17"/>
        <v>0.35106382978723405</v>
      </c>
      <c r="E35" s="227">
        <f t="shared" si="17"/>
        <v>0.22630649055215307</v>
      </c>
      <c r="F35" s="227">
        <f t="shared" ca="1" si="17"/>
        <v>0.45204575629484639</v>
      </c>
      <c r="G35" s="227">
        <f t="shared" si="17"/>
        <v>0.39615895894311048</v>
      </c>
      <c r="H35" s="227">
        <f t="shared" si="17"/>
        <v>0.40839874368349149</v>
      </c>
      <c r="I35" s="227">
        <f t="shared" ca="1" si="17"/>
        <v>0.42988887045667751</v>
      </c>
      <c r="J35" s="227">
        <f t="shared" si="17"/>
        <v>0.42664907328869545</v>
      </c>
      <c r="K35" s="227">
        <f t="shared" si="17"/>
        <v>0.3344727154324395</v>
      </c>
      <c r="L35" s="488">
        <v>0</v>
      </c>
      <c r="M35" s="136">
        <v>0.3</v>
      </c>
      <c r="N35" s="136">
        <v>0.3</v>
      </c>
      <c r="O35" s="136">
        <v>0.3</v>
      </c>
      <c r="P35" s="136">
        <v>0.3</v>
      </c>
      <c r="Q35" s="136">
        <v>0.3</v>
      </c>
      <c r="R35" s="136">
        <v>0.3</v>
      </c>
      <c r="S35" s="136">
        <v>0.3</v>
      </c>
      <c r="T35" s="136">
        <v>0.3</v>
      </c>
    </row>
    <row r="36" spans="1:20" ht="15" x14ac:dyDescent="0.3">
      <c r="B36" s="1"/>
      <c r="E36" s="259"/>
      <c r="F36" s="259"/>
      <c r="K36" s="479" t="s">
        <v>445</v>
      </c>
    </row>
    <row r="37" spans="1:20" ht="15" x14ac:dyDescent="0.3">
      <c r="B37" s="13" t="s">
        <v>250</v>
      </c>
      <c r="C37" s="197">
        <f>C30+C32+C34</f>
        <v>2024</v>
      </c>
      <c r="D37" s="197">
        <f t="shared" ref="D37:T37" si="18">D30+D32+D34</f>
        <v>873</v>
      </c>
      <c r="E37" s="197">
        <f t="shared" si="18"/>
        <v>1759.5651076499998</v>
      </c>
      <c r="F37" s="197">
        <f t="shared" ca="1" si="18"/>
        <v>2070.3785738848055</v>
      </c>
      <c r="G37" s="197">
        <f t="shared" si="18"/>
        <v>2214.719654444707</v>
      </c>
      <c r="H37" s="197">
        <f t="shared" si="18"/>
        <v>1975.8731536184605</v>
      </c>
      <c r="I37" s="197">
        <f t="shared" ca="1" si="18"/>
        <v>1954.7931167749175</v>
      </c>
      <c r="J37" s="197">
        <f t="shared" si="18"/>
        <v>2589.5924893409538</v>
      </c>
      <c r="K37" s="197">
        <f t="shared" si="18"/>
        <v>2871.2532512236357</v>
      </c>
      <c r="L37" s="197">
        <f t="shared" si="18"/>
        <v>7161.7072138916483</v>
      </c>
      <c r="M37" s="197">
        <f t="shared" ca="1" si="18"/>
        <v>5410.5736159546377</v>
      </c>
      <c r="N37" s="197">
        <f t="shared" ca="1" si="18"/>
        <v>6286.0154320467318</v>
      </c>
      <c r="O37" s="197">
        <f t="shared" ca="1" si="18"/>
        <v>7190.4777297486798</v>
      </c>
      <c r="P37" s="197">
        <f t="shared" ca="1" si="18"/>
        <v>8016.3081061262119</v>
      </c>
      <c r="Q37" s="197">
        <f t="shared" ca="1" si="18"/>
        <v>8810.4192127348651</v>
      </c>
      <c r="R37" s="197">
        <f t="shared" ca="1" si="18"/>
        <v>9588.1270036969872</v>
      </c>
      <c r="S37" s="197">
        <f t="shared" ca="1" si="18"/>
        <v>10397.305162617846</v>
      </c>
      <c r="T37" s="197">
        <f t="shared" ca="1" si="18"/>
        <v>11101.751859131266</v>
      </c>
    </row>
    <row r="38" spans="1:20" ht="15" x14ac:dyDescent="0.3">
      <c r="B38" s="1" t="s">
        <v>251</v>
      </c>
      <c r="C38" s="114">
        <v>541</v>
      </c>
      <c r="D38" s="114">
        <v>520</v>
      </c>
      <c r="E38" s="114">
        <v>65</v>
      </c>
      <c r="F38" s="114">
        <f>131+125+143+35</f>
        <v>434</v>
      </c>
      <c r="G38" s="114">
        <v>448</v>
      </c>
      <c r="H38" s="114">
        <f>165+195</f>
        <v>360</v>
      </c>
      <c r="I38" s="114">
        <v>375</v>
      </c>
      <c r="J38" s="114">
        <f ca="1">107+'US Metro PF'!AL252</f>
        <v>410.49805946952148</v>
      </c>
      <c r="K38" s="114">
        <v>429</v>
      </c>
      <c r="L38" s="114">
        <v>2090</v>
      </c>
      <c r="M38" s="114">
        <f ca="1">75+'US Metro PF'!BD252</f>
        <v>1367.3208009265088</v>
      </c>
      <c r="N38" s="114">
        <f ca="1">100+'US Metro PF'!BJ252</f>
        <v>1569.7816157703824</v>
      </c>
      <c r="O38" s="114">
        <f ca="1">125+'US Metro PF'!BP252</f>
        <v>1751.4013277751267</v>
      </c>
      <c r="P38" s="114">
        <f ca="1">150+'US Metro PF'!BV252</f>
        <v>1748.0648677853176</v>
      </c>
      <c r="Q38" s="114">
        <f ca="1">175+'US Metro PF'!CB252</f>
        <v>1712.7470921862571</v>
      </c>
      <c r="R38" s="114">
        <f ca="1">180+'US Metro PF'!CH252</f>
        <v>1884.2667952947825</v>
      </c>
      <c r="S38" s="114">
        <f ca="1">190+'US Metro PF'!CN252</f>
        <v>2065.320771239496</v>
      </c>
      <c r="T38" s="114">
        <f ca="1">200+'US Metro PF'!CT252</f>
        <v>2138.4582227578517</v>
      </c>
    </row>
    <row r="39" spans="1:20" ht="15" x14ac:dyDescent="0.3">
      <c r="B39" s="13" t="s">
        <v>252</v>
      </c>
      <c r="C39" s="197">
        <f>C37-C38</f>
        <v>1483</v>
      </c>
      <c r="D39" s="197">
        <f>D37-D38</f>
        <v>353</v>
      </c>
      <c r="E39" s="197">
        <f>E37-E38</f>
        <v>1694.5651076499998</v>
      </c>
      <c r="F39" s="197">
        <f t="shared" ref="F39:T39" ca="1" si="19">F37-F38</f>
        <v>1636.3785738848055</v>
      </c>
      <c r="G39" s="197">
        <f t="shared" si="19"/>
        <v>1766.719654444707</v>
      </c>
      <c r="H39" s="197">
        <f t="shared" si="19"/>
        <v>1615.8731536184605</v>
      </c>
      <c r="I39" s="197">
        <f ca="1">I37-I38</f>
        <v>1579.7931167749175</v>
      </c>
      <c r="J39" s="197">
        <f t="shared" ca="1" si="19"/>
        <v>2179.0944298714321</v>
      </c>
      <c r="K39" s="197">
        <f t="shared" si="19"/>
        <v>2442.2532512236357</v>
      </c>
      <c r="L39" s="197">
        <f t="shared" si="19"/>
        <v>5071.7072138916483</v>
      </c>
      <c r="M39" s="197">
        <f t="shared" ca="1" si="19"/>
        <v>4043.2528150281287</v>
      </c>
      <c r="N39" s="197">
        <f t="shared" ca="1" si="19"/>
        <v>4716.2338162763499</v>
      </c>
      <c r="O39" s="197">
        <f t="shared" ca="1" si="19"/>
        <v>5439.0764019735534</v>
      </c>
      <c r="P39" s="197">
        <f t="shared" ca="1" si="19"/>
        <v>6268.2432383408941</v>
      </c>
      <c r="Q39" s="197">
        <f t="shared" ca="1" si="19"/>
        <v>7097.6721205486083</v>
      </c>
      <c r="R39" s="197">
        <f t="shared" ca="1" si="19"/>
        <v>7703.860208402205</v>
      </c>
      <c r="S39" s="197">
        <f t="shared" ca="1" si="19"/>
        <v>8331.9843913783498</v>
      </c>
      <c r="T39" s="197">
        <f t="shared" ca="1" si="19"/>
        <v>8963.2936363734134</v>
      </c>
    </row>
    <row r="40" spans="1:20" ht="15" x14ac:dyDescent="0.3">
      <c r="B40" s="1"/>
    </row>
    <row r="41" spans="1:20" ht="15" x14ac:dyDescent="0.3">
      <c r="B41" s="13"/>
      <c r="F41" s="429"/>
      <c r="G41" s="429"/>
      <c r="H41" s="429"/>
    </row>
    <row r="43" spans="1:20" x14ac:dyDescent="0.2">
      <c r="A43" s="278"/>
      <c r="B43" s="278"/>
      <c r="C43" s="278"/>
      <c r="D43" s="278"/>
      <c r="E43" s="278"/>
      <c r="F43" s="278"/>
      <c r="G43" s="278"/>
      <c r="H43" s="278"/>
      <c r="I43" s="278"/>
      <c r="J43" s="278"/>
      <c r="K43" s="278"/>
      <c r="L43" s="278"/>
      <c r="M43" s="278"/>
      <c r="N43" s="278"/>
      <c r="O43" s="278"/>
      <c r="P43" s="278"/>
      <c r="Q43" s="278"/>
      <c r="R43" s="278"/>
      <c r="S43" s="278"/>
      <c r="T43" s="278"/>
    </row>
    <row r="44" spans="1:20" x14ac:dyDescent="0.2">
      <c r="G44" s="259"/>
    </row>
    <row r="46" spans="1:20" ht="15" x14ac:dyDescent="0.3">
      <c r="B46" s="13" t="s">
        <v>239</v>
      </c>
      <c r="C46" s="3" t="s">
        <v>240</v>
      </c>
      <c r="D46" s="3" t="s">
        <v>241</v>
      </c>
      <c r="E46" s="3" t="s">
        <v>366</v>
      </c>
      <c r="F46" s="3" t="s">
        <v>372</v>
      </c>
      <c r="G46" s="3" t="s">
        <v>378</v>
      </c>
      <c r="H46" s="3" t="s">
        <v>409</v>
      </c>
      <c r="I46" s="3" t="s">
        <v>476</v>
      </c>
      <c r="J46" s="3" t="s">
        <v>502</v>
      </c>
      <c r="K46" s="3" t="s">
        <v>560</v>
      </c>
      <c r="L46" s="3" t="s">
        <v>612</v>
      </c>
      <c r="M46" s="3" t="s">
        <v>242</v>
      </c>
      <c r="N46" s="475" t="str">
        <f t="shared" ref="N46:T46" si="20">N2</f>
        <v>2019E</v>
      </c>
      <c r="O46" s="475" t="str">
        <f t="shared" si="20"/>
        <v>2020E</v>
      </c>
      <c r="P46" s="475" t="str">
        <f t="shared" si="20"/>
        <v>2021E</v>
      </c>
      <c r="Q46" s="475" t="str">
        <f t="shared" si="20"/>
        <v>2022E</v>
      </c>
      <c r="R46" s="475" t="str">
        <f t="shared" si="20"/>
        <v>2023E</v>
      </c>
      <c r="S46" s="475" t="str">
        <f t="shared" si="20"/>
        <v>2024E</v>
      </c>
      <c r="T46" s="475" t="str">
        <f t="shared" si="20"/>
        <v>2025E</v>
      </c>
    </row>
    <row r="47" spans="1:20" ht="15" x14ac:dyDescent="0.3">
      <c r="B47" s="1"/>
      <c r="C47" s="2"/>
      <c r="D47" s="2"/>
      <c r="E47" s="2"/>
      <c r="F47" s="2"/>
      <c r="G47" s="2"/>
      <c r="H47" s="2"/>
      <c r="I47" s="2"/>
      <c r="J47" s="2"/>
      <c r="K47" s="2"/>
      <c r="L47" s="2"/>
      <c r="M47" s="357"/>
    </row>
    <row r="48" spans="1:20" ht="15" x14ac:dyDescent="0.3">
      <c r="B48" s="13" t="s">
        <v>243</v>
      </c>
      <c r="C48" s="412">
        <f>(C39-C32)/C58</f>
        <v>0.6915285451197053</v>
      </c>
      <c r="D48" s="412">
        <f>(D39-D32)/D58</f>
        <v>0.63858195211786373</v>
      </c>
      <c r="E48" s="412">
        <f t="shared" ref="E48:M48" si="21">E39/E58</f>
        <v>0.3903628444252476</v>
      </c>
      <c r="F48" s="412">
        <f t="shared" ca="1" si="21"/>
        <v>0.38021848835462729</v>
      </c>
      <c r="G48" s="412">
        <f t="shared" ca="1" si="21"/>
        <v>0.41149128959316889</v>
      </c>
      <c r="H48" s="412">
        <f t="shared" si="21"/>
        <v>0.36750839322659345</v>
      </c>
      <c r="I48" s="412">
        <f t="shared" ca="1" si="21"/>
        <v>0.35104768354451155</v>
      </c>
      <c r="J48" s="412">
        <f t="shared" ca="1" si="21"/>
        <v>0.47610037712778497</v>
      </c>
      <c r="K48" s="412">
        <f t="shared" si="21"/>
        <v>0.52614632252708116</v>
      </c>
      <c r="L48" s="412">
        <f t="shared" si="21"/>
        <v>1.0746778448298697</v>
      </c>
      <c r="M48" s="412">
        <f t="shared" ca="1" si="21"/>
        <v>0.84912384795873075</v>
      </c>
      <c r="N48" s="412">
        <f t="shared" ref="N48:T48" ca="1" si="22">N39/N58</f>
        <v>0.99045664200491101</v>
      </c>
      <c r="O48" s="412">
        <f t="shared" ca="1" si="22"/>
        <v>1.1422608714001925</v>
      </c>
      <c r="P48" s="412">
        <f t="shared" ca="1" si="22"/>
        <v>1.3163942652060672</v>
      </c>
      <c r="Q48" s="412">
        <f t="shared" ca="1" si="22"/>
        <v>1.4905826912798947</v>
      </c>
      <c r="R48" s="412">
        <f t="shared" ca="1" si="22"/>
        <v>1.6178883002271824</v>
      </c>
      <c r="S48" s="412">
        <f t="shared" ca="1" si="22"/>
        <v>1.7498007102704629</v>
      </c>
      <c r="T48" s="412">
        <f t="shared" ca="1" si="22"/>
        <v>1.8823820154437829</v>
      </c>
    </row>
    <row r="49" spans="2:20" ht="15" x14ac:dyDescent="0.3">
      <c r="B49" s="1" t="s">
        <v>83</v>
      </c>
      <c r="C49" s="36" t="s">
        <v>35</v>
      </c>
      <c r="D49" s="36">
        <f>D48/C48-1</f>
        <v>-7.6564580559254303E-2</v>
      </c>
      <c r="E49" s="36">
        <f t="shared" ref="E49:T49" si="23">E48/D48-1</f>
        <v>-0.3887036062785596</v>
      </c>
      <c r="F49" s="36">
        <f t="shared" ca="1" si="23"/>
        <v>-2.59869918858604E-2</v>
      </c>
      <c r="G49" s="36">
        <f t="shared" ca="1" si="23"/>
        <v>8.22495543914048E-2</v>
      </c>
      <c r="H49" s="36">
        <f t="shared" ca="1" si="23"/>
        <v>-0.10688657932482659</v>
      </c>
      <c r="I49" s="36">
        <f t="shared" ca="1" si="23"/>
        <v>-4.4790023807518287E-2</v>
      </c>
      <c r="J49" s="36">
        <f t="shared" ca="1" si="23"/>
        <v>0.35622708664709712</v>
      </c>
      <c r="K49" s="36">
        <f t="shared" ca="1" si="23"/>
        <v>0.10511637420077879</v>
      </c>
      <c r="L49" s="36">
        <f t="shared" si="23"/>
        <v>1.0425455787055418</v>
      </c>
      <c r="M49" s="36">
        <f t="shared" ca="1" si="23"/>
        <v>-0.20988056835473889</v>
      </c>
      <c r="N49" s="36">
        <f t="shared" ca="1" si="23"/>
        <v>0.1664454418350636</v>
      </c>
      <c r="O49" s="36">
        <f t="shared" ca="1" si="23"/>
        <v>0.15326691038993379</v>
      </c>
      <c r="P49" s="36">
        <f t="shared" ca="1" si="23"/>
        <v>0.15244625651268318</v>
      </c>
      <c r="Q49" s="36">
        <f t="shared" ca="1" si="23"/>
        <v>0.13232238295003529</v>
      </c>
      <c r="R49" s="36">
        <f t="shared" ca="1" si="23"/>
        <v>8.5406606216509973E-2</v>
      </c>
      <c r="S49" s="36">
        <f t="shared" ca="1" si="23"/>
        <v>8.153369427590107E-2</v>
      </c>
      <c r="T49" s="36">
        <f t="shared" ca="1" si="23"/>
        <v>7.5769374417974156E-2</v>
      </c>
    </row>
    <row r="50" spans="2:20" ht="15" x14ac:dyDescent="0.3">
      <c r="B50" s="1"/>
      <c r="C50" s="2"/>
      <c r="D50" s="2"/>
      <c r="E50" s="2"/>
      <c r="F50" s="2"/>
      <c r="G50" s="2"/>
      <c r="H50" s="2"/>
      <c r="I50" s="2"/>
      <c r="J50" s="36"/>
      <c r="K50" s="36"/>
      <c r="L50" s="36"/>
      <c r="M50" s="36">
        <f>M51/15.6</f>
        <v>4.4871794871794872E-2</v>
      </c>
      <c r="N50" s="2"/>
      <c r="O50" s="2"/>
      <c r="P50" s="2"/>
    </row>
    <row r="51" spans="2:20" ht="15" x14ac:dyDescent="0.3">
      <c r="B51" s="13" t="s">
        <v>244</v>
      </c>
      <c r="C51" s="412">
        <v>0.78</v>
      </c>
      <c r="D51" s="412">
        <v>0.78</v>
      </c>
      <c r="E51" s="412">
        <v>0.7</v>
      </c>
      <c r="F51" s="412">
        <v>0.7</v>
      </c>
      <c r="G51" s="412">
        <v>0.7</v>
      </c>
      <c r="H51" s="412">
        <v>0.5</v>
      </c>
      <c r="I51" s="412">
        <v>0.5</v>
      </c>
      <c r="J51" s="412">
        <f t="shared" ref="J51" si="24">I51*(1+J52)</f>
        <v>0.55000000000000004</v>
      </c>
      <c r="K51" s="412">
        <v>0.6</v>
      </c>
      <c r="L51" s="412">
        <v>0.65</v>
      </c>
      <c r="M51" s="412">
        <v>0.7</v>
      </c>
      <c r="N51" s="412">
        <v>0.75</v>
      </c>
      <c r="O51" s="412">
        <v>0.8</v>
      </c>
      <c r="P51" s="412">
        <v>0.85</v>
      </c>
      <c r="Q51" s="412">
        <v>0.9</v>
      </c>
      <c r="R51" s="412">
        <v>0.95</v>
      </c>
      <c r="S51" s="412">
        <v>1</v>
      </c>
      <c r="T51" s="412">
        <v>1.05</v>
      </c>
    </row>
    <row r="52" spans="2:20" ht="15" x14ac:dyDescent="0.3">
      <c r="B52" s="1" t="s">
        <v>83</v>
      </c>
      <c r="C52" s="36" t="s">
        <v>35</v>
      </c>
      <c r="D52" s="36">
        <f>D51/C51-1</f>
        <v>0</v>
      </c>
      <c r="E52" s="36">
        <f>E51/D51-1</f>
        <v>-0.10256410256410264</v>
      </c>
      <c r="F52" s="36">
        <f>F51/E51-1</f>
        <v>0</v>
      </c>
      <c r="G52" s="36">
        <f>G51/F51-1</f>
        <v>0</v>
      </c>
      <c r="H52" s="36">
        <f>H51/G51-1</f>
        <v>-0.2857142857142857</v>
      </c>
      <c r="I52" s="36">
        <v>0</v>
      </c>
      <c r="J52" s="36">
        <v>0.1</v>
      </c>
      <c r="K52" s="36">
        <f t="shared" ref="K52:T52" si="25">K51/J51-1</f>
        <v>9.0909090909090828E-2</v>
      </c>
      <c r="L52" s="36">
        <f t="shared" si="25"/>
        <v>8.3333333333333481E-2</v>
      </c>
      <c r="M52" s="36">
        <f t="shared" si="25"/>
        <v>7.6923076923076872E-2</v>
      </c>
      <c r="N52" s="36">
        <f t="shared" si="25"/>
        <v>7.1428571428571397E-2</v>
      </c>
      <c r="O52" s="36">
        <f t="shared" si="25"/>
        <v>6.6666666666666652E-2</v>
      </c>
      <c r="P52" s="36">
        <f t="shared" si="25"/>
        <v>6.25E-2</v>
      </c>
      <c r="Q52" s="36">
        <f t="shared" si="25"/>
        <v>5.8823529411764719E-2</v>
      </c>
      <c r="R52" s="36">
        <f t="shared" si="25"/>
        <v>5.555555555555558E-2</v>
      </c>
      <c r="S52" s="36">
        <f t="shared" si="25"/>
        <v>5.2631578947368363E-2</v>
      </c>
      <c r="T52" s="36">
        <f t="shared" si="25"/>
        <v>5.0000000000000044E-2</v>
      </c>
    </row>
    <row r="53" spans="2:20" ht="15" x14ac:dyDescent="0.3">
      <c r="B53" s="1" t="s">
        <v>44</v>
      </c>
      <c r="C53" s="2" t="s">
        <v>35</v>
      </c>
      <c r="D53" s="2" t="s">
        <v>35</v>
      </c>
      <c r="E53" s="36">
        <f>E51/E48</f>
        <v>1.7932034516006459</v>
      </c>
      <c r="F53" s="36">
        <f t="shared" ref="F53:M53" ca="1" si="26">F51/F48</f>
        <v>1.8410467177154062</v>
      </c>
      <c r="G53" s="36">
        <f t="shared" ca="1" si="26"/>
        <v>1.7011295687256769</v>
      </c>
      <c r="H53" s="36">
        <f t="shared" si="26"/>
        <v>1.360513145319423</v>
      </c>
      <c r="I53" s="36">
        <f t="shared" ca="1" si="26"/>
        <v>1.424307931479633</v>
      </c>
      <c r="J53" s="36">
        <f ca="1">J51/J48</f>
        <v>1.1552185766330121</v>
      </c>
      <c r="K53" s="36">
        <f t="shared" si="26"/>
        <v>1.1403671836347722</v>
      </c>
      <c r="L53" s="36">
        <f t="shared" ref="L53" si="27">L51/L48</f>
        <v>0.6048324185029611</v>
      </c>
      <c r="M53" s="36">
        <f t="shared" ca="1" si="26"/>
        <v>0.82437915468135747</v>
      </c>
      <c r="N53" s="36">
        <f t="shared" ref="N53:T53" ca="1" si="28">N51/N48</f>
        <v>0.75722648341458776</v>
      </c>
      <c r="O53" s="36">
        <f t="shared" ca="1" si="28"/>
        <v>0.70036540691388094</v>
      </c>
      <c r="P53" s="36">
        <f t="shared" ca="1" si="28"/>
        <v>0.64570320797237879</v>
      </c>
      <c r="Q53" s="36">
        <f t="shared" ca="1" si="28"/>
        <v>0.60379072242359899</v>
      </c>
      <c r="R53" s="36">
        <f t="shared" ca="1" si="28"/>
        <v>0.5871851597335872</v>
      </c>
      <c r="S53" s="36">
        <f t="shared" ca="1" si="28"/>
        <v>0.57149365303745481</v>
      </c>
      <c r="T53" s="36">
        <f t="shared" ca="1" si="28"/>
        <v>0.55780388432602834</v>
      </c>
    </row>
    <row r="54" spans="2:20" ht="15" x14ac:dyDescent="0.3">
      <c r="B54" s="1"/>
      <c r="C54" s="36"/>
      <c r="D54" s="36"/>
      <c r="E54" s="36"/>
      <c r="F54" s="450"/>
      <c r="G54" s="450"/>
      <c r="H54" s="450"/>
      <c r="I54" s="450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</row>
    <row r="55" spans="2:20" ht="15" x14ac:dyDescent="0.3">
      <c r="B55" s="1" t="s">
        <v>134</v>
      </c>
      <c r="C55" s="98">
        <v>4361</v>
      </c>
      <c r="D55" s="98">
        <v>4361</v>
      </c>
      <c r="E55" s="98">
        <v>4321</v>
      </c>
      <c r="F55" s="98">
        <f ca="1">E55+(F174/10)</f>
        <v>4286.5697211155375</v>
      </c>
      <c r="G55" s="98">
        <v>4321</v>
      </c>
      <c r="H55" s="98">
        <v>4451</v>
      </c>
      <c r="I55" s="98">
        <f>H55+H65</f>
        <v>4535.383541666667</v>
      </c>
      <c r="J55" s="98">
        <f>I55+I65+0.6</f>
        <v>4606.6648436147198</v>
      </c>
      <c r="K55" s="98">
        <f>J55+J65</f>
        <v>4676.8866957878245</v>
      </c>
      <c r="L55" s="98">
        <f>K55+K65</f>
        <v>4761.6761968798683</v>
      </c>
      <c r="M55" s="98">
        <f t="shared" ref="M55:T55" si="29">L55</f>
        <v>4761.6761968798683</v>
      </c>
      <c r="N55" s="98">
        <f t="shared" si="29"/>
        <v>4761.6761968798683</v>
      </c>
      <c r="O55" s="98">
        <f t="shared" si="29"/>
        <v>4761.6761968798683</v>
      </c>
      <c r="P55" s="98">
        <f t="shared" si="29"/>
        <v>4761.6761968798683</v>
      </c>
      <c r="Q55" s="98">
        <f t="shared" si="29"/>
        <v>4761.6761968798683</v>
      </c>
      <c r="R55" s="98">
        <f t="shared" si="29"/>
        <v>4761.6761968798683</v>
      </c>
      <c r="S55" s="98">
        <f t="shared" si="29"/>
        <v>4761.6761968798683</v>
      </c>
      <c r="T55" s="98">
        <f t="shared" si="29"/>
        <v>4761.6761968798683</v>
      </c>
    </row>
    <row r="56" spans="2:20" ht="15" x14ac:dyDescent="0.3">
      <c r="B56" s="1" t="s">
        <v>83</v>
      </c>
      <c r="C56" s="36" t="s">
        <v>35</v>
      </c>
      <c r="D56" s="36">
        <f t="shared" ref="D56:T56" si="30">D55/C55-1</f>
        <v>0</v>
      </c>
      <c r="E56" s="36">
        <f t="shared" si="30"/>
        <v>-9.1722082091263424E-3</v>
      </c>
      <c r="F56" s="36">
        <f t="shared" ca="1" si="30"/>
        <v>-7.9681274900399446E-3</v>
      </c>
      <c r="G56" s="36">
        <f t="shared" ca="1" si="30"/>
        <v>8.0321285140563248E-3</v>
      </c>
      <c r="H56" s="36">
        <f t="shared" si="30"/>
        <v>3.0085628326776304E-2</v>
      </c>
      <c r="I56" s="36">
        <f t="shared" si="30"/>
        <v>1.895833333333341E-2</v>
      </c>
      <c r="J56" s="36">
        <f t="shared" si="30"/>
        <v>1.571670869578945E-2</v>
      </c>
      <c r="K56" s="36">
        <f t="shared" si="30"/>
        <v>1.5243534000620729E-2</v>
      </c>
      <c r="L56" s="36">
        <f t="shared" si="30"/>
        <v>1.8129475141745122E-2</v>
      </c>
      <c r="M56" s="36">
        <f t="shared" si="30"/>
        <v>0</v>
      </c>
      <c r="N56" s="36">
        <f t="shared" si="30"/>
        <v>0</v>
      </c>
      <c r="O56" s="36">
        <f t="shared" si="30"/>
        <v>0</v>
      </c>
      <c r="P56" s="36">
        <f t="shared" si="30"/>
        <v>0</v>
      </c>
      <c r="Q56" s="36">
        <f t="shared" si="30"/>
        <v>0</v>
      </c>
      <c r="R56" s="36">
        <f t="shared" si="30"/>
        <v>0</v>
      </c>
      <c r="S56" s="36">
        <f t="shared" si="30"/>
        <v>0</v>
      </c>
      <c r="T56" s="36">
        <f t="shared" si="30"/>
        <v>0</v>
      </c>
    </row>
    <row r="57" spans="2:20" ht="15" x14ac:dyDescent="0.3">
      <c r="B57" s="1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2:20" ht="15" x14ac:dyDescent="0.3">
      <c r="B58" s="1" t="s">
        <v>245</v>
      </c>
      <c r="C58" s="98">
        <v>4344</v>
      </c>
      <c r="D58" s="98">
        <v>4344</v>
      </c>
      <c r="E58" s="98">
        <f t="shared" ref="E58:T58" si="31">(D55+E55)/2</f>
        <v>4341</v>
      </c>
      <c r="F58" s="98">
        <f t="shared" ca="1" si="31"/>
        <v>4303.7848605577692</v>
      </c>
      <c r="G58" s="98">
        <f ca="1">(F55*0.8)+(G55*0.2)</f>
        <v>4293.4557768924305</v>
      </c>
      <c r="H58" s="98">
        <f>(5/12*G55)+(7/12*H55)</f>
        <v>4396.8333333333339</v>
      </c>
      <c r="I58" s="98">
        <f>(5/12*H55)+(7/12*I55)</f>
        <v>4500.2237326388895</v>
      </c>
      <c r="J58" s="98">
        <f>(5/12*I55)+(7/12*J55)</f>
        <v>4576.9643011363651</v>
      </c>
      <c r="K58" s="98">
        <f t="shared" si="31"/>
        <v>4641.7757697012721</v>
      </c>
      <c r="L58" s="98">
        <f t="shared" si="31"/>
        <v>4719.2814463338464</v>
      </c>
      <c r="M58" s="98">
        <f t="shared" si="31"/>
        <v>4761.6761968798683</v>
      </c>
      <c r="N58" s="98">
        <f t="shared" si="31"/>
        <v>4761.6761968798683</v>
      </c>
      <c r="O58" s="98">
        <f t="shared" si="31"/>
        <v>4761.6761968798683</v>
      </c>
      <c r="P58" s="98">
        <f t="shared" si="31"/>
        <v>4761.6761968798683</v>
      </c>
      <c r="Q58" s="98">
        <f t="shared" si="31"/>
        <v>4761.6761968798683</v>
      </c>
      <c r="R58" s="98">
        <f t="shared" si="31"/>
        <v>4761.6761968798683</v>
      </c>
      <c r="S58" s="98">
        <f t="shared" si="31"/>
        <v>4761.6761968798683</v>
      </c>
      <c r="T58" s="98">
        <f t="shared" si="31"/>
        <v>4761.6761968798683</v>
      </c>
    </row>
    <row r="59" spans="2:20" ht="15" x14ac:dyDescent="0.3">
      <c r="B59" s="1" t="s">
        <v>83</v>
      </c>
      <c r="C59" s="36">
        <v>1E-3</v>
      </c>
      <c r="D59" s="36">
        <f t="shared" ref="D59:T59" si="32">D58/C58-1</f>
        <v>0</v>
      </c>
      <c r="E59" s="36">
        <f t="shared" si="32"/>
        <v>-6.906077348066697E-4</v>
      </c>
      <c r="F59" s="36">
        <f t="shared" ca="1" si="32"/>
        <v>-8.5729415900094308E-3</v>
      </c>
      <c r="G59" s="36">
        <f t="shared" ca="1" si="32"/>
        <v>-2.3999999999999577E-3</v>
      </c>
      <c r="H59" s="36">
        <f t="shared" ca="1" si="32"/>
        <v>2.4077936704806957E-2</v>
      </c>
      <c r="I59" s="36">
        <f t="shared" si="32"/>
        <v>2.3514741512199455E-2</v>
      </c>
      <c r="J59" s="36">
        <f t="shared" si="32"/>
        <v>1.7052611838139775E-2</v>
      </c>
      <c r="K59" s="36">
        <f t="shared" si="32"/>
        <v>1.4160361388183773E-2</v>
      </c>
      <c r="L59" s="36">
        <f t="shared" si="32"/>
        <v>1.6697419366632271E-2</v>
      </c>
      <c r="M59" s="36">
        <f t="shared" si="32"/>
        <v>8.9833062571329503E-3</v>
      </c>
      <c r="N59" s="36">
        <f t="shared" si="32"/>
        <v>0</v>
      </c>
      <c r="O59" s="36">
        <f t="shared" si="32"/>
        <v>0</v>
      </c>
      <c r="P59" s="36">
        <f t="shared" si="32"/>
        <v>0</v>
      </c>
      <c r="Q59" s="36">
        <f t="shared" si="32"/>
        <v>0</v>
      </c>
      <c r="R59" s="36">
        <f t="shared" si="32"/>
        <v>0</v>
      </c>
      <c r="S59" s="36">
        <f t="shared" si="32"/>
        <v>0</v>
      </c>
      <c r="T59" s="36">
        <f t="shared" si="32"/>
        <v>0</v>
      </c>
    </row>
    <row r="61" spans="2:20" hidden="1" x14ac:dyDescent="0.2">
      <c r="M61" s="674">
        <f>L51+M51</f>
        <v>1.35</v>
      </c>
      <c r="N61">
        <f>N51/13.2</f>
        <v>5.6818181818181823E-2</v>
      </c>
    </row>
    <row r="62" spans="2:20" hidden="1" x14ac:dyDescent="0.2">
      <c r="B62" s="479" t="s">
        <v>414</v>
      </c>
      <c r="G62" s="473">
        <f>G55*G51</f>
        <v>3024.7</v>
      </c>
      <c r="H62" s="473">
        <f>H55*H51</f>
        <v>2225.5</v>
      </c>
      <c r="I62" s="473">
        <f>I55*I51</f>
        <v>2267.6917708333335</v>
      </c>
      <c r="J62" s="473">
        <f>J55*J51</f>
        <v>2533.6656639880962</v>
      </c>
      <c r="K62" s="473">
        <f>K55*K51</f>
        <v>2806.1320174726948</v>
      </c>
      <c r="M62" s="429">
        <f>M61/13.2</f>
        <v>0.10227272727272728</v>
      </c>
    </row>
    <row r="63" spans="2:20" hidden="1" x14ac:dyDescent="0.2">
      <c r="B63" s="479" t="s">
        <v>415</v>
      </c>
      <c r="G63" s="473">
        <v>1870</v>
      </c>
      <c r="H63" s="473">
        <f>0.545*H62</f>
        <v>1212.8975</v>
      </c>
      <c r="I63" s="473">
        <f>0.52*I62</f>
        <v>1179.1997208333335</v>
      </c>
      <c r="J63" s="473">
        <v>1500</v>
      </c>
      <c r="K63" s="473">
        <v>1449.5</v>
      </c>
    </row>
    <row r="64" spans="2:20" hidden="1" x14ac:dyDescent="0.2">
      <c r="B64" s="479" t="s">
        <v>416</v>
      </c>
      <c r="G64" s="473">
        <f>G62-G63</f>
        <v>1154.6999999999998</v>
      </c>
      <c r="H64" s="473">
        <f>H62-H63</f>
        <v>1012.6025</v>
      </c>
      <c r="I64" s="473">
        <f>I62-I63</f>
        <v>1088.4920500000001</v>
      </c>
      <c r="J64" s="473">
        <f>J62-J63</f>
        <v>1033.6656639880962</v>
      </c>
      <c r="K64" s="473">
        <f>K62-K63</f>
        <v>1356.6320174726948</v>
      </c>
      <c r="M64" s="429">
        <f>M51/13.12</f>
        <v>5.3353658536585365E-2</v>
      </c>
      <c r="N64" s="429">
        <f>N51/13.12</f>
        <v>5.7164634146341466E-2</v>
      </c>
    </row>
    <row r="65" spans="1:20" hidden="1" x14ac:dyDescent="0.2">
      <c r="B65" s="479" t="s">
        <v>417</v>
      </c>
      <c r="G65">
        <v>120</v>
      </c>
      <c r="H65" s="481">
        <f>H64/12</f>
        <v>84.383541666666659</v>
      </c>
      <c r="I65" s="481">
        <f>I64/15.4</f>
        <v>70.681301948051953</v>
      </c>
      <c r="J65" s="481">
        <f>J64/14.72</f>
        <v>70.221852173104352</v>
      </c>
      <c r="K65" s="481">
        <f>K64/16</f>
        <v>84.789501092043423</v>
      </c>
    </row>
    <row r="66" spans="1:20" x14ac:dyDescent="0.2">
      <c r="B66" s="479"/>
    </row>
    <row r="67" spans="1:20" x14ac:dyDescent="0.2">
      <c r="A67" s="278"/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8"/>
      <c r="P67" s="278"/>
      <c r="Q67" s="278"/>
      <c r="R67" s="278"/>
      <c r="S67" s="278"/>
      <c r="T67" s="278"/>
    </row>
    <row r="69" spans="1:20" ht="15" x14ac:dyDescent="0.3">
      <c r="B69" s="351" t="s">
        <v>255</v>
      </c>
      <c r="C69" s="129"/>
      <c r="D69" s="129"/>
      <c r="E69" s="129"/>
      <c r="F69" s="129"/>
      <c r="H69" s="129"/>
      <c r="I69" s="129"/>
      <c r="J69" s="129"/>
      <c r="K69" s="129"/>
      <c r="L69" s="129"/>
      <c r="M69" s="129"/>
    </row>
    <row r="71" spans="1:20" x14ac:dyDescent="0.2">
      <c r="B71" s="281" t="s">
        <v>256</v>
      </c>
      <c r="C71" s="129" t="str">
        <f t="shared" ref="C71:M71" si="33">C93</f>
        <v>2008A</v>
      </c>
      <c r="D71" s="129" t="str">
        <f t="shared" si="33"/>
        <v>2009A</v>
      </c>
      <c r="E71" s="129" t="str">
        <f t="shared" si="33"/>
        <v>2010A</v>
      </c>
      <c r="F71" s="129" t="str">
        <f t="shared" si="33"/>
        <v>2011A</v>
      </c>
      <c r="G71" s="129" t="str">
        <f t="shared" si="33"/>
        <v>2012A</v>
      </c>
      <c r="H71" s="129" t="str">
        <f t="shared" si="33"/>
        <v>2013A</v>
      </c>
      <c r="I71" s="129" t="str">
        <f t="shared" si="33"/>
        <v>2014A</v>
      </c>
      <c r="J71" s="129" t="str">
        <f t="shared" si="33"/>
        <v>2015A</v>
      </c>
      <c r="K71" s="129" t="str">
        <f t="shared" si="33"/>
        <v>2016A</v>
      </c>
      <c r="L71" s="129" t="str">
        <f t="shared" si="33"/>
        <v>2017A</v>
      </c>
      <c r="M71" s="129" t="str">
        <f t="shared" si="33"/>
        <v>2018E</v>
      </c>
      <c r="N71" s="129" t="str">
        <f t="shared" ref="N71:T71" si="34">N46</f>
        <v>2019E</v>
      </c>
      <c r="O71" s="129" t="str">
        <f t="shared" si="34"/>
        <v>2020E</v>
      </c>
      <c r="P71" s="129" t="str">
        <f t="shared" si="34"/>
        <v>2021E</v>
      </c>
      <c r="Q71" s="129" t="str">
        <f t="shared" si="34"/>
        <v>2022E</v>
      </c>
      <c r="R71" s="129" t="str">
        <f t="shared" si="34"/>
        <v>2023E</v>
      </c>
      <c r="S71" s="129" t="str">
        <f t="shared" si="34"/>
        <v>2024E</v>
      </c>
      <c r="T71" s="129" t="str">
        <f t="shared" si="34"/>
        <v>2025E</v>
      </c>
    </row>
    <row r="73" spans="1:20" x14ac:dyDescent="0.2">
      <c r="B73" s="226" t="s">
        <v>257</v>
      </c>
      <c r="C73" s="197">
        <f t="shared" ref="C73:M73" si="35">C74+C75+C76+C77+C78+C79+C80</f>
        <v>15431</v>
      </c>
      <c r="D73" s="197">
        <f t="shared" si="35"/>
        <v>23012</v>
      </c>
      <c r="E73" s="197">
        <f t="shared" si="35"/>
        <v>15243</v>
      </c>
      <c r="F73" s="197">
        <f t="shared" si="35"/>
        <v>15865</v>
      </c>
      <c r="G73" s="197">
        <f t="shared" si="35"/>
        <v>15019</v>
      </c>
      <c r="H73" s="197">
        <f t="shared" si="35"/>
        <v>21963</v>
      </c>
      <c r="I73" s="197">
        <f t="shared" si="35"/>
        <v>29798</v>
      </c>
      <c r="J73" s="197">
        <f t="shared" si="35"/>
        <v>32184</v>
      </c>
      <c r="K73" s="197">
        <f t="shared" si="35"/>
        <v>26638</v>
      </c>
      <c r="L73" s="197">
        <f t="shared" si="35"/>
        <v>20392</v>
      </c>
      <c r="M73" s="197">
        <f t="shared" ca="1" si="35"/>
        <v>18738.977920074423</v>
      </c>
      <c r="N73" s="197">
        <f t="shared" ref="N73:T73" ca="1" si="36">N74+N75+N76+N77+N78+N79+N80</f>
        <v>19771.258613107806</v>
      </c>
      <c r="O73" s="197">
        <f t="shared" ca="1" si="36"/>
        <v>21960.449555280542</v>
      </c>
      <c r="P73" s="197">
        <f t="shared" ca="1" si="36"/>
        <v>24025.208624961888</v>
      </c>
      <c r="Q73" s="197">
        <f t="shared" ca="1" si="36"/>
        <v>27037.539051292595</v>
      </c>
      <c r="R73" s="197">
        <f t="shared" ca="1" si="36"/>
        <v>31271.970293343518</v>
      </c>
      <c r="S73" s="197">
        <f t="shared" ca="1" si="36"/>
        <v>35254.670970511877</v>
      </c>
      <c r="T73" s="197">
        <f t="shared" ca="1" si="36"/>
        <v>39782.462446690333</v>
      </c>
    </row>
    <row r="74" spans="1:20" ht="13.5" customHeight="1" x14ac:dyDescent="0.2">
      <c r="B74" t="s">
        <v>258</v>
      </c>
      <c r="C74" s="114">
        <v>3026</v>
      </c>
      <c r="D74" s="489">
        <v>5022</v>
      </c>
      <c r="E74" s="489">
        <v>2808</v>
      </c>
      <c r="F74" s="114">
        <v>3749</v>
      </c>
      <c r="G74" s="114">
        <v>4026</v>
      </c>
      <c r="H74" s="114">
        <v>7970</v>
      </c>
      <c r="I74" s="114">
        <v>7523</v>
      </c>
      <c r="J74" s="114">
        <v>6897</v>
      </c>
      <c r="K74" s="114">
        <v>7747</v>
      </c>
      <c r="L74" s="114">
        <v>3312</v>
      </c>
      <c r="M74" s="114">
        <f t="shared" ref="M74:P74" ca="1" si="37">M191</f>
        <v>1752.6361813900039</v>
      </c>
      <c r="N74" s="114">
        <f t="shared" ca="1" si="37"/>
        <v>2424.3931051476629</v>
      </c>
      <c r="O74" s="114">
        <f t="shared" ca="1" si="37"/>
        <v>4193.3283059712458</v>
      </c>
      <c r="P74" s="114">
        <f t="shared" ca="1" si="37"/>
        <v>5882.671572881979</v>
      </c>
      <c r="Q74" s="114">
        <f t="shared" ref="Q74:T74" ca="1" si="38">Q191</f>
        <v>8538.5070680454774</v>
      </c>
      <c r="R74" s="114">
        <f t="shared" ca="1" si="38"/>
        <v>12434.094308385964</v>
      </c>
      <c r="S74" s="114">
        <f t="shared" ca="1" si="38"/>
        <v>16099.351399297497</v>
      </c>
      <c r="T74" s="114">
        <f t="shared" ca="1" si="38"/>
        <v>20344.89351468263</v>
      </c>
    </row>
    <row r="75" spans="1:20" x14ac:dyDescent="0.2">
      <c r="B75" t="s">
        <v>259</v>
      </c>
      <c r="C75" s="114">
        <v>7393</v>
      </c>
      <c r="D75" s="489">
        <v>6757</v>
      </c>
      <c r="E75" s="489">
        <v>6889</v>
      </c>
      <c r="F75" s="114">
        <v>6557</v>
      </c>
      <c r="G75" s="114">
        <v>6417</v>
      </c>
      <c r="H75" s="114">
        <v>7712</v>
      </c>
      <c r="I75" s="114">
        <v>10454</v>
      </c>
      <c r="J75" s="114">
        <v>9238</v>
      </c>
      <c r="K75" s="114">
        <v>9362</v>
      </c>
      <c r="L75" s="114">
        <v>9723</v>
      </c>
      <c r="M75" s="114">
        <f t="shared" ref="M75:T75" ca="1" si="39">L75*(1+M7)</f>
        <v>9652.603535636199</v>
      </c>
      <c r="N75" s="114">
        <f t="shared" ca="1" si="39"/>
        <v>9908.29540643974</v>
      </c>
      <c r="O75" s="114">
        <f t="shared" ca="1" si="39"/>
        <v>10213.155080678278</v>
      </c>
      <c r="P75" s="114">
        <f t="shared" ca="1" si="39"/>
        <v>10480.335628006098</v>
      </c>
      <c r="Q75" s="114">
        <f t="shared" ca="1" si="39"/>
        <v>10731.357325434525</v>
      </c>
      <c r="R75" s="114">
        <f t="shared" ca="1" si="39"/>
        <v>10967.270347689506</v>
      </c>
      <c r="S75" s="114">
        <f t="shared" ca="1" si="39"/>
        <v>11184.956401624011</v>
      </c>
      <c r="T75" s="114">
        <f t="shared" ca="1" si="39"/>
        <v>11372.955761769759</v>
      </c>
    </row>
    <row r="76" spans="1:20" x14ac:dyDescent="0.2">
      <c r="B76" t="s">
        <v>260</v>
      </c>
      <c r="C76" s="114">
        <v>273</v>
      </c>
      <c r="D76" s="489">
        <v>144</v>
      </c>
      <c r="E76" s="489">
        <v>224</v>
      </c>
      <c r="F76" s="114">
        <v>129</v>
      </c>
      <c r="G76" s="114">
        <v>95</v>
      </c>
      <c r="H76" s="114">
        <v>98</v>
      </c>
      <c r="I76" s="114">
        <v>84</v>
      </c>
      <c r="J76" s="114">
        <v>129</v>
      </c>
      <c r="K76" s="114">
        <v>218</v>
      </c>
      <c r="L76" s="114">
        <v>236</v>
      </c>
      <c r="M76" s="114">
        <f t="shared" ref="M76:T76" si="40">L76*1.01</f>
        <v>238.36</v>
      </c>
      <c r="N76" s="114">
        <f t="shared" si="40"/>
        <v>240.74360000000001</v>
      </c>
      <c r="O76" s="114">
        <f t="shared" si="40"/>
        <v>243.151036</v>
      </c>
      <c r="P76" s="114">
        <f t="shared" si="40"/>
        <v>245.58254636000001</v>
      </c>
      <c r="Q76" s="114">
        <f t="shared" si="40"/>
        <v>248.03837182360002</v>
      </c>
      <c r="R76" s="114">
        <f t="shared" si="40"/>
        <v>250.51875554183601</v>
      </c>
      <c r="S76" s="114">
        <f t="shared" si="40"/>
        <v>253.02394309725437</v>
      </c>
      <c r="T76" s="114">
        <f t="shared" si="40"/>
        <v>255.55418252822693</v>
      </c>
    </row>
    <row r="77" spans="1:20" x14ac:dyDescent="0.2">
      <c r="B77" t="s">
        <v>261</v>
      </c>
      <c r="C77" s="114">
        <v>1692</v>
      </c>
      <c r="D77" s="489">
        <v>2001</v>
      </c>
      <c r="E77" s="489">
        <v>2372</v>
      </c>
      <c r="F77" s="114">
        <v>2373</v>
      </c>
      <c r="G77" s="114">
        <v>2020</v>
      </c>
      <c r="H77" s="114">
        <v>2745</v>
      </c>
      <c r="I77" s="114">
        <v>2976</v>
      </c>
      <c r="J77" s="114">
        <v>5805</v>
      </c>
      <c r="K77" s="114">
        <v>5713</v>
      </c>
      <c r="L77" s="114">
        <v>3329</v>
      </c>
      <c r="M77" s="114">
        <f t="shared" ref="M77:T77" si="41">L77*1.01</f>
        <v>3362.29</v>
      </c>
      <c r="N77" s="114">
        <f t="shared" si="41"/>
        <v>3395.9128999999998</v>
      </c>
      <c r="O77" s="114">
        <f t="shared" si="41"/>
        <v>3429.8720289999997</v>
      </c>
      <c r="P77" s="114">
        <f t="shared" si="41"/>
        <v>3464.1707492899995</v>
      </c>
      <c r="Q77" s="114">
        <f t="shared" si="41"/>
        <v>3498.8124567828995</v>
      </c>
      <c r="R77" s="114">
        <f t="shared" si="41"/>
        <v>3533.8005813507284</v>
      </c>
      <c r="S77" s="114">
        <f t="shared" si="41"/>
        <v>3569.1385871642356</v>
      </c>
      <c r="T77" s="114">
        <f t="shared" si="41"/>
        <v>3604.8299730358781</v>
      </c>
    </row>
    <row r="78" spans="1:20" x14ac:dyDescent="0.2">
      <c r="B78" t="s">
        <v>262</v>
      </c>
      <c r="C78" s="114">
        <v>1294</v>
      </c>
      <c r="D78" s="114">
        <v>1174</v>
      </c>
      <c r="E78" s="114">
        <v>1310</v>
      </c>
      <c r="F78" s="114">
        <v>1084</v>
      </c>
      <c r="G78" s="114">
        <v>1106</v>
      </c>
      <c r="H78" s="114">
        <v>1062</v>
      </c>
      <c r="I78" s="114">
        <v>1503</v>
      </c>
      <c r="J78" s="114">
        <v>1847</v>
      </c>
      <c r="K78" s="114">
        <v>1629</v>
      </c>
      <c r="L78" s="114">
        <v>1985</v>
      </c>
      <c r="M78" s="114">
        <f t="shared" ref="M78:T78" ca="1" si="42">L78*(1+M7)</f>
        <v>1970.6282030482214</v>
      </c>
      <c r="N78" s="114">
        <f t="shared" ca="1" si="42"/>
        <v>2022.8290015204036</v>
      </c>
      <c r="O78" s="114">
        <f t="shared" ca="1" si="42"/>
        <v>2085.0676576310175</v>
      </c>
      <c r="P78" s="114">
        <f t="shared" ca="1" si="42"/>
        <v>2139.6139279638082</v>
      </c>
      <c r="Q78" s="114">
        <f t="shared" ca="1" si="42"/>
        <v>2190.8612867414927</v>
      </c>
      <c r="R78" s="114">
        <f t="shared" ca="1" si="42"/>
        <v>2239.0241324862359</v>
      </c>
      <c r="S78" s="114">
        <f t="shared" ca="1" si="42"/>
        <v>2283.4658497607388</v>
      </c>
      <c r="T78" s="114">
        <f t="shared" ca="1" si="42"/>
        <v>2321.8468772100146</v>
      </c>
    </row>
    <row r="79" spans="1:20" x14ac:dyDescent="0.2">
      <c r="B79" t="s">
        <v>263</v>
      </c>
      <c r="C79" s="114">
        <v>434</v>
      </c>
      <c r="D79" s="114">
        <v>6527</v>
      </c>
      <c r="E79" s="114">
        <v>51</v>
      </c>
      <c r="F79" s="114">
        <v>436</v>
      </c>
      <c r="G79" s="114">
        <v>90</v>
      </c>
      <c r="H79" s="114">
        <v>1033</v>
      </c>
      <c r="I79" s="114">
        <v>5878</v>
      </c>
      <c r="J79" s="114">
        <v>6922</v>
      </c>
      <c r="K79" s="114">
        <v>372</v>
      </c>
      <c r="L79" s="114">
        <v>161</v>
      </c>
      <c r="M79" s="114">
        <v>100</v>
      </c>
      <c r="N79" s="114">
        <v>100</v>
      </c>
      <c r="O79" s="114">
        <v>100</v>
      </c>
      <c r="P79" s="114">
        <v>100</v>
      </c>
      <c r="Q79" s="114">
        <v>100</v>
      </c>
      <c r="R79" s="114">
        <v>100</v>
      </c>
      <c r="S79" s="114">
        <v>100</v>
      </c>
      <c r="T79" s="114">
        <v>100</v>
      </c>
    </row>
    <row r="80" spans="1:20" x14ac:dyDescent="0.2">
      <c r="B80" t="s">
        <v>264</v>
      </c>
      <c r="C80" s="114">
        <v>1319</v>
      </c>
      <c r="D80" s="114">
        <v>1387</v>
      </c>
      <c r="E80" s="114">
        <v>1589</v>
      </c>
      <c r="F80" s="114">
        <v>1537</v>
      </c>
      <c r="G80" s="114">
        <v>1265</v>
      </c>
      <c r="H80" s="114">
        <v>1343</v>
      </c>
      <c r="I80" s="114">
        <v>1380</v>
      </c>
      <c r="J80" s="114">
        <v>1346</v>
      </c>
      <c r="K80" s="114">
        <v>1597</v>
      </c>
      <c r="L80" s="114">
        <v>1646</v>
      </c>
      <c r="M80" s="114">
        <f t="shared" ref="M80:T80" si="43">L80*1.01</f>
        <v>1662.46</v>
      </c>
      <c r="N80" s="114">
        <f t="shared" si="43"/>
        <v>1679.0846000000001</v>
      </c>
      <c r="O80" s="114">
        <f t="shared" si="43"/>
        <v>1695.8754460000002</v>
      </c>
      <c r="P80" s="114">
        <f t="shared" si="43"/>
        <v>1712.8342004600001</v>
      </c>
      <c r="Q80" s="114">
        <f t="shared" si="43"/>
        <v>1729.9625424646001</v>
      </c>
      <c r="R80" s="114">
        <f t="shared" si="43"/>
        <v>1747.262167889246</v>
      </c>
      <c r="S80" s="114">
        <f t="shared" si="43"/>
        <v>1764.7347895681385</v>
      </c>
      <c r="T80" s="114">
        <f t="shared" si="43"/>
        <v>1782.3821374638198</v>
      </c>
    </row>
    <row r="81" spans="1:20" x14ac:dyDescent="0.2">
      <c r="D81" s="114"/>
    </row>
    <row r="82" spans="1:20" x14ac:dyDescent="0.2">
      <c r="B82" s="226" t="s">
        <v>263</v>
      </c>
      <c r="C82" s="197">
        <f t="shared" ref="C82:M82" si="44">C83+C84+C85+C86+C87+C88</f>
        <v>107709</v>
      </c>
      <c r="D82" s="197">
        <f t="shared" si="44"/>
        <v>104762</v>
      </c>
      <c r="E82" s="197">
        <f t="shared" si="44"/>
        <v>112569</v>
      </c>
      <c r="F82" s="197">
        <f t="shared" si="44"/>
        <v>106677</v>
      </c>
      <c r="G82" s="197">
        <f t="shared" si="44"/>
        <v>92923</v>
      </c>
      <c r="H82" s="197">
        <f t="shared" si="44"/>
        <v>96185</v>
      </c>
      <c r="I82" s="197">
        <f t="shared" si="44"/>
        <v>99562</v>
      </c>
      <c r="J82" s="197">
        <f t="shared" si="44"/>
        <v>111736</v>
      </c>
      <c r="K82" s="197">
        <f t="shared" si="44"/>
        <v>121847</v>
      </c>
      <c r="L82" s="197">
        <f t="shared" si="44"/>
        <v>120942</v>
      </c>
      <c r="M82" s="197">
        <f t="shared" ca="1" si="44"/>
        <v>121199.7117584282</v>
      </c>
      <c r="N82" s="197">
        <f t="shared" ref="N82:T82" ca="1" si="45">N83+N84+N85+N86+N87+N88</f>
        <v>122538.92224263567</v>
      </c>
      <c r="O82" s="197">
        <f t="shared" ca="1" si="45"/>
        <v>123979.71604886882</v>
      </c>
      <c r="P82" s="197">
        <f t="shared" ca="1" si="45"/>
        <v>124445.95620624683</v>
      </c>
      <c r="Q82" s="197">
        <f t="shared" ca="1" si="45"/>
        <v>124900.07322347013</v>
      </c>
      <c r="R82" s="197">
        <f t="shared" ca="1" si="45"/>
        <v>124897.37586458988</v>
      </c>
      <c r="S82" s="197">
        <f t="shared" ca="1" si="45"/>
        <v>124516.12978999964</v>
      </c>
      <c r="T82" s="197">
        <f t="shared" ca="1" si="45"/>
        <v>124144.61633804781</v>
      </c>
    </row>
    <row r="83" spans="1:20" x14ac:dyDescent="0.2">
      <c r="B83" t="s">
        <v>348</v>
      </c>
      <c r="C83" s="114">
        <v>53927</v>
      </c>
      <c r="D83" s="114">
        <v>51705</v>
      </c>
      <c r="E83" s="114">
        <v>53807</v>
      </c>
      <c r="F83" s="114">
        <v>50097</v>
      </c>
      <c r="G83" s="114">
        <v>41732</v>
      </c>
      <c r="H83" s="114">
        <v>45967</v>
      </c>
      <c r="I83" s="114">
        <v>51565</v>
      </c>
      <c r="J83" s="114">
        <v>57025</v>
      </c>
      <c r="K83" s="114">
        <v>60599</v>
      </c>
      <c r="L83" s="114">
        <v>62865</v>
      </c>
      <c r="M83" s="114">
        <f t="shared" ref="M83:T83" si="46">L83-1000-M161</f>
        <v>61865</v>
      </c>
      <c r="N83" s="114">
        <f t="shared" si="46"/>
        <v>61865</v>
      </c>
      <c r="O83" s="114">
        <f t="shared" si="46"/>
        <v>61865</v>
      </c>
      <c r="P83" s="114">
        <f t="shared" si="46"/>
        <v>60865</v>
      </c>
      <c r="Q83" s="114">
        <f t="shared" si="46"/>
        <v>59865</v>
      </c>
      <c r="R83" s="114">
        <f t="shared" si="46"/>
        <v>58865</v>
      </c>
      <c r="S83" s="114">
        <f t="shared" si="46"/>
        <v>57865</v>
      </c>
      <c r="T83" s="114">
        <f t="shared" si="46"/>
        <v>56865</v>
      </c>
    </row>
    <row r="84" spans="1:20" x14ac:dyDescent="0.2">
      <c r="B84" t="s">
        <v>265</v>
      </c>
      <c r="C84" s="114">
        <v>41559</v>
      </c>
      <c r="D84" s="114">
        <v>45468</v>
      </c>
      <c r="E84" s="114">
        <v>44298</v>
      </c>
      <c r="F84" s="114">
        <v>41927</v>
      </c>
      <c r="G84" s="114">
        <v>37522</v>
      </c>
      <c r="H84" s="114">
        <v>37427</v>
      </c>
      <c r="I84" s="114">
        <v>39616</v>
      </c>
      <c r="J84" s="114">
        <v>44637</v>
      </c>
      <c r="K84" s="114">
        <v>46758</v>
      </c>
      <c r="L84" s="114">
        <v>46878</v>
      </c>
      <c r="M84" s="114">
        <f t="shared" ref="M84:T84" ca="1" si="47">L84-M162-M21+500</f>
        <v>48026.22175842819</v>
      </c>
      <c r="N84" s="114">
        <f t="shared" ca="1" si="47"/>
        <v>49253.313542635668</v>
      </c>
      <c r="O84" s="114">
        <f t="shared" ca="1" si="47"/>
        <v>50579.318609868831</v>
      </c>
      <c r="P84" s="114">
        <f t="shared" ca="1" si="47"/>
        <v>51928.057623336819</v>
      </c>
      <c r="Q84" s="114">
        <f t="shared" ca="1" si="47"/>
        <v>53261.917682630228</v>
      </c>
      <c r="R84" s="114">
        <f t="shared" ca="1" si="47"/>
        <v>54136.163082792162</v>
      </c>
      <c r="S84" s="114">
        <f t="shared" ca="1" si="47"/>
        <v>54629.013938197095</v>
      </c>
      <c r="T84" s="114">
        <f t="shared" ca="1" si="47"/>
        <v>55128.704946628728</v>
      </c>
    </row>
    <row r="85" spans="1:20" x14ac:dyDescent="0.2">
      <c r="B85" t="s">
        <v>266</v>
      </c>
      <c r="C85" s="114">
        <v>3557</v>
      </c>
      <c r="D85" s="114">
        <v>147</v>
      </c>
      <c r="E85" s="114">
        <v>7242</v>
      </c>
      <c r="F85" s="114">
        <v>6873</v>
      </c>
      <c r="G85" s="114">
        <v>6726</v>
      </c>
      <c r="H85" s="114">
        <v>6167</v>
      </c>
      <c r="I85" s="114">
        <v>617</v>
      </c>
      <c r="J85" s="114">
        <v>822</v>
      </c>
      <c r="K85" s="114">
        <v>725</v>
      </c>
      <c r="L85" s="114">
        <v>651</v>
      </c>
      <c r="M85" s="114">
        <f t="shared" ref="M85:T85" si="48">L85*0.98</f>
        <v>637.98</v>
      </c>
      <c r="N85" s="114">
        <f t="shared" si="48"/>
        <v>625.22040000000004</v>
      </c>
      <c r="O85" s="114">
        <f t="shared" si="48"/>
        <v>612.71599200000003</v>
      </c>
      <c r="P85" s="114">
        <f t="shared" si="48"/>
        <v>600.46167216000003</v>
      </c>
      <c r="Q85" s="114">
        <f t="shared" si="48"/>
        <v>588.45243871679997</v>
      </c>
      <c r="R85" s="114">
        <f t="shared" si="48"/>
        <v>576.68338994246392</v>
      </c>
      <c r="S85" s="114">
        <f t="shared" si="48"/>
        <v>565.14972214361467</v>
      </c>
      <c r="T85" s="114">
        <f t="shared" si="48"/>
        <v>553.84672770074235</v>
      </c>
    </row>
    <row r="86" spans="1:20" x14ac:dyDescent="0.2">
      <c r="B86" t="s">
        <v>261</v>
      </c>
      <c r="C86" s="114">
        <v>1863</v>
      </c>
      <c r="D86" s="114">
        <v>1739</v>
      </c>
      <c r="E86" s="114">
        <v>1695</v>
      </c>
      <c r="F86" s="114">
        <v>2096</v>
      </c>
      <c r="G86" s="114">
        <v>1901</v>
      </c>
      <c r="H86" s="114">
        <v>1362</v>
      </c>
      <c r="I86" s="114">
        <v>2284</v>
      </c>
      <c r="J86" s="114">
        <v>3530</v>
      </c>
      <c r="K86" s="114">
        <v>7886</v>
      </c>
      <c r="L86" s="114">
        <v>5716</v>
      </c>
      <c r="M86" s="114">
        <f t="shared" ref="M86:T86" si="49">L86*1.02</f>
        <v>5830.32</v>
      </c>
      <c r="N86" s="114">
        <f t="shared" si="49"/>
        <v>5946.9263999999994</v>
      </c>
      <c r="O86" s="114">
        <f t="shared" si="49"/>
        <v>6065.8649279999991</v>
      </c>
      <c r="P86" s="114">
        <f t="shared" si="49"/>
        <v>6187.1822265599994</v>
      </c>
      <c r="Q86" s="114">
        <f t="shared" si="49"/>
        <v>6310.9258710912</v>
      </c>
      <c r="R86" s="114">
        <f t="shared" si="49"/>
        <v>6437.1443885130238</v>
      </c>
      <c r="S86" s="114">
        <f t="shared" si="49"/>
        <v>6565.8872762832843</v>
      </c>
      <c r="T86" s="114">
        <f t="shared" si="49"/>
        <v>6697.2050218089498</v>
      </c>
    </row>
    <row r="87" spans="1:20" x14ac:dyDescent="0.2">
      <c r="B87" t="s">
        <v>267</v>
      </c>
      <c r="C87" s="114">
        <v>6234</v>
      </c>
      <c r="D87" s="114">
        <v>5162</v>
      </c>
      <c r="E87" s="114">
        <v>5129</v>
      </c>
      <c r="F87" s="114">
        <v>4449</v>
      </c>
      <c r="G87" s="114">
        <v>4714</v>
      </c>
      <c r="H87" s="114">
        <v>4960</v>
      </c>
      <c r="I87" s="114">
        <v>5169</v>
      </c>
      <c r="J87" s="114">
        <v>5248</v>
      </c>
      <c r="K87" s="114">
        <v>5210</v>
      </c>
      <c r="L87" s="114">
        <v>4013</v>
      </c>
      <c r="M87" s="114">
        <f t="shared" ref="M87:T87" si="50">L87</f>
        <v>4013</v>
      </c>
      <c r="N87" s="114">
        <f t="shared" si="50"/>
        <v>4013</v>
      </c>
      <c r="O87" s="114">
        <f t="shared" si="50"/>
        <v>4013</v>
      </c>
      <c r="P87" s="114">
        <f t="shared" si="50"/>
        <v>4013</v>
      </c>
      <c r="Q87" s="114">
        <f t="shared" si="50"/>
        <v>4013</v>
      </c>
      <c r="R87" s="114">
        <f t="shared" si="50"/>
        <v>4013</v>
      </c>
      <c r="S87" s="114">
        <f t="shared" si="50"/>
        <v>4013</v>
      </c>
      <c r="T87" s="114">
        <f t="shared" si="50"/>
        <v>4013</v>
      </c>
    </row>
    <row r="88" spans="1:20" x14ac:dyDescent="0.2">
      <c r="B88" t="s">
        <v>264</v>
      </c>
      <c r="C88" s="114">
        <v>569</v>
      </c>
      <c r="D88" s="114">
        <v>541</v>
      </c>
      <c r="E88" s="114">
        <v>398</v>
      </c>
      <c r="F88" s="114">
        <v>1235</v>
      </c>
      <c r="G88" s="114">
        <v>328</v>
      </c>
      <c r="H88" s="114">
        <v>302</v>
      </c>
      <c r="I88" s="114">
        <v>311</v>
      </c>
      <c r="J88" s="114">
        <v>474</v>
      </c>
      <c r="K88" s="114">
        <v>669</v>
      </c>
      <c r="L88" s="114">
        <v>819</v>
      </c>
      <c r="M88" s="114">
        <f t="shared" ref="M88:T88" si="51">L88*1.01</f>
        <v>827.19</v>
      </c>
      <c r="N88" s="114">
        <f t="shared" si="51"/>
        <v>835.46190000000001</v>
      </c>
      <c r="O88" s="114">
        <f t="shared" si="51"/>
        <v>843.81651899999997</v>
      </c>
      <c r="P88" s="114">
        <f t="shared" si="51"/>
        <v>852.25468419000003</v>
      </c>
      <c r="Q88" s="114">
        <f t="shared" si="51"/>
        <v>860.77723103189999</v>
      </c>
      <c r="R88" s="114">
        <f t="shared" si="51"/>
        <v>869.38500334221897</v>
      </c>
      <c r="S88" s="114">
        <f t="shared" si="51"/>
        <v>878.07885337564119</v>
      </c>
      <c r="T88" s="114">
        <f t="shared" si="51"/>
        <v>886.85964190939762</v>
      </c>
    </row>
    <row r="89" spans="1:20" x14ac:dyDescent="0.2">
      <c r="D89" s="114"/>
    </row>
    <row r="90" spans="1:20" ht="13.5" thickBot="1" x14ac:dyDescent="0.25">
      <c r="A90" s="413"/>
      <c r="B90" s="414" t="s">
        <v>268</v>
      </c>
      <c r="C90" s="415">
        <f t="shared" ref="C90:P90" si="52">C73+C82</f>
        <v>123140</v>
      </c>
      <c r="D90" s="415">
        <f t="shared" si="52"/>
        <v>127774</v>
      </c>
      <c r="E90" s="415">
        <f t="shared" si="52"/>
        <v>127812</v>
      </c>
      <c r="F90" s="415">
        <f t="shared" si="52"/>
        <v>122542</v>
      </c>
      <c r="G90" s="415">
        <f t="shared" si="52"/>
        <v>107942</v>
      </c>
      <c r="H90" s="415">
        <f t="shared" si="52"/>
        <v>118148</v>
      </c>
      <c r="I90" s="415">
        <f t="shared" si="52"/>
        <v>129360</v>
      </c>
      <c r="J90" s="415">
        <f t="shared" si="52"/>
        <v>143920</v>
      </c>
      <c r="K90" s="415">
        <f t="shared" si="52"/>
        <v>148485</v>
      </c>
      <c r="L90" s="415">
        <f t="shared" si="52"/>
        <v>141334</v>
      </c>
      <c r="M90" s="415">
        <f t="shared" ca="1" si="52"/>
        <v>139938.68967850262</v>
      </c>
      <c r="N90" s="415">
        <f t="shared" ca="1" si="52"/>
        <v>142310.18085574347</v>
      </c>
      <c r="O90" s="415">
        <f t="shared" ca="1" si="52"/>
        <v>145940.16560414937</v>
      </c>
      <c r="P90" s="415">
        <f t="shared" ca="1" si="52"/>
        <v>148471.16483120871</v>
      </c>
      <c r="Q90" s="415">
        <f t="shared" ref="Q90:T90" ca="1" si="53">Q73+Q82</f>
        <v>151937.61227476271</v>
      </c>
      <c r="R90" s="415">
        <f t="shared" ca="1" si="53"/>
        <v>156169.34615793341</v>
      </c>
      <c r="S90" s="415">
        <f t="shared" ca="1" si="53"/>
        <v>159770.80076051151</v>
      </c>
      <c r="T90" s="415">
        <f t="shared" ca="1" si="53"/>
        <v>163927.07878473814</v>
      </c>
    </row>
    <row r="91" spans="1:20" ht="13.5" thickTop="1" x14ac:dyDescent="0.2"/>
    <row r="93" spans="1:20" x14ac:dyDescent="0.2">
      <c r="B93" s="281" t="s">
        <v>269</v>
      </c>
      <c r="C93" s="129" t="str">
        <f t="shared" ref="C93:P93" si="54">C46</f>
        <v>2008A</v>
      </c>
      <c r="D93" s="129" t="str">
        <f t="shared" si="54"/>
        <v>2009A</v>
      </c>
      <c r="E93" s="129" t="str">
        <f t="shared" si="54"/>
        <v>2010A</v>
      </c>
      <c r="F93" s="129" t="str">
        <f t="shared" si="54"/>
        <v>2011A</v>
      </c>
      <c r="G93" s="129" t="str">
        <f t="shared" si="54"/>
        <v>2012A</v>
      </c>
      <c r="H93" s="129" t="str">
        <f t="shared" si="54"/>
        <v>2013A</v>
      </c>
      <c r="I93" s="129" t="str">
        <f t="shared" si="54"/>
        <v>2014A</v>
      </c>
      <c r="J93" s="129" t="str">
        <f t="shared" si="54"/>
        <v>2015A</v>
      </c>
      <c r="K93" s="129" t="str">
        <f t="shared" si="54"/>
        <v>2016A</v>
      </c>
      <c r="L93" s="129" t="str">
        <f t="shared" si="54"/>
        <v>2017A</v>
      </c>
      <c r="M93" s="129" t="str">
        <f t="shared" si="54"/>
        <v>2018E</v>
      </c>
      <c r="N93" s="129" t="str">
        <f t="shared" si="54"/>
        <v>2019E</v>
      </c>
      <c r="O93" s="129" t="str">
        <f t="shared" si="54"/>
        <v>2020E</v>
      </c>
      <c r="P93" s="129" t="str">
        <f t="shared" si="54"/>
        <v>2021E</v>
      </c>
      <c r="Q93" s="129" t="str">
        <f t="shared" ref="Q93:T93" si="55">Q46</f>
        <v>2022E</v>
      </c>
      <c r="R93" s="129" t="str">
        <f t="shared" si="55"/>
        <v>2023E</v>
      </c>
      <c r="S93" s="129" t="str">
        <f t="shared" si="55"/>
        <v>2024E</v>
      </c>
      <c r="T93" s="129" t="str">
        <f t="shared" si="55"/>
        <v>2025E</v>
      </c>
    </row>
    <row r="95" spans="1:20" x14ac:dyDescent="0.2">
      <c r="B95" s="226" t="s">
        <v>270</v>
      </c>
      <c r="C95" s="197">
        <f t="shared" ref="C95:M95" si="56">C96+C97+C98+C99+C100+C101</f>
        <v>24242</v>
      </c>
      <c r="D95" s="197">
        <f t="shared" si="56"/>
        <v>24794</v>
      </c>
      <c r="E95" s="197">
        <f t="shared" si="56"/>
        <v>26452</v>
      </c>
      <c r="F95" s="197">
        <f t="shared" si="56"/>
        <v>24338</v>
      </c>
      <c r="G95" s="197">
        <f t="shared" si="56"/>
        <v>23008</v>
      </c>
      <c r="H95" s="197">
        <f t="shared" si="56"/>
        <v>22496</v>
      </c>
      <c r="I95" s="197">
        <f t="shared" si="56"/>
        <v>28198</v>
      </c>
      <c r="J95" s="197">
        <f t="shared" si="56"/>
        <v>33548</v>
      </c>
      <c r="K95" s="197">
        <f t="shared" si="56"/>
        <v>33126</v>
      </c>
      <c r="L95" s="197">
        <f t="shared" si="56"/>
        <v>27366</v>
      </c>
      <c r="M95" s="197">
        <f t="shared" si="56"/>
        <v>27305.95</v>
      </c>
      <c r="N95" s="197">
        <f t="shared" ref="N95:T95" si="57">N96+N97+N98+N99+N100+N101</f>
        <v>27250.0985</v>
      </c>
      <c r="O95" s="197">
        <f t="shared" si="57"/>
        <v>27198.571455000001</v>
      </c>
      <c r="P95" s="197">
        <f t="shared" si="57"/>
        <v>27151.49859865</v>
      </c>
      <c r="Q95" s="197">
        <f t="shared" si="57"/>
        <v>27109.013556609501</v>
      </c>
      <c r="R95" s="197">
        <f t="shared" si="57"/>
        <v>27071.253963307787</v>
      </c>
      <c r="S95" s="197">
        <f t="shared" si="57"/>
        <v>27038.361582207021</v>
      </c>
      <c r="T95" s="197">
        <f t="shared" si="57"/>
        <v>27010.482429673229</v>
      </c>
    </row>
    <row r="96" spans="1:20" x14ac:dyDescent="0.2">
      <c r="B96" t="s">
        <v>271</v>
      </c>
      <c r="C96" s="114">
        <v>9584</v>
      </c>
      <c r="D96" s="114">
        <v>9391</v>
      </c>
      <c r="E96" s="114">
        <v>11689</v>
      </c>
      <c r="F96" s="114">
        <v>10219</v>
      </c>
      <c r="G96" s="114">
        <v>9260</v>
      </c>
      <c r="H96" s="114">
        <v>7891</v>
      </c>
      <c r="I96" s="114">
        <v>10558</v>
      </c>
      <c r="J96" s="114">
        <v>14439</v>
      </c>
      <c r="K96" s="114">
        <v>14422</v>
      </c>
      <c r="L96" s="114">
        <v>8358</v>
      </c>
      <c r="M96" s="114">
        <f t="shared" ref="M96:T96" si="58">L96+M180</f>
        <v>8358</v>
      </c>
      <c r="N96" s="114">
        <f t="shared" si="58"/>
        <v>8358</v>
      </c>
      <c r="O96" s="114">
        <f t="shared" si="58"/>
        <v>8358</v>
      </c>
      <c r="P96" s="114">
        <f t="shared" si="58"/>
        <v>8358</v>
      </c>
      <c r="Q96" s="114">
        <f t="shared" si="58"/>
        <v>8358</v>
      </c>
      <c r="R96" s="114">
        <f t="shared" si="58"/>
        <v>8358</v>
      </c>
      <c r="S96" s="114">
        <f t="shared" si="58"/>
        <v>8358</v>
      </c>
      <c r="T96" s="114">
        <f t="shared" si="58"/>
        <v>8358</v>
      </c>
    </row>
    <row r="97" spans="2:20" x14ac:dyDescent="0.2">
      <c r="B97" t="s">
        <v>272</v>
      </c>
      <c r="C97" s="114">
        <v>7073</v>
      </c>
      <c r="D97" s="114">
        <v>6304</v>
      </c>
      <c r="E97" s="114">
        <v>6750</v>
      </c>
      <c r="F97" s="114">
        <v>6436</v>
      </c>
      <c r="G97" s="114">
        <v>6445</v>
      </c>
      <c r="H97" s="114">
        <v>7259</v>
      </c>
      <c r="I97" s="114">
        <v>9681</v>
      </c>
      <c r="J97" s="114">
        <v>11090</v>
      </c>
      <c r="K97" s="114">
        <v>10441</v>
      </c>
      <c r="L97" s="114">
        <v>10971</v>
      </c>
      <c r="M97" s="114">
        <f t="shared" ref="M97:T97" si="59">L97</f>
        <v>10971</v>
      </c>
      <c r="N97" s="114">
        <f t="shared" si="59"/>
        <v>10971</v>
      </c>
      <c r="O97" s="114">
        <f t="shared" si="59"/>
        <v>10971</v>
      </c>
      <c r="P97" s="114">
        <f t="shared" si="59"/>
        <v>10971</v>
      </c>
      <c r="Q97" s="114">
        <f t="shared" si="59"/>
        <v>10971</v>
      </c>
      <c r="R97" s="114">
        <f t="shared" si="59"/>
        <v>10971</v>
      </c>
      <c r="S97" s="114">
        <f t="shared" si="59"/>
        <v>10971</v>
      </c>
      <c r="T97" s="114">
        <f t="shared" si="59"/>
        <v>10971</v>
      </c>
    </row>
    <row r="98" spans="2:20" x14ac:dyDescent="0.2">
      <c r="B98" t="s">
        <v>273</v>
      </c>
      <c r="C98" s="114">
        <v>585</v>
      </c>
      <c r="D98" s="114">
        <v>511</v>
      </c>
      <c r="E98" s="114">
        <v>545</v>
      </c>
      <c r="F98" s="114">
        <v>577</v>
      </c>
      <c r="G98" s="114">
        <v>440</v>
      </c>
      <c r="H98" s="114">
        <v>308</v>
      </c>
      <c r="I98" s="114">
        <v>276</v>
      </c>
      <c r="J98" s="114">
        <v>197</v>
      </c>
      <c r="K98" s="114">
        <v>222</v>
      </c>
      <c r="L98" s="114">
        <v>224</v>
      </c>
      <c r="M98" s="114">
        <f t="shared" ref="M98:T98" si="60">L98*1.03</f>
        <v>230.72</v>
      </c>
      <c r="N98" s="114">
        <f t="shared" si="60"/>
        <v>237.64160000000001</v>
      </c>
      <c r="O98" s="114">
        <f t="shared" si="60"/>
        <v>244.77084800000003</v>
      </c>
      <c r="P98" s="114">
        <f t="shared" si="60"/>
        <v>252.11397344000002</v>
      </c>
      <c r="Q98" s="114">
        <f t="shared" si="60"/>
        <v>259.67739264320005</v>
      </c>
      <c r="R98" s="114">
        <f t="shared" si="60"/>
        <v>267.46771442249604</v>
      </c>
      <c r="S98" s="114">
        <f t="shared" si="60"/>
        <v>275.4917458551709</v>
      </c>
      <c r="T98" s="114">
        <f t="shared" si="60"/>
        <v>283.75649823082603</v>
      </c>
    </row>
    <row r="99" spans="2:20" x14ac:dyDescent="0.2">
      <c r="B99" t="s">
        <v>274</v>
      </c>
      <c r="C99" s="114">
        <v>3437</v>
      </c>
      <c r="D99" s="114">
        <v>3369</v>
      </c>
      <c r="E99" s="114">
        <v>3193</v>
      </c>
      <c r="F99" s="114">
        <v>3217</v>
      </c>
      <c r="G99" s="114">
        <v>2899</v>
      </c>
      <c r="H99" s="114">
        <v>3120</v>
      </c>
      <c r="I99" s="114">
        <v>3517</v>
      </c>
      <c r="J99" s="114">
        <v>3367</v>
      </c>
      <c r="K99" s="114">
        <v>3068</v>
      </c>
      <c r="L99" s="114">
        <v>3372</v>
      </c>
      <c r="M99" s="114">
        <f t="shared" ref="M99:T99" si="61">L99-200</f>
        <v>3172</v>
      </c>
      <c r="N99" s="114">
        <f t="shared" si="61"/>
        <v>2972</v>
      </c>
      <c r="O99" s="114">
        <f t="shared" si="61"/>
        <v>2772</v>
      </c>
      <c r="P99" s="114">
        <f t="shared" si="61"/>
        <v>2572</v>
      </c>
      <c r="Q99" s="114">
        <f t="shared" si="61"/>
        <v>2372</v>
      </c>
      <c r="R99" s="114">
        <f t="shared" si="61"/>
        <v>2172</v>
      </c>
      <c r="S99" s="114">
        <f t="shared" si="61"/>
        <v>1972</v>
      </c>
      <c r="T99" s="114">
        <f t="shared" si="61"/>
        <v>1772</v>
      </c>
    </row>
    <row r="100" spans="2:20" x14ac:dyDescent="0.2">
      <c r="B100" t="s">
        <v>275</v>
      </c>
      <c r="C100" s="114">
        <v>95</v>
      </c>
      <c r="D100" s="114">
        <v>1423</v>
      </c>
      <c r="E100" s="114">
        <v>0</v>
      </c>
      <c r="F100" s="114">
        <v>0</v>
      </c>
      <c r="G100" s="114">
        <v>9</v>
      </c>
      <c r="H100" s="114">
        <v>113</v>
      </c>
      <c r="I100" s="114">
        <v>6</v>
      </c>
      <c r="J100" s="114">
        <v>4</v>
      </c>
      <c r="K100" s="114">
        <v>194</v>
      </c>
      <c r="L100" s="114">
        <v>0</v>
      </c>
      <c r="M100" s="114">
        <v>0</v>
      </c>
      <c r="N100" s="114">
        <v>0</v>
      </c>
      <c r="O100" s="114">
        <v>0</v>
      </c>
      <c r="P100" s="114">
        <v>0</v>
      </c>
      <c r="Q100" s="114">
        <v>0</v>
      </c>
      <c r="R100" s="114">
        <v>0</v>
      </c>
      <c r="S100" s="114">
        <v>0</v>
      </c>
      <c r="T100" s="114">
        <v>0</v>
      </c>
    </row>
    <row r="101" spans="2:20" x14ac:dyDescent="0.2">
      <c r="B101" t="s">
        <v>276</v>
      </c>
      <c r="C101" s="114">
        <v>3468</v>
      </c>
      <c r="D101" s="114">
        <v>3796</v>
      </c>
      <c r="E101" s="114">
        <v>4275</v>
      </c>
      <c r="F101" s="114">
        <v>3889</v>
      </c>
      <c r="G101" s="114">
        <v>3955</v>
      </c>
      <c r="H101" s="114">
        <v>3805</v>
      </c>
      <c r="I101" s="114">
        <v>4160</v>
      </c>
      <c r="J101" s="114">
        <v>4451</v>
      </c>
      <c r="K101" s="114">
        <v>4779</v>
      </c>
      <c r="L101" s="114">
        <v>4441</v>
      </c>
      <c r="M101" s="114">
        <f t="shared" ref="M101:T101" si="62">L101*1.03</f>
        <v>4574.2300000000005</v>
      </c>
      <c r="N101" s="114">
        <f t="shared" si="62"/>
        <v>4711.456900000001</v>
      </c>
      <c r="O101" s="114">
        <f t="shared" si="62"/>
        <v>4852.800607000001</v>
      </c>
      <c r="P101" s="114">
        <f t="shared" si="62"/>
        <v>4998.3846252100011</v>
      </c>
      <c r="Q101" s="114">
        <f t="shared" si="62"/>
        <v>5148.3361639663017</v>
      </c>
      <c r="R101" s="114">
        <f t="shared" si="62"/>
        <v>5302.7862488852907</v>
      </c>
      <c r="S101" s="114">
        <f t="shared" si="62"/>
        <v>5461.8698363518497</v>
      </c>
      <c r="T101" s="114">
        <f t="shared" si="62"/>
        <v>5625.7259314424055</v>
      </c>
    </row>
    <row r="103" spans="2:20" x14ac:dyDescent="0.2">
      <c r="B103" s="226" t="s">
        <v>277</v>
      </c>
      <c r="C103" s="197">
        <f t="shared" ref="C103:M103" si="63">C104+C105+C106+C107+C108</f>
        <v>55786</v>
      </c>
      <c r="D103" s="197">
        <f t="shared" si="63"/>
        <v>61043</v>
      </c>
      <c r="E103" s="197">
        <f t="shared" si="63"/>
        <v>58332</v>
      </c>
      <c r="F103" s="197">
        <f t="shared" si="63"/>
        <v>58263</v>
      </c>
      <c r="G103" s="197">
        <f t="shared" si="63"/>
        <v>54391</v>
      </c>
      <c r="H103" s="197">
        <f t="shared" si="63"/>
        <v>63589</v>
      </c>
      <c r="I103" s="197">
        <f t="shared" si="63"/>
        <v>67096</v>
      </c>
      <c r="J103" s="197">
        <f t="shared" si="63"/>
        <v>72222</v>
      </c>
      <c r="K103" s="197">
        <f t="shared" si="63"/>
        <v>76514</v>
      </c>
      <c r="L103" s="197">
        <f t="shared" si="63"/>
        <v>71498</v>
      </c>
      <c r="M103" s="197">
        <f t="shared" si="63"/>
        <v>69517.89</v>
      </c>
      <c r="N103" s="197">
        <f t="shared" ref="N103:T103" si="64">N104+N105+N106+N107+N108</f>
        <v>67548.837299999999</v>
      </c>
      <c r="O103" s="197">
        <f t="shared" si="64"/>
        <v>65590.507091000007</v>
      </c>
      <c r="P103" s="197">
        <f t="shared" si="64"/>
        <v>61642.585435770001</v>
      </c>
      <c r="Q103" s="197">
        <f t="shared" si="64"/>
        <v>57704.778305589891</v>
      </c>
      <c r="R103" s="197">
        <f t="shared" si="64"/>
        <v>53776.81066673599</v>
      </c>
      <c r="S103" s="197">
        <f t="shared" si="64"/>
        <v>49858.425614258158</v>
      </c>
      <c r="T103" s="197">
        <f t="shared" si="64"/>
        <v>45949.38355071532</v>
      </c>
    </row>
    <row r="104" spans="2:20" x14ac:dyDescent="0.2">
      <c r="B104" t="s">
        <v>271</v>
      </c>
      <c r="C104" s="114">
        <v>37010</v>
      </c>
      <c r="D104" s="114">
        <v>41800</v>
      </c>
      <c r="E104" s="114">
        <v>38857</v>
      </c>
      <c r="F104" s="114">
        <v>38099</v>
      </c>
      <c r="G104" s="114">
        <v>35354</v>
      </c>
      <c r="H104" s="114">
        <v>43708</v>
      </c>
      <c r="I104" s="114">
        <v>44669</v>
      </c>
      <c r="J104" s="114">
        <v>47941</v>
      </c>
      <c r="K104" s="114">
        <v>50228</v>
      </c>
      <c r="L104" s="114">
        <v>49171</v>
      </c>
      <c r="M104" s="114">
        <f t="shared" ref="M104:T104" si="65">L104+M178+M177</f>
        <v>47171</v>
      </c>
      <c r="N104" s="114">
        <f t="shared" si="65"/>
        <v>45171</v>
      </c>
      <c r="O104" s="114">
        <f t="shared" si="65"/>
        <v>43171</v>
      </c>
      <c r="P104" s="114">
        <f t="shared" si="65"/>
        <v>39171</v>
      </c>
      <c r="Q104" s="114">
        <f t="shared" si="65"/>
        <v>35171</v>
      </c>
      <c r="R104" s="114">
        <f t="shared" si="65"/>
        <v>31171</v>
      </c>
      <c r="S104" s="114">
        <f t="shared" si="65"/>
        <v>27171</v>
      </c>
      <c r="T104" s="114">
        <f t="shared" si="65"/>
        <v>23171</v>
      </c>
    </row>
    <row r="105" spans="2:20" x14ac:dyDescent="0.2">
      <c r="B105" t="s">
        <v>278</v>
      </c>
      <c r="C105" s="114">
        <v>5157</v>
      </c>
      <c r="D105" s="114">
        <v>6179</v>
      </c>
      <c r="E105" s="114">
        <v>6373</v>
      </c>
      <c r="F105" s="114">
        <v>6095</v>
      </c>
      <c r="G105" s="114">
        <v>7280</v>
      </c>
      <c r="H105" s="114">
        <v>7006</v>
      </c>
      <c r="I105" s="114">
        <v>8465</v>
      </c>
      <c r="J105" s="114">
        <v>8028</v>
      </c>
      <c r="K105" s="114">
        <v>8451</v>
      </c>
      <c r="L105" s="114">
        <v>8375</v>
      </c>
      <c r="M105" s="114">
        <f t="shared" ref="M105:T105" si="66">L105</f>
        <v>8375</v>
      </c>
      <c r="N105" s="114">
        <f t="shared" si="66"/>
        <v>8375</v>
      </c>
      <c r="O105" s="114">
        <f t="shared" si="66"/>
        <v>8375</v>
      </c>
      <c r="P105" s="114">
        <f t="shared" si="66"/>
        <v>8375</v>
      </c>
      <c r="Q105" s="114">
        <f t="shared" si="66"/>
        <v>8375</v>
      </c>
      <c r="R105" s="114">
        <f t="shared" si="66"/>
        <v>8375</v>
      </c>
      <c r="S105" s="114">
        <f t="shared" si="66"/>
        <v>8375</v>
      </c>
      <c r="T105" s="114">
        <f t="shared" si="66"/>
        <v>8375</v>
      </c>
    </row>
    <row r="106" spans="2:20" x14ac:dyDescent="0.2">
      <c r="B106" t="s">
        <v>274</v>
      </c>
      <c r="C106" s="114">
        <v>3304</v>
      </c>
      <c r="D106" s="114">
        <v>2161</v>
      </c>
      <c r="E106" s="114">
        <v>1628</v>
      </c>
      <c r="F106" s="114">
        <v>1689</v>
      </c>
      <c r="G106" s="114">
        <v>1862</v>
      </c>
      <c r="H106" s="114">
        <v>2071</v>
      </c>
      <c r="I106" s="114">
        <v>2373</v>
      </c>
      <c r="J106" s="114">
        <v>2978</v>
      </c>
      <c r="K106" s="114">
        <v>3320</v>
      </c>
      <c r="L106" s="114">
        <v>3155</v>
      </c>
      <c r="M106" s="114">
        <f t="shared" ref="M106:T106" si="67">L106*0.95</f>
        <v>2997.25</v>
      </c>
      <c r="N106" s="114">
        <f t="shared" si="67"/>
        <v>2847.3874999999998</v>
      </c>
      <c r="O106" s="114">
        <f t="shared" si="67"/>
        <v>2705.0181249999996</v>
      </c>
      <c r="P106" s="114">
        <f t="shared" si="67"/>
        <v>2569.7672187499993</v>
      </c>
      <c r="Q106" s="114">
        <f t="shared" si="67"/>
        <v>2441.2788578124992</v>
      </c>
      <c r="R106" s="114">
        <f t="shared" si="67"/>
        <v>2319.214914921874</v>
      </c>
      <c r="S106" s="114">
        <f t="shared" si="67"/>
        <v>2203.2541691757801</v>
      </c>
      <c r="T106" s="114">
        <f t="shared" si="67"/>
        <v>2093.0914607169912</v>
      </c>
    </row>
    <row r="107" spans="2:20" x14ac:dyDescent="0.2">
      <c r="B107" t="s">
        <v>279</v>
      </c>
      <c r="C107" s="114">
        <v>7108</v>
      </c>
      <c r="D107" s="114">
        <v>7153</v>
      </c>
      <c r="E107" s="114">
        <v>7635</v>
      </c>
      <c r="F107" s="114">
        <v>8492</v>
      </c>
      <c r="G107" s="114">
        <v>5990</v>
      </c>
      <c r="H107" s="114">
        <v>6916</v>
      </c>
      <c r="I107" s="114">
        <v>7712</v>
      </c>
      <c r="J107" s="114">
        <v>9205</v>
      </c>
      <c r="K107" s="114">
        <v>10007</v>
      </c>
      <c r="L107" s="114">
        <v>6967</v>
      </c>
      <c r="M107" s="114">
        <f t="shared" ref="M107:T107" si="68">L107*1.02</f>
        <v>7106.34</v>
      </c>
      <c r="N107" s="114">
        <f t="shared" si="68"/>
        <v>7248.4668000000001</v>
      </c>
      <c r="O107" s="114">
        <f t="shared" si="68"/>
        <v>7393.4361360000003</v>
      </c>
      <c r="P107" s="114">
        <f t="shared" si="68"/>
        <v>7541.3048587200001</v>
      </c>
      <c r="Q107" s="114">
        <f t="shared" si="68"/>
        <v>7692.1309558944004</v>
      </c>
      <c r="R107" s="114">
        <f t="shared" si="68"/>
        <v>7845.9735750122882</v>
      </c>
      <c r="S107" s="114">
        <f t="shared" si="68"/>
        <v>8002.8930465125341</v>
      </c>
      <c r="T107" s="114">
        <f t="shared" si="68"/>
        <v>8162.9509074427851</v>
      </c>
    </row>
    <row r="108" spans="2:20" x14ac:dyDescent="0.2">
      <c r="B108" t="s">
        <v>276</v>
      </c>
      <c r="C108" s="114">
        <v>3207</v>
      </c>
      <c r="D108" s="114">
        <v>3750</v>
      </c>
      <c r="E108" s="114">
        <v>3839</v>
      </c>
      <c r="F108" s="114">
        <v>3888</v>
      </c>
      <c r="G108" s="114">
        <v>3905</v>
      </c>
      <c r="H108" s="114">
        <v>3888</v>
      </c>
      <c r="I108" s="114">
        <v>3877</v>
      </c>
      <c r="J108" s="114">
        <v>4070</v>
      </c>
      <c r="K108" s="114">
        <v>4508</v>
      </c>
      <c r="L108" s="114">
        <v>3830</v>
      </c>
      <c r="M108" s="114">
        <f t="shared" ref="M108:T108" si="69">L108*1.01</f>
        <v>3868.3</v>
      </c>
      <c r="N108" s="114">
        <f t="shared" si="69"/>
        <v>3906.9830000000002</v>
      </c>
      <c r="O108" s="114">
        <f t="shared" si="69"/>
        <v>3946.0528300000001</v>
      </c>
      <c r="P108" s="114">
        <f t="shared" si="69"/>
        <v>3985.5133583000002</v>
      </c>
      <c r="Q108" s="114">
        <f t="shared" si="69"/>
        <v>4025.3684918830004</v>
      </c>
      <c r="R108" s="114">
        <f t="shared" si="69"/>
        <v>4065.6221768018304</v>
      </c>
      <c r="S108" s="114">
        <f t="shared" si="69"/>
        <v>4106.2783985698488</v>
      </c>
      <c r="T108" s="114">
        <f t="shared" si="69"/>
        <v>4147.3411825555477</v>
      </c>
    </row>
    <row r="110" spans="2:20" x14ac:dyDescent="0.2">
      <c r="B110" s="226" t="s">
        <v>280</v>
      </c>
      <c r="C110" s="197">
        <f t="shared" ref="C110:M110" si="70">C95+C103</f>
        <v>80028</v>
      </c>
      <c r="D110" s="197">
        <f t="shared" si="70"/>
        <v>85837</v>
      </c>
      <c r="E110" s="197">
        <f t="shared" si="70"/>
        <v>84784</v>
      </c>
      <c r="F110" s="197">
        <f t="shared" si="70"/>
        <v>82601</v>
      </c>
      <c r="G110" s="197">
        <f t="shared" si="70"/>
        <v>77399</v>
      </c>
      <c r="H110" s="197">
        <f t="shared" si="70"/>
        <v>86085</v>
      </c>
      <c r="I110" s="197">
        <f t="shared" si="70"/>
        <v>95294</v>
      </c>
      <c r="J110" s="197">
        <f t="shared" si="70"/>
        <v>105770</v>
      </c>
      <c r="K110" s="197">
        <f t="shared" si="70"/>
        <v>109640</v>
      </c>
      <c r="L110" s="197">
        <f t="shared" si="70"/>
        <v>98864</v>
      </c>
      <c r="M110" s="197">
        <f t="shared" si="70"/>
        <v>96823.84</v>
      </c>
      <c r="N110" s="197">
        <f t="shared" ref="N110:T110" si="71">N95+N103</f>
        <v>94798.935800000007</v>
      </c>
      <c r="O110" s="197">
        <f t="shared" si="71"/>
        <v>92789.078546000004</v>
      </c>
      <c r="P110" s="197">
        <f t="shared" si="71"/>
        <v>88794.084034419997</v>
      </c>
      <c r="Q110" s="197">
        <f t="shared" si="71"/>
        <v>84813.791862199389</v>
      </c>
      <c r="R110" s="197">
        <f t="shared" si="71"/>
        <v>80848.06463004378</v>
      </c>
      <c r="S110" s="197">
        <f t="shared" si="71"/>
        <v>76896.787196465186</v>
      </c>
      <c r="T110" s="197">
        <f t="shared" si="71"/>
        <v>72959.865980388553</v>
      </c>
    </row>
    <row r="113" spans="1:20" x14ac:dyDescent="0.2">
      <c r="B113" s="226" t="s">
        <v>281</v>
      </c>
      <c r="C113" s="197">
        <f t="shared" ref="C113:M113" si="72">C114+C115+C116+C117+C118+C119+C120+C123</f>
        <v>43112</v>
      </c>
      <c r="D113" s="197">
        <f t="shared" si="72"/>
        <v>41937</v>
      </c>
      <c r="E113" s="197">
        <f t="shared" si="72"/>
        <v>43028</v>
      </c>
      <c r="F113" s="197">
        <f t="shared" si="72"/>
        <v>39941</v>
      </c>
      <c r="G113" s="197">
        <f t="shared" si="72"/>
        <v>30543</v>
      </c>
      <c r="H113" s="197">
        <f t="shared" si="72"/>
        <v>32063</v>
      </c>
      <c r="I113" s="197">
        <f t="shared" si="72"/>
        <v>34066</v>
      </c>
      <c r="J113" s="197">
        <f t="shared" si="72"/>
        <v>38150</v>
      </c>
      <c r="K113" s="197">
        <f t="shared" si="72"/>
        <v>38845</v>
      </c>
      <c r="L113" s="197">
        <f t="shared" si="72"/>
        <v>42470</v>
      </c>
      <c r="M113" s="197">
        <f t="shared" ca="1" si="72"/>
        <v>43205.010278138732</v>
      </c>
      <c r="N113" s="197">
        <f t="shared" ref="N113:T113" ca="1" si="73">N114+N115+N116+N117+N118+N119+N120+N123</f>
        <v>47602.724662525558</v>
      </c>
      <c r="O113" s="197">
        <f t="shared" ca="1" si="73"/>
        <v>53243.167095770346</v>
      </c>
      <c r="P113" s="197">
        <f t="shared" ca="1" si="73"/>
        <v>59770.70915215867</v>
      </c>
      <c r="Q113" s="197">
        <f t="shared" ca="1" si="73"/>
        <v>67218.635092487762</v>
      </c>
      <c r="R113" s="197">
        <f t="shared" ca="1" si="73"/>
        <v>75417.545166982833</v>
      </c>
      <c r="S113" s="197">
        <f t="shared" ca="1" si="73"/>
        <v>82970.9133451331</v>
      </c>
      <c r="T113" s="197">
        <f t="shared" ca="1" si="73"/>
        <v>91065.01180207693</v>
      </c>
    </row>
    <row r="114" spans="1:20" x14ac:dyDescent="0.2">
      <c r="B114" t="s">
        <v>282</v>
      </c>
      <c r="C114" s="114">
        <v>11165</v>
      </c>
      <c r="D114" s="114">
        <v>11165</v>
      </c>
      <c r="E114" s="114">
        <v>11063</v>
      </c>
      <c r="F114" s="114">
        <f t="shared" ref="F114:T114" si="74">E114</f>
        <v>11063</v>
      </c>
      <c r="G114" s="114">
        <f t="shared" si="74"/>
        <v>11063</v>
      </c>
      <c r="H114" s="114">
        <v>11395</v>
      </c>
      <c r="I114" s="114">
        <v>11611</v>
      </c>
      <c r="J114" s="114">
        <v>11793</v>
      </c>
      <c r="K114" s="114">
        <v>11973</v>
      </c>
      <c r="L114" s="114">
        <v>12189</v>
      </c>
      <c r="M114" s="114">
        <f t="shared" si="74"/>
        <v>12189</v>
      </c>
      <c r="N114" s="114">
        <f t="shared" si="74"/>
        <v>12189</v>
      </c>
      <c r="O114" s="114">
        <f t="shared" si="74"/>
        <v>12189</v>
      </c>
      <c r="P114" s="114">
        <f t="shared" si="74"/>
        <v>12189</v>
      </c>
      <c r="Q114" s="114">
        <f t="shared" si="74"/>
        <v>12189</v>
      </c>
      <c r="R114" s="114">
        <f t="shared" si="74"/>
        <v>12189</v>
      </c>
      <c r="S114" s="114">
        <f t="shared" si="74"/>
        <v>12189</v>
      </c>
      <c r="T114" s="114">
        <f t="shared" si="74"/>
        <v>12189</v>
      </c>
    </row>
    <row r="115" spans="1:20" x14ac:dyDescent="0.2">
      <c r="B115" t="s">
        <v>283</v>
      </c>
      <c r="C115" s="114">
        <v>51526</v>
      </c>
      <c r="D115" s="114">
        <v>51530</v>
      </c>
      <c r="E115" s="114">
        <v>51635</v>
      </c>
      <c r="F115" s="114">
        <v>51504</v>
      </c>
      <c r="G115" s="114">
        <v>51506</v>
      </c>
      <c r="H115" s="114">
        <v>51428</v>
      </c>
      <c r="I115" s="114">
        <v>51778</v>
      </c>
      <c r="J115" s="114">
        <v>52412</v>
      </c>
      <c r="K115" s="114">
        <v>53356</v>
      </c>
      <c r="L115" s="114">
        <v>55010</v>
      </c>
      <c r="M115" s="114">
        <f>L115+1396+34+28-213+229+276+976-1-19+383-7-884-319+18+307-330-142-136-100-16+8+18-1701-2617+264</f>
        <v>52462</v>
      </c>
      <c r="N115" s="114">
        <f>M115+1396+34+28-351+91+333+793-1-16+354-6-751-260-4+1222-285-292-2-146-104+137+154+18+425-1609+490</f>
        <v>54110</v>
      </c>
      <c r="O115" s="114">
        <f>N115+1396+34+28-1613+103+376+1749-13+336-7-735+870+82-670+647+425-6+4-392+119+211+17+441-1741+563</f>
        <v>56334</v>
      </c>
      <c r="P115" s="114">
        <f>O115+1396+34+28-299+121+428+241-1-11+408-6-771-350+153+473-3+356-4-1-228+25+130+9+6+174-210+425</f>
        <v>58857</v>
      </c>
      <c r="Q115" s="114">
        <f>P115+1396+34+28-299+121+428+241-1-11+408-6-771-350+153+473-3+356-4-1-228+25+130+9+6+174+298+281</f>
        <v>61744</v>
      </c>
      <c r="R115" s="114">
        <f>Q115+1396+34+28-299+121+428+241-1-11+408-6-771-350+153+473-3+356-4-1-228+25+130+9+6+174+843-53</f>
        <v>64842</v>
      </c>
      <c r="S115" s="114">
        <f>R115+1396+34+28-299+121+428+241-1-11+408-6-771-350+153+473-3+356-4-1-228+25+130+9+6+174-312-115</f>
        <v>66723</v>
      </c>
      <c r="T115" s="114">
        <f>S115+1396+34+28-299+121+428+241-1-11+408-6-771-350+153+473-3+356-4-1-228+25+130+9+6+174-193-160</f>
        <v>68678</v>
      </c>
    </row>
    <row r="116" spans="1:20" x14ac:dyDescent="0.2">
      <c r="B116" t="s">
        <v>284</v>
      </c>
      <c r="C116" s="114">
        <v>-18761</v>
      </c>
      <c r="D116" s="114">
        <v>-20951</v>
      </c>
      <c r="E116" s="114">
        <v>-24355</v>
      </c>
      <c r="F116" s="114">
        <v>-25498</v>
      </c>
      <c r="G116" s="114">
        <v>-29212</v>
      </c>
      <c r="H116" s="114">
        <v>-37437</v>
      </c>
      <c r="I116" s="114">
        <v>-39783</v>
      </c>
      <c r="J116" s="114">
        <v>-38969</v>
      </c>
      <c r="K116" s="114">
        <v>-38727</v>
      </c>
      <c r="L116" s="114">
        <v>-38750</v>
      </c>
      <c r="M116" s="114">
        <f t="shared" ref="M116:T116" ca="1" si="75">L116+M39-(M55*M51)</f>
        <v>-38039.920522787776</v>
      </c>
      <c r="N116" s="114">
        <f t="shared" ca="1" si="75"/>
        <v>-36894.943854171332</v>
      </c>
      <c r="O116" s="114">
        <f t="shared" ca="1" si="75"/>
        <v>-35265.20840970167</v>
      </c>
      <c r="P116" s="114">
        <f t="shared" ca="1" si="75"/>
        <v>-33044.389938708664</v>
      </c>
      <c r="Q116" s="114">
        <f t="shared" ca="1" si="75"/>
        <v>-30232.226395351936</v>
      </c>
      <c r="R116" s="114">
        <f t="shared" ca="1" si="75"/>
        <v>-27051.958573985605</v>
      </c>
      <c r="S116" s="114">
        <f t="shared" ca="1" si="75"/>
        <v>-23481.650379487124</v>
      </c>
      <c r="T116" s="114">
        <f t="shared" ca="1" si="75"/>
        <v>-19518.116749837573</v>
      </c>
    </row>
    <row r="117" spans="1:20" x14ac:dyDescent="0.2">
      <c r="B117" t="s">
        <v>285</v>
      </c>
      <c r="C117" s="114">
        <v>-5411</v>
      </c>
      <c r="D117" s="114">
        <v>-3576</v>
      </c>
      <c r="E117" s="114">
        <v>-2017</v>
      </c>
      <c r="F117" s="114">
        <v>-2326</v>
      </c>
      <c r="G117" s="114">
        <v>-2176</v>
      </c>
      <c r="H117" s="114">
        <v>-2383</v>
      </c>
      <c r="I117" s="114">
        <v>-1838</v>
      </c>
      <c r="J117" s="114">
        <v>-178</v>
      </c>
      <c r="K117" s="114">
        <v>78</v>
      </c>
      <c r="L117" s="114">
        <v>-1127</v>
      </c>
      <c r="M117" s="114">
        <v>0</v>
      </c>
      <c r="N117" s="114">
        <v>0</v>
      </c>
      <c r="O117" s="114">
        <v>0</v>
      </c>
      <c r="P117" s="114">
        <v>0</v>
      </c>
      <c r="Q117" s="114">
        <v>0</v>
      </c>
      <c r="R117" s="114">
        <v>0</v>
      </c>
      <c r="S117" s="114">
        <v>0</v>
      </c>
      <c r="T117" s="114">
        <v>0</v>
      </c>
    </row>
    <row r="118" spans="1:20" ht="13.5" customHeight="1" x14ac:dyDescent="0.2">
      <c r="B118" t="s">
        <v>286</v>
      </c>
      <c r="C118" s="114">
        <v>0</v>
      </c>
      <c r="D118" s="114">
        <v>-2162</v>
      </c>
      <c r="E118" s="114">
        <v>0</v>
      </c>
      <c r="F118" s="114">
        <f>E118</f>
        <v>0</v>
      </c>
      <c r="G118" s="114">
        <f t="shared" ref="G118:T118" si="76">F118</f>
        <v>0</v>
      </c>
      <c r="H118" s="114">
        <f t="shared" si="76"/>
        <v>0</v>
      </c>
      <c r="I118" s="114">
        <v>798</v>
      </c>
      <c r="J118" s="114">
        <v>1139</v>
      </c>
      <c r="K118" s="114">
        <v>0</v>
      </c>
      <c r="L118" s="114">
        <f t="shared" si="76"/>
        <v>0</v>
      </c>
      <c r="M118" s="114">
        <f t="shared" si="76"/>
        <v>0</v>
      </c>
      <c r="N118" s="114">
        <f t="shared" si="76"/>
        <v>0</v>
      </c>
      <c r="O118" s="114">
        <f t="shared" si="76"/>
        <v>0</v>
      </c>
      <c r="P118" s="114">
        <f t="shared" si="76"/>
        <v>0</v>
      </c>
      <c r="Q118" s="114">
        <f t="shared" si="76"/>
        <v>0</v>
      </c>
      <c r="R118" s="114">
        <f t="shared" si="76"/>
        <v>0</v>
      </c>
      <c r="S118" s="114">
        <f t="shared" si="76"/>
        <v>0</v>
      </c>
      <c r="T118" s="114">
        <f t="shared" si="76"/>
        <v>0</v>
      </c>
    </row>
    <row r="119" spans="1:20" x14ac:dyDescent="0.2">
      <c r="B119" t="s">
        <v>287</v>
      </c>
      <c r="C119" s="114">
        <v>1483</v>
      </c>
      <c r="D119" s="114">
        <v>353</v>
      </c>
      <c r="E119" s="114">
        <v>1695</v>
      </c>
      <c r="F119" s="114">
        <v>557</v>
      </c>
      <c r="G119" s="114">
        <v>-5255</v>
      </c>
      <c r="H119" s="114">
        <v>930</v>
      </c>
      <c r="I119" s="114">
        <v>2924</v>
      </c>
      <c r="J119" s="114">
        <v>3254</v>
      </c>
      <c r="K119" s="114">
        <v>2675</v>
      </c>
      <c r="L119" s="114">
        <v>3461</v>
      </c>
      <c r="M119" s="114">
        <f t="shared" ref="M119:T119" si="77">L119*1.01</f>
        <v>3495.61</v>
      </c>
      <c r="N119" s="114">
        <f t="shared" si="77"/>
        <v>3530.5661</v>
      </c>
      <c r="O119" s="114">
        <f t="shared" si="77"/>
        <v>3565.8717609999999</v>
      </c>
      <c r="P119" s="114">
        <f t="shared" si="77"/>
        <v>3601.53047861</v>
      </c>
      <c r="Q119" s="114">
        <f t="shared" si="77"/>
        <v>3637.5457833961</v>
      </c>
      <c r="R119" s="114">
        <f t="shared" si="77"/>
        <v>3673.9212412300608</v>
      </c>
      <c r="S119" s="114">
        <f t="shared" si="77"/>
        <v>3710.6604536423615</v>
      </c>
      <c r="T119" s="114">
        <f t="shared" si="77"/>
        <v>3747.7670581787852</v>
      </c>
    </row>
    <row r="120" spans="1:20" x14ac:dyDescent="0.2">
      <c r="B120" t="s">
        <v>288</v>
      </c>
      <c r="C120" s="114">
        <v>-5</v>
      </c>
      <c r="D120" s="114">
        <v>-5</v>
      </c>
      <c r="E120" s="114">
        <v>-5</v>
      </c>
      <c r="F120" s="114">
        <v>-6</v>
      </c>
      <c r="G120" s="114">
        <v>-6</v>
      </c>
      <c r="H120" s="114">
        <v>-54</v>
      </c>
      <c r="I120" s="114">
        <v>-53</v>
      </c>
      <c r="J120" s="114">
        <v>-51</v>
      </c>
      <c r="K120" s="114">
        <v>-50</v>
      </c>
      <c r="L120" s="114">
        <v>-49</v>
      </c>
      <c r="M120" s="114">
        <v>-5</v>
      </c>
      <c r="N120" s="114">
        <v>-5</v>
      </c>
      <c r="O120" s="114">
        <v>-5</v>
      </c>
      <c r="P120" s="114">
        <v>-5</v>
      </c>
      <c r="Q120" s="114">
        <v>-5</v>
      </c>
      <c r="R120" s="114">
        <v>-5</v>
      </c>
      <c r="S120" s="114">
        <v>-5</v>
      </c>
      <c r="T120" s="114">
        <v>-5</v>
      </c>
    </row>
    <row r="121" spans="1:20" x14ac:dyDescent="0.2">
      <c r="D121" s="114"/>
      <c r="E121" s="114"/>
    </row>
    <row r="122" spans="1:20" x14ac:dyDescent="0.2">
      <c r="B122" t="s">
        <v>290</v>
      </c>
      <c r="C122" s="114">
        <v>39997</v>
      </c>
      <c r="D122" s="114">
        <f t="shared" ref="D122:M122" si="78">D114+D115+D116+D117+D118+D119+D120</f>
        <v>36354</v>
      </c>
      <c r="E122" s="114">
        <f t="shared" si="78"/>
        <v>38016</v>
      </c>
      <c r="F122" s="114">
        <f t="shared" si="78"/>
        <v>35294</v>
      </c>
      <c r="G122" s="114">
        <f t="shared" si="78"/>
        <v>25920</v>
      </c>
      <c r="H122" s="114">
        <f t="shared" si="78"/>
        <v>23879</v>
      </c>
      <c r="I122" s="114">
        <f t="shared" si="78"/>
        <v>25437</v>
      </c>
      <c r="J122" s="114">
        <f t="shared" si="78"/>
        <v>29400</v>
      </c>
      <c r="K122" s="114">
        <f t="shared" si="78"/>
        <v>29305</v>
      </c>
      <c r="L122" s="114">
        <f t="shared" si="78"/>
        <v>30734</v>
      </c>
      <c r="M122" s="114">
        <f t="shared" ca="1" si="78"/>
        <v>30101.689477212225</v>
      </c>
      <c r="N122" s="114">
        <f t="shared" ref="N122:T122" ca="1" si="79">N114+N115+N116+N117+N118+N119+N120</f>
        <v>32929.622245828665</v>
      </c>
      <c r="O122" s="114">
        <f t="shared" ca="1" si="79"/>
        <v>36818.663351298332</v>
      </c>
      <c r="P122" s="114">
        <f t="shared" ca="1" si="79"/>
        <v>41598.140539901338</v>
      </c>
      <c r="Q122" s="114">
        <f t="shared" ca="1" si="79"/>
        <v>47333.319388044161</v>
      </c>
      <c r="R122" s="114">
        <f t="shared" ca="1" si="79"/>
        <v>53647.962667244457</v>
      </c>
      <c r="S122" s="114">
        <f t="shared" ca="1" si="79"/>
        <v>59136.010074155238</v>
      </c>
      <c r="T122" s="114">
        <f t="shared" ca="1" si="79"/>
        <v>65091.65030834121</v>
      </c>
    </row>
    <row r="123" spans="1:20" x14ac:dyDescent="0.2">
      <c r="B123" t="s">
        <v>251</v>
      </c>
      <c r="C123" s="114">
        <v>3115</v>
      </c>
      <c r="D123" s="114">
        <v>5583</v>
      </c>
      <c r="E123" s="114">
        <v>5012</v>
      </c>
      <c r="F123" s="114">
        <v>4647</v>
      </c>
      <c r="G123" s="114">
        <v>4623</v>
      </c>
      <c r="H123" s="114">
        <v>8184</v>
      </c>
      <c r="I123" s="114">
        <v>8629</v>
      </c>
      <c r="J123" s="114">
        <v>8750</v>
      </c>
      <c r="K123" s="114">
        <v>9540</v>
      </c>
      <c r="L123" s="114">
        <v>11736</v>
      </c>
      <c r="M123" s="114">
        <f t="shared" ref="M123:T123" ca="1" si="80">L123+M38</f>
        <v>13103.320800926509</v>
      </c>
      <c r="N123" s="114">
        <f t="shared" ca="1" si="80"/>
        <v>14673.102416696891</v>
      </c>
      <c r="O123" s="114">
        <f t="shared" ca="1" si="80"/>
        <v>16424.503744472018</v>
      </c>
      <c r="P123" s="114">
        <f t="shared" ca="1" si="80"/>
        <v>18172.568612257335</v>
      </c>
      <c r="Q123" s="114">
        <f t="shared" ca="1" si="80"/>
        <v>19885.315704443594</v>
      </c>
      <c r="R123" s="114">
        <f t="shared" ca="1" si="80"/>
        <v>21769.582499738375</v>
      </c>
      <c r="S123" s="114">
        <f t="shared" ca="1" si="80"/>
        <v>23834.903270977869</v>
      </c>
      <c r="T123" s="114">
        <f t="shared" ca="1" si="80"/>
        <v>25973.36149373572</v>
      </c>
    </row>
    <row r="125" spans="1:20" ht="13.5" thickBot="1" x14ac:dyDescent="0.25">
      <c r="A125" s="413"/>
      <c r="B125" s="414" t="s">
        <v>289</v>
      </c>
      <c r="C125" s="415">
        <f t="shared" ref="C125:M125" si="81">C110+C113</f>
        <v>123140</v>
      </c>
      <c r="D125" s="415">
        <f t="shared" si="81"/>
        <v>127774</v>
      </c>
      <c r="E125" s="415">
        <f t="shared" si="81"/>
        <v>127812</v>
      </c>
      <c r="F125" s="415">
        <f t="shared" si="81"/>
        <v>122542</v>
      </c>
      <c r="G125" s="415">
        <f t="shared" si="81"/>
        <v>107942</v>
      </c>
      <c r="H125" s="415">
        <f t="shared" si="81"/>
        <v>118148</v>
      </c>
      <c r="I125" s="415">
        <f t="shared" si="81"/>
        <v>129360</v>
      </c>
      <c r="J125" s="415">
        <f t="shared" si="81"/>
        <v>143920</v>
      </c>
      <c r="K125" s="415">
        <f t="shared" si="81"/>
        <v>148485</v>
      </c>
      <c r="L125" s="415">
        <f t="shared" si="81"/>
        <v>141334</v>
      </c>
      <c r="M125" s="415">
        <f t="shared" ca="1" si="81"/>
        <v>140028.85027813874</v>
      </c>
      <c r="N125" s="415">
        <f t="shared" ref="N125:T125" ca="1" si="82">N110+N113</f>
        <v>142401.66046252556</v>
      </c>
      <c r="O125" s="415">
        <f t="shared" ca="1" si="82"/>
        <v>146032.24564177037</v>
      </c>
      <c r="P125" s="415">
        <f t="shared" ca="1" si="82"/>
        <v>148564.79318657867</v>
      </c>
      <c r="Q125" s="415">
        <f t="shared" ca="1" si="82"/>
        <v>152032.42695468717</v>
      </c>
      <c r="R125" s="415">
        <f t="shared" ca="1" si="82"/>
        <v>156265.60979702661</v>
      </c>
      <c r="S125" s="415">
        <f t="shared" ca="1" si="82"/>
        <v>159867.70054159829</v>
      </c>
      <c r="T125" s="415">
        <f t="shared" ca="1" si="82"/>
        <v>164024.87778246548</v>
      </c>
    </row>
    <row r="126" spans="1:20" ht="13.5" thickTop="1" x14ac:dyDescent="0.2">
      <c r="B126" t="s">
        <v>291</v>
      </c>
      <c r="C126" s="114">
        <f>C125-C90</f>
        <v>0</v>
      </c>
      <c r="D126" s="114">
        <f>D125-D90</f>
        <v>0</v>
      </c>
      <c r="E126" s="114">
        <f t="shared" ref="E126:M126" si="83">E125-E90</f>
        <v>0</v>
      </c>
      <c r="F126" s="114">
        <f t="shared" si="83"/>
        <v>0</v>
      </c>
      <c r="G126" s="114">
        <f t="shared" si="83"/>
        <v>0</v>
      </c>
      <c r="H126" s="114">
        <f t="shared" si="83"/>
        <v>0</v>
      </c>
      <c r="I126" s="114">
        <f t="shared" si="83"/>
        <v>0</v>
      </c>
      <c r="J126" s="114">
        <f t="shared" si="83"/>
        <v>0</v>
      </c>
      <c r="K126" s="114">
        <f t="shared" si="83"/>
        <v>0</v>
      </c>
      <c r="L126" s="114">
        <f t="shared" si="83"/>
        <v>0</v>
      </c>
      <c r="M126" s="114">
        <f t="shared" ca="1" si="83"/>
        <v>90.160599636117695</v>
      </c>
      <c r="N126" s="114">
        <f t="shared" ref="N126:T126" ca="1" si="84">N125-N90</f>
        <v>91.479606782086194</v>
      </c>
      <c r="O126" s="114">
        <f t="shared" ca="1" si="84"/>
        <v>92.080037620995427</v>
      </c>
      <c r="P126" s="114">
        <f t="shared" ca="1" si="84"/>
        <v>93.628355369961355</v>
      </c>
      <c r="Q126" s="114">
        <f t="shared" ca="1" si="84"/>
        <v>94.814679924456868</v>
      </c>
      <c r="R126" s="114">
        <f t="shared" ca="1" si="84"/>
        <v>96.263639093202073</v>
      </c>
      <c r="S126" s="114">
        <f t="shared" ca="1" si="84"/>
        <v>96.899781086773146</v>
      </c>
      <c r="T126" s="114">
        <f t="shared" ca="1" si="84"/>
        <v>97.798997727339156</v>
      </c>
    </row>
    <row r="127" spans="1:20" x14ac:dyDescent="0.2">
      <c r="E127" s="259"/>
      <c r="L127" s="473"/>
      <c r="M127" s="473"/>
    </row>
    <row r="128" spans="1:20" x14ac:dyDescent="0.2">
      <c r="B128" s="226" t="s">
        <v>295</v>
      </c>
      <c r="C128" s="197">
        <f>C96+C104-C80-C86-C74-C77-536</f>
        <v>38158</v>
      </c>
      <c r="D128" s="197">
        <f>D96+D104-D80-D86-D74-D77-131</f>
        <v>40911</v>
      </c>
      <c r="E128" s="197">
        <f>E96+E104-E80-E86-E74-E77+187</f>
        <v>42269</v>
      </c>
      <c r="F128" s="197">
        <f>F96+F104-F80-F86-F74-F77+1558</f>
        <v>40121</v>
      </c>
      <c r="G128" s="197">
        <f>G96+G104-G80-G86-G74-G77+1458</f>
        <v>36860</v>
      </c>
      <c r="H128" s="197">
        <f>H96+H104-H80-H86-H74-H77+914</f>
        <v>39093</v>
      </c>
      <c r="I128" s="197">
        <f>I96+I104-I80-I86-I74-I77+1436</f>
        <v>42500</v>
      </c>
      <c r="J128" s="197">
        <f>J96+J104-J80-J86-J74-J77+2768</f>
        <v>47570</v>
      </c>
      <c r="K128" s="197">
        <f t="shared" ref="K128" si="85">K96+K104-K80-K86-K74+2539</f>
        <v>49959</v>
      </c>
      <c r="L128" s="197">
        <f t="shared" ref="L128:T128" si="86">L96+L104-L80-L86-L74+3936</f>
        <v>50791</v>
      </c>
      <c r="M128" s="197">
        <f t="shared" ca="1" si="86"/>
        <v>50219.583818610001</v>
      </c>
      <c r="N128" s="197">
        <f t="shared" ca="1" si="86"/>
        <v>47414.59589485234</v>
      </c>
      <c r="O128" s="197">
        <f t="shared" ca="1" si="86"/>
        <v>43509.931320028751</v>
      </c>
      <c r="P128" s="197">
        <f t="shared" ca="1" si="86"/>
        <v>37682.312000098027</v>
      </c>
      <c r="Q128" s="197">
        <f t="shared" ca="1" si="86"/>
        <v>30885.604518398719</v>
      </c>
      <c r="R128" s="197">
        <f t="shared" ca="1" si="86"/>
        <v>22846.499135211765</v>
      </c>
      <c r="S128" s="197">
        <f t="shared" ca="1" si="86"/>
        <v>15035.026534851082</v>
      </c>
      <c r="T128" s="197">
        <f t="shared" ca="1" si="86"/>
        <v>6640.5193260445994</v>
      </c>
    </row>
    <row r="129" spans="1:20" x14ac:dyDescent="0.2">
      <c r="B129" t="s">
        <v>296</v>
      </c>
      <c r="C129" s="103" t="s">
        <v>35</v>
      </c>
      <c r="D129" s="114">
        <f>(C128+D128)/2</f>
        <v>39534.5</v>
      </c>
      <c r="E129" s="114">
        <f t="shared" ref="E129:T129" si="87">(D128+E128)/2</f>
        <v>41590</v>
      </c>
      <c r="F129" s="114">
        <f t="shared" si="87"/>
        <v>41195</v>
      </c>
      <c r="G129" s="114">
        <f>(F128*0.75)+(G128*0.25)</f>
        <v>39305.75</v>
      </c>
      <c r="H129" s="114">
        <f t="shared" si="87"/>
        <v>37976.5</v>
      </c>
      <c r="I129" s="114">
        <f t="shared" si="87"/>
        <v>40796.5</v>
      </c>
      <c r="J129" s="114">
        <f t="shared" si="87"/>
        <v>45035</v>
      </c>
      <c r="K129" s="114">
        <f t="shared" si="87"/>
        <v>48764.5</v>
      </c>
      <c r="L129" s="114">
        <f t="shared" si="87"/>
        <v>50375</v>
      </c>
      <c r="M129" s="114">
        <f t="shared" ca="1" si="87"/>
        <v>50505.291909305</v>
      </c>
      <c r="N129" s="114">
        <f t="shared" ca="1" si="87"/>
        <v>48817.089856731167</v>
      </c>
      <c r="O129" s="114">
        <f t="shared" ca="1" si="87"/>
        <v>45462.263607440545</v>
      </c>
      <c r="P129" s="114">
        <f t="shared" ca="1" si="87"/>
        <v>40596.121660063392</v>
      </c>
      <c r="Q129" s="114">
        <f t="shared" ca="1" si="87"/>
        <v>34283.958259248371</v>
      </c>
      <c r="R129" s="114">
        <f t="shared" ca="1" si="87"/>
        <v>26866.05182680524</v>
      </c>
      <c r="S129" s="114">
        <f t="shared" ca="1" si="87"/>
        <v>18940.762835031423</v>
      </c>
      <c r="T129" s="114">
        <f t="shared" ca="1" si="87"/>
        <v>10837.772930447842</v>
      </c>
    </row>
    <row r="130" spans="1:20" x14ac:dyDescent="0.2">
      <c r="B130" t="s">
        <v>297</v>
      </c>
      <c r="C130" s="103" t="s">
        <v>35</v>
      </c>
      <c r="D130" s="227">
        <f t="shared" ref="D130:L130" si="88">-D28/D129</f>
        <v>7.8437820131783631E-2</v>
      </c>
      <c r="E130" s="442">
        <f t="shared" si="88"/>
        <v>6.0110603510459243E-2</v>
      </c>
      <c r="F130" s="442">
        <f t="shared" si="88"/>
        <v>5.6438888214589152E-2</v>
      </c>
      <c r="G130" s="442">
        <f t="shared" si="88"/>
        <v>5.2485959433416232E-2</v>
      </c>
      <c r="H130" s="442">
        <f t="shared" si="88"/>
        <v>5.6929943517701739E-2</v>
      </c>
      <c r="I130" s="442">
        <f t="shared" ca="1" si="88"/>
        <v>5.6929943517701739E-2</v>
      </c>
      <c r="J130" s="442">
        <f t="shared" si="88"/>
        <v>5.2559120683912511E-2</v>
      </c>
      <c r="K130" s="442">
        <f t="shared" si="88"/>
        <v>5.1102748925960485E-2</v>
      </c>
      <c r="L130" s="442">
        <f t="shared" si="88"/>
        <v>4.3612903225806451E-2</v>
      </c>
      <c r="M130" s="442">
        <f>L130-0.25%</f>
        <v>4.1112903225806449E-2</v>
      </c>
      <c r="N130" s="442">
        <f>M130-0.05%</f>
        <v>4.0612903225806449E-2</v>
      </c>
      <c r="O130" s="442">
        <f>N130-0.05%</f>
        <v>4.0112903225806448E-2</v>
      </c>
      <c r="P130" s="442">
        <f>O130</f>
        <v>4.0112903225806448E-2</v>
      </c>
      <c r="Q130" s="442">
        <f>P130</f>
        <v>4.0112903225806448E-2</v>
      </c>
      <c r="R130" s="442">
        <f>Q130</f>
        <v>4.0112903225806448E-2</v>
      </c>
      <c r="S130" s="442">
        <f>R130</f>
        <v>4.0112903225806448E-2</v>
      </c>
      <c r="T130" s="442">
        <f>S130</f>
        <v>4.0112903225806448E-2</v>
      </c>
    </row>
    <row r="131" spans="1:20" x14ac:dyDescent="0.2">
      <c r="D131">
        <f t="shared" ref="D131:L131" si="89">D128/D15</f>
        <v>1.9794368105283531</v>
      </c>
      <c r="E131">
        <f t="shared" si="89"/>
        <v>2.1706950145666317</v>
      </c>
      <c r="F131">
        <f t="shared" si="89"/>
        <v>2.147277013199524</v>
      </c>
      <c r="G131">
        <f t="shared" si="89"/>
        <v>2.0508860488949101</v>
      </c>
      <c r="H131">
        <f t="shared" si="89"/>
        <v>2.2436458102819383</v>
      </c>
      <c r="I131">
        <f t="shared" si="89"/>
        <v>2.4189873237334854</v>
      </c>
      <c r="J131">
        <f t="shared" si="89"/>
        <v>2.3895405748068343</v>
      </c>
      <c r="K131">
        <f t="shared" si="89"/>
        <v>2.332325365814528</v>
      </c>
      <c r="L131">
        <f t="shared" si="89"/>
        <v>2.2848254145362747</v>
      </c>
    </row>
    <row r="132" spans="1:20" x14ac:dyDescent="0.2">
      <c r="A132" s="278"/>
      <c r="B132" s="278"/>
      <c r="C132" s="278"/>
      <c r="D132" s="278"/>
      <c r="E132" s="278"/>
      <c r="F132" s="278"/>
      <c r="G132" s="278"/>
      <c r="H132" s="278"/>
      <c r="I132" s="278"/>
      <c r="J132" s="278"/>
      <c r="K132" s="278"/>
      <c r="L132" s="278"/>
      <c r="M132" s="278"/>
      <c r="N132" s="278"/>
      <c r="O132" s="278"/>
      <c r="P132" s="278"/>
      <c r="Q132" s="278"/>
      <c r="R132" s="278"/>
      <c r="S132" s="278"/>
      <c r="T132" s="278"/>
    </row>
    <row r="134" spans="1:20" x14ac:dyDescent="0.2">
      <c r="B134" s="226" t="s">
        <v>299</v>
      </c>
      <c r="C134" s="129" t="str">
        <f t="shared" ref="C134:P134" si="90">C93</f>
        <v>2008A</v>
      </c>
      <c r="D134" s="129" t="str">
        <f t="shared" si="90"/>
        <v>2009A</v>
      </c>
      <c r="E134" s="129" t="str">
        <f t="shared" si="90"/>
        <v>2010A</v>
      </c>
      <c r="F134" s="129" t="str">
        <f t="shared" si="90"/>
        <v>2011A</v>
      </c>
      <c r="G134" s="129" t="str">
        <f t="shared" si="90"/>
        <v>2012A</v>
      </c>
      <c r="H134" s="129" t="str">
        <f t="shared" si="90"/>
        <v>2013A</v>
      </c>
      <c r="I134" s="129" t="str">
        <f t="shared" si="90"/>
        <v>2014A</v>
      </c>
      <c r="J134" s="129" t="str">
        <f t="shared" si="90"/>
        <v>2015A</v>
      </c>
      <c r="K134" s="129" t="str">
        <f t="shared" si="90"/>
        <v>2016A</v>
      </c>
      <c r="L134" s="129" t="str">
        <f t="shared" si="90"/>
        <v>2017A</v>
      </c>
      <c r="M134" s="129" t="str">
        <f t="shared" si="90"/>
        <v>2018E</v>
      </c>
      <c r="N134" s="129" t="str">
        <f t="shared" si="90"/>
        <v>2019E</v>
      </c>
      <c r="O134" s="129" t="str">
        <f t="shared" si="90"/>
        <v>2020E</v>
      </c>
      <c r="P134" s="129" t="str">
        <f t="shared" si="90"/>
        <v>2021E</v>
      </c>
      <c r="Q134" s="129" t="str">
        <f t="shared" ref="Q134:T134" si="91">Q93</f>
        <v>2022E</v>
      </c>
      <c r="R134" s="129" t="str">
        <f t="shared" si="91"/>
        <v>2023E</v>
      </c>
      <c r="S134" s="129" t="str">
        <f t="shared" si="91"/>
        <v>2024E</v>
      </c>
      <c r="T134" s="129" t="str">
        <f t="shared" si="91"/>
        <v>2025E</v>
      </c>
    </row>
    <row r="135" spans="1:20" x14ac:dyDescent="0.2">
      <c r="E135" s="486"/>
    </row>
    <row r="136" spans="1:20" x14ac:dyDescent="0.2">
      <c r="D136" s="486"/>
      <c r="E136" s="486"/>
    </row>
    <row r="137" spans="1:20" x14ac:dyDescent="0.2">
      <c r="B137" s="226" t="s">
        <v>301</v>
      </c>
      <c r="C137" s="197">
        <f>C37</f>
        <v>2024</v>
      </c>
      <c r="D137" s="487">
        <f>D37</f>
        <v>873</v>
      </c>
      <c r="E137" s="487">
        <f>E37</f>
        <v>1759.5651076499998</v>
      </c>
      <c r="F137" s="487">
        <v>670</v>
      </c>
      <c r="G137" s="197">
        <f>-5255+498</f>
        <v>-4757</v>
      </c>
      <c r="H137" s="197">
        <f>H37-772</f>
        <v>1203.8731536184605</v>
      </c>
      <c r="I137" s="197">
        <f ca="1">I37+1297</f>
        <v>3251.7931167749175</v>
      </c>
      <c r="J137" s="197">
        <v>3502</v>
      </c>
      <c r="K137" s="197">
        <v>3104</v>
      </c>
      <c r="L137" s="197">
        <v>5551</v>
      </c>
      <c r="M137" s="197">
        <f t="shared" ref="M137:P137" ca="1" si="92">M37</f>
        <v>5410.5736159546377</v>
      </c>
      <c r="N137" s="197">
        <f t="shared" ca="1" si="92"/>
        <v>6286.0154320467318</v>
      </c>
      <c r="O137" s="197">
        <f t="shared" ca="1" si="92"/>
        <v>7190.4777297486798</v>
      </c>
      <c r="P137" s="197">
        <f t="shared" ca="1" si="92"/>
        <v>8016.3081061262119</v>
      </c>
      <c r="Q137" s="197">
        <f t="shared" ref="Q137:T137" ca="1" si="93">Q37</f>
        <v>8810.4192127348651</v>
      </c>
      <c r="R137" s="197">
        <f t="shared" ca="1" si="93"/>
        <v>9588.1270036969872</v>
      </c>
      <c r="S137" s="197">
        <f t="shared" ca="1" si="93"/>
        <v>10397.305162617846</v>
      </c>
      <c r="T137" s="197">
        <f t="shared" ca="1" si="93"/>
        <v>11101.751859131266</v>
      </c>
    </row>
    <row r="138" spans="1:20" x14ac:dyDescent="0.2">
      <c r="C138" s="114"/>
      <c r="D138" s="489"/>
      <c r="E138" s="486"/>
      <c r="F138" s="486"/>
    </row>
    <row r="139" spans="1:20" x14ac:dyDescent="0.2">
      <c r="B139" t="s">
        <v>302</v>
      </c>
      <c r="C139" s="114">
        <v>10975</v>
      </c>
      <c r="D139" s="489">
        <v>13894</v>
      </c>
      <c r="E139" s="489">
        <v>11808</v>
      </c>
      <c r="F139" s="489">
        <v>14436</v>
      </c>
      <c r="G139" s="114">
        <v>21957</v>
      </c>
      <c r="H139" s="114">
        <v>10904</v>
      </c>
      <c r="I139" s="114">
        <v>10574</v>
      </c>
      <c r="J139" s="114">
        <f>J21+125</f>
        <v>11360</v>
      </c>
      <c r="K139" s="114">
        <v>13380</v>
      </c>
      <c r="L139" s="114">
        <v>14586</v>
      </c>
      <c r="M139" s="114">
        <f t="shared" ref="M139:P139" si="94">M21</f>
        <v>11382.708224043716</v>
      </c>
      <c r="N139" s="114">
        <f t="shared" si="94"/>
        <v>11340.523079508195</v>
      </c>
      <c r="O139" s="114">
        <f t="shared" si="94"/>
        <v>11333.9369076209</v>
      </c>
      <c r="P139" s="114">
        <f t="shared" si="94"/>
        <v>11396.165236168921</v>
      </c>
      <c r="Q139" s="114">
        <f t="shared" ref="Q139:T139" si="95">Q21</f>
        <v>11436.452346719951</v>
      </c>
      <c r="R139" s="114">
        <f t="shared" si="95"/>
        <v>11426.9769820334</v>
      </c>
      <c r="S139" s="114">
        <f t="shared" si="95"/>
        <v>11418.645262581518</v>
      </c>
      <c r="T139" s="114">
        <f t="shared" si="95"/>
        <v>11411.456240827845</v>
      </c>
    </row>
    <row r="140" spans="1:20" x14ac:dyDescent="0.2">
      <c r="B140" t="s">
        <v>303</v>
      </c>
      <c r="C140" s="114">
        <v>1428</v>
      </c>
      <c r="D140" s="489">
        <v>1782</v>
      </c>
      <c r="E140" s="489">
        <f>-E34</f>
        <v>935</v>
      </c>
      <c r="F140" s="489">
        <v>2349</v>
      </c>
      <c r="G140" s="114">
        <v>-1473</v>
      </c>
      <c r="H140" s="114">
        <v>924</v>
      </c>
      <c r="I140" s="114">
        <v>1106</v>
      </c>
      <c r="J140" s="114">
        <v>1276</v>
      </c>
      <c r="K140" s="114">
        <v>1443</v>
      </c>
      <c r="L140" s="114">
        <f t="shared" ref="L140:P140" si="96">-L34</f>
        <v>-558</v>
      </c>
      <c r="M140" s="114">
        <f t="shared" ca="1" si="96"/>
        <v>2318.8172639805584</v>
      </c>
      <c r="N140" s="114">
        <f t="shared" ca="1" si="96"/>
        <v>2694.0066137343133</v>
      </c>
      <c r="O140" s="114">
        <f t="shared" ca="1" si="96"/>
        <v>3081.633312749434</v>
      </c>
      <c r="P140" s="114">
        <f t="shared" ca="1" si="96"/>
        <v>3435.5606169112334</v>
      </c>
      <c r="Q140" s="114">
        <f t="shared" ref="Q140:T140" ca="1" si="97">-Q34</f>
        <v>3775.8939483149416</v>
      </c>
      <c r="R140" s="114">
        <f t="shared" ca="1" si="97"/>
        <v>4109.197287298708</v>
      </c>
      <c r="S140" s="114">
        <f t="shared" ca="1" si="97"/>
        <v>4455.9879268362192</v>
      </c>
      <c r="T140" s="114">
        <f t="shared" ca="1" si="97"/>
        <v>4757.8936539133983</v>
      </c>
    </row>
    <row r="141" spans="1:20" x14ac:dyDescent="0.2">
      <c r="B141" s="486" t="s">
        <v>311</v>
      </c>
      <c r="C141" s="114">
        <v>2487</v>
      </c>
      <c r="D141" s="489">
        <v>2555</v>
      </c>
      <c r="E141" s="489">
        <f>-E28</f>
        <v>2500</v>
      </c>
      <c r="F141" s="489">
        <v>2325</v>
      </c>
      <c r="G141" s="114">
        <v>2033</v>
      </c>
      <c r="H141" s="114">
        <v>2162</v>
      </c>
      <c r="I141" s="114">
        <f ca="1">-I28</f>
        <v>2322.5424407199189</v>
      </c>
      <c r="J141" s="114">
        <f>-J28-4</f>
        <v>2363</v>
      </c>
      <c r="K141" s="114">
        <v>2492</v>
      </c>
      <c r="L141" s="114">
        <f t="shared" ref="L141:P141" si="98">-L28</f>
        <v>2197</v>
      </c>
      <c r="M141" s="114">
        <f t="shared" ca="1" si="98"/>
        <v>2076.4191786583619</v>
      </c>
      <c r="N141" s="114">
        <f t="shared" ca="1" si="98"/>
        <v>1982.6037461169205</v>
      </c>
      <c r="O141" s="114">
        <f t="shared" ca="1" si="98"/>
        <v>1823.623380511365</v>
      </c>
      <c r="P141" s="114">
        <f t="shared" ca="1" si="98"/>
        <v>1628.428299493188</v>
      </c>
      <c r="Q141" s="114">
        <f t="shared" ref="Q141:T141" ca="1" si="99">-Q28</f>
        <v>1375.2290998508176</v>
      </c>
      <c r="R141" s="114">
        <f t="shared" ca="1" si="99"/>
        <v>1077.6753369881392</v>
      </c>
      <c r="S141" s="114">
        <f t="shared" ca="1" si="99"/>
        <v>759.76898662456688</v>
      </c>
      <c r="T141" s="114">
        <f t="shared" ca="1" si="99"/>
        <v>434.73453674231905</v>
      </c>
    </row>
    <row r="142" spans="1:20" x14ac:dyDescent="0.2">
      <c r="B142" s="486" t="s">
        <v>304</v>
      </c>
      <c r="C142" s="114">
        <v>713</v>
      </c>
      <c r="D142" s="489">
        <v>826</v>
      </c>
      <c r="E142" s="286">
        <v>253</v>
      </c>
      <c r="F142" s="286">
        <v>169</v>
      </c>
      <c r="G142" s="103">
        <v>233</v>
      </c>
      <c r="H142" s="103">
        <v>569</v>
      </c>
      <c r="I142" s="103">
        <v>359</v>
      </c>
      <c r="J142" s="103">
        <v>-89</v>
      </c>
      <c r="K142" s="114">
        <v>2072</v>
      </c>
      <c r="L142" s="103">
        <v>2269</v>
      </c>
      <c r="M142" s="103">
        <v>0</v>
      </c>
      <c r="N142" s="103">
        <v>0</v>
      </c>
      <c r="O142" s="103">
        <v>0</v>
      </c>
      <c r="P142" s="103">
        <v>0</v>
      </c>
      <c r="Q142" s="103">
        <v>0</v>
      </c>
      <c r="R142" s="103">
        <v>0</v>
      </c>
      <c r="S142" s="103">
        <v>0</v>
      </c>
      <c r="T142" s="103">
        <v>0</v>
      </c>
    </row>
    <row r="143" spans="1:20" x14ac:dyDescent="0.2">
      <c r="B143" s="486" t="s">
        <v>246</v>
      </c>
      <c r="C143" s="114">
        <v>388</v>
      </c>
      <c r="D143" s="489">
        <v>-24</v>
      </c>
      <c r="E143" s="114">
        <f>E27</f>
        <v>57</v>
      </c>
      <c r="F143" s="489">
        <v>73</v>
      </c>
      <c r="G143" s="114">
        <v>154</v>
      </c>
      <c r="H143" s="114">
        <f t="shared" ref="H143:M143" si="100">H27</f>
        <v>71</v>
      </c>
      <c r="I143" s="114">
        <v>198</v>
      </c>
      <c r="J143" s="114">
        <f t="shared" si="100"/>
        <v>-24</v>
      </c>
      <c r="K143" s="114">
        <f t="shared" si="100"/>
        <v>53</v>
      </c>
      <c r="L143" s="114">
        <v>-76</v>
      </c>
      <c r="M143" s="114">
        <f t="shared" si="100"/>
        <v>0</v>
      </c>
      <c r="N143" s="114">
        <f t="shared" ref="N143:T143" si="101">N27</f>
        <v>0</v>
      </c>
      <c r="O143" s="114">
        <f t="shared" si="101"/>
        <v>0</v>
      </c>
      <c r="P143" s="114">
        <f t="shared" si="101"/>
        <v>0</v>
      </c>
      <c r="Q143" s="114">
        <f t="shared" si="101"/>
        <v>0</v>
      </c>
      <c r="R143" s="114">
        <f t="shared" si="101"/>
        <v>0</v>
      </c>
      <c r="S143" s="114">
        <f t="shared" si="101"/>
        <v>0</v>
      </c>
      <c r="T143" s="114">
        <f t="shared" si="101"/>
        <v>0</v>
      </c>
    </row>
    <row r="144" spans="1:20" x14ac:dyDescent="0.2">
      <c r="B144" s="486" t="s">
        <v>305</v>
      </c>
      <c r="C144" s="114">
        <v>-455</v>
      </c>
      <c r="D144" s="489">
        <v>-26</v>
      </c>
      <c r="E144" s="103">
        <v>349</v>
      </c>
      <c r="F144" s="286">
        <f>-4-2289+400</f>
        <v>-1893</v>
      </c>
      <c r="G144" s="103">
        <f>-1450+128+185+157</f>
        <v>-980</v>
      </c>
      <c r="H144" s="103">
        <v>-131</v>
      </c>
      <c r="I144" s="103">
        <v>-1674</v>
      </c>
      <c r="J144" s="103">
        <v>-583</v>
      </c>
      <c r="K144" s="103">
        <v>-7</v>
      </c>
      <c r="L144" s="103">
        <v>-537</v>
      </c>
      <c r="M144" s="103">
        <v>0</v>
      </c>
      <c r="N144" s="103">
        <v>0</v>
      </c>
      <c r="O144" s="103">
        <v>0</v>
      </c>
      <c r="P144" s="103">
        <v>0</v>
      </c>
      <c r="Q144" s="103">
        <v>0</v>
      </c>
      <c r="R144" s="103">
        <v>0</v>
      </c>
      <c r="S144" s="103">
        <v>0</v>
      </c>
      <c r="T144" s="103">
        <v>0</v>
      </c>
    </row>
    <row r="145" spans="1:20" x14ac:dyDescent="0.2">
      <c r="B145" s="486" t="s">
        <v>306</v>
      </c>
      <c r="C145" s="114">
        <v>-147</v>
      </c>
      <c r="D145" s="489">
        <v>-230</v>
      </c>
      <c r="E145" s="103">
        <v>-21</v>
      </c>
      <c r="F145" s="286">
        <v>-678</v>
      </c>
      <c r="G145" s="103">
        <v>15</v>
      </c>
      <c r="H145" s="103">
        <v>101</v>
      </c>
      <c r="I145" s="103">
        <v>166</v>
      </c>
      <c r="J145" s="103">
        <v>243</v>
      </c>
      <c r="K145" s="103">
        <f>316-2591</f>
        <v>-2275</v>
      </c>
      <c r="L145" s="103">
        <f>-226-1447</f>
        <v>-1673</v>
      </c>
      <c r="M145" s="103">
        <v>0</v>
      </c>
      <c r="N145" s="103">
        <v>0</v>
      </c>
      <c r="O145" s="103">
        <v>0</v>
      </c>
      <c r="P145" s="103">
        <v>0</v>
      </c>
      <c r="Q145" s="103">
        <v>0</v>
      </c>
      <c r="R145" s="103">
        <v>0</v>
      </c>
      <c r="S145" s="103">
        <v>0</v>
      </c>
      <c r="T145" s="103">
        <v>0</v>
      </c>
    </row>
    <row r="146" spans="1:20" x14ac:dyDescent="0.2">
      <c r="B146" s="486" t="s">
        <v>307</v>
      </c>
      <c r="C146" s="114">
        <v>70</v>
      </c>
      <c r="D146" s="489">
        <v>51</v>
      </c>
      <c r="E146" s="103">
        <v>90</v>
      </c>
      <c r="F146" s="286">
        <v>28</v>
      </c>
      <c r="G146" s="103">
        <v>-83</v>
      </c>
      <c r="H146" s="103">
        <v>138</v>
      </c>
      <c r="I146" s="103">
        <v>-436</v>
      </c>
      <c r="J146" s="103">
        <v>-87</v>
      </c>
      <c r="K146" s="103">
        <v>-495</v>
      </c>
      <c r="L146" s="103">
        <v>-103</v>
      </c>
      <c r="M146" s="103">
        <v>0</v>
      </c>
      <c r="N146" s="103">
        <v>0</v>
      </c>
      <c r="O146" s="103">
        <v>0</v>
      </c>
      <c r="P146" s="103">
        <v>0</v>
      </c>
      <c r="Q146" s="103">
        <v>0</v>
      </c>
      <c r="R146" s="103">
        <v>0</v>
      </c>
      <c r="S146" s="103">
        <v>0</v>
      </c>
      <c r="T146" s="103">
        <v>0</v>
      </c>
    </row>
    <row r="147" spans="1:20" x14ac:dyDescent="0.2">
      <c r="B147" s="486" t="s">
        <v>308</v>
      </c>
      <c r="C147" s="114">
        <v>286</v>
      </c>
      <c r="D147" s="489">
        <v>1936</v>
      </c>
      <c r="E147" s="114">
        <v>-243</v>
      </c>
      <c r="F147" s="286">
        <v>690</v>
      </c>
      <c r="G147" s="103">
        <v>-24</v>
      </c>
      <c r="H147" s="103">
        <v>-1266</v>
      </c>
      <c r="I147" s="103">
        <v>-2275</v>
      </c>
      <c r="J147" s="103">
        <v>-1438</v>
      </c>
      <c r="K147" s="103">
        <v>-1510</v>
      </c>
      <c r="L147" s="103">
        <f>-1874</f>
        <v>-1874</v>
      </c>
      <c r="M147" s="103">
        <v>-900</v>
      </c>
      <c r="N147" s="103">
        <v>-500</v>
      </c>
      <c r="O147" s="103">
        <v>-250</v>
      </c>
      <c r="P147" s="103">
        <v>-150</v>
      </c>
      <c r="Q147" s="103">
        <v>0</v>
      </c>
      <c r="R147" s="103">
        <v>0</v>
      </c>
      <c r="S147" s="103">
        <v>0</v>
      </c>
      <c r="T147" s="103">
        <v>0</v>
      </c>
    </row>
    <row r="148" spans="1:20" x14ac:dyDescent="0.2">
      <c r="B148" s="486" t="s">
        <v>309</v>
      </c>
      <c r="C148" s="114">
        <v>493</v>
      </c>
      <c r="D148" s="489">
        <v>-891</v>
      </c>
      <c r="E148" s="103">
        <v>-68</v>
      </c>
      <c r="F148" s="286">
        <v>535</v>
      </c>
      <c r="G148" s="103">
        <v>319</v>
      </c>
      <c r="H148" s="103">
        <v>-195</v>
      </c>
      <c r="I148" s="103">
        <v>382</v>
      </c>
      <c r="J148" s="103">
        <v>112</v>
      </c>
      <c r="K148" s="103">
        <v>-234</v>
      </c>
      <c r="L148" s="103">
        <v>265</v>
      </c>
      <c r="M148" s="103">
        <v>0</v>
      </c>
      <c r="N148" s="103">
        <v>0</v>
      </c>
      <c r="O148" s="103">
        <v>0</v>
      </c>
      <c r="P148" s="103">
        <v>0</v>
      </c>
      <c r="Q148" s="103">
        <v>0</v>
      </c>
      <c r="R148" s="103">
        <v>0</v>
      </c>
      <c r="S148" s="103">
        <v>0</v>
      </c>
      <c r="T148" s="103">
        <v>0</v>
      </c>
    </row>
    <row r="149" spans="1:20" x14ac:dyDescent="0.2">
      <c r="B149" s="486" t="s">
        <v>310</v>
      </c>
      <c r="C149" s="114">
        <v>-130</v>
      </c>
      <c r="D149" s="489">
        <v>-1818</v>
      </c>
      <c r="E149" s="103">
        <v>-209</v>
      </c>
      <c r="F149" s="286">
        <v>-1578</v>
      </c>
      <c r="G149" s="246">
        <v>-1080</v>
      </c>
      <c r="H149" s="246">
        <v>696</v>
      </c>
      <c r="I149" s="246">
        <v>2207</v>
      </c>
      <c r="J149" s="246">
        <v>878</v>
      </c>
      <c r="K149" s="246">
        <v>-510</v>
      </c>
      <c r="L149" s="246">
        <v>51</v>
      </c>
      <c r="M149" s="246">
        <v>0</v>
      </c>
      <c r="N149" s="246">
        <v>0</v>
      </c>
      <c r="O149" s="246">
        <v>0</v>
      </c>
      <c r="P149" s="246">
        <v>0</v>
      </c>
      <c r="Q149" s="246">
        <v>0</v>
      </c>
      <c r="R149" s="246">
        <v>0</v>
      </c>
      <c r="S149" s="246">
        <v>0</v>
      </c>
      <c r="T149" s="246">
        <v>0</v>
      </c>
    </row>
    <row r="150" spans="1:20" x14ac:dyDescent="0.2">
      <c r="B150" s="498" t="s">
        <v>367</v>
      </c>
      <c r="C150" s="197">
        <v>-520</v>
      </c>
      <c r="D150" s="487">
        <v>-928</v>
      </c>
      <c r="E150" s="197">
        <v>-819</v>
      </c>
      <c r="F150" s="487">
        <v>-778</v>
      </c>
      <c r="G150" s="197">
        <v>-694</v>
      </c>
      <c r="H150" s="197">
        <f>0.995*G150*H34/G34</f>
        <v>-648.23325533379216</v>
      </c>
      <c r="I150" s="197">
        <v>-679</v>
      </c>
      <c r="J150" s="197">
        <v>-695</v>
      </c>
      <c r="K150" s="197">
        <v>-527</v>
      </c>
      <c r="L150" s="197">
        <v>-634</v>
      </c>
      <c r="M150" s="197">
        <v>-675</v>
      </c>
      <c r="N150" s="197">
        <v>-750</v>
      </c>
      <c r="O150" s="197">
        <f ca="1">N150*O34/N34</f>
        <v>-857.91362678147152</v>
      </c>
      <c r="P150" s="197">
        <f ca="1">O150*P34/O34</f>
        <v>-956.44548515482597</v>
      </c>
      <c r="Q150" s="197">
        <f ca="1">P150*Q34/P34</f>
        <v>-1051.1928392450095</v>
      </c>
      <c r="R150" s="197">
        <f ca="1">Q150*R34/Q34</f>
        <v>-1143.983073301383</v>
      </c>
      <c r="S150" s="197">
        <f ca="1">0.6*S34</f>
        <v>-2673.5927561017315</v>
      </c>
      <c r="T150" s="197">
        <f ca="1">0.6*T34</f>
        <v>-2854.7361923480389</v>
      </c>
    </row>
    <row r="151" spans="1:20" x14ac:dyDescent="0.2">
      <c r="B151" s="498" t="s">
        <v>312</v>
      </c>
      <c r="C151" s="197">
        <v>13</v>
      </c>
      <c r="D151" s="487">
        <v>29</v>
      </c>
      <c r="E151" s="380">
        <v>412</v>
      </c>
      <c r="F151" s="502">
        <v>515</v>
      </c>
      <c r="G151" s="380">
        <v>490</v>
      </c>
      <c r="H151" s="380">
        <v>273</v>
      </c>
      <c r="I151" s="380">
        <v>344</v>
      </c>
      <c r="J151" s="380">
        <v>578</v>
      </c>
      <c r="K151" s="380">
        <v>331</v>
      </c>
      <c r="L151" s="380">
        <v>241</v>
      </c>
      <c r="M151" s="380">
        <v>0</v>
      </c>
      <c r="N151" s="380">
        <f>M151*1.05</f>
        <v>0</v>
      </c>
      <c r="O151" s="380">
        <f t="shared" ref="O151:T151" si="102">N151*1.025</f>
        <v>0</v>
      </c>
      <c r="P151" s="380">
        <f t="shared" si="102"/>
        <v>0</v>
      </c>
      <c r="Q151" s="380">
        <f t="shared" si="102"/>
        <v>0</v>
      </c>
      <c r="R151" s="380">
        <f t="shared" si="102"/>
        <v>0</v>
      </c>
      <c r="S151" s="380">
        <f t="shared" si="102"/>
        <v>0</v>
      </c>
      <c r="T151" s="380">
        <f t="shared" si="102"/>
        <v>0</v>
      </c>
    </row>
    <row r="152" spans="1:20" x14ac:dyDescent="0.2">
      <c r="B152" s="499" t="s">
        <v>413</v>
      </c>
      <c r="C152" s="114">
        <v>0</v>
      </c>
      <c r="D152" s="489">
        <v>242</v>
      </c>
      <c r="E152" s="103">
        <v>265</v>
      </c>
      <c r="F152" s="286">
        <v>0</v>
      </c>
      <c r="G152" s="103">
        <v>122</v>
      </c>
      <c r="H152" s="103">
        <f>290+137+60</f>
        <v>487</v>
      </c>
      <c r="I152" s="103">
        <v>55</v>
      </c>
      <c r="J152" s="103">
        <v>100</v>
      </c>
      <c r="K152" s="103">
        <v>289</v>
      </c>
      <c r="L152" s="103">
        <v>0</v>
      </c>
      <c r="M152" s="103">
        <v>0</v>
      </c>
      <c r="N152" s="103">
        <v>0</v>
      </c>
      <c r="O152" s="103">
        <v>0</v>
      </c>
      <c r="P152" s="103">
        <v>0</v>
      </c>
      <c r="Q152" s="103">
        <v>0</v>
      </c>
      <c r="R152" s="103">
        <v>0</v>
      </c>
      <c r="S152" s="103">
        <v>0</v>
      </c>
      <c r="T152" s="103">
        <v>0</v>
      </c>
    </row>
    <row r="153" spans="1:20" x14ac:dyDescent="0.2">
      <c r="B153" s="288"/>
      <c r="C153" s="117"/>
      <c r="D153" s="424"/>
      <c r="E153" s="241"/>
      <c r="F153" s="288"/>
      <c r="G153" s="241"/>
      <c r="H153" s="241"/>
      <c r="I153" s="241"/>
      <c r="J153" s="241"/>
      <c r="K153" s="241"/>
      <c r="L153" s="241"/>
      <c r="M153" s="241">
        <f ca="1">M150/(M15+M162+M28)</f>
        <v>-8.0060071180181616E-2</v>
      </c>
      <c r="N153" s="241"/>
      <c r="O153" s="241"/>
      <c r="P153" s="241"/>
      <c r="Q153" s="241"/>
      <c r="R153" s="241"/>
      <c r="S153" s="241"/>
      <c r="T153" s="241"/>
    </row>
    <row r="154" spans="1:20" ht="13.5" thickBot="1" x14ac:dyDescent="0.25">
      <c r="A154" s="421"/>
      <c r="B154" s="500" t="s">
        <v>313</v>
      </c>
      <c r="C154" s="420">
        <f>C137+C139+C140+C141+C142+C143+C144+C145+C146+C147+C148+C149+C150+C151+C152</f>
        <v>17625</v>
      </c>
      <c r="D154" s="496">
        <f>D137+D139+D140+D141+D142+D143+D144+D145+D146+D147+D148+D149+D150+D151+D152</f>
        <v>18271</v>
      </c>
      <c r="E154" s="420">
        <f>E137+E139+E140+E141+E142+E143+E144+E145+E146+E147+E148+E149+E150+E151+E152+1</f>
        <v>17069.56510765</v>
      </c>
      <c r="F154" s="496">
        <f t="shared" ref="F154:M154" si="103">F137+F139+F140+F141+F142+F143+F144+F145+F146+F147+F148+F149+F150+F151+F152</f>
        <v>16863</v>
      </c>
      <c r="G154" s="420">
        <f t="shared" si="103"/>
        <v>16232</v>
      </c>
      <c r="H154" s="420">
        <f t="shared" si="103"/>
        <v>15288.639898284668</v>
      </c>
      <c r="I154" s="420">
        <f t="shared" ca="1" si="103"/>
        <v>15901.335557494836</v>
      </c>
      <c r="J154" s="420">
        <f t="shared" si="103"/>
        <v>17496</v>
      </c>
      <c r="K154" s="420">
        <f t="shared" si="103"/>
        <v>17606</v>
      </c>
      <c r="L154" s="420">
        <f t="shared" si="103"/>
        <v>19705</v>
      </c>
      <c r="M154" s="420">
        <f t="shared" ca="1" si="103"/>
        <v>19613.518282637273</v>
      </c>
      <c r="N154" s="420">
        <f t="shared" ref="N154:T154" ca="1" si="104">N137+N139+N140+N141+N142+N143+N144+N145+N146+N147+N148+N149+N150+N151+N152</f>
        <v>21053.148871406163</v>
      </c>
      <c r="O154" s="420">
        <f t="shared" ca="1" si="104"/>
        <v>22321.757703848907</v>
      </c>
      <c r="P154" s="420">
        <f t="shared" ca="1" si="104"/>
        <v>23370.016773544728</v>
      </c>
      <c r="Q154" s="420">
        <f t="shared" ca="1" si="104"/>
        <v>24346.801768375564</v>
      </c>
      <c r="R154" s="420">
        <f t="shared" ca="1" si="104"/>
        <v>25057.99353671585</v>
      </c>
      <c r="S154" s="420">
        <f t="shared" ca="1" si="104"/>
        <v>24358.114582558421</v>
      </c>
      <c r="T154" s="420">
        <f t="shared" ca="1" si="104"/>
        <v>24851.10009826679</v>
      </c>
    </row>
    <row r="155" spans="1:20" x14ac:dyDescent="0.2">
      <c r="B155" s="486"/>
      <c r="C155" s="114"/>
      <c r="D155" s="489"/>
      <c r="F155" s="486"/>
    </row>
    <row r="156" spans="1:20" x14ac:dyDescent="0.2">
      <c r="A156" s="241"/>
      <c r="B156" s="501" t="s">
        <v>314</v>
      </c>
      <c r="C156" s="204">
        <f>-3431+1174</f>
        <v>-2257</v>
      </c>
      <c r="D156" s="497">
        <f>-3456+980</f>
        <v>-2476</v>
      </c>
      <c r="E156" s="204">
        <v>-2338</v>
      </c>
      <c r="F156" s="497">
        <v>-2538</v>
      </c>
      <c r="G156" s="204">
        <v>-2185</v>
      </c>
      <c r="H156" s="204">
        <v>-2075</v>
      </c>
      <c r="I156" s="204">
        <v>-2518</v>
      </c>
      <c r="J156" s="204">
        <v>-2499</v>
      </c>
      <c r="K156" s="204">
        <v>-2583</v>
      </c>
      <c r="L156" s="204">
        <v>-2509</v>
      </c>
      <c r="M156" s="204">
        <f t="shared" ref="M156:P156" ca="1" si="105">M28</f>
        <v>-2076.4191786583619</v>
      </c>
      <c r="N156" s="204">
        <f t="shared" ca="1" si="105"/>
        <v>-1982.6037461169205</v>
      </c>
      <c r="O156" s="204">
        <f t="shared" ca="1" si="105"/>
        <v>-1823.623380511365</v>
      </c>
      <c r="P156" s="204">
        <f t="shared" ca="1" si="105"/>
        <v>-1628.428299493188</v>
      </c>
      <c r="Q156" s="204">
        <f t="shared" ref="Q156:T156" ca="1" si="106">Q28</f>
        <v>-1375.2290998508176</v>
      </c>
      <c r="R156" s="204">
        <f t="shared" ca="1" si="106"/>
        <v>-1077.6753369881392</v>
      </c>
      <c r="S156" s="204">
        <f t="shared" ca="1" si="106"/>
        <v>-759.76898662456688</v>
      </c>
      <c r="T156" s="204">
        <f t="shared" ca="1" si="106"/>
        <v>-434.73453674231905</v>
      </c>
    </row>
    <row r="157" spans="1:20" x14ac:dyDescent="0.2">
      <c r="A157" s="241"/>
      <c r="B157" s="288"/>
      <c r="C157" s="117"/>
      <c r="D157" s="424"/>
      <c r="E157" s="241"/>
      <c r="F157" s="288"/>
      <c r="G157" s="241"/>
      <c r="H157" s="241"/>
      <c r="I157" s="241"/>
      <c r="J157" s="241"/>
      <c r="K157" s="241"/>
      <c r="L157" s="241"/>
      <c r="M157" s="241"/>
      <c r="N157" s="241"/>
      <c r="O157" s="241"/>
      <c r="P157" s="241"/>
      <c r="Q157" s="241"/>
      <c r="R157" s="241"/>
      <c r="S157" s="241"/>
      <c r="T157" s="241"/>
    </row>
    <row r="158" spans="1:20" ht="13.5" thickBot="1" x14ac:dyDescent="0.25">
      <c r="A158" s="421"/>
      <c r="B158" s="500" t="s">
        <v>315</v>
      </c>
      <c r="C158" s="420">
        <f>C154+C156</f>
        <v>15368</v>
      </c>
      <c r="D158" s="496">
        <f>D154+D156</f>
        <v>15795</v>
      </c>
      <c r="E158" s="420">
        <f t="shared" ref="E158:M158" si="107">E154+E156</f>
        <v>14731.56510765</v>
      </c>
      <c r="F158" s="496">
        <f t="shared" si="107"/>
        <v>14325</v>
      </c>
      <c r="G158" s="420">
        <f t="shared" si="107"/>
        <v>14047</v>
      </c>
      <c r="H158" s="420">
        <f t="shared" si="107"/>
        <v>13213.639898284668</v>
      </c>
      <c r="I158" s="420">
        <f t="shared" ca="1" si="107"/>
        <v>13383.335557494836</v>
      </c>
      <c r="J158" s="420">
        <f t="shared" si="107"/>
        <v>14997</v>
      </c>
      <c r="K158" s="420">
        <f t="shared" si="107"/>
        <v>15023</v>
      </c>
      <c r="L158" s="420">
        <f t="shared" si="107"/>
        <v>17196</v>
      </c>
      <c r="M158" s="420">
        <f t="shared" ca="1" si="107"/>
        <v>17537.099103978911</v>
      </c>
      <c r="N158" s="420">
        <f t="shared" ref="N158:T158" ca="1" si="108">N154+N156</f>
        <v>19070.545125289242</v>
      </c>
      <c r="O158" s="420">
        <f t="shared" ca="1" si="108"/>
        <v>20498.134323337541</v>
      </c>
      <c r="P158" s="420">
        <f t="shared" ca="1" si="108"/>
        <v>21741.588474051539</v>
      </c>
      <c r="Q158" s="420">
        <f t="shared" ca="1" si="108"/>
        <v>22971.572668524746</v>
      </c>
      <c r="R158" s="420">
        <f t="shared" ca="1" si="108"/>
        <v>23980.31819972771</v>
      </c>
      <c r="S158" s="420">
        <f t="shared" ca="1" si="108"/>
        <v>23598.345595933853</v>
      </c>
      <c r="T158" s="420">
        <f t="shared" ca="1" si="108"/>
        <v>24416.365561524472</v>
      </c>
    </row>
    <row r="159" spans="1:20" x14ac:dyDescent="0.2">
      <c r="B159" s="486"/>
      <c r="C159" s="114"/>
      <c r="D159" s="489"/>
      <c r="F159" s="486"/>
    </row>
    <row r="160" spans="1:20" x14ac:dyDescent="0.2">
      <c r="B160" s="498" t="s">
        <v>316</v>
      </c>
      <c r="C160" s="114"/>
      <c r="D160" s="489"/>
      <c r="F160" s="486"/>
    </row>
    <row r="161" spans="2:20" x14ac:dyDescent="0.2">
      <c r="B161" s="486" t="s">
        <v>317</v>
      </c>
      <c r="C161" s="114">
        <v>-1799</v>
      </c>
      <c r="D161" s="489">
        <v>-1598</v>
      </c>
      <c r="E161" s="114">
        <v>-2978</v>
      </c>
      <c r="F161" s="489">
        <f>-1817+146</f>
        <v>-1671</v>
      </c>
      <c r="G161" s="114">
        <v>-500</v>
      </c>
      <c r="H161" s="114">
        <v>-4490</v>
      </c>
      <c r="I161" s="114">
        <v>-4642</v>
      </c>
      <c r="J161" s="114">
        <v>-6442</v>
      </c>
      <c r="K161" s="114">
        <v>-5602</v>
      </c>
      <c r="L161" s="114">
        <v>-10324</v>
      </c>
      <c r="M161" s="114">
        <v>0</v>
      </c>
      <c r="N161" s="114">
        <v>-1000</v>
      </c>
      <c r="O161" s="114">
        <v>-1000</v>
      </c>
      <c r="P161" s="114">
        <v>0</v>
      </c>
      <c r="Q161" s="114">
        <v>0</v>
      </c>
      <c r="R161" s="114">
        <v>0</v>
      </c>
      <c r="S161" s="114">
        <v>0</v>
      </c>
      <c r="T161" s="114">
        <v>0</v>
      </c>
    </row>
    <row r="162" spans="2:20" x14ac:dyDescent="0.2">
      <c r="B162" s="498" t="s">
        <v>319</v>
      </c>
      <c r="C162" s="197">
        <v>-6908</v>
      </c>
      <c r="D162" s="487">
        <v>-7604</v>
      </c>
      <c r="E162" s="197">
        <v>-6873</v>
      </c>
      <c r="F162" s="487">
        <v>-6233</v>
      </c>
      <c r="G162" s="197">
        <f>-Interims!AK72+624</f>
        <v>-7807.9174985148802</v>
      </c>
      <c r="H162" s="197">
        <v>-6325</v>
      </c>
      <c r="I162" s="197">
        <v>-6921</v>
      </c>
      <c r="J162" s="197">
        <v>-7804</v>
      </c>
      <c r="K162" s="197">
        <v>-7674</v>
      </c>
      <c r="L162" s="197">
        <f>-9149+379</f>
        <v>-8770</v>
      </c>
      <c r="M162" s="197">
        <f ca="1">-Interims!BU72</f>
        <v>-12030.929982471907</v>
      </c>
      <c r="N162" s="197">
        <f ca="1">-Interims!CA72</f>
        <v>-12067.614863715675</v>
      </c>
      <c r="O162" s="197">
        <f ca="1">-Interims!CG72</f>
        <v>-12159.941974854057</v>
      </c>
      <c r="P162" s="197">
        <f ca="1">-Interims!CM72</f>
        <v>-12244.904249636911</v>
      </c>
      <c r="Q162" s="197">
        <f ca="1">-Interims!CS72</f>
        <v>-12270.31240601336</v>
      </c>
      <c r="R162" s="197">
        <f ca="1">-Interims!CY72</f>
        <v>-11801.222382195341</v>
      </c>
      <c r="S162" s="197">
        <f ca="1">-Interims!DE72</f>
        <v>-11411.496117986446</v>
      </c>
      <c r="T162" s="197">
        <f ca="1">-Interims!DK72</f>
        <v>-11411.147249259471</v>
      </c>
    </row>
    <row r="163" spans="2:20" x14ac:dyDescent="0.2">
      <c r="B163" s="486" t="s">
        <v>318</v>
      </c>
      <c r="C163" s="114">
        <v>-3261</v>
      </c>
      <c r="D163" s="489">
        <v>-176</v>
      </c>
      <c r="E163" s="103">
        <v>-997</v>
      </c>
      <c r="F163" s="489">
        <v>0</v>
      </c>
      <c r="G163" s="114">
        <v>0</v>
      </c>
      <c r="H163" s="114">
        <f>(-2100-1500)/1.3</f>
        <v>-2769.2307692307691</v>
      </c>
      <c r="I163" s="114">
        <v>0</v>
      </c>
      <c r="J163" s="114">
        <v>0</v>
      </c>
      <c r="K163" s="114">
        <v>0</v>
      </c>
      <c r="L163" s="489">
        <f>-361+612</f>
        <v>251</v>
      </c>
      <c r="M163" s="114">
        <v>0</v>
      </c>
      <c r="N163" s="114">
        <v>0</v>
      </c>
      <c r="O163" s="114">
        <v>0</v>
      </c>
      <c r="P163" s="114">
        <v>0</v>
      </c>
      <c r="Q163" s="114">
        <v>0</v>
      </c>
      <c r="R163" s="114">
        <v>0</v>
      </c>
      <c r="S163" s="114">
        <v>0</v>
      </c>
      <c r="T163" s="114">
        <v>0</v>
      </c>
    </row>
    <row r="164" spans="2:20" x14ac:dyDescent="0.2">
      <c r="B164" s="486" t="s">
        <v>320</v>
      </c>
      <c r="C164" s="114">
        <v>-1030</v>
      </c>
      <c r="D164" s="489">
        <v>-1007</v>
      </c>
      <c r="E164" s="103">
        <v>-448</v>
      </c>
      <c r="F164" s="489">
        <v>0</v>
      </c>
      <c r="G164" s="114">
        <v>0</v>
      </c>
      <c r="H164" s="114">
        <v>0</v>
      </c>
      <c r="I164" s="114">
        <v>0</v>
      </c>
      <c r="J164" s="114">
        <v>0</v>
      </c>
      <c r="K164" s="114">
        <v>0</v>
      </c>
      <c r="L164" s="489">
        <f>-15+528</f>
        <v>513</v>
      </c>
      <c r="M164" s="114">
        <v>-2000</v>
      </c>
      <c r="N164" s="114">
        <v>0</v>
      </c>
      <c r="O164" s="114">
        <v>0</v>
      </c>
      <c r="P164" s="114">
        <v>0</v>
      </c>
      <c r="Q164" s="114">
        <v>0</v>
      </c>
      <c r="R164" s="114">
        <v>0</v>
      </c>
      <c r="S164" s="114">
        <v>0</v>
      </c>
      <c r="T164" s="114">
        <v>0</v>
      </c>
    </row>
    <row r="165" spans="2:20" x14ac:dyDescent="0.2">
      <c r="B165" s="486"/>
      <c r="C165" s="114"/>
      <c r="D165" s="489"/>
      <c r="F165" s="566"/>
      <c r="G165" s="473"/>
      <c r="H165" s="473"/>
      <c r="I165" s="473"/>
      <c r="J165" s="473"/>
      <c r="K165" s="473"/>
      <c r="L165" s="473"/>
      <c r="M165" s="473"/>
      <c r="N165" s="473"/>
      <c r="O165" s="473"/>
      <c r="P165" s="473"/>
      <c r="Q165" s="473"/>
      <c r="R165" s="473"/>
      <c r="S165" s="473"/>
      <c r="T165" s="473"/>
    </row>
    <row r="166" spans="2:20" x14ac:dyDescent="0.2">
      <c r="B166" s="498" t="s">
        <v>321</v>
      </c>
      <c r="C166" s="114"/>
      <c r="D166" s="489"/>
      <c r="F166" s="566"/>
      <c r="G166" s="473"/>
      <c r="H166" s="473"/>
      <c r="I166" s="473"/>
      <c r="J166" s="473"/>
      <c r="K166" s="473"/>
      <c r="L166" s="473"/>
      <c r="M166" s="473"/>
      <c r="N166" s="473"/>
      <c r="O166" s="473"/>
      <c r="P166" s="473"/>
      <c r="Q166" s="473"/>
      <c r="R166" s="473"/>
      <c r="S166" s="473"/>
      <c r="T166" s="473"/>
    </row>
    <row r="167" spans="2:20" x14ac:dyDescent="0.2">
      <c r="B167" s="486" t="s">
        <v>317</v>
      </c>
      <c r="C167" s="114">
        <v>34</v>
      </c>
      <c r="D167" s="489">
        <v>7</v>
      </c>
      <c r="E167" s="103">
        <v>26</v>
      </c>
      <c r="F167" s="489">
        <v>0</v>
      </c>
      <c r="G167" s="114">
        <v>0</v>
      </c>
      <c r="H167" s="114">
        <v>2207</v>
      </c>
      <c r="I167" s="114">
        <v>2310</v>
      </c>
      <c r="J167" s="114">
        <v>3795</v>
      </c>
      <c r="K167" s="114">
        <v>0</v>
      </c>
      <c r="L167" s="114">
        <v>0</v>
      </c>
      <c r="M167" s="114">
        <v>0</v>
      </c>
      <c r="N167" s="114">
        <v>0</v>
      </c>
      <c r="O167" s="114">
        <v>0</v>
      </c>
      <c r="P167" s="114">
        <v>0</v>
      </c>
      <c r="Q167" s="114">
        <v>0</v>
      </c>
      <c r="R167" s="114">
        <v>0</v>
      </c>
      <c r="S167" s="114">
        <v>0</v>
      </c>
      <c r="T167" s="114">
        <v>0</v>
      </c>
    </row>
    <row r="168" spans="2:20" x14ac:dyDescent="0.2">
      <c r="B168" s="486" t="s">
        <v>319</v>
      </c>
      <c r="C168" s="114">
        <v>338</v>
      </c>
      <c r="D168" s="489">
        <v>369</v>
      </c>
      <c r="E168" s="103">
        <v>318</v>
      </c>
      <c r="F168" s="489">
        <v>0</v>
      </c>
      <c r="G168" s="114">
        <v>0</v>
      </c>
      <c r="H168" s="114">
        <v>0</v>
      </c>
      <c r="I168" s="114">
        <v>0</v>
      </c>
      <c r="J168" s="114">
        <v>0</v>
      </c>
      <c r="K168" s="114">
        <v>0</v>
      </c>
      <c r="L168" s="114">
        <v>0</v>
      </c>
      <c r="M168" s="114">
        <v>0</v>
      </c>
      <c r="N168" s="114">
        <v>0</v>
      </c>
      <c r="O168" s="114">
        <v>0</v>
      </c>
      <c r="P168" s="114">
        <v>0</v>
      </c>
      <c r="Q168" s="114">
        <v>0</v>
      </c>
      <c r="R168" s="114">
        <v>0</v>
      </c>
      <c r="S168" s="114">
        <v>0</v>
      </c>
      <c r="T168" s="114">
        <v>0</v>
      </c>
    </row>
    <row r="169" spans="2:20" x14ac:dyDescent="0.2">
      <c r="B169" s="486" t="s">
        <v>318</v>
      </c>
      <c r="C169" s="114">
        <v>102</v>
      </c>
      <c r="D169" s="489">
        <v>99</v>
      </c>
      <c r="E169" s="103">
        <v>162</v>
      </c>
      <c r="F169" s="489">
        <f>(3000-450)/1.3</f>
        <v>1961.5384615384614</v>
      </c>
      <c r="G169" s="114">
        <v>0</v>
      </c>
      <c r="H169" s="114">
        <v>0</v>
      </c>
      <c r="I169" s="114">
        <v>0</v>
      </c>
      <c r="J169" s="114">
        <v>0</v>
      </c>
      <c r="K169" s="114">
        <v>0</v>
      </c>
      <c r="L169" s="114">
        <v>0</v>
      </c>
      <c r="M169" s="114">
        <v>0</v>
      </c>
      <c r="N169" s="114">
        <v>0</v>
      </c>
      <c r="O169" s="114">
        <v>0</v>
      </c>
      <c r="P169" s="114">
        <v>0</v>
      </c>
      <c r="Q169" s="114">
        <v>0</v>
      </c>
      <c r="R169" s="114">
        <v>0</v>
      </c>
      <c r="S169" s="114">
        <v>0</v>
      </c>
      <c r="T169" s="114">
        <v>0</v>
      </c>
    </row>
    <row r="170" spans="2:20" x14ac:dyDescent="0.2">
      <c r="B170" s="486" t="s">
        <v>320</v>
      </c>
      <c r="C170" s="114">
        <v>778</v>
      </c>
      <c r="D170" s="489">
        <v>116</v>
      </c>
      <c r="E170" s="103">
        <v>4</v>
      </c>
      <c r="F170" s="489">
        <v>0</v>
      </c>
      <c r="G170" s="114">
        <v>0</v>
      </c>
      <c r="H170" s="114">
        <v>0</v>
      </c>
      <c r="I170" s="114">
        <v>0</v>
      </c>
      <c r="J170" s="114">
        <v>0</v>
      </c>
      <c r="K170" s="114">
        <v>0</v>
      </c>
      <c r="L170" s="114">
        <v>0</v>
      </c>
      <c r="M170" s="114">
        <v>0</v>
      </c>
      <c r="N170" s="114">
        <v>0</v>
      </c>
      <c r="O170" s="114">
        <v>0</v>
      </c>
      <c r="P170" s="114">
        <v>0</v>
      </c>
      <c r="Q170" s="114">
        <v>0</v>
      </c>
      <c r="R170" s="114">
        <v>0</v>
      </c>
      <c r="S170" s="114">
        <v>0</v>
      </c>
      <c r="T170" s="114">
        <v>0</v>
      </c>
    </row>
    <row r="171" spans="2:20" x14ac:dyDescent="0.2">
      <c r="B171" s="486"/>
      <c r="C171" s="114"/>
      <c r="D171" s="489"/>
      <c r="F171" s="566"/>
      <c r="G171" s="473"/>
      <c r="H171" s="473"/>
      <c r="I171" s="473"/>
      <c r="J171" s="473"/>
      <c r="K171" s="473"/>
      <c r="L171" s="473"/>
      <c r="M171" s="473"/>
      <c r="N171" s="473"/>
      <c r="O171" s="473"/>
      <c r="P171" s="473"/>
      <c r="Q171" s="473"/>
      <c r="R171" s="473"/>
      <c r="S171" s="473"/>
      <c r="T171" s="473"/>
    </row>
    <row r="172" spans="2:20" x14ac:dyDescent="0.2">
      <c r="B172" s="486" t="s">
        <v>322</v>
      </c>
      <c r="C172" s="114">
        <v>611</v>
      </c>
      <c r="D172" s="489">
        <v>-320</v>
      </c>
      <c r="E172" s="103">
        <v>491</v>
      </c>
      <c r="F172" s="489">
        <v>0</v>
      </c>
      <c r="G172" s="114">
        <v>0</v>
      </c>
      <c r="H172" s="114">
        <v>0</v>
      </c>
      <c r="I172" s="114">
        <v>0</v>
      </c>
      <c r="J172" s="114">
        <v>0</v>
      </c>
      <c r="K172" s="114">
        <v>0</v>
      </c>
      <c r="L172" s="489">
        <v>1514</v>
      </c>
      <c r="M172" s="114">
        <v>0</v>
      </c>
      <c r="N172" s="114">
        <v>0</v>
      </c>
      <c r="O172" s="114">
        <v>0</v>
      </c>
      <c r="P172" s="114">
        <v>0</v>
      </c>
      <c r="Q172" s="114">
        <v>0</v>
      </c>
      <c r="R172" s="114">
        <v>0</v>
      </c>
      <c r="S172" s="114">
        <v>0</v>
      </c>
      <c r="T172" s="114">
        <v>0</v>
      </c>
    </row>
    <row r="173" spans="2:20" x14ac:dyDescent="0.2">
      <c r="B173" s="486" t="s">
        <v>323</v>
      </c>
      <c r="C173" s="114">
        <v>0</v>
      </c>
      <c r="D173" s="489">
        <v>1558</v>
      </c>
      <c r="E173" s="103">
        <v>0</v>
      </c>
      <c r="F173" s="489">
        <v>0</v>
      </c>
      <c r="G173" s="114">
        <v>0</v>
      </c>
      <c r="H173" s="114">
        <v>0</v>
      </c>
      <c r="I173" s="114">
        <v>0</v>
      </c>
      <c r="J173" s="114">
        <v>0</v>
      </c>
      <c r="K173" s="114">
        <v>0</v>
      </c>
      <c r="L173" s="489">
        <v>0</v>
      </c>
      <c r="M173" s="114">
        <v>0</v>
      </c>
      <c r="N173" s="114">
        <v>0</v>
      </c>
      <c r="O173" s="114">
        <v>0</v>
      </c>
      <c r="P173" s="114">
        <v>0</v>
      </c>
      <c r="Q173" s="114">
        <v>0</v>
      </c>
      <c r="R173" s="114">
        <v>0</v>
      </c>
      <c r="S173" s="114">
        <v>0</v>
      </c>
      <c r="T173" s="114">
        <v>0</v>
      </c>
    </row>
    <row r="174" spans="2:20" x14ac:dyDescent="0.2">
      <c r="B174" s="288" t="s">
        <v>229</v>
      </c>
      <c r="C174" s="117">
        <v>-249</v>
      </c>
      <c r="D174" s="424">
        <v>-93</v>
      </c>
      <c r="E174" s="117">
        <v>-416</v>
      </c>
      <c r="F174" s="424">
        <f ca="1">F181*(0.08/0.7)</f>
        <v>-344.30278884462155</v>
      </c>
      <c r="G174" s="117">
        <v>0</v>
      </c>
      <c r="H174" s="117">
        <v>0</v>
      </c>
      <c r="I174" s="117">
        <v>0</v>
      </c>
      <c r="J174" s="117">
        <v>0</v>
      </c>
      <c r="K174" s="117">
        <v>0</v>
      </c>
      <c r="L174" s="424">
        <v>2</v>
      </c>
      <c r="M174" s="117">
        <v>0</v>
      </c>
      <c r="N174" s="117">
        <v>0</v>
      </c>
      <c r="O174" s="117">
        <v>0</v>
      </c>
      <c r="P174" s="117">
        <v>0</v>
      </c>
      <c r="Q174" s="117">
        <v>0</v>
      </c>
      <c r="R174" s="117">
        <v>0</v>
      </c>
      <c r="S174" s="117">
        <v>0</v>
      </c>
      <c r="T174" s="117">
        <v>0</v>
      </c>
    </row>
    <row r="175" spans="2:20" ht="13.5" thickBot="1" x14ac:dyDescent="0.25">
      <c r="B175" s="500" t="s">
        <v>324</v>
      </c>
      <c r="C175" s="420">
        <f>C161+C162+C163+C164+C167+C168+C169+C170+C172+C173+C174</f>
        <v>-11384</v>
      </c>
      <c r="D175" s="496">
        <f>D161+D162+D163+D164+D167+D168+D169+D170+D172+D173+D174</f>
        <v>-8649</v>
      </c>
      <c r="E175" s="420">
        <f t="shared" ref="E175:M175" si="109">E161+E162+E163+E164+E167+E168+E169+E170+E172+E173+E174</f>
        <v>-10711</v>
      </c>
      <c r="F175" s="496">
        <f t="shared" ca="1" si="109"/>
        <v>-6286.7643273061603</v>
      </c>
      <c r="G175" s="420">
        <f t="shared" si="109"/>
        <v>-8307.9174985148802</v>
      </c>
      <c r="H175" s="420">
        <f t="shared" si="109"/>
        <v>-11377.23076923077</v>
      </c>
      <c r="I175" s="420">
        <f t="shared" si="109"/>
        <v>-9253</v>
      </c>
      <c r="J175" s="420">
        <f t="shared" si="109"/>
        <v>-10451</v>
      </c>
      <c r="K175" s="420">
        <f t="shared" si="109"/>
        <v>-13276</v>
      </c>
      <c r="L175" s="420">
        <f t="shared" si="109"/>
        <v>-16814</v>
      </c>
      <c r="M175" s="420">
        <f t="shared" ca="1" si="109"/>
        <v>-14030.929982471907</v>
      </c>
      <c r="N175" s="420">
        <f t="shared" ref="N175:T175" ca="1" si="110">N161+N162+N163+N164+N167+N168+N169+N170+N172+N173+N174</f>
        <v>-13067.614863715675</v>
      </c>
      <c r="O175" s="420">
        <f t="shared" ca="1" si="110"/>
        <v>-13159.941974854057</v>
      </c>
      <c r="P175" s="420">
        <f t="shared" ca="1" si="110"/>
        <v>-12244.904249636911</v>
      </c>
      <c r="Q175" s="420">
        <f t="shared" ca="1" si="110"/>
        <v>-12270.31240601336</v>
      </c>
      <c r="R175" s="420">
        <f t="shared" ca="1" si="110"/>
        <v>-11801.222382195341</v>
      </c>
      <c r="S175" s="420">
        <f t="shared" ca="1" si="110"/>
        <v>-11411.496117986446</v>
      </c>
      <c r="T175" s="420">
        <f t="shared" ca="1" si="110"/>
        <v>-11411.147249259471</v>
      </c>
    </row>
    <row r="176" spans="2:20" x14ac:dyDescent="0.2">
      <c r="B176" s="486"/>
      <c r="D176" s="486"/>
      <c r="F176" s="486"/>
      <c r="J176" s="473"/>
    </row>
    <row r="177" spans="1:20" x14ac:dyDescent="0.2">
      <c r="B177" s="486" t="s">
        <v>325</v>
      </c>
      <c r="C177" s="114">
        <v>39281</v>
      </c>
      <c r="D177" s="424">
        <v>3318</v>
      </c>
      <c r="E177" s="424">
        <v>30046</v>
      </c>
      <c r="F177" s="424">
        <v>0</v>
      </c>
      <c r="G177" s="424">
        <v>0</v>
      </c>
      <c r="H177" s="424">
        <v>0</v>
      </c>
      <c r="I177" s="424">
        <v>0</v>
      </c>
      <c r="J177" s="424">
        <v>0</v>
      </c>
      <c r="K177" s="424">
        <v>0</v>
      </c>
      <c r="L177" s="424">
        <v>13516</v>
      </c>
      <c r="M177" s="424">
        <v>0</v>
      </c>
      <c r="N177" s="424">
        <v>0</v>
      </c>
      <c r="O177" s="424">
        <v>0</v>
      </c>
      <c r="P177" s="424">
        <v>0</v>
      </c>
      <c r="Q177" s="424">
        <v>0</v>
      </c>
      <c r="R177" s="424">
        <v>0</v>
      </c>
      <c r="S177" s="424">
        <v>0</v>
      </c>
      <c r="T177" s="424">
        <v>0</v>
      </c>
    </row>
    <row r="178" spans="1:20" x14ac:dyDescent="0.2">
      <c r="B178" s="486" t="s">
        <v>326</v>
      </c>
      <c r="C178" s="114">
        <v>-44657</v>
      </c>
      <c r="D178" s="424">
        <v>-9314</v>
      </c>
      <c r="E178" s="424">
        <v>-34762</v>
      </c>
      <c r="F178" s="424">
        <v>-1500</v>
      </c>
      <c r="G178" s="424">
        <v>-2450</v>
      </c>
      <c r="H178" s="424">
        <v>750</v>
      </c>
      <c r="I178" s="424">
        <v>-2000</v>
      </c>
      <c r="J178" s="424">
        <v>-2000</v>
      </c>
      <c r="K178" s="424">
        <v>0</v>
      </c>
      <c r="L178" s="424">
        <v>-26537</v>
      </c>
      <c r="M178" s="424">
        <v>-2000</v>
      </c>
      <c r="N178" s="424">
        <v>-2000</v>
      </c>
      <c r="O178" s="424">
        <v>-2000</v>
      </c>
      <c r="P178" s="424">
        <v>-4000</v>
      </c>
      <c r="Q178" s="424">
        <v>-4000</v>
      </c>
      <c r="R178" s="424">
        <v>-4000</v>
      </c>
      <c r="S178" s="424">
        <v>-4000</v>
      </c>
      <c r="T178" s="424">
        <v>-4000</v>
      </c>
    </row>
    <row r="179" spans="1:20" x14ac:dyDescent="0.2">
      <c r="B179" s="486" t="s">
        <v>328</v>
      </c>
      <c r="C179" s="114">
        <v>6477</v>
      </c>
      <c r="D179" s="424">
        <v>5379</v>
      </c>
      <c r="E179" s="103">
        <v>3219</v>
      </c>
      <c r="F179" s="286">
        <v>0</v>
      </c>
      <c r="G179" s="103">
        <v>0</v>
      </c>
      <c r="H179" s="103">
        <v>0</v>
      </c>
      <c r="I179" s="103">
        <v>0</v>
      </c>
      <c r="J179" s="103">
        <v>0</v>
      </c>
      <c r="K179" s="103">
        <v>0</v>
      </c>
      <c r="L179" s="286">
        <v>11215</v>
      </c>
      <c r="M179" s="103">
        <v>0</v>
      </c>
      <c r="N179" s="103">
        <v>0</v>
      </c>
      <c r="O179" s="103">
        <v>0</v>
      </c>
      <c r="P179" s="103">
        <v>0</v>
      </c>
      <c r="Q179" s="103">
        <v>0</v>
      </c>
      <c r="R179" s="103">
        <v>0</v>
      </c>
      <c r="S179" s="103">
        <v>0</v>
      </c>
      <c r="T179" s="103">
        <v>0</v>
      </c>
    </row>
    <row r="180" spans="1:20" x14ac:dyDescent="0.2">
      <c r="B180" s="486" t="s">
        <v>327</v>
      </c>
      <c r="C180" s="114">
        <v>-96</v>
      </c>
      <c r="D180" s="424">
        <v>-93</v>
      </c>
      <c r="E180" s="103">
        <v>-149</v>
      </c>
      <c r="F180" s="286">
        <v>0</v>
      </c>
      <c r="G180" s="103">
        <v>0</v>
      </c>
      <c r="H180" s="103">
        <v>0</v>
      </c>
      <c r="I180" s="103">
        <v>0</v>
      </c>
      <c r="J180" s="103">
        <v>0</v>
      </c>
      <c r="K180" s="103">
        <v>0</v>
      </c>
      <c r="L180" s="286">
        <v>-10</v>
      </c>
      <c r="M180" s="103">
        <v>0</v>
      </c>
      <c r="N180" s="103">
        <v>0</v>
      </c>
      <c r="O180" s="103">
        <v>0</v>
      </c>
      <c r="P180" s="103">
        <v>0</v>
      </c>
      <c r="Q180" s="103">
        <v>0</v>
      </c>
      <c r="R180" s="103">
        <v>0</v>
      </c>
      <c r="S180" s="103">
        <v>0</v>
      </c>
      <c r="T180" s="103">
        <v>0</v>
      </c>
    </row>
    <row r="181" spans="1:20" x14ac:dyDescent="0.2">
      <c r="B181" s="486" t="s">
        <v>329</v>
      </c>
      <c r="C181" s="114">
        <v>-3963</v>
      </c>
      <c r="D181" s="424">
        <v>-4287</v>
      </c>
      <c r="E181" s="114">
        <v>-4003</v>
      </c>
      <c r="F181" s="489">
        <f ca="1">F58*-E51</f>
        <v>-3012.6494023904384</v>
      </c>
      <c r="G181" s="114">
        <f t="shared" ref="G181:T181" ca="1" si="111">F58*-F51</f>
        <v>-3012.6494023904384</v>
      </c>
      <c r="H181" s="114">
        <v>-1870</v>
      </c>
      <c r="I181" s="114">
        <f>-H63</f>
        <v>-1212.8975</v>
      </c>
      <c r="J181" s="114">
        <f>-I63</f>
        <v>-1179.1997208333335</v>
      </c>
      <c r="K181" s="114">
        <f>-J63</f>
        <v>-1500</v>
      </c>
      <c r="L181" s="489">
        <v>-1559</v>
      </c>
      <c r="M181" s="114">
        <f t="shared" si="111"/>
        <v>-3067.5329401170002</v>
      </c>
      <c r="N181" s="114">
        <f t="shared" si="111"/>
        <v>-3333.1733378159074</v>
      </c>
      <c r="O181" s="114">
        <f t="shared" si="111"/>
        <v>-3571.2571476599014</v>
      </c>
      <c r="P181" s="114">
        <f t="shared" si="111"/>
        <v>-3809.340957503895</v>
      </c>
      <c r="Q181" s="114">
        <f t="shared" si="111"/>
        <v>-4047.4247673478881</v>
      </c>
      <c r="R181" s="114">
        <f t="shared" si="111"/>
        <v>-4285.5085771918812</v>
      </c>
      <c r="S181" s="114">
        <f t="shared" si="111"/>
        <v>-4523.5923870358747</v>
      </c>
      <c r="T181" s="114">
        <f t="shared" si="111"/>
        <v>-4761.6761968798683</v>
      </c>
    </row>
    <row r="182" spans="1:20" x14ac:dyDescent="0.2">
      <c r="A182" s="241"/>
      <c r="B182" s="288" t="s">
        <v>330</v>
      </c>
      <c r="C182" s="117">
        <v>3</v>
      </c>
      <c r="D182" s="424">
        <v>2</v>
      </c>
      <c r="E182" s="107">
        <v>-539</v>
      </c>
      <c r="F182" s="287">
        <v>2</v>
      </c>
      <c r="G182" s="107">
        <v>2</v>
      </c>
      <c r="H182" s="107">
        <v>2</v>
      </c>
      <c r="I182" s="107">
        <v>2</v>
      </c>
      <c r="J182" s="107">
        <v>2</v>
      </c>
      <c r="K182" s="107">
        <v>2</v>
      </c>
      <c r="L182" s="287">
        <f>18-522</f>
        <v>-504</v>
      </c>
      <c r="M182" s="107">
        <v>2</v>
      </c>
      <c r="N182" s="107">
        <v>2</v>
      </c>
      <c r="O182" s="107">
        <v>2</v>
      </c>
      <c r="P182" s="107">
        <v>2</v>
      </c>
      <c r="Q182" s="107">
        <v>2</v>
      </c>
      <c r="R182" s="107">
        <v>2</v>
      </c>
      <c r="S182" s="107">
        <v>2</v>
      </c>
      <c r="T182" s="107">
        <v>2</v>
      </c>
    </row>
    <row r="183" spans="1:20" x14ac:dyDescent="0.2">
      <c r="A183" s="241"/>
      <c r="B183" s="288" t="s">
        <v>331</v>
      </c>
      <c r="C183" s="117">
        <v>-142</v>
      </c>
      <c r="D183" s="424">
        <v>-128</v>
      </c>
      <c r="E183" s="107">
        <v>-181</v>
      </c>
      <c r="F183" s="288"/>
      <c r="G183" s="241"/>
      <c r="H183" s="241"/>
      <c r="I183" s="241"/>
      <c r="J183" s="241"/>
      <c r="K183" s="241"/>
      <c r="L183" s="287">
        <v>-715</v>
      </c>
      <c r="M183" s="241"/>
      <c r="N183" s="241"/>
      <c r="O183" s="241"/>
      <c r="P183" s="241"/>
      <c r="Q183" s="241"/>
      <c r="R183" s="241"/>
      <c r="S183" s="241"/>
      <c r="T183" s="241"/>
    </row>
    <row r="184" spans="1:20" ht="13.5" thickBot="1" x14ac:dyDescent="0.25">
      <c r="A184" s="421"/>
      <c r="B184" s="500" t="s">
        <v>332</v>
      </c>
      <c r="C184" s="420">
        <f>C177+C178+C179+C180+C181+C182+C183</f>
        <v>-3097</v>
      </c>
      <c r="D184" s="496">
        <f t="shared" ref="D184:M184" si="112">D177+D178+D179+D180+D181+D182+D183</f>
        <v>-5123</v>
      </c>
      <c r="E184" s="420">
        <f t="shared" si="112"/>
        <v>-6369</v>
      </c>
      <c r="F184" s="496">
        <f t="shared" ca="1" si="112"/>
        <v>-4510.6494023904379</v>
      </c>
      <c r="G184" s="420">
        <f t="shared" ca="1" si="112"/>
        <v>-5460.6494023904379</v>
      </c>
      <c r="H184" s="420">
        <f t="shared" si="112"/>
        <v>-1118</v>
      </c>
      <c r="I184" s="420">
        <f t="shared" si="112"/>
        <v>-3210.8975</v>
      </c>
      <c r="J184" s="420">
        <f t="shared" si="112"/>
        <v>-3177.1997208333332</v>
      </c>
      <c r="K184" s="420">
        <f t="shared" si="112"/>
        <v>-1498</v>
      </c>
      <c r="L184" s="420">
        <f t="shared" si="112"/>
        <v>-4594</v>
      </c>
      <c r="M184" s="420">
        <f t="shared" si="112"/>
        <v>-5065.5329401170002</v>
      </c>
      <c r="N184" s="420">
        <f t="shared" ref="N184:T184" si="113">N177+N178+N179+N180+N181+N182+N183</f>
        <v>-5331.1733378159079</v>
      </c>
      <c r="O184" s="420">
        <f t="shared" si="113"/>
        <v>-5569.2571476599014</v>
      </c>
      <c r="P184" s="420">
        <f t="shared" si="113"/>
        <v>-7807.340957503895</v>
      </c>
      <c r="Q184" s="420">
        <f t="shared" si="113"/>
        <v>-8045.4247673478876</v>
      </c>
      <c r="R184" s="420">
        <f t="shared" si="113"/>
        <v>-8283.5085771918821</v>
      </c>
      <c r="S184" s="420">
        <f t="shared" si="113"/>
        <v>-8521.5923870358747</v>
      </c>
      <c r="T184" s="420">
        <f t="shared" si="113"/>
        <v>-8759.6761968798673</v>
      </c>
    </row>
    <row r="185" spans="1:20" x14ac:dyDescent="0.2">
      <c r="B185" s="486"/>
      <c r="C185" s="114"/>
    </row>
    <row r="186" spans="1:20" x14ac:dyDescent="0.2">
      <c r="B186" s="486" t="s">
        <v>333</v>
      </c>
      <c r="C186" s="114">
        <v>-61</v>
      </c>
      <c r="D186" s="424">
        <v>58</v>
      </c>
      <c r="E186" s="424">
        <v>50</v>
      </c>
      <c r="F186" s="424">
        <v>0</v>
      </c>
      <c r="G186" s="424">
        <v>0</v>
      </c>
      <c r="H186" s="424">
        <v>0</v>
      </c>
      <c r="I186" s="424">
        <v>0</v>
      </c>
      <c r="J186" s="424">
        <v>0</v>
      </c>
      <c r="K186" s="424">
        <v>0</v>
      </c>
      <c r="L186" s="424">
        <v>-226</v>
      </c>
      <c r="M186" s="424">
        <v>0</v>
      </c>
      <c r="N186" s="424">
        <v>0</v>
      </c>
      <c r="O186" s="424">
        <v>0</v>
      </c>
      <c r="P186" s="424">
        <v>0</v>
      </c>
      <c r="Q186" s="424">
        <v>0</v>
      </c>
      <c r="R186" s="424">
        <v>0</v>
      </c>
      <c r="S186" s="424">
        <v>0</v>
      </c>
      <c r="T186" s="424">
        <v>0</v>
      </c>
    </row>
    <row r="187" spans="1:20" x14ac:dyDescent="0.2">
      <c r="B187" s="486" t="s">
        <v>334</v>
      </c>
      <c r="C187" s="114">
        <v>0</v>
      </c>
      <c r="D187" s="424">
        <v>-85</v>
      </c>
      <c r="E187" s="103">
        <v>85</v>
      </c>
      <c r="F187" s="103">
        <v>0</v>
      </c>
      <c r="G187" s="103">
        <v>0</v>
      </c>
      <c r="H187" s="103">
        <v>0</v>
      </c>
      <c r="I187" s="103">
        <v>0</v>
      </c>
      <c r="J187" s="103">
        <v>0</v>
      </c>
      <c r="K187" s="103">
        <v>0</v>
      </c>
      <c r="L187" s="286">
        <v>3</v>
      </c>
      <c r="M187" s="103">
        <v>0</v>
      </c>
      <c r="N187" s="103">
        <v>0</v>
      </c>
      <c r="O187" s="103">
        <v>0</v>
      </c>
      <c r="P187" s="103">
        <v>0</v>
      </c>
      <c r="Q187" s="103">
        <v>0</v>
      </c>
      <c r="R187" s="103">
        <v>0</v>
      </c>
      <c r="S187" s="103">
        <v>0</v>
      </c>
      <c r="T187" s="103">
        <v>0</v>
      </c>
    </row>
    <row r="188" spans="1:20" x14ac:dyDescent="0.2">
      <c r="B188" s="486"/>
      <c r="C188" s="114"/>
    </row>
    <row r="189" spans="1:20" x14ac:dyDescent="0.2">
      <c r="A189" s="418"/>
      <c r="B189" s="418" t="s">
        <v>335</v>
      </c>
      <c r="C189" s="422">
        <f>C158+C175+C184+C186</f>
        <v>826</v>
      </c>
      <c r="D189" s="422">
        <f>D158+D175+D184+D186+D187</f>
        <v>1996</v>
      </c>
      <c r="E189" s="422">
        <f>E158+E175+E184+E186+E187</f>
        <v>-2213.4348923500002</v>
      </c>
      <c r="F189" s="422">
        <f>F191-F190</f>
        <v>940.43489235000015</v>
      </c>
      <c r="G189" s="422">
        <f ca="1">G158+G175+G184+G186-1</f>
        <v>277.43309909468189</v>
      </c>
      <c r="H189" s="422">
        <f t="shared" ref="H189" si="114">H158+H175+H184+H186</f>
        <v>718.40912905389814</v>
      </c>
      <c r="I189" s="422">
        <f>I191-I190</f>
        <v>-447</v>
      </c>
      <c r="J189" s="422">
        <f>J191-J190</f>
        <v>-626</v>
      </c>
      <c r="K189" s="422">
        <f>K191-K190</f>
        <v>850</v>
      </c>
      <c r="L189" s="422">
        <f>L158+L175+L184+L186+L187</f>
        <v>-4435</v>
      </c>
      <c r="M189" s="422">
        <f t="shared" ref="M189:T189" ca="1" si="115">M158+M175+M184+M186+M187</f>
        <v>-1559.3638186099961</v>
      </c>
      <c r="N189" s="422">
        <f t="shared" ca="1" si="115"/>
        <v>671.75692375765902</v>
      </c>
      <c r="O189" s="422">
        <f t="shared" ca="1" si="115"/>
        <v>1768.9352008235828</v>
      </c>
      <c r="P189" s="422">
        <f t="shared" ca="1" si="115"/>
        <v>1689.3432669107333</v>
      </c>
      <c r="Q189" s="422">
        <f t="shared" ca="1" si="115"/>
        <v>2655.8354951634992</v>
      </c>
      <c r="R189" s="422">
        <f t="shared" ca="1" si="115"/>
        <v>3895.5872403404865</v>
      </c>
      <c r="S189" s="422">
        <f t="shared" ca="1" si="115"/>
        <v>3665.2570909115329</v>
      </c>
      <c r="T189" s="422">
        <f t="shared" ca="1" si="115"/>
        <v>4245.542115385133</v>
      </c>
    </row>
    <row r="190" spans="1:20" x14ac:dyDescent="0.2">
      <c r="A190" s="241"/>
      <c r="B190" s="241" t="s">
        <v>336</v>
      </c>
      <c r="C190" s="204">
        <v>2200</v>
      </c>
      <c r="D190" s="204">
        <f>C191</f>
        <v>3026</v>
      </c>
      <c r="E190" s="204">
        <f t="shared" ref="E190:T190" si="116">D191</f>
        <v>5022</v>
      </c>
      <c r="F190" s="204">
        <f t="shared" si="116"/>
        <v>2808.5651076499998</v>
      </c>
      <c r="G190" s="204">
        <f t="shared" si="116"/>
        <v>3749</v>
      </c>
      <c r="H190" s="204">
        <f t="shared" si="116"/>
        <v>4026</v>
      </c>
      <c r="I190" s="204">
        <f t="shared" si="116"/>
        <v>7970</v>
      </c>
      <c r="J190" s="204">
        <f t="shared" si="116"/>
        <v>7523</v>
      </c>
      <c r="K190" s="204">
        <f t="shared" si="116"/>
        <v>6897</v>
      </c>
      <c r="L190" s="204">
        <f t="shared" si="116"/>
        <v>7747</v>
      </c>
      <c r="M190" s="204">
        <f t="shared" si="116"/>
        <v>3312</v>
      </c>
      <c r="N190" s="204">
        <f t="shared" ca="1" si="116"/>
        <v>1752.6361813900039</v>
      </c>
      <c r="O190" s="204">
        <f t="shared" ca="1" si="116"/>
        <v>2424.3931051476629</v>
      </c>
      <c r="P190" s="204">
        <f t="shared" ca="1" si="116"/>
        <v>4193.3283059712458</v>
      </c>
      <c r="Q190" s="204">
        <f t="shared" ca="1" si="116"/>
        <v>5882.671572881979</v>
      </c>
      <c r="R190" s="204">
        <f t="shared" ca="1" si="116"/>
        <v>8538.5070680454774</v>
      </c>
      <c r="S190" s="204">
        <f t="shared" ca="1" si="116"/>
        <v>12434.094308385964</v>
      </c>
      <c r="T190" s="204">
        <f t="shared" ca="1" si="116"/>
        <v>16099.351399297497</v>
      </c>
    </row>
    <row r="191" spans="1:20" ht="13.5" thickBot="1" x14ac:dyDescent="0.25">
      <c r="A191" s="419"/>
      <c r="B191" s="419" t="s">
        <v>337</v>
      </c>
      <c r="C191" s="423">
        <f>C189+C190</f>
        <v>3026</v>
      </c>
      <c r="D191" s="423">
        <f t="shared" ref="D191:M191" si="117">D189+D190</f>
        <v>5022</v>
      </c>
      <c r="E191" s="423">
        <f t="shared" si="117"/>
        <v>2808.5651076499998</v>
      </c>
      <c r="F191" s="423">
        <f t="shared" ref="F191:K191" si="118">F74</f>
        <v>3749</v>
      </c>
      <c r="G191" s="423">
        <f t="shared" si="118"/>
        <v>4026</v>
      </c>
      <c r="H191" s="423">
        <f t="shared" si="118"/>
        <v>7970</v>
      </c>
      <c r="I191" s="423">
        <f t="shared" si="118"/>
        <v>7523</v>
      </c>
      <c r="J191" s="423">
        <f t="shared" si="118"/>
        <v>6897</v>
      </c>
      <c r="K191" s="423">
        <f t="shared" si="118"/>
        <v>7747</v>
      </c>
      <c r="L191" s="423">
        <f t="shared" si="117"/>
        <v>3312</v>
      </c>
      <c r="M191" s="423">
        <f t="shared" ca="1" si="117"/>
        <v>1752.6361813900039</v>
      </c>
      <c r="N191" s="423">
        <f t="shared" ref="N191:T191" ca="1" si="119">N189+N190</f>
        <v>2424.3931051476629</v>
      </c>
      <c r="O191" s="423">
        <f t="shared" ca="1" si="119"/>
        <v>4193.3283059712458</v>
      </c>
      <c r="P191" s="423">
        <f t="shared" ca="1" si="119"/>
        <v>5882.671572881979</v>
      </c>
      <c r="Q191" s="423">
        <f t="shared" ca="1" si="119"/>
        <v>8538.5070680454774</v>
      </c>
      <c r="R191" s="423">
        <f t="shared" ca="1" si="119"/>
        <v>12434.094308385964</v>
      </c>
      <c r="S191" s="423">
        <f t="shared" ca="1" si="119"/>
        <v>16099.351399297497</v>
      </c>
      <c r="T191" s="423">
        <f t="shared" ca="1" si="119"/>
        <v>20344.89351468263</v>
      </c>
    </row>
    <row r="192" spans="1:20" ht="13.5" thickTop="1" x14ac:dyDescent="0.2"/>
    <row r="193" spans="2:20" x14ac:dyDescent="0.2">
      <c r="B193" s="226" t="s">
        <v>338</v>
      </c>
      <c r="C193" s="197">
        <f>C158-Interims!M72+C167+C168</f>
        <v>7033</v>
      </c>
      <c r="D193" s="197">
        <f>D158-Interims!S72+D167+D168</f>
        <v>6969</v>
      </c>
      <c r="E193" s="197">
        <f>E158-Interims!Y72+E167+E168+18</f>
        <v>6542.572124454</v>
      </c>
      <c r="F193" s="197">
        <f>F158+F161+F162</f>
        <v>6421</v>
      </c>
      <c r="G193" s="197">
        <f>G158+G162</f>
        <v>6239.0825014851198</v>
      </c>
      <c r="H193" s="197">
        <f>H158+H162-2283</f>
        <v>4605.6398982846677</v>
      </c>
      <c r="I193" s="197">
        <f ca="1">I158+I175+10</f>
        <v>4140.3355574948364</v>
      </c>
      <c r="J193" s="197">
        <f>J158+J175</f>
        <v>4546</v>
      </c>
      <c r="K193" s="197">
        <f>K158+K175+3192</f>
        <v>4939</v>
      </c>
      <c r="L193" s="197">
        <f>L158+L175-L161</f>
        <v>10706</v>
      </c>
      <c r="M193" s="197">
        <f t="shared" ref="M193:P193" ca="1" si="120">M158+M175</f>
        <v>3506.1691215070041</v>
      </c>
      <c r="N193" s="197">
        <f t="shared" ca="1" si="120"/>
        <v>6002.9302615735669</v>
      </c>
      <c r="O193" s="197">
        <f t="shared" ca="1" si="120"/>
        <v>7338.1923484834842</v>
      </c>
      <c r="P193" s="197">
        <f t="shared" ca="1" si="120"/>
        <v>9496.6842244146283</v>
      </c>
      <c r="Q193" s="197">
        <f t="shared" ref="Q193:T193" ca="1" si="121">Q158+Q175</f>
        <v>10701.260262511387</v>
      </c>
      <c r="R193" s="197">
        <f t="shared" ca="1" si="121"/>
        <v>12179.095817532369</v>
      </c>
      <c r="S193" s="197">
        <f t="shared" ca="1" si="121"/>
        <v>12186.849477947408</v>
      </c>
      <c r="T193" s="197">
        <f t="shared" ca="1" si="121"/>
        <v>13005.218312265</v>
      </c>
    </row>
    <row r="194" spans="2:20" x14ac:dyDescent="0.2">
      <c r="B194" t="s">
        <v>354</v>
      </c>
      <c r="C194" t="s">
        <v>35</v>
      </c>
      <c r="D194" s="227">
        <f>D193/C193-1</f>
        <v>-9.0999573439499715E-3</v>
      </c>
      <c r="E194" s="227">
        <f t="shared" ref="E194:T194" si="122">E193/D193-1</f>
        <v>-6.1189248894532922E-2</v>
      </c>
      <c r="F194" s="227">
        <f t="shared" si="122"/>
        <v>-1.8581701835521658E-2</v>
      </c>
      <c r="G194" s="227">
        <f t="shared" si="122"/>
        <v>-2.8331645929743021E-2</v>
      </c>
      <c r="H194" s="227">
        <f t="shared" si="122"/>
        <v>-0.26180814291390375</v>
      </c>
      <c r="I194" s="227">
        <f t="shared" ca="1" si="122"/>
        <v>-0.10102924915235556</v>
      </c>
      <c r="J194" s="227">
        <f t="shared" ca="1" si="122"/>
        <v>9.7978638898199799E-2</v>
      </c>
      <c r="K194" s="227">
        <f t="shared" si="122"/>
        <v>8.6449626044874606E-2</v>
      </c>
      <c r="L194" s="227">
        <f t="shared" si="122"/>
        <v>1.1676452723223325</v>
      </c>
      <c r="M194" s="227">
        <f t="shared" ca="1" si="122"/>
        <v>-0.67250428530665007</v>
      </c>
      <c r="N194" s="227">
        <f t="shared" ca="1" si="122"/>
        <v>0.71210516479405239</v>
      </c>
      <c r="O194" s="227">
        <f t="shared" ca="1" si="122"/>
        <v>0.22243504900553357</v>
      </c>
      <c r="P194" s="227">
        <f t="shared" ca="1" si="122"/>
        <v>0.29414490291702688</v>
      </c>
      <c r="Q194" s="227">
        <f t="shared" ca="1" si="122"/>
        <v>0.12684174914439761</v>
      </c>
      <c r="R194" s="227">
        <f t="shared" ca="1" si="122"/>
        <v>0.13809920689417576</v>
      </c>
      <c r="S194" s="227">
        <f t="shared" ca="1" si="122"/>
        <v>6.3663678578484983E-4</v>
      </c>
      <c r="T194" s="227">
        <f t="shared" ca="1" si="122"/>
        <v>6.7151796352163284E-2</v>
      </c>
    </row>
    <row r="198" spans="2:20" x14ac:dyDescent="0.2">
      <c r="B198" t="s">
        <v>349</v>
      </c>
      <c r="C198" s="114">
        <f t="shared" ref="C198:M198" si="123">C38</f>
        <v>541</v>
      </c>
      <c r="D198" s="114">
        <f t="shared" si="123"/>
        <v>520</v>
      </c>
      <c r="E198" s="114">
        <f t="shared" si="123"/>
        <v>65</v>
      </c>
      <c r="F198" s="114">
        <f t="shared" si="123"/>
        <v>434</v>
      </c>
      <c r="G198" s="114">
        <f t="shared" si="123"/>
        <v>448</v>
      </c>
      <c r="H198" s="114">
        <f t="shared" si="123"/>
        <v>360</v>
      </c>
      <c r="I198" s="114">
        <f t="shared" si="123"/>
        <v>375</v>
      </c>
      <c r="J198" s="114">
        <f t="shared" ca="1" si="123"/>
        <v>410.49805946952148</v>
      </c>
      <c r="K198" s="114">
        <f t="shared" si="123"/>
        <v>429</v>
      </c>
      <c r="L198" s="114">
        <f t="shared" si="123"/>
        <v>2090</v>
      </c>
      <c r="M198" s="114">
        <f t="shared" ca="1" si="123"/>
        <v>1367.3208009265088</v>
      </c>
      <c r="N198" s="114">
        <f t="shared" ref="N198:T198" ca="1" si="124">N38</f>
        <v>1569.7816157703824</v>
      </c>
      <c r="O198" s="114">
        <f t="shared" ca="1" si="124"/>
        <v>1751.4013277751267</v>
      </c>
      <c r="P198" s="114">
        <f t="shared" ca="1" si="124"/>
        <v>1748.0648677853176</v>
      </c>
      <c r="Q198" s="114">
        <f t="shared" ca="1" si="124"/>
        <v>1712.7470921862571</v>
      </c>
      <c r="R198" s="114">
        <f t="shared" ca="1" si="124"/>
        <v>1884.2667952947825</v>
      </c>
      <c r="S198" s="114">
        <f t="shared" ca="1" si="124"/>
        <v>2065.320771239496</v>
      </c>
      <c r="T198" s="114">
        <f t="shared" ca="1" si="124"/>
        <v>2138.4582227578517</v>
      </c>
    </row>
    <row r="199" spans="2:20" x14ac:dyDescent="0.2">
      <c r="B199" t="s">
        <v>351</v>
      </c>
      <c r="C199" s="259"/>
      <c r="D199" s="259"/>
      <c r="E199" s="103">
        <v>0</v>
      </c>
      <c r="F199" s="103">
        <v>0</v>
      </c>
      <c r="G199" s="103">
        <v>0</v>
      </c>
      <c r="H199" s="103">
        <v>0</v>
      </c>
      <c r="I199" s="103">
        <v>0</v>
      </c>
      <c r="J199" s="103">
        <v>0</v>
      </c>
      <c r="K199" s="103">
        <v>0</v>
      </c>
      <c r="L199" s="103">
        <v>0</v>
      </c>
      <c r="M199" s="103">
        <v>0</v>
      </c>
      <c r="N199" s="103">
        <v>0</v>
      </c>
      <c r="O199" s="103">
        <v>0</v>
      </c>
      <c r="P199" s="103">
        <v>0</v>
      </c>
      <c r="Q199" s="103">
        <v>0</v>
      </c>
      <c r="R199" s="103">
        <v>0</v>
      </c>
      <c r="S199" s="103">
        <v>0</v>
      </c>
      <c r="T199" s="103">
        <v>0</v>
      </c>
    </row>
    <row r="200" spans="2:20" x14ac:dyDescent="0.2">
      <c r="B200" s="226" t="s">
        <v>350</v>
      </c>
      <c r="C200" s="259"/>
      <c r="D200" s="259"/>
      <c r="E200" s="197">
        <f t="shared" ref="E200:M200" si="125">E193-E198-E199</f>
        <v>6477.572124454</v>
      </c>
      <c r="F200" s="197">
        <f t="shared" si="125"/>
        <v>5987</v>
      </c>
      <c r="G200" s="197">
        <f t="shared" si="125"/>
        <v>5791.0825014851198</v>
      </c>
      <c r="H200" s="197">
        <f t="shared" si="125"/>
        <v>4245.6398982846677</v>
      </c>
      <c r="I200" s="197">
        <f t="shared" ca="1" si="125"/>
        <v>3765.3355574948364</v>
      </c>
      <c r="J200" s="197">
        <f t="shared" ca="1" si="125"/>
        <v>4135.5019405304784</v>
      </c>
      <c r="K200" s="197">
        <f t="shared" si="125"/>
        <v>4510</v>
      </c>
      <c r="L200" s="197">
        <f t="shared" si="125"/>
        <v>8616</v>
      </c>
      <c r="M200" s="197">
        <f t="shared" ca="1" si="125"/>
        <v>2138.8483205804951</v>
      </c>
      <c r="N200" s="197">
        <f t="shared" ref="N200:T200" ca="1" si="126">N193-N198-N199</f>
        <v>4433.148645803185</v>
      </c>
      <c r="O200" s="197">
        <f t="shared" ca="1" si="126"/>
        <v>5586.7910207083578</v>
      </c>
      <c r="P200" s="197">
        <f t="shared" ca="1" si="126"/>
        <v>7748.6193566293105</v>
      </c>
      <c r="Q200" s="197">
        <f t="shared" ca="1" si="126"/>
        <v>8988.51317032513</v>
      </c>
      <c r="R200" s="197">
        <f t="shared" ca="1" si="126"/>
        <v>10294.829022237585</v>
      </c>
      <c r="S200" s="197">
        <f t="shared" ca="1" si="126"/>
        <v>10121.528706707912</v>
      </c>
      <c r="T200" s="197">
        <f t="shared" ca="1" si="126"/>
        <v>10866.760089507148</v>
      </c>
    </row>
    <row r="203" spans="2:20" x14ac:dyDescent="0.2">
      <c r="C203" s="482" t="str">
        <f t="shared" ref="C203:J203" si="127">C134</f>
        <v>2008A</v>
      </c>
      <c r="D203" s="482" t="str">
        <f t="shared" si="127"/>
        <v>2009A</v>
      </c>
      <c r="E203" s="482" t="str">
        <f t="shared" si="127"/>
        <v>2010A</v>
      </c>
      <c r="F203" s="482" t="str">
        <f t="shared" si="127"/>
        <v>2011A</v>
      </c>
      <c r="G203" s="482" t="str">
        <f t="shared" si="127"/>
        <v>2012A</v>
      </c>
      <c r="H203" s="482" t="str">
        <f t="shared" si="127"/>
        <v>2013A</v>
      </c>
      <c r="I203" s="482" t="str">
        <f t="shared" si="127"/>
        <v>2014A</v>
      </c>
      <c r="J203" s="482" t="str">
        <f t="shared" si="127"/>
        <v>2015A</v>
      </c>
      <c r="K203" s="482" t="str">
        <f t="shared" ref="K203:P203" si="128">K134</f>
        <v>2016A</v>
      </c>
      <c r="L203" s="482" t="str">
        <f t="shared" si="128"/>
        <v>2017A</v>
      </c>
      <c r="M203" s="482" t="str">
        <f t="shared" si="128"/>
        <v>2018E</v>
      </c>
      <c r="N203" s="482" t="str">
        <f t="shared" si="128"/>
        <v>2019E</v>
      </c>
      <c r="O203" s="482" t="str">
        <f t="shared" si="128"/>
        <v>2020E</v>
      </c>
      <c r="P203" s="482" t="str">
        <f t="shared" si="128"/>
        <v>2021E</v>
      </c>
      <c r="Q203" s="482" t="str">
        <f t="shared" ref="Q203:T203" si="129">Q134</f>
        <v>2022E</v>
      </c>
      <c r="R203" s="482" t="str">
        <f t="shared" si="129"/>
        <v>2023E</v>
      </c>
      <c r="S203" s="482" t="str">
        <f t="shared" si="129"/>
        <v>2024E</v>
      </c>
      <c r="T203" s="482" t="str">
        <f t="shared" si="129"/>
        <v>2025E</v>
      </c>
    </row>
    <row r="205" spans="2:20" x14ac:dyDescent="0.2">
      <c r="B205" s="226" t="s">
        <v>82</v>
      </c>
      <c r="C205" s="391">
        <f t="shared" ref="C205:J205" si="130">C15</f>
        <v>19459</v>
      </c>
      <c r="D205" s="391">
        <f t="shared" si="130"/>
        <v>20668</v>
      </c>
      <c r="E205" s="391">
        <f t="shared" si="130"/>
        <v>19472.56510765</v>
      </c>
      <c r="F205" s="391">
        <f t="shared" si="130"/>
        <v>18684.594373884807</v>
      </c>
      <c r="G205" s="391">
        <f t="shared" si="130"/>
        <v>17972.719654444707</v>
      </c>
      <c r="H205" s="391">
        <f t="shared" si="130"/>
        <v>17423.87315361846</v>
      </c>
      <c r="I205" s="391">
        <f t="shared" si="130"/>
        <v>17569.335557494836</v>
      </c>
      <c r="J205" s="391">
        <f t="shared" si="130"/>
        <v>19907.592489340954</v>
      </c>
      <c r="K205" s="391">
        <f t="shared" ref="K205:P205" si="131">K15</f>
        <v>21420.253251223636</v>
      </c>
      <c r="L205" s="391">
        <f t="shared" si="131"/>
        <v>22229.707213891648</v>
      </c>
      <c r="M205" s="391">
        <f t="shared" ca="1" si="131"/>
        <v>22538.518282637273</v>
      </c>
      <c r="N205" s="391">
        <f t="shared" ca="1" si="131"/>
        <v>23553.14887140616</v>
      </c>
      <c r="O205" s="391">
        <f t="shared" ca="1" si="131"/>
        <v>24579.671330630379</v>
      </c>
      <c r="P205" s="391">
        <f t="shared" ca="1" si="131"/>
        <v>25576.462258699554</v>
      </c>
      <c r="Q205" s="391">
        <f t="shared" ref="Q205:T205" ca="1" si="132">Q15</f>
        <v>26497.994607620574</v>
      </c>
      <c r="R205" s="391">
        <f t="shared" ca="1" si="132"/>
        <v>27301.976610017235</v>
      </c>
      <c r="S205" s="391">
        <f t="shared" ca="1" si="132"/>
        <v>28131.707338660151</v>
      </c>
      <c r="T205" s="391">
        <f t="shared" ca="1" si="132"/>
        <v>28805.836290614825</v>
      </c>
    </row>
    <row r="206" spans="2:20" x14ac:dyDescent="0.2">
      <c r="B206" t="s">
        <v>13</v>
      </c>
      <c r="C206" s="259">
        <f t="shared" ref="C206:P206" si="133">-C22</f>
        <v>-523</v>
      </c>
      <c r="D206" s="259">
        <f t="shared" si="133"/>
        <v>-957</v>
      </c>
      <c r="E206" s="259">
        <f t="shared" si="133"/>
        <v>-1789</v>
      </c>
      <c r="F206" s="259">
        <f t="shared" si="133"/>
        <v>-1575</v>
      </c>
      <c r="G206" s="259">
        <f t="shared" si="133"/>
        <v>-1402</v>
      </c>
      <c r="H206" s="259">
        <f t="shared" si="133"/>
        <v>-1820</v>
      </c>
      <c r="I206" s="259">
        <f t="shared" si="133"/>
        <v>-1502</v>
      </c>
      <c r="J206" s="259">
        <f t="shared" si="133"/>
        <v>-1765</v>
      </c>
      <c r="K206" s="259">
        <f t="shared" si="133"/>
        <v>-1910</v>
      </c>
      <c r="L206" s="259">
        <v>-1500</v>
      </c>
      <c r="M206" s="259">
        <f t="shared" si="133"/>
        <v>-1350</v>
      </c>
      <c r="N206" s="259">
        <f t="shared" si="133"/>
        <v>-1250</v>
      </c>
      <c r="O206" s="259">
        <f t="shared" si="133"/>
        <v>-1150</v>
      </c>
      <c r="P206" s="259">
        <f t="shared" si="133"/>
        <v>-1100</v>
      </c>
      <c r="Q206" s="259">
        <f t="shared" ref="Q206:T206" si="134">-Q22</f>
        <v>-1100</v>
      </c>
      <c r="R206" s="259">
        <f t="shared" si="134"/>
        <v>-1100</v>
      </c>
      <c r="S206" s="259">
        <f t="shared" si="134"/>
        <v>-1100</v>
      </c>
      <c r="T206" s="259">
        <f t="shared" si="134"/>
        <v>-1100</v>
      </c>
    </row>
    <row r="208" spans="2:20" x14ac:dyDescent="0.2">
      <c r="B208" s="226" t="s">
        <v>90</v>
      </c>
      <c r="C208" s="391">
        <f t="shared" ref="C208:I208" si="135">C162</f>
        <v>-6908</v>
      </c>
      <c r="D208" s="391">
        <f t="shared" si="135"/>
        <v>-7604</v>
      </c>
      <c r="E208" s="391">
        <f t="shared" si="135"/>
        <v>-6873</v>
      </c>
      <c r="F208" s="391">
        <f t="shared" si="135"/>
        <v>-6233</v>
      </c>
      <c r="G208" s="391">
        <f t="shared" si="135"/>
        <v>-7807.9174985148802</v>
      </c>
      <c r="H208" s="391">
        <f t="shared" si="135"/>
        <v>-6325</v>
      </c>
      <c r="I208" s="391">
        <f t="shared" si="135"/>
        <v>-6921</v>
      </c>
      <c r="J208" s="391">
        <f t="shared" ref="J208:P208" si="136">J162</f>
        <v>-7804</v>
      </c>
      <c r="K208" s="391">
        <f t="shared" si="136"/>
        <v>-7674</v>
      </c>
      <c r="L208" s="391">
        <f t="shared" si="136"/>
        <v>-8770</v>
      </c>
      <c r="M208" s="391">
        <f t="shared" ca="1" si="136"/>
        <v>-12030.929982471907</v>
      </c>
      <c r="N208" s="391">
        <f t="shared" ca="1" si="136"/>
        <v>-12067.614863715675</v>
      </c>
      <c r="O208" s="391">
        <f t="shared" ca="1" si="136"/>
        <v>-12159.941974854057</v>
      </c>
      <c r="P208" s="391">
        <f t="shared" ca="1" si="136"/>
        <v>-12244.904249636911</v>
      </c>
      <c r="Q208" s="391">
        <f t="shared" ref="Q208:T208" ca="1" si="137">Q162</f>
        <v>-12270.31240601336</v>
      </c>
      <c r="R208" s="391">
        <f t="shared" ca="1" si="137"/>
        <v>-11801.222382195341</v>
      </c>
      <c r="S208" s="391">
        <f t="shared" ca="1" si="137"/>
        <v>-11411.496117986446</v>
      </c>
      <c r="T208" s="391">
        <f t="shared" ca="1" si="137"/>
        <v>-11411.147249259471</v>
      </c>
    </row>
    <row r="209" spans="2:20" x14ac:dyDescent="0.2">
      <c r="K209">
        <f>K211/J211</f>
        <v>0.75827338129496402</v>
      </c>
    </row>
    <row r="210" spans="2:20" x14ac:dyDescent="0.2">
      <c r="B210" t="s">
        <v>167</v>
      </c>
      <c r="C210" s="259">
        <f t="shared" ref="C210:J210" si="138">C156</f>
        <v>-2257</v>
      </c>
      <c r="D210" s="259">
        <f t="shared" si="138"/>
        <v>-2476</v>
      </c>
      <c r="E210" s="259">
        <f t="shared" si="138"/>
        <v>-2338</v>
      </c>
      <c r="F210" s="259">
        <f t="shared" si="138"/>
        <v>-2538</v>
      </c>
      <c r="G210" s="259">
        <f t="shared" si="138"/>
        <v>-2185</v>
      </c>
      <c r="H210" s="259">
        <f t="shared" si="138"/>
        <v>-2075</v>
      </c>
      <c r="I210" s="259">
        <f t="shared" si="138"/>
        <v>-2518</v>
      </c>
      <c r="J210" s="259">
        <f t="shared" si="138"/>
        <v>-2499</v>
      </c>
      <c r="K210" s="259">
        <f t="shared" ref="K210:P210" si="139">K156</f>
        <v>-2583</v>
      </c>
      <c r="L210" s="259">
        <f t="shared" si="139"/>
        <v>-2509</v>
      </c>
      <c r="M210" s="259">
        <f t="shared" ca="1" si="139"/>
        <v>-2076.4191786583619</v>
      </c>
      <c r="N210" s="259">
        <f t="shared" ca="1" si="139"/>
        <v>-1982.6037461169205</v>
      </c>
      <c r="O210" s="259">
        <f t="shared" ca="1" si="139"/>
        <v>-1823.623380511365</v>
      </c>
      <c r="P210" s="259">
        <f t="shared" ca="1" si="139"/>
        <v>-1628.428299493188</v>
      </c>
      <c r="Q210" s="259">
        <f t="shared" ref="Q210:T210" ca="1" si="140">Q156</f>
        <v>-1375.2290998508176</v>
      </c>
      <c r="R210" s="259">
        <f t="shared" ca="1" si="140"/>
        <v>-1077.6753369881392</v>
      </c>
      <c r="S210" s="259">
        <f t="shared" ca="1" si="140"/>
        <v>-759.76898662456688</v>
      </c>
      <c r="T210" s="259">
        <f t="shared" ca="1" si="140"/>
        <v>-434.73453674231905</v>
      </c>
    </row>
    <row r="211" spans="2:20" x14ac:dyDescent="0.2">
      <c r="B211" t="s">
        <v>91</v>
      </c>
      <c r="C211" s="259">
        <f t="shared" ref="C211:J211" si="141">C150</f>
        <v>-520</v>
      </c>
      <c r="D211" s="259">
        <f t="shared" si="141"/>
        <v>-928</v>
      </c>
      <c r="E211" s="259">
        <f t="shared" si="141"/>
        <v>-819</v>
      </c>
      <c r="F211" s="259">
        <f t="shared" si="141"/>
        <v>-778</v>
      </c>
      <c r="G211" s="259">
        <f t="shared" si="141"/>
        <v>-694</v>
      </c>
      <c r="H211" s="259">
        <f t="shared" si="141"/>
        <v>-648.23325533379216</v>
      </c>
      <c r="I211" s="259">
        <f t="shared" si="141"/>
        <v>-679</v>
      </c>
      <c r="J211" s="259">
        <f t="shared" si="141"/>
        <v>-695</v>
      </c>
      <c r="K211" s="259">
        <f t="shared" ref="K211:P211" si="142">K150</f>
        <v>-527</v>
      </c>
      <c r="L211" s="259">
        <f t="shared" si="142"/>
        <v>-634</v>
      </c>
      <c r="M211" s="259">
        <f t="shared" si="142"/>
        <v>-675</v>
      </c>
      <c r="N211" s="259">
        <f t="shared" si="142"/>
        <v>-750</v>
      </c>
      <c r="O211" s="259">
        <f t="shared" ca="1" si="142"/>
        <v>-857.91362678147152</v>
      </c>
      <c r="P211" s="259">
        <f t="shared" ca="1" si="142"/>
        <v>-956.44548515482597</v>
      </c>
      <c r="Q211" s="259">
        <f t="shared" ref="Q211:T211" ca="1" si="143">Q150</f>
        <v>-1051.1928392450095</v>
      </c>
      <c r="R211" s="259">
        <f t="shared" ca="1" si="143"/>
        <v>-1143.983073301383</v>
      </c>
      <c r="S211" s="259">
        <f t="shared" ca="1" si="143"/>
        <v>-2673.5927561017315</v>
      </c>
      <c r="T211" s="259">
        <f t="shared" ca="1" si="143"/>
        <v>-2854.7361923480389</v>
      </c>
    </row>
    <row r="212" spans="2:20" x14ac:dyDescent="0.2">
      <c r="B212" t="s">
        <v>349</v>
      </c>
      <c r="C212" s="259">
        <f>-C38</f>
        <v>-541</v>
      </c>
      <c r="D212" s="259">
        <f>-D38</f>
        <v>-520</v>
      </c>
      <c r="E212" s="259">
        <v>-450</v>
      </c>
      <c r="F212" s="259">
        <f t="shared" ref="F212:K212" si="144">-F38</f>
        <v>-434</v>
      </c>
      <c r="G212" s="259">
        <f t="shared" si="144"/>
        <v>-448</v>
      </c>
      <c r="H212" s="259">
        <f t="shared" si="144"/>
        <v>-360</v>
      </c>
      <c r="I212" s="259">
        <f t="shared" si="144"/>
        <v>-375</v>
      </c>
      <c r="J212" s="259">
        <f t="shared" ca="1" si="144"/>
        <v>-410.49805946952148</v>
      </c>
      <c r="K212" s="259">
        <f t="shared" si="144"/>
        <v>-429</v>
      </c>
      <c r="L212" s="259">
        <f t="shared" ref="L212:T212" si="145">-L38</f>
        <v>-2090</v>
      </c>
      <c r="M212" s="259">
        <f t="shared" ca="1" si="145"/>
        <v>-1367.3208009265088</v>
      </c>
      <c r="N212" s="259">
        <f t="shared" ca="1" si="145"/>
        <v>-1569.7816157703824</v>
      </c>
      <c r="O212" s="259">
        <f t="shared" ca="1" si="145"/>
        <v>-1751.4013277751267</v>
      </c>
      <c r="P212" s="259">
        <f t="shared" ca="1" si="145"/>
        <v>-1748.0648677853176</v>
      </c>
      <c r="Q212" s="259">
        <f t="shared" ca="1" si="145"/>
        <v>-1712.7470921862571</v>
      </c>
      <c r="R212" s="259">
        <f t="shared" ca="1" si="145"/>
        <v>-1884.2667952947825</v>
      </c>
      <c r="S212" s="259">
        <f t="shared" ca="1" si="145"/>
        <v>-2065.320771239496</v>
      </c>
      <c r="T212" s="259">
        <f t="shared" ca="1" si="145"/>
        <v>-2138.4582227578517</v>
      </c>
    </row>
    <row r="213" spans="2:20" x14ac:dyDescent="0.2">
      <c r="B213" t="s">
        <v>341</v>
      </c>
      <c r="C213">
        <v>-200</v>
      </c>
      <c r="D213">
        <v>-200</v>
      </c>
      <c r="E213">
        <v>-200</v>
      </c>
      <c r="F213">
        <v>-200</v>
      </c>
      <c r="G213">
        <v>-750</v>
      </c>
      <c r="H213">
        <v>-750</v>
      </c>
      <c r="I213">
        <v>-750</v>
      </c>
      <c r="J213">
        <v>-750</v>
      </c>
      <c r="K213">
        <v>-750</v>
      </c>
      <c r="L213">
        <v>-750</v>
      </c>
      <c r="M213">
        <v>-750</v>
      </c>
      <c r="N213">
        <v>-750</v>
      </c>
      <c r="O213">
        <v>-750</v>
      </c>
      <c r="P213">
        <v>-750</v>
      </c>
      <c r="Q213">
        <v>-750</v>
      </c>
      <c r="R213">
        <v>-750</v>
      </c>
      <c r="S213">
        <v>-750</v>
      </c>
      <c r="T213">
        <v>-750</v>
      </c>
    </row>
    <row r="214" spans="2:20" x14ac:dyDescent="0.2">
      <c r="B214" s="479" t="s">
        <v>503</v>
      </c>
      <c r="D214" s="259">
        <f t="shared" ref="D214:J214" si="146">D151</f>
        <v>29</v>
      </c>
      <c r="E214" s="259">
        <f t="shared" si="146"/>
        <v>412</v>
      </c>
      <c r="F214" s="259">
        <f t="shared" si="146"/>
        <v>515</v>
      </c>
      <c r="G214" s="259">
        <f t="shared" si="146"/>
        <v>490</v>
      </c>
      <c r="H214" s="259">
        <f t="shared" si="146"/>
        <v>273</v>
      </c>
      <c r="I214" s="259">
        <f t="shared" si="146"/>
        <v>344</v>
      </c>
      <c r="J214" s="259">
        <f t="shared" si="146"/>
        <v>578</v>
      </c>
      <c r="K214" s="259">
        <f t="shared" ref="K214:P214" si="147">K151</f>
        <v>331</v>
      </c>
      <c r="L214" s="259">
        <f t="shared" si="147"/>
        <v>241</v>
      </c>
      <c r="M214" s="259">
        <f t="shared" si="147"/>
        <v>0</v>
      </c>
      <c r="N214" s="259">
        <f t="shared" si="147"/>
        <v>0</v>
      </c>
      <c r="O214" s="259">
        <f t="shared" si="147"/>
        <v>0</v>
      </c>
      <c r="P214" s="259">
        <f t="shared" si="147"/>
        <v>0</v>
      </c>
      <c r="Q214" s="259">
        <f t="shared" ref="Q214:T214" si="148">Q151</f>
        <v>0</v>
      </c>
      <c r="R214" s="259">
        <f t="shared" si="148"/>
        <v>0</v>
      </c>
      <c r="S214" s="259">
        <f t="shared" si="148"/>
        <v>0</v>
      </c>
      <c r="T214" s="259">
        <f t="shared" si="148"/>
        <v>0</v>
      </c>
    </row>
    <row r="215" spans="2:20" x14ac:dyDescent="0.2">
      <c r="B215" t="s">
        <v>364</v>
      </c>
      <c r="F215" s="259">
        <f>'Valuation Drivers'!F260</f>
        <v>-173.55</v>
      </c>
      <c r="G215" s="259">
        <f>'Valuation Drivers'!G260</f>
        <v>-499.20000000000005</v>
      </c>
      <c r="H215" s="259">
        <f>'Valuation Drivers'!H260</f>
        <v>-174.85000000000002</v>
      </c>
      <c r="I215" s="259">
        <f>'Valuation Drivers'!I260</f>
        <v>-172.9</v>
      </c>
      <c r="J215" s="259">
        <f>'Valuation Drivers'!J260</f>
        <v>-179.4</v>
      </c>
      <c r="K215" s="259">
        <f>'Valuation Drivers'!K260</f>
        <v>-171.60000000000002</v>
      </c>
      <c r="L215" s="259">
        <f>'Valuation Drivers'!L260</f>
        <v>-178.75</v>
      </c>
      <c r="M215" s="259">
        <v>0</v>
      </c>
      <c r="N215" s="259">
        <v>0</v>
      </c>
      <c r="O215" s="259">
        <v>0</v>
      </c>
      <c r="P215" s="259">
        <v>0</v>
      </c>
      <c r="Q215" s="259">
        <v>0</v>
      </c>
      <c r="R215" s="259">
        <v>0</v>
      </c>
      <c r="S215" s="259">
        <v>0</v>
      </c>
      <c r="T215" s="259">
        <v>0</v>
      </c>
    </row>
    <row r="217" spans="2:20" x14ac:dyDescent="0.2">
      <c r="B217" s="226" t="s">
        <v>116</v>
      </c>
      <c r="C217" s="391">
        <f>C205+C206+C208+C210+C211+C212+C213+C214</f>
        <v>8510</v>
      </c>
      <c r="D217" s="391">
        <f>D205+D206+D208+D210+D211+D212+D213+D214</f>
        <v>8012</v>
      </c>
      <c r="E217" s="391">
        <f>E205+E206+E208+E210+E211+E212+E213+E214</f>
        <v>7415.5651076499998</v>
      </c>
      <c r="F217" s="391">
        <f t="shared" ref="F217:K217" si="149">F205+F206+F208+F210+F211+F212+F213+F214+F215</f>
        <v>7268.0443738848071</v>
      </c>
      <c r="G217" s="391">
        <f t="shared" si="149"/>
        <v>4676.6021559298269</v>
      </c>
      <c r="H217" s="391">
        <f t="shared" si="149"/>
        <v>5543.7898982846682</v>
      </c>
      <c r="I217" s="391">
        <f t="shared" si="149"/>
        <v>4995.4355574948368</v>
      </c>
      <c r="J217" s="391">
        <f t="shared" ca="1" si="149"/>
        <v>6382.6944298714325</v>
      </c>
      <c r="K217" s="391">
        <f t="shared" si="149"/>
        <v>7706.6532512236354</v>
      </c>
      <c r="L217" s="391">
        <f t="shared" ref="L217:T217" si="150">L205+L206+L208+L210+L211+L212+L213+L214+L215</f>
        <v>6038.9572138916483</v>
      </c>
      <c r="M217" s="391">
        <f t="shared" ca="1" si="150"/>
        <v>4288.8483205804951</v>
      </c>
      <c r="N217" s="391">
        <f t="shared" ca="1" si="150"/>
        <v>5183.1486458031832</v>
      </c>
      <c r="O217" s="391">
        <f t="shared" ca="1" si="150"/>
        <v>6086.7910207083596</v>
      </c>
      <c r="P217" s="391">
        <f t="shared" ca="1" si="150"/>
        <v>7148.6193566293123</v>
      </c>
      <c r="Q217" s="391">
        <f t="shared" ca="1" si="150"/>
        <v>8238.51317032513</v>
      </c>
      <c r="R217" s="391">
        <f t="shared" ca="1" si="150"/>
        <v>9544.829022237589</v>
      </c>
      <c r="S217" s="391">
        <f t="shared" ca="1" si="150"/>
        <v>9371.5287067079098</v>
      </c>
      <c r="T217" s="391">
        <f t="shared" ca="1" si="150"/>
        <v>10116.760089507145</v>
      </c>
    </row>
    <row r="219" spans="2:20" x14ac:dyDescent="0.2">
      <c r="B219" t="s">
        <v>14</v>
      </c>
      <c r="C219" s="259">
        <f>C34-C150</f>
        <v>-908</v>
      </c>
      <c r="D219" s="259">
        <f>D34-D150</f>
        <v>-854</v>
      </c>
      <c r="E219" s="259">
        <f>E34-E150</f>
        <v>-116</v>
      </c>
      <c r="F219" s="259">
        <v>-600</v>
      </c>
      <c r="G219" s="259">
        <v>-600</v>
      </c>
      <c r="H219" s="259">
        <v>-600</v>
      </c>
      <c r="I219" s="259">
        <v>-600</v>
      </c>
      <c r="J219" s="259">
        <f t="shared" ref="J219:P219" si="151">J34-J150</f>
        <v>-1232</v>
      </c>
      <c r="K219" s="259">
        <f t="shared" si="151"/>
        <v>-916</v>
      </c>
      <c r="L219" s="259">
        <f t="shared" si="151"/>
        <v>1192</v>
      </c>
      <c r="M219" s="259">
        <f t="shared" ca="1" si="151"/>
        <v>-1643.8172639805584</v>
      </c>
      <c r="N219" s="259">
        <f t="shared" ca="1" si="151"/>
        <v>-1944.0066137343133</v>
      </c>
      <c r="O219" s="259">
        <f t="shared" ca="1" si="151"/>
        <v>-2223.7196859679625</v>
      </c>
      <c r="P219" s="259">
        <f t="shared" ca="1" si="151"/>
        <v>-2479.1151317564072</v>
      </c>
      <c r="Q219" s="259">
        <f t="shared" ref="Q219:T219" ca="1" si="152">Q34-Q150</f>
        <v>-2724.701109069932</v>
      </c>
      <c r="R219" s="259">
        <f t="shared" ca="1" si="152"/>
        <v>-2965.2142139973248</v>
      </c>
      <c r="S219" s="259">
        <f t="shared" ca="1" si="152"/>
        <v>-1782.3951707344877</v>
      </c>
      <c r="T219" s="259">
        <f t="shared" ca="1" si="152"/>
        <v>-1903.1574615653594</v>
      </c>
    </row>
    <row r="221" spans="2:20" x14ac:dyDescent="0.2">
      <c r="B221" s="226" t="s">
        <v>15</v>
      </c>
      <c r="C221" s="391">
        <f t="shared" ref="C221:J221" si="153">C217+C219</f>
        <v>7602</v>
      </c>
      <c r="D221" s="391">
        <f t="shared" si="153"/>
        <v>7158</v>
      </c>
      <c r="E221" s="391">
        <f t="shared" si="153"/>
        <v>7299.5651076499998</v>
      </c>
      <c r="F221" s="391">
        <f t="shared" si="153"/>
        <v>6668.0443738848071</v>
      </c>
      <c r="G221" s="391">
        <f t="shared" si="153"/>
        <v>4076.6021559298269</v>
      </c>
      <c r="H221" s="391">
        <f t="shared" si="153"/>
        <v>4943.7898982846682</v>
      </c>
      <c r="I221" s="391">
        <f t="shared" si="153"/>
        <v>4395.4355574948368</v>
      </c>
      <c r="J221" s="391">
        <f t="shared" ca="1" si="153"/>
        <v>5150.6944298714325</v>
      </c>
      <c r="K221" s="391">
        <f t="shared" ref="K221:P221" si="154">K217+K219</f>
        <v>6790.6532512236354</v>
      </c>
      <c r="L221" s="391">
        <f>L217+L219-700/2</f>
        <v>6880.9572138916483</v>
      </c>
      <c r="M221" s="391">
        <f t="shared" ca="1" si="154"/>
        <v>2645.0310565999366</v>
      </c>
      <c r="N221" s="391">
        <f t="shared" ca="1" si="154"/>
        <v>3239.1420320688699</v>
      </c>
      <c r="O221" s="391">
        <f t="shared" ca="1" si="154"/>
        <v>3863.0713347403971</v>
      </c>
      <c r="P221" s="391">
        <f t="shared" ca="1" si="154"/>
        <v>4669.5042248729051</v>
      </c>
      <c r="Q221" s="391">
        <f t="shared" ref="Q221:T221" ca="1" si="155">Q217+Q219</f>
        <v>5513.8120612551975</v>
      </c>
      <c r="R221" s="391">
        <f t="shared" ca="1" si="155"/>
        <v>6579.6148082402642</v>
      </c>
      <c r="S221" s="391">
        <f t="shared" ca="1" si="155"/>
        <v>7589.1335359734221</v>
      </c>
      <c r="T221" s="391">
        <f t="shared" ca="1" si="155"/>
        <v>8213.6026279417856</v>
      </c>
    </row>
    <row r="222" spans="2:20" x14ac:dyDescent="0.2">
      <c r="F222" s="429">
        <f t="shared" ref="F222:K222" ca="1" si="156">F181/F221</f>
        <v>-0.45180404230502547</v>
      </c>
      <c r="G222" s="429">
        <f t="shared" ca="1" si="156"/>
        <v>-0.73900991246061076</v>
      </c>
      <c r="H222" s="429">
        <f t="shared" si="156"/>
        <v>-0.37825232027939298</v>
      </c>
      <c r="I222" s="429">
        <f t="shared" si="156"/>
        <v>-0.27594478047388021</v>
      </c>
      <c r="J222" s="429">
        <f t="shared" ca="1" si="156"/>
        <v>-0.22893994914444338</v>
      </c>
      <c r="K222" s="429">
        <f t="shared" si="156"/>
        <v>-0.2208918559830321</v>
      </c>
      <c r="L222" s="429">
        <f t="shared" ref="L222:T222" si="157">L181/L221</f>
        <v>-0.22656731491551882</v>
      </c>
      <c r="M222" s="429">
        <f t="shared" ca="1" si="157"/>
        <v>-1.1597341862821717</v>
      </c>
      <c r="N222" s="429">
        <f t="shared" ca="1" si="157"/>
        <v>-1.0290296951526323</v>
      </c>
      <c r="O222" s="429">
        <f t="shared" ca="1" si="157"/>
        <v>-0.9244605750724233</v>
      </c>
      <c r="P222" s="429">
        <f t="shared" ca="1" si="157"/>
        <v>-0.81579130761094409</v>
      </c>
      <c r="Q222" s="429">
        <f t="shared" ca="1" si="157"/>
        <v>-0.7340519993034561</v>
      </c>
      <c r="R222" s="429">
        <f t="shared" ca="1" si="157"/>
        <v>-0.6513312256250533</v>
      </c>
      <c r="S222" s="429">
        <f t="shared" ca="1" si="157"/>
        <v>-0.59606177247949232</v>
      </c>
      <c r="T222" s="429">
        <f t="shared" ca="1" si="157"/>
        <v>-0.57973052904716404</v>
      </c>
    </row>
    <row r="223" spans="2:20" x14ac:dyDescent="0.2">
      <c r="F223" s="429"/>
      <c r="G223" s="429"/>
      <c r="H223" s="429"/>
      <c r="I223" s="429"/>
      <c r="J223" s="429"/>
      <c r="K223" s="429"/>
      <c r="L223" s="429"/>
      <c r="M223" s="429"/>
      <c r="N223" s="429"/>
      <c r="O223" s="429"/>
      <c r="P223" s="429"/>
    </row>
    <row r="224" spans="2:20" x14ac:dyDescent="0.2">
      <c r="B224" s="479" t="s">
        <v>419</v>
      </c>
      <c r="F224" s="429"/>
      <c r="G224" s="429"/>
      <c r="H224" s="429"/>
      <c r="I224" s="483"/>
      <c r="J224" s="483">
        <v>-750</v>
      </c>
      <c r="K224" s="483">
        <v>-750</v>
      </c>
      <c r="L224" s="483">
        <v>-750</v>
      </c>
      <c r="M224" s="483">
        <v>-750</v>
      </c>
      <c r="N224" s="483">
        <v>-750</v>
      </c>
      <c r="O224" s="429"/>
      <c r="P224" s="429"/>
    </row>
    <row r="225" spans="2:16" x14ac:dyDescent="0.2">
      <c r="F225" s="429"/>
      <c r="G225" s="429"/>
      <c r="H225" s="429"/>
      <c r="I225" s="429"/>
      <c r="J225" s="429"/>
      <c r="K225" s="429"/>
      <c r="L225" s="429"/>
      <c r="M225" s="429"/>
      <c r="N225" s="429"/>
      <c r="O225" s="429"/>
      <c r="P225" s="429"/>
    </row>
    <row r="226" spans="2:16" x14ac:dyDescent="0.2">
      <c r="I226" s="473"/>
      <c r="J226" s="473">
        <f ca="1">J221-J224</f>
        <v>5900.6944298714325</v>
      </c>
      <c r="K226" s="473">
        <f>K221-K224</f>
        <v>7540.6532512236354</v>
      </c>
      <c r="L226" s="473">
        <f>L221-L224</f>
        <v>7630.9572138916483</v>
      </c>
      <c r="M226" s="473">
        <f ca="1">M221-M224</f>
        <v>3395.0310565999366</v>
      </c>
      <c r="N226" s="473">
        <f ca="1">N221-N224</f>
        <v>3989.1420320688699</v>
      </c>
    </row>
    <row r="227" spans="2:16" x14ac:dyDescent="0.2">
      <c r="C227" s="226"/>
      <c r="D227" s="226"/>
    </row>
    <row r="228" spans="2:16" x14ac:dyDescent="0.2">
      <c r="B228" s="226" t="s">
        <v>16</v>
      </c>
      <c r="H228" s="259">
        <f>'Sum of parts'!E43</f>
        <v>4761.6761968798683</v>
      </c>
    </row>
    <row r="229" spans="2:16" x14ac:dyDescent="0.2">
      <c r="B229" s="226" t="s">
        <v>362</v>
      </c>
      <c r="H229" s="226">
        <v>14.5</v>
      </c>
    </row>
    <row r="230" spans="2:16" x14ac:dyDescent="0.2">
      <c r="B230" s="226" t="s">
        <v>17</v>
      </c>
      <c r="H230" s="259">
        <f>H228*H229</f>
        <v>69044.304854758084</v>
      </c>
    </row>
    <row r="231" spans="2:16" x14ac:dyDescent="0.2">
      <c r="B231" s="226" t="s">
        <v>418</v>
      </c>
      <c r="H231" s="259">
        <f ca="1">H230-'Sum of parts'!E52</f>
        <v>67032.648066689697</v>
      </c>
    </row>
    <row r="233" spans="2:16" x14ac:dyDescent="0.2">
      <c r="B233" s="226" t="s">
        <v>18</v>
      </c>
      <c r="F233" s="429"/>
      <c r="G233" s="429"/>
      <c r="H233" s="429">
        <f ca="1">E221/$H$231</f>
        <v>0.10889566976956931</v>
      </c>
      <c r="I233" s="429"/>
      <c r="J233" s="429">
        <f ca="1">J221/$H$231</f>
        <v>7.6838594004925626E-2</v>
      </c>
      <c r="K233" s="429">
        <f ca="1">K221/$H$231</f>
        <v>0.10130366988437819</v>
      </c>
      <c r="L233" s="429">
        <f ca="1">L221/$H$231</f>
        <v>0.10265083377052173</v>
      </c>
      <c r="M233" s="429">
        <f ca="1">M221/$H$231</f>
        <v>3.9458847783671591E-2</v>
      </c>
      <c r="N233" s="429">
        <f ca="1">N221/$H$231</f>
        <v>4.8321856968059802E-2</v>
      </c>
    </row>
    <row r="235" spans="2:16" x14ac:dyDescent="0.2">
      <c r="B235" s="226" t="s">
        <v>420</v>
      </c>
      <c r="I235" s="429"/>
      <c r="J235" s="429">
        <f ca="1">J226/$H$231</f>
        <v>8.8027171834251974E-2</v>
      </c>
      <c r="K235" s="429">
        <f ca="1">K226/$H$231</f>
        <v>0.11249224771370454</v>
      </c>
      <c r="L235" s="429">
        <f ca="1">L226/$H$231</f>
        <v>0.11383941159984806</v>
      </c>
      <c r="M235" s="429">
        <f ca="1">M226/$H$231</f>
        <v>5.064742561299794E-2</v>
      </c>
      <c r="N235" s="429">
        <f ca="1">N226/$H$231</f>
        <v>5.9510434797386151E-2</v>
      </c>
    </row>
    <row r="238" spans="2:16" x14ac:dyDescent="0.2">
      <c r="G238" s="254"/>
      <c r="H238" s="254"/>
      <c r="I238" s="254"/>
      <c r="J238" s="254"/>
      <c r="K238" s="254"/>
      <c r="L238" s="254"/>
      <c r="M238" s="254"/>
    </row>
    <row r="240" spans="2:16" x14ac:dyDescent="0.2">
      <c r="B240" s="485" t="s">
        <v>424</v>
      </c>
      <c r="I240" s="444"/>
      <c r="J240" s="444"/>
      <c r="K240" s="444"/>
      <c r="L240" s="444"/>
      <c r="M240" s="444"/>
    </row>
    <row r="241" spans="2:30" x14ac:dyDescent="0.2">
      <c r="B241" t="s">
        <v>425</v>
      </c>
      <c r="C241" s="473">
        <f>+C58</f>
        <v>4344</v>
      </c>
      <c r="D241" s="473">
        <f t="shared" ref="D241:P241" si="158">+D58</f>
        <v>4344</v>
      </c>
      <c r="E241" s="473">
        <f t="shared" si="158"/>
        <v>4341</v>
      </c>
      <c r="F241" s="473">
        <f t="shared" ca="1" si="158"/>
        <v>4303.7848605577692</v>
      </c>
      <c r="G241" s="473">
        <f t="shared" ca="1" si="158"/>
        <v>4293.4557768924305</v>
      </c>
      <c r="H241" s="473">
        <f t="shared" si="158"/>
        <v>4396.8333333333339</v>
      </c>
      <c r="I241" s="473">
        <f t="shared" si="158"/>
        <v>4500.2237326388895</v>
      </c>
      <c r="J241" s="473">
        <f t="shared" si="158"/>
        <v>4576.9643011363651</v>
      </c>
      <c r="K241" s="473">
        <f t="shared" si="158"/>
        <v>4641.7757697012721</v>
      </c>
      <c r="L241" s="473">
        <f t="shared" si="158"/>
        <v>4719.2814463338464</v>
      </c>
      <c r="M241" s="473">
        <f t="shared" si="158"/>
        <v>4761.6761968798683</v>
      </c>
      <c r="N241" s="473">
        <f t="shared" si="158"/>
        <v>4761.6761968798683</v>
      </c>
      <c r="O241" s="473">
        <f t="shared" si="158"/>
        <v>4761.6761968798683</v>
      </c>
      <c r="P241" s="473">
        <f t="shared" si="158"/>
        <v>4761.6761968798683</v>
      </c>
    </row>
    <row r="242" spans="2:30" x14ac:dyDescent="0.2">
      <c r="B242" s="479" t="s">
        <v>435</v>
      </c>
      <c r="C242" s="473">
        <f t="shared" ref="C242:P242" si="159">C191-C190-C187-C186-C184-C175-C158</f>
        <v>0</v>
      </c>
      <c r="D242" s="473">
        <f t="shared" si="159"/>
        <v>0</v>
      </c>
      <c r="E242" s="473">
        <f t="shared" si="159"/>
        <v>0</v>
      </c>
      <c r="F242" s="473">
        <f t="shared" ca="1" si="159"/>
        <v>-2587.1513779534016</v>
      </c>
      <c r="G242" s="473">
        <f t="shared" ca="1" si="159"/>
        <v>-1.4330990946818929</v>
      </c>
      <c r="H242" s="473">
        <f t="shared" si="159"/>
        <v>3225.5908709461019</v>
      </c>
      <c r="I242" s="473">
        <f t="shared" ca="1" si="159"/>
        <v>-1366.4380574948373</v>
      </c>
      <c r="J242" s="473">
        <f t="shared" si="159"/>
        <v>-1994.8002791666659</v>
      </c>
      <c r="K242" s="473">
        <f t="shared" si="159"/>
        <v>601</v>
      </c>
      <c r="L242" s="473">
        <f t="shared" si="159"/>
        <v>0</v>
      </c>
      <c r="M242" s="473">
        <f t="shared" ca="1" si="159"/>
        <v>0</v>
      </c>
      <c r="N242" s="473">
        <f t="shared" ca="1" si="159"/>
        <v>0</v>
      </c>
      <c r="O242" s="473">
        <f t="shared" ca="1" si="159"/>
        <v>0</v>
      </c>
      <c r="P242" s="473">
        <f t="shared" ca="1" si="159"/>
        <v>0</v>
      </c>
    </row>
    <row r="243" spans="2:30" x14ac:dyDescent="0.2">
      <c r="B243" s="479" t="s">
        <v>426</v>
      </c>
      <c r="C243" s="473">
        <f>C84-C244</f>
        <v>41559</v>
      </c>
      <c r="D243" s="473">
        <f t="shared" ref="D243:P243" si="160">D84-D244</f>
        <v>45468</v>
      </c>
      <c r="E243" s="473">
        <f t="shared" si="160"/>
        <v>44298</v>
      </c>
      <c r="F243" s="473">
        <f t="shared" si="160"/>
        <v>41927</v>
      </c>
      <c r="G243" s="473">
        <f t="shared" si="160"/>
        <v>37522</v>
      </c>
      <c r="H243" s="473">
        <f t="shared" si="160"/>
        <v>37427</v>
      </c>
      <c r="I243" s="473">
        <f t="shared" si="160"/>
        <v>39616</v>
      </c>
      <c r="J243" s="473">
        <f t="shared" si="160"/>
        <v>44637</v>
      </c>
      <c r="K243" s="473">
        <f t="shared" si="160"/>
        <v>46758</v>
      </c>
      <c r="L243" s="473">
        <f t="shared" si="160"/>
        <v>46878</v>
      </c>
      <c r="M243" s="473">
        <f t="shared" ca="1" si="160"/>
        <v>48026.22175842819</v>
      </c>
      <c r="N243" s="473">
        <f t="shared" ca="1" si="160"/>
        <v>49253.313542635668</v>
      </c>
      <c r="O243" s="473">
        <f t="shared" ca="1" si="160"/>
        <v>50579.318609868831</v>
      </c>
      <c r="P243" s="473">
        <f t="shared" ca="1" si="160"/>
        <v>51928.057623336819</v>
      </c>
    </row>
    <row r="244" spans="2:30" x14ac:dyDescent="0.2">
      <c r="B244" s="479" t="s">
        <v>427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</row>
    <row r="245" spans="2:30" x14ac:dyDescent="0.2">
      <c r="B245" s="479" t="s">
        <v>428</v>
      </c>
      <c r="C245">
        <v>0</v>
      </c>
      <c r="D245">
        <v>0</v>
      </c>
      <c r="E245">
        <v>0</v>
      </c>
      <c r="F245">
        <v>0</v>
      </c>
      <c r="G245" s="254">
        <v>0</v>
      </c>
      <c r="H245" s="254">
        <v>0</v>
      </c>
      <c r="I245" s="254">
        <v>0</v>
      </c>
      <c r="J245" s="254">
        <v>0</v>
      </c>
      <c r="K245" s="254">
        <v>0</v>
      </c>
      <c r="L245" s="254">
        <v>0</v>
      </c>
      <c r="M245" s="254">
        <v>0</v>
      </c>
      <c r="N245">
        <v>0</v>
      </c>
      <c r="O245">
        <v>0</v>
      </c>
      <c r="P245">
        <v>0</v>
      </c>
    </row>
    <row r="246" spans="2:30" x14ac:dyDescent="0.2">
      <c r="B246" s="479" t="s">
        <v>292</v>
      </c>
      <c r="C246" s="473">
        <f>C15-C24</f>
        <v>11162</v>
      </c>
      <c r="D246" s="473">
        <f t="shared" ref="D246:P246" si="161">D15-D24</f>
        <v>12467</v>
      </c>
      <c r="E246" s="473">
        <f t="shared" si="161"/>
        <v>12898</v>
      </c>
      <c r="F246" s="473">
        <f t="shared" ca="1" si="161"/>
        <v>12654.215800000002</v>
      </c>
      <c r="G246" s="473">
        <f t="shared" si="161"/>
        <v>12396</v>
      </c>
      <c r="H246" s="473">
        <f t="shared" si="161"/>
        <v>11993</v>
      </c>
      <c r="I246" s="473">
        <f t="shared" si="161"/>
        <v>12016</v>
      </c>
      <c r="J246" s="473">
        <f t="shared" si="161"/>
        <v>13000</v>
      </c>
      <c r="K246" s="473">
        <f t="shared" si="161"/>
        <v>14667</v>
      </c>
      <c r="L246" s="473">
        <f t="shared" si="161"/>
        <v>13362</v>
      </c>
      <c r="M246" s="473">
        <f t="shared" ca="1" si="161"/>
        <v>12732.708224043716</v>
      </c>
      <c r="N246" s="473">
        <f t="shared" ca="1" si="161"/>
        <v>12590.523079508195</v>
      </c>
      <c r="O246" s="473">
        <f t="shared" ca="1" si="161"/>
        <v>12483.9369076209</v>
      </c>
      <c r="P246" s="473">
        <f t="shared" ca="1" si="161"/>
        <v>12496.165236168921</v>
      </c>
    </row>
    <row r="247" spans="2:30" x14ac:dyDescent="0.2">
      <c r="B247" s="479" t="s">
        <v>449</v>
      </c>
      <c r="C247">
        <v>1</v>
      </c>
      <c r="D247">
        <v>1</v>
      </c>
      <c r="E247">
        <v>1</v>
      </c>
      <c r="F247">
        <v>1</v>
      </c>
      <c r="G247">
        <v>1</v>
      </c>
      <c r="H247">
        <v>1</v>
      </c>
      <c r="I247">
        <v>1</v>
      </c>
      <c r="J247">
        <v>1</v>
      </c>
      <c r="K247">
        <v>1</v>
      </c>
      <c r="L247">
        <v>1</v>
      </c>
      <c r="M247">
        <v>1</v>
      </c>
      <c r="N247">
        <v>1</v>
      </c>
      <c r="O247">
        <v>1</v>
      </c>
      <c r="P247">
        <v>1</v>
      </c>
    </row>
    <row r="249" spans="2:30" x14ac:dyDescent="0.2">
      <c r="B249" s="541" t="s">
        <v>456</v>
      </c>
    </row>
    <row r="250" spans="2:30" s="542" customFormat="1" x14ac:dyDescent="0.2">
      <c r="B250" s="542" t="s">
        <v>457</v>
      </c>
      <c r="E250" s="543">
        <f>Interims!Y48-(Interims!Y36*(1-E255))-E251</f>
        <v>16324.56999469845</v>
      </c>
      <c r="F250" s="543">
        <f>Interims!AE48-(Interims!AE36*(1-F255))-F251</f>
        <v>15856.895447018007</v>
      </c>
      <c r="G250" s="543">
        <f>Interims!AK48-(Interims!AK36*(1-G255))-G251</f>
        <v>15315.052381147369</v>
      </c>
      <c r="H250" s="543">
        <f>Interims!AQ48-(Interims!AQ36*(1-H255))-H251</f>
        <v>14336.9595845355</v>
      </c>
      <c r="I250" s="543">
        <f>Interims!AW48-(Interims!AW36*(1-I255))-I251</f>
        <v>14662.236175727401</v>
      </c>
      <c r="J250" s="543">
        <f>Interims!BC48-(Interims!BC36*(1-J255))-J251</f>
        <v>15966.717265868938</v>
      </c>
      <c r="K250" s="543">
        <f>Interims!BI48-(Interims!BI36*(1-K255))-K251</f>
        <v>16711.035191985335</v>
      </c>
      <c r="L250" s="543">
        <f>Interims!BO48-(Interims!BO36*(1-L255))-L251</f>
        <v>18293.35720525487</v>
      </c>
      <c r="M250" s="543">
        <f ca="1">Interims!BU48-(Interims!BU36*(1-M255))-M251</f>
        <v>18102.990024973213</v>
      </c>
      <c r="N250" s="543">
        <f ca="1">Interims!CA48-(Interims!CA36*(1-N255))-N251</f>
        <v>19015.320809640732</v>
      </c>
      <c r="O250" s="543">
        <f ca="1">Interims!CG48-(Interims!CG36*(1-O255))-O251</f>
        <v>19921.734311179433</v>
      </c>
      <c r="P250" s="543">
        <f ca="1">Interims!CM48-(Interims!CM36*(1-P255))-P251</f>
        <v>20756.471608415388</v>
      </c>
      <c r="Y250"/>
      <c r="Z250"/>
      <c r="AA250"/>
      <c r="AB250"/>
      <c r="AC250"/>
      <c r="AD250"/>
    </row>
    <row r="251" spans="2:30" s="479" customFormat="1" x14ac:dyDescent="0.2">
      <c r="B251" s="479" t="s">
        <v>458</v>
      </c>
      <c r="E251" s="544">
        <f t="shared" ref="E251:P251" si="162">E22</f>
        <v>1789</v>
      </c>
      <c r="F251" s="544">
        <f t="shared" si="162"/>
        <v>1575</v>
      </c>
      <c r="G251" s="544">
        <f t="shared" si="162"/>
        <v>1402</v>
      </c>
      <c r="H251" s="544">
        <f t="shared" si="162"/>
        <v>1820</v>
      </c>
      <c r="I251" s="544">
        <f t="shared" si="162"/>
        <v>1502</v>
      </c>
      <c r="J251" s="544">
        <f t="shared" si="162"/>
        <v>1765</v>
      </c>
      <c r="K251" s="544">
        <f t="shared" si="162"/>
        <v>1910</v>
      </c>
      <c r="L251" s="544">
        <f t="shared" si="162"/>
        <v>890</v>
      </c>
      <c r="M251" s="544">
        <f t="shared" si="162"/>
        <v>1350</v>
      </c>
      <c r="N251" s="544">
        <f t="shared" si="162"/>
        <v>1250</v>
      </c>
      <c r="O251" s="544">
        <f t="shared" si="162"/>
        <v>1150</v>
      </c>
      <c r="P251" s="544">
        <f t="shared" si="162"/>
        <v>1100</v>
      </c>
      <c r="Y251"/>
      <c r="Z251"/>
      <c r="AA251"/>
      <c r="AB251"/>
      <c r="AC251"/>
      <c r="AD251"/>
    </row>
    <row r="252" spans="2:30" s="485" customFormat="1" x14ac:dyDescent="0.2">
      <c r="B252" s="485" t="s">
        <v>459</v>
      </c>
      <c r="E252" s="545">
        <f>Interims!Y72-(Interims!Y60*(1-E255))</f>
        <v>7857.4282776909076</v>
      </c>
      <c r="F252" s="545">
        <f>Interims!AE72-(Interims!AE60*(1-F255))</f>
        <v>7764.2357813758099</v>
      </c>
      <c r="G252" s="545">
        <f>Interims!AK72-(Interims!AK60*(1-G255))</f>
        <v>7594.9599010489255</v>
      </c>
      <c r="H252" s="545">
        <f>Interims!AQ72-(Interims!AQ60*(1-H255))</f>
        <v>9995.6626125695766</v>
      </c>
      <c r="I252" s="545">
        <f>Interims!AW72-(Interims!AW60*(1-I255))</f>
        <v>9032.9187291523085</v>
      </c>
      <c r="J252" s="545">
        <f>Interims!BC72-(Interims!BC60*(1-J255))</f>
        <v>10880.279332098036</v>
      </c>
      <c r="K252" s="545">
        <f>Interims!BI72-(Interims!BI60*(1-K255))</f>
        <v>9631.3392417245577</v>
      </c>
      <c r="L252" s="545">
        <f>Interims!BO72-(Interims!BO60*(1-L255))</f>
        <v>10610.238471439354</v>
      </c>
      <c r="M252" s="545">
        <f ca="1">Interims!BU72-(Interims!BU60*(1-M255))</f>
        <v>10591.468276529286</v>
      </c>
      <c r="N252" s="545">
        <f ca="1">Interims!CA72-(Interims!CA60*(1-N255))</f>
        <v>10592.797957977969</v>
      </c>
      <c r="O252" s="545">
        <f ca="1">Interims!CG72-(Interims!CG60*(1-O255))</f>
        <v>10631.250478952417</v>
      </c>
      <c r="P252" s="545">
        <f ca="1">Interims!CM72-(Interims!CM60*(1-P255))</f>
        <v>10669.072487341829</v>
      </c>
      <c r="Y252"/>
      <c r="Z252"/>
      <c r="AA252"/>
      <c r="AB252"/>
      <c r="AC252"/>
      <c r="AD252"/>
    </row>
    <row r="253" spans="2:30" s="485" customFormat="1" x14ac:dyDescent="0.2">
      <c r="E253" s="545"/>
      <c r="F253" s="545"/>
      <c r="G253" s="545"/>
      <c r="H253" s="545"/>
      <c r="I253" s="545"/>
      <c r="J253" s="545"/>
      <c r="K253" s="545"/>
      <c r="L253" s="545"/>
      <c r="Y253"/>
      <c r="Z253"/>
      <c r="AA253"/>
      <c r="AB253"/>
      <c r="AC253"/>
      <c r="AD253"/>
    </row>
    <row r="254" spans="2:30" s="485" customFormat="1" x14ac:dyDescent="0.2">
      <c r="B254" s="485" t="s">
        <v>460</v>
      </c>
      <c r="E254" s="544">
        <f>(Interims!Y36-Interims!Y60)</f>
        <v>2034.9553744539999</v>
      </c>
      <c r="F254" s="473">
        <f>(Interims!AE36-Interims!AE60)</f>
        <v>1868.4705234999994</v>
      </c>
      <c r="G254" s="473">
        <f>(Interims!AK36-Interims!AK60)</f>
        <v>1280.4577242550004</v>
      </c>
      <c r="H254" s="473">
        <f>(Interims!AQ36-Interims!AQ60)</f>
        <v>595.29868503874923</v>
      </c>
      <c r="I254" s="473">
        <f>(Interims!AW36-Interims!AW60)</f>
        <v>940.07050146500023</v>
      </c>
      <c r="J254" s="473">
        <f>(Interims!BC36-Interims!BC60)</f>
        <v>272.89913081831855</v>
      </c>
      <c r="K254" s="473">
        <f>(Interims!BI36-Interims!BI60)</f>
        <v>4323.7004819964841</v>
      </c>
      <c r="L254" s="473">
        <f>(Interims!BO36-Interims!BO60)</f>
        <v>4788.5314148701236</v>
      </c>
      <c r="M254" s="473">
        <f>(Interims!BU36-Interims!BU60)</f>
        <v>5033.8426658147946</v>
      </c>
      <c r="N254" s="473">
        <f>(Interims!CA36-Interims!CA60)</f>
        <v>5544.3766239379847</v>
      </c>
      <c r="O254" s="473">
        <f>(Interims!CG36-Interims!CG60)</f>
        <v>6052.7386041263262</v>
      </c>
      <c r="P254" s="473">
        <f>(Interims!CM36-Interims!CM60)</f>
        <v>6557.0608195384857</v>
      </c>
      <c r="Y254"/>
      <c r="Z254"/>
      <c r="AA254"/>
      <c r="AB254"/>
      <c r="AC254"/>
      <c r="AD254"/>
    </row>
    <row r="255" spans="2:30" s="479" customFormat="1" x14ac:dyDescent="0.2">
      <c r="B255" s="479" t="s">
        <v>128</v>
      </c>
      <c r="E255" s="546">
        <f>'Sum of parts'!$D$11</f>
        <v>0.67300000000000004</v>
      </c>
      <c r="F255" s="546">
        <f>'Sum of parts'!$D$11</f>
        <v>0.67300000000000004</v>
      </c>
      <c r="G255" s="546">
        <f>'Sum of parts'!$D$11</f>
        <v>0.67300000000000004</v>
      </c>
      <c r="H255" s="546">
        <f>'Sum of parts'!$D$11</f>
        <v>0.67300000000000004</v>
      </c>
      <c r="I255" s="546">
        <f>'Sum of parts'!$D$11</f>
        <v>0.67300000000000004</v>
      </c>
      <c r="J255" s="546">
        <f>'Sum of parts'!$D$11</f>
        <v>0.67300000000000004</v>
      </c>
      <c r="K255" s="546">
        <f>'Sum of parts'!$D$11</f>
        <v>0.67300000000000004</v>
      </c>
      <c r="L255" s="546">
        <f>'Sum of parts'!$D$11</f>
        <v>0.67300000000000004</v>
      </c>
      <c r="M255" s="546">
        <f>'Sum of parts'!$D$11</f>
        <v>0.67300000000000004</v>
      </c>
      <c r="N255" s="678">
        <f>+M255</f>
        <v>0.67300000000000004</v>
      </c>
      <c r="O255" s="678">
        <f t="shared" ref="O255:P255" si="163">+N255</f>
        <v>0.67300000000000004</v>
      </c>
      <c r="P255" s="678">
        <f t="shared" si="163"/>
        <v>0.67300000000000004</v>
      </c>
      <c r="Y255"/>
      <c r="Z255"/>
      <c r="AA255"/>
      <c r="AB255"/>
      <c r="AC255"/>
      <c r="AD255"/>
    </row>
    <row r="256" spans="2:30" s="479" customFormat="1" x14ac:dyDescent="0.2">
      <c r="B256" s="479" t="s">
        <v>461</v>
      </c>
      <c r="E256" s="544">
        <f>(1-E255)*E254</f>
        <v>665.43040744645782</v>
      </c>
      <c r="F256" s="544">
        <f t="shared" ref="F256:L256" si="164">(1-F255)*F254</f>
        <v>610.98986118449977</v>
      </c>
      <c r="G256" s="544">
        <f t="shared" si="164"/>
        <v>418.70967583138508</v>
      </c>
      <c r="H256" s="544">
        <f t="shared" si="164"/>
        <v>194.66267000767098</v>
      </c>
      <c r="I256" s="544">
        <f t="shared" si="164"/>
        <v>307.40305397905502</v>
      </c>
      <c r="J256" s="544">
        <f t="shared" si="164"/>
        <v>89.238015777590149</v>
      </c>
      <c r="K256" s="544">
        <f t="shared" si="164"/>
        <v>1413.8500576128502</v>
      </c>
      <c r="L256" s="544">
        <f t="shared" si="164"/>
        <v>1565.8497726625303</v>
      </c>
      <c r="M256" s="544">
        <f>(1-M255)*M254</f>
        <v>1646.0665517214377</v>
      </c>
      <c r="N256" s="544">
        <f t="shared" ref="N256:P256" si="165">(1-N255)*N254</f>
        <v>1813.0111560277207</v>
      </c>
      <c r="O256" s="544">
        <f t="shared" si="165"/>
        <v>1979.2455235493085</v>
      </c>
      <c r="P256" s="544">
        <f t="shared" si="165"/>
        <v>2144.1588879890846</v>
      </c>
      <c r="Y256"/>
      <c r="Z256"/>
      <c r="AA256"/>
      <c r="AB256"/>
      <c r="AC256"/>
      <c r="AD256"/>
    </row>
    <row r="257" spans="2:30" s="479" customFormat="1" x14ac:dyDescent="0.2">
      <c r="B257" s="479" t="s">
        <v>349</v>
      </c>
      <c r="E257" s="544">
        <f>E38</f>
        <v>65</v>
      </c>
      <c r="F257" s="544">
        <f t="shared" ref="F257:L257" si="166">F38</f>
        <v>434</v>
      </c>
      <c r="G257" s="544">
        <f t="shared" si="166"/>
        <v>448</v>
      </c>
      <c r="H257" s="544">
        <f t="shared" si="166"/>
        <v>360</v>
      </c>
      <c r="I257" s="544">
        <f t="shared" si="166"/>
        <v>375</v>
      </c>
      <c r="J257" s="544">
        <f t="shared" ca="1" si="166"/>
        <v>410.49805946952148</v>
      </c>
      <c r="K257" s="544">
        <f t="shared" si="166"/>
        <v>429</v>
      </c>
      <c r="L257" s="544">
        <f t="shared" si="166"/>
        <v>2090</v>
      </c>
      <c r="M257" s="544">
        <f ca="1">M38</f>
        <v>1367.3208009265088</v>
      </c>
      <c r="N257" s="544">
        <f t="shared" ref="N257:P257" ca="1" si="167">N38</f>
        <v>1569.7816157703824</v>
      </c>
      <c r="O257" s="544">
        <f t="shared" ca="1" si="167"/>
        <v>1751.4013277751267</v>
      </c>
      <c r="P257" s="544">
        <f t="shared" ca="1" si="167"/>
        <v>1748.0648677853176</v>
      </c>
      <c r="Y257"/>
      <c r="Z257"/>
      <c r="AA257"/>
      <c r="AB257"/>
      <c r="AC257"/>
      <c r="AD257"/>
    </row>
    <row r="258" spans="2:30" s="547" customFormat="1" x14ac:dyDescent="0.2">
      <c r="B258" s="547" t="s">
        <v>462</v>
      </c>
      <c r="E258" s="548">
        <f>E221-E256+E257</f>
        <v>6699.1347002035418</v>
      </c>
      <c r="F258" s="548">
        <f t="shared" ref="F258:M258" si="168">F221-F256+F257</f>
        <v>6491.054512700307</v>
      </c>
      <c r="G258" s="548">
        <f t="shared" si="168"/>
        <v>4105.8924800984423</v>
      </c>
      <c r="H258" s="548">
        <f t="shared" si="168"/>
        <v>5109.1272282769969</v>
      </c>
      <c r="I258" s="548">
        <f t="shared" si="168"/>
        <v>4463.0325035157821</v>
      </c>
      <c r="J258" s="548">
        <f t="shared" ca="1" si="168"/>
        <v>5471.9544735633635</v>
      </c>
      <c r="K258" s="548">
        <f t="shared" si="168"/>
        <v>5805.8031936107855</v>
      </c>
      <c r="L258" s="548">
        <f t="shared" si="168"/>
        <v>7405.1074412291182</v>
      </c>
      <c r="M258" s="548">
        <f t="shared" ca="1" si="168"/>
        <v>2366.2853058050077</v>
      </c>
      <c r="N258" s="548">
        <f t="shared" ref="N258:P258" ca="1" si="169">N221-N256+N257</f>
        <v>2995.9124918115313</v>
      </c>
      <c r="O258" s="548">
        <f t="shared" ca="1" si="169"/>
        <v>3635.2271389662155</v>
      </c>
      <c r="P258" s="548">
        <f t="shared" ca="1" si="169"/>
        <v>4273.4102046691378</v>
      </c>
      <c r="Y258"/>
      <c r="Z258"/>
      <c r="AA258"/>
      <c r="AB258"/>
      <c r="AC258"/>
      <c r="AD258"/>
    </row>
    <row r="259" spans="2:30" s="485" customFormat="1" x14ac:dyDescent="0.2">
      <c r="E259" s="549"/>
      <c r="F259" s="549"/>
      <c r="G259" s="549"/>
      <c r="H259" s="549"/>
      <c r="I259" s="549"/>
      <c r="J259" s="549"/>
      <c r="K259" s="549"/>
      <c r="L259" s="549"/>
      <c r="N259" s="549"/>
      <c r="O259" s="549"/>
      <c r="P259" s="549"/>
      <c r="Y259"/>
      <c r="Z259"/>
      <c r="AA259"/>
      <c r="AB259"/>
      <c r="AC259"/>
      <c r="AD259"/>
    </row>
    <row r="260" spans="2:30" s="550" customFormat="1" x14ac:dyDescent="0.2">
      <c r="B260" s="550" t="s">
        <v>463</v>
      </c>
      <c r="H260" s="551">
        <f>H261-H263+H264</f>
        <v>35113.637496171468</v>
      </c>
      <c r="I260" s="551">
        <f t="shared" ref="I260:P260" si="170">I261-I263+I264</f>
        <v>37912.561760877346</v>
      </c>
      <c r="J260" s="551">
        <f t="shared" si="170"/>
        <v>41766.410290289117</v>
      </c>
      <c r="K260" s="551">
        <f t="shared" si="170"/>
        <v>43970.27058440676</v>
      </c>
      <c r="L260" s="551">
        <f t="shared" si="170"/>
        <v>43652.240437347937</v>
      </c>
      <c r="M260" s="551">
        <f t="shared" ca="1" si="170"/>
        <v>42921.655647895139</v>
      </c>
      <c r="N260" s="551">
        <f t="shared" ca="1" si="170"/>
        <v>47414.59589485234</v>
      </c>
      <c r="O260" s="551">
        <f t="shared" ca="1" si="170"/>
        <v>43509.931320028751</v>
      </c>
      <c r="P260" s="551">
        <f t="shared" ca="1" si="170"/>
        <v>37682.312000098027</v>
      </c>
      <c r="Y260"/>
      <c r="Z260"/>
      <c r="AA260"/>
      <c r="AB260"/>
      <c r="AC260"/>
      <c r="AD260"/>
    </row>
    <row r="261" spans="2:30" x14ac:dyDescent="0.2">
      <c r="B261" s="552" t="s">
        <v>464</v>
      </c>
      <c r="D261" s="473">
        <f t="shared" ref="D261:P261" si="171">D128</f>
        <v>40911</v>
      </c>
      <c r="E261" s="473">
        <f t="shared" si="171"/>
        <v>42269</v>
      </c>
      <c r="F261" s="473">
        <f t="shared" si="171"/>
        <v>40121</v>
      </c>
      <c r="G261" s="473">
        <f t="shared" si="171"/>
        <v>36860</v>
      </c>
      <c r="H261" s="473">
        <f t="shared" si="171"/>
        <v>39093</v>
      </c>
      <c r="I261" s="473">
        <f t="shared" si="171"/>
        <v>42500</v>
      </c>
      <c r="J261" s="473">
        <f t="shared" si="171"/>
        <v>47570</v>
      </c>
      <c r="K261" s="473">
        <f t="shared" si="171"/>
        <v>49959</v>
      </c>
      <c r="L261" s="473">
        <f t="shared" si="171"/>
        <v>50791</v>
      </c>
      <c r="M261" s="473">
        <f t="shared" ca="1" si="171"/>
        <v>50219.583818610001</v>
      </c>
      <c r="N261" s="473">
        <f t="shared" ca="1" si="171"/>
        <v>47414.59589485234</v>
      </c>
      <c r="O261" s="473">
        <f t="shared" ca="1" si="171"/>
        <v>43509.931320028751</v>
      </c>
      <c r="P261" s="473">
        <f t="shared" ca="1" si="171"/>
        <v>37682.312000098027</v>
      </c>
    </row>
    <row r="262" spans="2:30" x14ac:dyDescent="0.2">
      <c r="B262" s="552" t="s">
        <v>465</v>
      </c>
      <c r="D262" s="473"/>
      <c r="E262" s="544"/>
      <c r="F262" s="473"/>
      <c r="G262" s="473"/>
      <c r="H262" s="473">
        <f>'US Metro PF'!$Z$286</f>
        <v>16550.253838552922</v>
      </c>
      <c r="I262" s="473">
        <f>'US Metro PF'!$AF$286</f>
        <v>19079.253838552922</v>
      </c>
      <c r="J262" s="473">
        <f>'US Metro PF'!$AL$286</f>
        <v>24137.253838552922</v>
      </c>
      <c r="K262" s="473">
        <f>'US Metro PF'!$AR$286</f>
        <v>24907.253838552922</v>
      </c>
      <c r="L262" s="473">
        <f>'US Metro PF'!$AX$286</f>
        <v>29690.253838552922</v>
      </c>
      <c r="M262" s="473">
        <f ca="1">'US Metro PF'!$BD$286</f>
        <v>30352.239486765189</v>
      </c>
      <c r="N262" s="473"/>
      <c r="O262" s="473"/>
      <c r="P262" s="473"/>
    </row>
    <row r="263" spans="2:30" x14ac:dyDescent="0.2">
      <c r="B263" s="552" t="s">
        <v>466</v>
      </c>
      <c r="H263" s="473">
        <f t="shared" ref="H263:M263" si="172">H262*(1-H255)/1.36</f>
        <v>3979.3625038285331</v>
      </c>
      <c r="I263" s="473">
        <f t="shared" si="172"/>
        <v>4587.43823912265</v>
      </c>
      <c r="J263" s="473">
        <f t="shared" si="172"/>
        <v>5803.5897097108855</v>
      </c>
      <c r="K263" s="473">
        <f t="shared" si="172"/>
        <v>5988.7294155932386</v>
      </c>
      <c r="L263" s="473">
        <f t="shared" si="172"/>
        <v>7138.7595626520615</v>
      </c>
      <c r="M263" s="473">
        <f t="shared" ca="1" si="172"/>
        <v>7297.9281707148639</v>
      </c>
    </row>
    <row r="264" spans="2:30" x14ac:dyDescent="0.2">
      <c r="B264" s="552" t="s">
        <v>467</v>
      </c>
      <c r="H264" s="473">
        <f>'Sum of parts'!$E$55</f>
        <v>0</v>
      </c>
      <c r="I264" s="473">
        <f>'Sum of parts'!$E$55</f>
        <v>0</v>
      </c>
      <c r="J264" s="473">
        <f>'Sum of parts'!$E$55</f>
        <v>0</v>
      </c>
      <c r="K264" s="473">
        <f>'Sum of parts'!$E$55</f>
        <v>0</v>
      </c>
      <c r="L264" s="473">
        <f>'Sum of parts'!$E$55</f>
        <v>0</v>
      </c>
      <c r="M264" s="473">
        <f>'Sum of parts'!$E$55</f>
        <v>0</v>
      </c>
      <c r="N264" s="473">
        <f>'Sum of parts'!$E$55</f>
        <v>0</v>
      </c>
      <c r="O264" s="473">
        <f>'Sum of parts'!$E$55</f>
        <v>0</v>
      </c>
      <c r="P264" s="473">
        <f>'Sum of parts'!$E$55</f>
        <v>0</v>
      </c>
    </row>
    <row r="265" spans="2:30" s="547" customFormat="1" x14ac:dyDescent="0.2">
      <c r="B265" s="547" t="s">
        <v>468</v>
      </c>
      <c r="E265" s="553"/>
      <c r="F265" s="553"/>
      <c r="G265" s="553"/>
      <c r="H265" s="548">
        <f t="shared" ref="H265:P265" si="173">H272+H260</f>
        <v>117776.33627400597</v>
      </c>
      <c r="I265" s="548">
        <f t="shared" si="173"/>
        <v>120575.26053871185</v>
      </c>
      <c r="J265" s="548">
        <f t="shared" si="173"/>
        <v>124429.10906812362</v>
      </c>
      <c r="K265" s="548">
        <f t="shared" si="173"/>
        <v>126632.96936224127</v>
      </c>
      <c r="L265" s="548">
        <f t="shared" si="173"/>
        <v>126314.93921518244</v>
      </c>
      <c r="M265" s="548">
        <f t="shared" ca="1" si="173"/>
        <v>125584.35442572965</v>
      </c>
      <c r="N265" s="548">
        <f t="shared" ca="1" si="173"/>
        <v>130077.29467268684</v>
      </c>
      <c r="O265" s="548">
        <f t="shared" ca="1" si="173"/>
        <v>126172.63009786326</v>
      </c>
      <c r="P265" s="548">
        <f t="shared" ca="1" si="173"/>
        <v>120345.01077793253</v>
      </c>
      <c r="Y265"/>
      <c r="Z265"/>
      <c r="AA265"/>
      <c r="AB265"/>
      <c r="AC265"/>
      <c r="AD265"/>
    </row>
    <row r="267" spans="2:30" s="554" customFormat="1" x14ac:dyDescent="0.2">
      <c r="B267" s="555" t="s">
        <v>469</v>
      </c>
      <c r="C267" s="555"/>
      <c r="D267" s="555"/>
      <c r="E267" s="555"/>
      <c r="F267" s="555"/>
      <c r="G267" s="555"/>
      <c r="H267" s="610">
        <f t="shared" ref="H267:M267" si="174">H265/H250</f>
        <v>8.2148753771367886</v>
      </c>
      <c r="I267" s="610">
        <f t="shared" si="174"/>
        <v>8.2235246447822306</v>
      </c>
      <c r="J267" s="610">
        <f t="shared" si="174"/>
        <v>7.7930301511700231</v>
      </c>
      <c r="K267" s="610">
        <f t="shared" si="174"/>
        <v>7.5778051992239739</v>
      </c>
      <c r="L267" s="610">
        <f t="shared" si="174"/>
        <v>6.904962156366671</v>
      </c>
      <c r="M267" s="610">
        <f t="shared" ca="1" si="174"/>
        <v>6.9372161312846705</v>
      </c>
      <c r="N267" s="556"/>
      <c r="O267" s="556"/>
      <c r="P267" s="556"/>
      <c r="Y267"/>
      <c r="Z267"/>
      <c r="AA267"/>
      <c r="AB267"/>
      <c r="AC267"/>
      <c r="AD267"/>
    </row>
    <row r="268" spans="2:30" s="554" customFormat="1" x14ac:dyDescent="0.2">
      <c r="B268" s="555" t="s">
        <v>470</v>
      </c>
      <c r="C268" s="555"/>
      <c r="D268" s="555"/>
      <c r="E268" s="555"/>
      <c r="F268" s="555"/>
      <c r="G268" s="555"/>
      <c r="H268" s="609">
        <f t="shared" ref="H268:P268" si="175">H258/H272</f>
        <v>6.1806925055863021E-2</v>
      </c>
      <c r="I268" s="609">
        <f t="shared" si="175"/>
        <v>5.3990887903511281E-2</v>
      </c>
      <c r="J268" s="609">
        <f t="shared" ca="1" si="175"/>
        <v>6.6196174991453763E-2</v>
      </c>
      <c r="K268" s="609">
        <f t="shared" si="175"/>
        <v>7.0234861424190234E-2</v>
      </c>
      <c r="L268" s="609">
        <f t="shared" si="175"/>
        <v>8.9582212421242077E-2</v>
      </c>
      <c r="M268" s="557">
        <f t="shared" ca="1" si="175"/>
        <v>2.8625793021404625E-2</v>
      </c>
      <c r="N268" s="557">
        <f t="shared" ca="1" si="175"/>
        <v>3.6242616513929578E-2</v>
      </c>
      <c r="O268" s="557">
        <f t="shared" ca="1" si="175"/>
        <v>4.3976632661562452E-2</v>
      </c>
      <c r="P268" s="557">
        <f t="shared" ca="1" si="175"/>
        <v>5.1696959666831327E-2</v>
      </c>
      <c r="Y268"/>
      <c r="Z268"/>
      <c r="AA268"/>
      <c r="AB268"/>
      <c r="AC268"/>
      <c r="AD268"/>
    </row>
    <row r="269" spans="2:30" x14ac:dyDescent="0.2">
      <c r="B269" s="479"/>
    </row>
    <row r="270" spans="2:30" x14ac:dyDescent="0.2">
      <c r="B270" s="479" t="s">
        <v>471</v>
      </c>
      <c r="D270" s="473">
        <f>'Sum of parts'!$E$43</f>
        <v>4761.6761968798683</v>
      </c>
      <c r="E270" s="473">
        <f>'Sum of parts'!$E$43</f>
        <v>4761.6761968798683</v>
      </c>
      <c r="F270" s="473">
        <f>'Sum of parts'!$E$43</f>
        <v>4761.6761968798683</v>
      </c>
      <c r="G270" s="473">
        <f>'Sum of parts'!$E$43</f>
        <v>4761.6761968798683</v>
      </c>
      <c r="H270" s="473">
        <f>'Sum of parts'!$E$43</f>
        <v>4761.6761968798683</v>
      </c>
      <c r="I270" s="473">
        <f>'Sum of parts'!$E$43</f>
        <v>4761.6761968798683</v>
      </c>
      <c r="J270" s="473">
        <f>'Sum of parts'!$E$43</f>
        <v>4761.6761968798683</v>
      </c>
      <c r="K270" s="473">
        <f>'Sum of parts'!$E$43</f>
        <v>4761.6761968798683</v>
      </c>
      <c r="L270" s="473">
        <f>'Sum of parts'!$E$43</f>
        <v>4761.6761968798683</v>
      </c>
      <c r="M270" s="473">
        <f>'Sum of parts'!$E$43</f>
        <v>4761.6761968798683</v>
      </c>
      <c r="N270" s="473">
        <f>'Sum of parts'!$E$43</f>
        <v>4761.6761968798683</v>
      </c>
      <c r="O270" s="473">
        <f>'Sum of parts'!$E$43</f>
        <v>4761.6761968798683</v>
      </c>
      <c r="P270" s="473">
        <f>'Sum of parts'!$E$43</f>
        <v>4761.6761968798683</v>
      </c>
    </row>
    <row r="271" spans="2:30" x14ac:dyDescent="0.2">
      <c r="B271" s="479" t="s">
        <v>472</v>
      </c>
      <c r="D271">
        <v>17.36</v>
      </c>
      <c r="E271">
        <f>$D$271</f>
        <v>17.36</v>
      </c>
      <c r="F271">
        <f t="shared" ref="F271:P271" si="176">$D$271</f>
        <v>17.36</v>
      </c>
      <c r="G271">
        <f t="shared" si="176"/>
        <v>17.36</v>
      </c>
      <c r="H271">
        <f t="shared" si="176"/>
        <v>17.36</v>
      </c>
      <c r="I271">
        <f t="shared" si="176"/>
        <v>17.36</v>
      </c>
      <c r="J271">
        <f t="shared" si="176"/>
        <v>17.36</v>
      </c>
      <c r="K271">
        <f t="shared" si="176"/>
        <v>17.36</v>
      </c>
      <c r="L271">
        <f t="shared" si="176"/>
        <v>17.36</v>
      </c>
      <c r="M271">
        <f t="shared" si="176"/>
        <v>17.36</v>
      </c>
      <c r="N271">
        <f t="shared" si="176"/>
        <v>17.36</v>
      </c>
      <c r="O271">
        <f t="shared" si="176"/>
        <v>17.36</v>
      </c>
      <c r="P271">
        <f t="shared" si="176"/>
        <v>17.36</v>
      </c>
    </row>
    <row r="272" spans="2:30" x14ac:dyDescent="0.2">
      <c r="B272" s="479" t="s">
        <v>473</v>
      </c>
      <c r="D272">
        <f>D270*D271</f>
        <v>82662.698777834506</v>
      </c>
      <c r="E272">
        <f t="shared" ref="E272:P272" si="177">E270*E271</f>
        <v>82662.698777834506</v>
      </c>
      <c r="F272">
        <f t="shared" si="177"/>
        <v>82662.698777834506</v>
      </c>
      <c r="G272">
        <f t="shared" si="177"/>
        <v>82662.698777834506</v>
      </c>
      <c r="H272">
        <f t="shared" si="177"/>
        <v>82662.698777834506</v>
      </c>
      <c r="I272">
        <f t="shared" si="177"/>
        <v>82662.698777834506</v>
      </c>
      <c r="J272">
        <f t="shared" si="177"/>
        <v>82662.698777834506</v>
      </c>
      <c r="K272">
        <f t="shared" si="177"/>
        <v>82662.698777834506</v>
      </c>
      <c r="L272">
        <f t="shared" si="177"/>
        <v>82662.698777834506</v>
      </c>
      <c r="M272">
        <f t="shared" si="177"/>
        <v>82662.698777834506</v>
      </c>
      <c r="N272">
        <f t="shared" si="177"/>
        <v>82662.698777834506</v>
      </c>
      <c r="O272">
        <f t="shared" si="177"/>
        <v>82662.698777834506</v>
      </c>
      <c r="P272">
        <f t="shared" si="177"/>
        <v>82662.698777834506</v>
      </c>
    </row>
    <row r="277" spans="4:16" x14ac:dyDescent="0.2">
      <c r="I277" s="485" t="s">
        <v>506</v>
      </c>
      <c r="L277" s="485" t="s">
        <v>561</v>
      </c>
      <c r="O277" s="485" t="s">
        <v>601</v>
      </c>
    </row>
    <row r="278" spans="4:16" x14ac:dyDescent="0.2">
      <c r="D278" s="473"/>
      <c r="I278" s="479" t="s">
        <v>371</v>
      </c>
      <c r="J278" s="473">
        <f>I128</f>
        <v>42500</v>
      </c>
      <c r="L278" s="479" t="s">
        <v>371</v>
      </c>
      <c r="M278" s="473">
        <v>47570</v>
      </c>
      <c r="O278" s="479" t="s">
        <v>371</v>
      </c>
      <c r="P278" s="473">
        <f>M300</f>
        <v>49959</v>
      </c>
    </row>
    <row r="279" spans="4:16" x14ac:dyDescent="0.2">
      <c r="I279" s="479" t="s">
        <v>295</v>
      </c>
      <c r="J279">
        <v>46310</v>
      </c>
      <c r="L279" s="479" t="s">
        <v>295</v>
      </c>
      <c r="M279">
        <v>47603</v>
      </c>
      <c r="O279" s="479" t="s">
        <v>295</v>
      </c>
      <c r="P279">
        <v>49963</v>
      </c>
    </row>
    <row r="280" spans="4:16" x14ac:dyDescent="0.2">
      <c r="I280" s="479" t="s">
        <v>504</v>
      </c>
      <c r="J280">
        <f>(J278+J279)/2</f>
        <v>44405</v>
      </c>
      <c r="L280" s="479" t="s">
        <v>504</v>
      </c>
      <c r="M280" s="481">
        <f>(M278+M279)/2</f>
        <v>47586.5</v>
      </c>
      <c r="O280" s="479" t="s">
        <v>504</v>
      </c>
      <c r="P280" s="481">
        <f>(P278+P279)/2</f>
        <v>49961</v>
      </c>
    </row>
    <row r="281" spans="4:16" x14ac:dyDescent="0.2">
      <c r="I281" s="485" t="s">
        <v>505</v>
      </c>
      <c r="J281" s="485">
        <v>600</v>
      </c>
      <c r="L281" s="485" t="s">
        <v>565</v>
      </c>
      <c r="M281" s="485">
        <v>634</v>
      </c>
      <c r="O281" s="485" t="s">
        <v>565</v>
      </c>
      <c r="P281" s="485">
        <v>637</v>
      </c>
    </row>
    <row r="282" spans="4:16" x14ac:dyDescent="0.2">
      <c r="I282" s="479" t="s">
        <v>387</v>
      </c>
      <c r="J282" s="429">
        <f>4*J281/J280</f>
        <v>5.4047967571219456E-2</v>
      </c>
      <c r="L282" s="479" t="s">
        <v>387</v>
      </c>
      <c r="M282" s="429">
        <f>4*M281/M280</f>
        <v>5.3292425372742272E-2</v>
      </c>
      <c r="O282" s="479" t="s">
        <v>387</v>
      </c>
      <c r="P282" s="429">
        <f>4*P281/P280</f>
        <v>5.0999779828266048E-2</v>
      </c>
    </row>
    <row r="284" spans="4:16" x14ac:dyDescent="0.2">
      <c r="I284" s="485" t="s">
        <v>507</v>
      </c>
      <c r="L284" s="485" t="s">
        <v>562</v>
      </c>
      <c r="O284" s="485" t="s">
        <v>602</v>
      </c>
    </row>
    <row r="285" spans="4:16" x14ac:dyDescent="0.2">
      <c r="I285" s="479" t="s">
        <v>371</v>
      </c>
      <c r="J285">
        <f>J279</f>
        <v>46310</v>
      </c>
      <c r="L285" s="479" t="s">
        <v>371</v>
      </c>
      <c r="M285">
        <f>M279</f>
        <v>47603</v>
      </c>
      <c r="O285" s="479" t="s">
        <v>371</v>
      </c>
      <c r="P285">
        <f>P279</f>
        <v>49963</v>
      </c>
    </row>
    <row r="286" spans="4:16" x14ac:dyDescent="0.2">
      <c r="I286" s="479" t="s">
        <v>295</v>
      </c>
      <c r="J286">
        <v>48835</v>
      </c>
      <c r="L286" s="479" t="s">
        <v>295</v>
      </c>
      <c r="M286">
        <v>48692</v>
      </c>
      <c r="O286" s="479" t="s">
        <v>295</v>
      </c>
      <c r="P286">
        <v>55249</v>
      </c>
    </row>
    <row r="287" spans="4:16" x14ac:dyDescent="0.2">
      <c r="I287" s="479" t="s">
        <v>504</v>
      </c>
      <c r="J287">
        <f>(J285+J286)/2</f>
        <v>47572.5</v>
      </c>
      <c r="L287" s="479" t="s">
        <v>504</v>
      </c>
      <c r="M287">
        <f>(M285+M286)/2</f>
        <v>48147.5</v>
      </c>
      <c r="O287" s="479" t="s">
        <v>504</v>
      </c>
      <c r="P287">
        <f>(P285+P286)/2</f>
        <v>52606</v>
      </c>
    </row>
    <row r="288" spans="4:16" x14ac:dyDescent="0.2">
      <c r="I288" s="485" t="s">
        <v>505</v>
      </c>
      <c r="J288" s="485">
        <v>577</v>
      </c>
      <c r="L288" s="485" t="s">
        <v>565</v>
      </c>
      <c r="M288" s="485">
        <v>653</v>
      </c>
      <c r="O288" s="485" t="s">
        <v>565</v>
      </c>
      <c r="P288" s="485">
        <v>511</v>
      </c>
    </row>
    <row r="289" spans="9:17" x14ac:dyDescent="0.2">
      <c r="I289" s="479" t="s">
        <v>387</v>
      </c>
      <c r="J289" s="429">
        <f>4*J288/J287</f>
        <v>4.8515423826790686E-2</v>
      </c>
      <c r="L289" s="479" t="s">
        <v>387</v>
      </c>
      <c r="M289" s="429">
        <f>4*M288/M287</f>
        <v>5.4249961057168075E-2</v>
      </c>
      <c r="O289" s="479" t="s">
        <v>387</v>
      </c>
      <c r="P289" s="429">
        <f>4*P288/P287</f>
        <v>3.885488347336806E-2</v>
      </c>
    </row>
    <row r="291" spans="9:17" x14ac:dyDescent="0.2">
      <c r="I291" s="485" t="s">
        <v>508</v>
      </c>
      <c r="L291" s="485" t="s">
        <v>563</v>
      </c>
      <c r="O291" s="485" t="s">
        <v>603</v>
      </c>
    </row>
    <row r="292" spans="9:17" x14ac:dyDescent="0.2">
      <c r="I292" s="479" t="s">
        <v>371</v>
      </c>
      <c r="J292">
        <f>J286</f>
        <v>48835</v>
      </c>
      <c r="L292" s="479" t="s">
        <v>371</v>
      </c>
      <c r="M292">
        <f>M286</f>
        <v>48692</v>
      </c>
      <c r="O292" s="479" t="s">
        <v>371</v>
      </c>
      <c r="P292">
        <f>P286</f>
        <v>55249</v>
      </c>
    </row>
    <row r="293" spans="9:17" x14ac:dyDescent="0.2">
      <c r="I293" s="479" t="s">
        <v>295</v>
      </c>
      <c r="J293">
        <v>47868</v>
      </c>
      <c r="L293" s="479" t="s">
        <v>295</v>
      </c>
      <c r="M293">
        <v>48484</v>
      </c>
      <c r="O293" s="479" t="s">
        <v>295</v>
      </c>
      <c r="P293">
        <v>52635</v>
      </c>
    </row>
    <row r="294" spans="9:17" x14ac:dyDescent="0.2">
      <c r="I294" s="479" t="s">
        <v>504</v>
      </c>
      <c r="J294">
        <f>(J292+J293)/2</f>
        <v>48351.5</v>
      </c>
      <c r="L294" s="479" t="s">
        <v>504</v>
      </c>
      <c r="M294">
        <f>(M292+M293)/2</f>
        <v>48588</v>
      </c>
      <c r="O294" s="479" t="s">
        <v>504</v>
      </c>
      <c r="P294">
        <f>(P292+P293)/2</f>
        <v>53942</v>
      </c>
    </row>
    <row r="295" spans="9:17" x14ac:dyDescent="0.2">
      <c r="I295" s="485" t="s">
        <v>505</v>
      </c>
      <c r="J295" s="485">
        <v>579</v>
      </c>
      <c r="L295" s="485" t="s">
        <v>565</v>
      </c>
      <c r="M295" s="485">
        <v>647</v>
      </c>
      <c r="O295" s="485" t="s">
        <v>565</v>
      </c>
      <c r="P295" s="549">
        <v>541</v>
      </c>
      <c r="Q295" s="481"/>
    </row>
    <row r="296" spans="9:17" x14ac:dyDescent="0.2">
      <c r="I296" s="479" t="s">
        <v>387</v>
      </c>
      <c r="J296" s="429">
        <f>4*J295/J294</f>
        <v>4.7899237872661656E-2</v>
      </c>
      <c r="L296" s="479" t="s">
        <v>387</v>
      </c>
      <c r="M296" s="429">
        <f>4*M295/M294</f>
        <v>5.3264180456079689E-2</v>
      </c>
      <c r="O296" s="479" t="s">
        <v>387</v>
      </c>
      <c r="P296" s="429">
        <f>4*P295/P294</f>
        <v>4.0117162878647437E-2</v>
      </c>
    </row>
    <row r="298" spans="9:17" x14ac:dyDescent="0.2">
      <c r="I298" s="485" t="s">
        <v>509</v>
      </c>
      <c r="L298" s="485" t="s">
        <v>564</v>
      </c>
      <c r="O298" s="485" t="s">
        <v>604</v>
      </c>
    </row>
    <row r="299" spans="9:17" x14ac:dyDescent="0.2">
      <c r="I299" s="479" t="s">
        <v>371</v>
      </c>
      <c r="J299">
        <f>J293</f>
        <v>47868</v>
      </c>
      <c r="L299" s="479" t="s">
        <v>371</v>
      </c>
      <c r="M299">
        <f>M293</f>
        <v>48484</v>
      </c>
      <c r="O299" s="479" t="s">
        <v>371</v>
      </c>
      <c r="P299">
        <f>P293</f>
        <v>52635</v>
      </c>
    </row>
    <row r="300" spans="9:17" x14ac:dyDescent="0.2">
      <c r="I300" s="479" t="s">
        <v>295</v>
      </c>
      <c r="J300" s="473">
        <f>J128</f>
        <v>47570</v>
      </c>
      <c r="L300" s="479" t="s">
        <v>295</v>
      </c>
      <c r="M300" s="473">
        <v>49959</v>
      </c>
      <c r="O300" s="479" t="s">
        <v>295</v>
      </c>
      <c r="P300">
        <v>50791</v>
      </c>
    </row>
    <row r="301" spans="9:17" x14ac:dyDescent="0.2">
      <c r="I301" s="479" t="s">
        <v>504</v>
      </c>
      <c r="J301">
        <f>(J299+J300)/2</f>
        <v>47719</v>
      </c>
      <c r="L301" s="479" t="s">
        <v>504</v>
      </c>
      <c r="M301">
        <f>(M299+M300)/2</f>
        <v>49221.5</v>
      </c>
      <c r="O301" s="479" t="s">
        <v>504</v>
      </c>
      <c r="P301">
        <f>(P299+P300)/2</f>
        <v>51713</v>
      </c>
    </row>
    <row r="302" spans="9:17" x14ac:dyDescent="0.2">
      <c r="I302" s="485" t="s">
        <v>505</v>
      </c>
      <c r="J302" s="485">
        <v>607</v>
      </c>
      <c r="L302" s="485" t="s">
        <v>565</v>
      </c>
      <c r="M302" s="485">
        <v>562</v>
      </c>
      <c r="O302" s="485" t="s">
        <v>565</v>
      </c>
      <c r="P302" s="549">
        <v>509</v>
      </c>
      <c r="Q302" s="481">
        <f>P302+P295+P288+P281</f>
        <v>2198</v>
      </c>
    </row>
    <row r="303" spans="9:17" x14ac:dyDescent="0.2">
      <c r="I303" s="479" t="s">
        <v>387</v>
      </c>
      <c r="J303" s="429">
        <f>4*J302/J301</f>
        <v>5.0881200360443427E-2</v>
      </c>
      <c r="L303" s="479" t="s">
        <v>387</v>
      </c>
      <c r="M303" s="429">
        <f>4*M302/M301</f>
        <v>4.5671099011610782E-2</v>
      </c>
      <c r="O303" s="479" t="s">
        <v>387</v>
      </c>
      <c r="P303" s="429">
        <f>4*P302/P301</f>
        <v>3.9371144586467621E-2</v>
      </c>
    </row>
    <row r="305" spans="2:16" x14ac:dyDescent="0.2">
      <c r="J305" s="429">
        <f>(J282+J289+J296+J303)/4</f>
        <v>5.0335957407778811E-2</v>
      </c>
      <c r="M305" s="429">
        <f>(M282+M289+M296+M303+P282+P289)/6</f>
        <v>4.938872153320583E-2</v>
      </c>
    </row>
    <row r="312" spans="2:16" x14ac:dyDescent="0.2">
      <c r="J312" s="485" t="str">
        <f t="shared" ref="J312:P312" si="178">J2</f>
        <v>2015A</v>
      </c>
      <c r="K312" s="485" t="str">
        <f t="shared" si="178"/>
        <v>2016A</v>
      </c>
      <c r="L312" s="485" t="str">
        <f t="shared" si="178"/>
        <v>2017A</v>
      </c>
      <c r="M312" s="485" t="str">
        <f t="shared" si="178"/>
        <v>2018E</v>
      </c>
      <c r="N312" s="485" t="str">
        <f t="shared" si="178"/>
        <v>2019E</v>
      </c>
      <c r="O312" s="485" t="str">
        <f t="shared" si="178"/>
        <v>2020E</v>
      </c>
      <c r="P312" s="485" t="str">
        <f t="shared" si="178"/>
        <v>2021E</v>
      </c>
    </row>
    <row r="313" spans="2:16" x14ac:dyDescent="0.2">
      <c r="B313" s="479" t="s">
        <v>567</v>
      </c>
      <c r="J313" s="473">
        <f>Interims!BC48-Interims!BC36</f>
        <v>13253.539818172703</v>
      </c>
      <c r="K313" s="473">
        <f>Interims!BI48-Interims!BI36</f>
        <v>12859.953375877143</v>
      </c>
      <c r="L313" s="473">
        <f>Interims!BO48-Interims!BO36</f>
        <v>12913.652141607921</v>
      </c>
      <c r="M313" s="473">
        <f ca="1">Interims!BU48-Interims!BU36</f>
        <v>13102.652051248708</v>
      </c>
      <c r="N313" s="473">
        <f ca="1">Interims!CA48-Interims!CA36</f>
        <v>13498.628804845224</v>
      </c>
      <c r="O313" s="473">
        <f ca="1">Interims!CG48-Interims!CG36</f>
        <v>13852.035185520446</v>
      </c>
      <c r="P313" s="473">
        <f ca="1">Interims!CM48-Interims!CM36</f>
        <v>14200.344062111888</v>
      </c>
    </row>
    <row r="314" spans="2:16" x14ac:dyDescent="0.2">
      <c r="B314" s="479" t="s">
        <v>568</v>
      </c>
      <c r="J314" s="473">
        <f>Interims!BC72-Interims!BC60</f>
        <v>6585.7629994425324</v>
      </c>
      <c r="K314" s="473">
        <f>Interims!BI72-Interims!BI60</f>
        <v>6780.1078500000021</v>
      </c>
      <c r="L314" s="473">
        <f>Interims!BO72-Interims!BO60</f>
        <v>7563.2150499999989</v>
      </c>
      <c r="M314" s="473">
        <f ca="1">Interims!BU72-Interims!BU60</f>
        <v>7628.9064168981367</v>
      </c>
      <c r="N314" s="473">
        <f ca="1">Interims!CA72-Interims!CA60</f>
        <v>7557.4714210927241</v>
      </c>
      <c r="O314" s="473">
        <f ca="1">Interims!CG72-Interims!CG60</f>
        <v>7485.0444338704501</v>
      </c>
      <c r="P314" s="473">
        <f ca="1">Interims!CM72-Interims!CM60</f>
        <v>7425.846872587731</v>
      </c>
    </row>
    <row r="315" spans="2:16" x14ac:dyDescent="0.2">
      <c r="B315" s="485" t="s">
        <v>569</v>
      </c>
      <c r="C315" s="485"/>
      <c r="D315" s="485"/>
      <c r="E315" s="485"/>
      <c r="F315" s="485"/>
      <c r="G315" s="485"/>
      <c r="H315" s="485"/>
      <c r="I315" s="485"/>
      <c r="J315" s="545">
        <f t="shared" ref="J315:P315" si="179">J313-J314</f>
        <v>6667.7768187301708</v>
      </c>
      <c r="K315" s="545">
        <f t="shared" si="179"/>
        <v>6079.845525877141</v>
      </c>
      <c r="L315" s="545">
        <f t="shared" si="179"/>
        <v>5350.4370916079224</v>
      </c>
      <c r="M315" s="545">
        <f t="shared" ca="1" si="179"/>
        <v>5473.745634350571</v>
      </c>
      <c r="N315" s="545">
        <f t="shared" ca="1" si="179"/>
        <v>5941.1573837525002</v>
      </c>
      <c r="O315" s="545">
        <f t="shared" ca="1" si="179"/>
        <v>6366.9907516499961</v>
      </c>
      <c r="P315" s="545">
        <f t="shared" ca="1" si="179"/>
        <v>6774.497189524157</v>
      </c>
    </row>
    <row r="317" spans="2:16" x14ac:dyDescent="0.2">
      <c r="B317" s="479" t="s">
        <v>576</v>
      </c>
      <c r="I317" s="473"/>
      <c r="J317" s="473">
        <f t="shared" ref="J317:P317" si="180">J156</f>
        <v>-2499</v>
      </c>
      <c r="K317" s="473">
        <f t="shared" si="180"/>
        <v>-2583</v>
      </c>
      <c r="L317" s="473">
        <f t="shared" si="180"/>
        <v>-2509</v>
      </c>
      <c r="M317" s="473">
        <f t="shared" ca="1" si="180"/>
        <v>-2076.4191786583619</v>
      </c>
      <c r="N317" s="473">
        <f t="shared" ca="1" si="180"/>
        <v>-1982.6037461169205</v>
      </c>
      <c r="O317" s="473">
        <f t="shared" ca="1" si="180"/>
        <v>-1823.623380511365</v>
      </c>
      <c r="P317" s="473">
        <f t="shared" ca="1" si="180"/>
        <v>-1628.428299493188</v>
      </c>
    </row>
    <row r="318" spans="2:16" x14ac:dyDescent="0.2">
      <c r="B318" s="479" t="s">
        <v>577</v>
      </c>
      <c r="J318" s="481">
        <f>'US Metro PF'!AL274/-'US Metro PF'!AL304</f>
        <v>-1166.0971227858222</v>
      </c>
      <c r="K318" s="481">
        <f>'US Metro PF'!AR274/-'US Metro PF'!AR304</f>
        <v>-1579.6988811972458</v>
      </c>
      <c r="L318" s="481">
        <f>-'US Metro PF'!AX274/'US Metro PF'!AX304</f>
        <v>-1195.0225178164167</v>
      </c>
      <c r="M318" s="481">
        <f ca="1">-'US Metro PF'!BD274/'US Metro PF'!BD304</f>
        <v>-1233.9155503838667</v>
      </c>
      <c r="N318" s="481">
        <f ca="1">-'US Metro PF'!BJ274/'US Metro PF'!BJ304</f>
        <v>-1193.4309715208394</v>
      </c>
      <c r="O318" s="481">
        <f ca="1">-'US Metro PF'!BP274/'US Metro PF'!BP304</f>
        <v>-1227.9202939268916</v>
      </c>
      <c r="P318" s="481">
        <f ca="1">-'US Metro PF'!BV274/'US Metro PF'!BV304</f>
        <v>-1272.1525230602374</v>
      </c>
    </row>
    <row r="319" spans="2:16" x14ac:dyDescent="0.2">
      <c r="B319" s="479" t="s">
        <v>580</v>
      </c>
      <c r="J319" s="481">
        <f>0.5*411/'US Metro PF'!AL304</f>
        <v>185.18775790764025</v>
      </c>
      <c r="K319" s="481">
        <f>0.5*312/'US Metro PF'!AR304</f>
        <v>140.97999168579537</v>
      </c>
      <c r="L319" s="481">
        <f>0.5*300/1.15</f>
        <v>130.43478260869566</v>
      </c>
      <c r="M319" s="481">
        <f>0.5*300/1.22</f>
        <v>122.95081967213115</v>
      </c>
      <c r="N319" s="481">
        <f>0.5*300/1.22</f>
        <v>122.95081967213115</v>
      </c>
      <c r="O319" s="481">
        <f>0.5*300/1.22</f>
        <v>122.95081967213115</v>
      </c>
      <c r="P319" s="481">
        <f>0.5*300/1.22</f>
        <v>122.95081967213115</v>
      </c>
    </row>
    <row r="320" spans="2:16" x14ac:dyDescent="0.2">
      <c r="B320" s="485" t="s">
        <v>570</v>
      </c>
      <c r="J320" s="545">
        <f t="shared" ref="J320:P320" si="181">J317-J318-J319</f>
        <v>-1518.090635121818</v>
      </c>
      <c r="K320" s="545">
        <f t="shared" si="181"/>
        <v>-1144.2811104885495</v>
      </c>
      <c r="L320" s="545">
        <f t="shared" si="181"/>
        <v>-1444.4122647922791</v>
      </c>
      <c r="M320" s="545">
        <f t="shared" ca="1" si="181"/>
        <v>-965.45444794662637</v>
      </c>
      <c r="N320" s="545">
        <f t="shared" ca="1" si="181"/>
        <v>-912.12359426821229</v>
      </c>
      <c r="O320" s="545">
        <f t="shared" ca="1" si="181"/>
        <v>-718.6539062566045</v>
      </c>
      <c r="P320" s="545">
        <f t="shared" ca="1" si="181"/>
        <v>-479.22659610508174</v>
      </c>
    </row>
    <row r="324" spans="2:16" x14ac:dyDescent="0.2">
      <c r="B324" s="479" t="s">
        <v>571</v>
      </c>
      <c r="J324" s="473">
        <f t="shared" ref="J324:P324" si="182">J34</f>
        <v>-1927</v>
      </c>
      <c r="K324" s="473">
        <f t="shared" si="182"/>
        <v>-1443</v>
      </c>
      <c r="L324" s="473">
        <v>0</v>
      </c>
      <c r="M324" s="473">
        <f t="shared" ca="1" si="182"/>
        <v>-2318.8172639805584</v>
      </c>
      <c r="N324" s="473">
        <f t="shared" ca="1" si="182"/>
        <v>-2694.0066137343133</v>
      </c>
      <c r="O324" s="473">
        <f t="shared" ca="1" si="182"/>
        <v>-3081.633312749434</v>
      </c>
      <c r="P324" s="473">
        <f t="shared" ca="1" si="182"/>
        <v>-3435.5606169112334</v>
      </c>
    </row>
    <row r="325" spans="2:16" x14ac:dyDescent="0.2">
      <c r="B325" s="479" t="s">
        <v>572</v>
      </c>
      <c r="J325" s="481">
        <f ca="1">-'US Metro PF'!AL236*0.35/'US Metro PF'!AL304</f>
        <v>-497.47209786183078</v>
      </c>
      <c r="K325" s="481">
        <f>-'US Metro PF'!AR236*0.35/'US Metro PF'!AR304</f>
        <v>-847.0547833788205</v>
      </c>
      <c r="L325" s="481">
        <f>-'US Metro PF'!AX236*0.35/'US Metro PF'!AX304</f>
        <v>-983.71515073377418</v>
      </c>
      <c r="M325" s="481">
        <f ca="1">-'US Metro PF'!BD236*0.35/'US Metro PF'!BD304</f>
        <v>-1292.3208009265088</v>
      </c>
      <c r="N325" s="481">
        <f ca="1">-'US Metro PF'!BJ236*0.35/'US Metro PF'!BJ304</f>
        <v>-1469.7816157703824</v>
      </c>
      <c r="O325" s="481">
        <f ca="1">-'US Metro PF'!BP236*0.35/'US Metro PF'!BP304</f>
        <v>-1626.4013277751267</v>
      </c>
      <c r="P325" s="481">
        <f ca="1">-'US Metro PF'!BV236*0.35/'US Metro PF'!BV304</f>
        <v>-1777.0376847711327</v>
      </c>
    </row>
    <row r="326" spans="2:16" x14ac:dyDescent="0.2">
      <c r="B326" s="485" t="s">
        <v>573</v>
      </c>
      <c r="J326" s="545">
        <f t="shared" ref="J326:P326" ca="1" si="183">J324-J325</f>
        <v>-1429.5279021381693</v>
      </c>
      <c r="K326" s="545">
        <f t="shared" si="183"/>
        <v>-595.9452166211795</v>
      </c>
      <c r="L326" s="545">
        <f>L325</f>
        <v>-983.71515073377418</v>
      </c>
      <c r="M326" s="545">
        <f t="shared" ca="1" si="183"/>
        <v>-1026.4964630540496</v>
      </c>
      <c r="N326" s="545">
        <f t="shared" ca="1" si="183"/>
        <v>-1224.2249979639309</v>
      </c>
      <c r="O326" s="545">
        <f t="shared" ca="1" si="183"/>
        <v>-1455.2319849743074</v>
      </c>
      <c r="P326" s="545">
        <f t="shared" ca="1" si="183"/>
        <v>-1658.5229321401007</v>
      </c>
    </row>
    <row r="329" spans="2:16" x14ac:dyDescent="0.2">
      <c r="B329" s="479" t="s">
        <v>578</v>
      </c>
      <c r="J329" s="473">
        <f t="shared" ref="J329:P329" si="184">J150</f>
        <v>-695</v>
      </c>
      <c r="K329" s="473">
        <f t="shared" si="184"/>
        <v>-527</v>
      </c>
      <c r="L329" s="473">
        <f t="shared" si="184"/>
        <v>-634</v>
      </c>
      <c r="M329" s="473">
        <f t="shared" si="184"/>
        <v>-675</v>
      </c>
      <c r="N329" s="473">
        <f t="shared" si="184"/>
        <v>-750</v>
      </c>
      <c r="O329" s="473">
        <f t="shared" ca="1" si="184"/>
        <v>-857.91362678147152</v>
      </c>
      <c r="P329" s="473">
        <f t="shared" ca="1" si="184"/>
        <v>-956.44548515482597</v>
      </c>
    </row>
    <row r="330" spans="2:16" x14ac:dyDescent="0.2">
      <c r="B330" s="479" t="s">
        <v>575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 s="481">
        <f>-'US Metro PF'!BV276/'US Metro PF'!BV304</f>
        <v>0</v>
      </c>
    </row>
    <row r="331" spans="2:16" x14ac:dyDescent="0.2">
      <c r="B331" s="485" t="s">
        <v>574</v>
      </c>
      <c r="J331" s="545">
        <f t="shared" ref="J331:P331" si="185">J329-J330</f>
        <v>-695</v>
      </c>
      <c r="K331" s="545">
        <f t="shared" si="185"/>
        <v>-527</v>
      </c>
      <c r="L331" s="545">
        <f t="shared" si="185"/>
        <v>-634</v>
      </c>
      <c r="M331" s="545">
        <f t="shared" si="185"/>
        <v>-675</v>
      </c>
      <c r="N331" s="545">
        <f t="shared" si="185"/>
        <v>-750</v>
      </c>
      <c r="O331" s="545">
        <f t="shared" ca="1" si="185"/>
        <v>-857.91362678147152</v>
      </c>
      <c r="P331" s="545">
        <f t="shared" ca="1" si="185"/>
        <v>-956.44548515482597</v>
      </c>
    </row>
    <row r="333" spans="2:16" x14ac:dyDescent="0.2">
      <c r="B333" s="485" t="s">
        <v>579</v>
      </c>
      <c r="J333" s="549">
        <f t="shared" ref="J333:P333" ca="1" si="186">(J326+J331)/2</f>
        <v>-1062.2639510690847</v>
      </c>
      <c r="K333" s="549">
        <f t="shared" si="186"/>
        <v>-561.47260831058975</v>
      </c>
      <c r="L333" s="549">
        <f t="shared" si="186"/>
        <v>-808.85757536688709</v>
      </c>
      <c r="M333" s="549">
        <f t="shared" ca="1" si="186"/>
        <v>-850.74823152702481</v>
      </c>
      <c r="N333" s="549">
        <f t="shared" ca="1" si="186"/>
        <v>-987.11249898196547</v>
      </c>
      <c r="O333" s="549">
        <f t="shared" ca="1" si="186"/>
        <v>-1156.5728058778896</v>
      </c>
      <c r="P333" s="549">
        <f t="shared" ca="1" si="186"/>
        <v>-1307.4842086474632</v>
      </c>
    </row>
  </sheetData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"/>
  <sheetViews>
    <sheetView workbookViewId="0"/>
  </sheetViews>
  <sheetFormatPr defaultRowHeight="12.75" x14ac:dyDescent="0.2"/>
  <sheetData>
    <row r="1" spans="1:14" x14ac:dyDescent="0.2">
      <c r="A1" t="s">
        <v>453</v>
      </c>
    </row>
    <row r="2" spans="1:14" x14ac:dyDescent="0.2">
      <c r="A2" s="495" t="s">
        <v>432</v>
      </c>
      <c r="B2" s="495" t="s">
        <v>421</v>
      </c>
      <c r="C2" s="495" t="s">
        <v>430</v>
      </c>
      <c r="D2" s="495" t="s">
        <v>617</v>
      </c>
      <c r="E2" s="495" t="s">
        <v>452</v>
      </c>
      <c r="F2" s="495" t="s">
        <v>448</v>
      </c>
      <c r="G2" s="495" t="s">
        <v>451</v>
      </c>
      <c r="H2" s="495" t="s">
        <v>454</v>
      </c>
      <c r="I2" s="495" t="s">
        <v>431</v>
      </c>
      <c r="J2" s="495" t="s">
        <v>433</v>
      </c>
      <c r="K2" s="495" t="s">
        <v>450</v>
      </c>
      <c r="L2" s="495" t="s">
        <v>455</v>
      </c>
      <c r="M2" s="495" t="s">
        <v>434</v>
      </c>
      <c r="N2" s="495" t="s">
        <v>618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2:W280"/>
  <sheetViews>
    <sheetView showGridLines="0" topLeftCell="A7" zoomScale="80" zoomScaleNormal="80" workbookViewId="0">
      <selection activeCell="A7" sqref="A1:XFD1048576"/>
    </sheetView>
  </sheetViews>
  <sheetFormatPr defaultRowHeight="15" x14ac:dyDescent="0.3"/>
  <cols>
    <col min="1" max="1" width="4" style="1" customWidth="1"/>
    <col min="2" max="2" width="9.28515625" style="1" customWidth="1"/>
    <col min="3" max="3" width="9.140625" style="1"/>
    <col min="4" max="4" width="21.42578125" style="1" customWidth="1"/>
    <col min="5" max="18" width="9.140625" style="2"/>
    <col min="19" max="19" width="9.140625" style="1"/>
    <col min="20" max="20" width="4" style="1" customWidth="1"/>
    <col min="21" max="21" width="20.140625" style="1" customWidth="1"/>
    <col min="22" max="22" width="9.140625" style="2"/>
    <col min="23" max="16384" width="9.140625" style="1"/>
  </cols>
  <sheetData>
    <row r="2" spans="1:22" x14ac:dyDescent="0.3">
      <c r="B2" s="13" t="s">
        <v>125</v>
      </c>
      <c r="E2" s="3">
        <v>2010</v>
      </c>
      <c r="F2" s="3">
        <f t="shared" ref="F2:M2" si="0">E2+1</f>
        <v>2011</v>
      </c>
      <c r="G2" s="3">
        <f t="shared" si="0"/>
        <v>2012</v>
      </c>
      <c r="H2" s="3">
        <f t="shared" si="0"/>
        <v>2013</v>
      </c>
      <c r="I2" s="3">
        <f t="shared" si="0"/>
        <v>2014</v>
      </c>
      <c r="J2" s="3">
        <f t="shared" si="0"/>
        <v>2015</v>
      </c>
      <c r="K2" s="3">
        <f t="shared" si="0"/>
        <v>2016</v>
      </c>
      <c r="L2" s="3">
        <f t="shared" si="0"/>
        <v>2017</v>
      </c>
      <c r="M2" s="3">
        <f t="shared" si="0"/>
        <v>2018</v>
      </c>
      <c r="N2" s="3">
        <v>2019</v>
      </c>
      <c r="O2" s="3">
        <v>2020</v>
      </c>
      <c r="P2" s="3">
        <v>2021</v>
      </c>
      <c r="Q2" s="3">
        <v>2022</v>
      </c>
      <c r="R2" s="3">
        <v>2023</v>
      </c>
      <c r="U2" s="1" t="s">
        <v>113</v>
      </c>
      <c r="V2" s="357">
        <v>7.0000000000000007E-2</v>
      </c>
    </row>
    <row r="3" spans="1:22" x14ac:dyDescent="0.3">
      <c r="D3" s="1" t="s">
        <v>82</v>
      </c>
      <c r="E3" s="98">
        <f>'TMO Germany'!Y46</f>
        <v>3559</v>
      </c>
      <c r="F3" s="98">
        <f>'TMO Germany'!AE46</f>
        <v>3506.0033528181375</v>
      </c>
      <c r="G3" s="98">
        <f>'TMO Germany'!AK46</f>
        <v>3266.70020635522</v>
      </c>
      <c r="H3" s="98">
        <f>'TMO Germany'!AQ46</f>
        <v>3269.7659465698639</v>
      </c>
      <c r="I3" s="98">
        <f>'TMO Germany'!AW46</f>
        <v>3302.5636990092398</v>
      </c>
      <c r="J3" s="98">
        <f>'TMO Germany'!BC46</f>
        <v>3374.8101299519667</v>
      </c>
      <c r="K3" s="98">
        <f>'TMO Germany'!BI46</f>
        <v>3328.953375877144</v>
      </c>
      <c r="L3" s="98">
        <f>'TMO Germany'!BO46</f>
        <v>3452.652141607924</v>
      </c>
      <c r="M3" s="98">
        <f>'TMO Germany'!BU46</f>
        <v>3586.2990067751348</v>
      </c>
      <c r="N3" s="98">
        <f>'TMO Germany'!CA46</f>
        <v>3692.0984412938137</v>
      </c>
      <c r="O3" s="98">
        <f>'TMO Germany'!CG46</f>
        <v>3786.2146100849459</v>
      </c>
      <c r="P3" s="98">
        <f>'TMO Germany'!CM46</f>
        <v>3878.9320205336553</v>
      </c>
      <c r="Q3" s="98">
        <f>'TMO Germany'!CS46</f>
        <v>3970.024837119302</v>
      </c>
      <c r="R3" s="98">
        <f>'TMO Germany'!CY46</f>
        <v>4043.7128225959373</v>
      </c>
      <c r="U3" s="1" t="s">
        <v>114</v>
      </c>
      <c r="V3" s="357">
        <v>0.02</v>
      </c>
    </row>
    <row r="4" spans="1:22" x14ac:dyDescent="0.3">
      <c r="D4" s="1" t="s">
        <v>90</v>
      </c>
      <c r="E4" s="98">
        <f>'TMO Germany'!Y52</f>
        <v>581</v>
      </c>
      <c r="F4" s="98">
        <f>'TMO Germany'!AE52</f>
        <v>730.64299999999992</v>
      </c>
      <c r="G4" s="98">
        <f>'TMO Germany'!AK52</f>
        <v>716.60099999999989</v>
      </c>
      <c r="H4" s="98">
        <f>'TMO Germany'!AQ52</f>
        <v>729.779</v>
      </c>
      <c r="I4" s="98">
        <f>'TMO Germany'!AW52</f>
        <v>784.52</v>
      </c>
      <c r="J4" s="98">
        <f>'TMO Germany'!BC52</f>
        <v>790.05199999999991</v>
      </c>
      <c r="K4" s="98">
        <f>'TMO Germany'!BI52</f>
        <v>813.21</v>
      </c>
      <c r="L4" s="98">
        <f>'TMO Germany'!BO52</f>
        <v>809.06750000000011</v>
      </c>
      <c r="M4" s="98">
        <f>'TMO Germany'!BU52</f>
        <v>888.34599594187193</v>
      </c>
      <c r="N4" s="98">
        <f>'TMO Germany'!CA52</f>
        <v>880.4878837079807</v>
      </c>
      <c r="O4" s="98">
        <f>'TMO Germany'!CG52</f>
        <v>865.56646303772254</v>
      </c>
      <c r="P4" s="98">
        <f>'TMO Germany'!CM52</f>
        <v>843.22759799138407</v>
      </c>
      <c r="Q4" s="98">
        <f>'TMO Germany'!CS52</f>
        <v>818.88289749152557</v>
      </c>
      <c r="R4" s="98">
        <f>'TMO Germany'!CY52</f>
        <v>796.18880345870321</v>
      </c>
      <c r="U4" s="1" t="s">
        <v>115</v>
      </c>
      <c r="V4" s="357">
        <v>0.32500000000000001</v>
      </c>
    </row>
    <row r="5" spans="1:22" x14ac:dyDescent="0.3">
      <c r="D5" s="1" t="s">
        <v>38</v>
      </c>
      <c r="E5" s="98">
        <f t="shared" ref="E5:R5" si="1">E3-E4</f>
        <v>2978</v>
      </c>
      <c r="F5" s="98">
        <f t="shared" si="1"/>
        <v>2775.3603528181375</v>
      </c>
      <c r="G5" s="98">
        <f t="shared" si="1"/>
        <v>2550.0992063552203</v>
      </c>
      <c r="H5" s="98">
        <f t="shared" si="1"/>
        <v>2539.9869465698639</v>
      </c>
      <c r="I5" s="98">
        <f t="shared" si="1"/>
        <v>2518.0436990092398</v>
      </c>
      <c r="J5" s="98">
        <f t="shared" si="1"/>
        <v>2584.758129951967</v>
      </c>
      <c r="K5" s="98">
        <f t="shared" si="1"/>
        <v>2515.743375877144</v>
      </c>
      <c r="L5" s="98">
        <f t="shared" si="1"/>
        <v>2643.5846416079239</v>
      </c>
      <c r="M5" s="98">
        <f t="shared" si="1"/>
        <v>2697.9530108332629</v>
      </c>
      <c r="N5" s="98">
        <f t="shared" si="1"/>
        <v>2811.6105575858328</v>
      </c>
      <c r="O5" s="98">
        <f t="shared" si="1"/>
        <v>2920.6481470472236</v>
      </c>
      <c r="P5" s="98">
        <f t="shared" si="1"/>
        <v>3035.7044225422715</v>
      </c>
      <c r="Q5" s="98">
        <f t="shared" si="1"/>
        <v>3151.1419396277765</v>
      </c>
      <c r="R5" s="98">
        <f t="shared" si="1"/>
        <v>3247.5240191372341</v>
      </c>
    </row>
    <row r="6" spans="1:22" x14ac:dyDescent="0.3">
      <c r="D6" s="1" t="s">
        <v>116</v>
      </c>
      <c r="E6" s="98">
        <f t="shared" ref="E6:R6" si="2">E5*(1-$V4)</f>
        <v>2010.15</v>
      </c>
      <c r="F6" s="98">
        <f t="shared" si="2"/>
        <v>1873.3682381522428</v>
      </c>
      <c r="G6" s="98">
        <f t="shared" si="2"/>
        <v>1721.3169642897738</v>
      </c>
      <c r="H6" s="98">
        <f t="shared" si="2"/>
        <v>1714.4911889346583</v>
      </c>
      <c r="I6" s="98">
        <f t="shared" si="2"/>
        <v>1699.679496831237</v>
      </c>
      <c r="J6" s="98">
        <f t="shared" si="2"/>
        <v>1744.7117377175778</v>
      </c>
      <c r="K6" s="98">
        <f t="shared" si="2"/>
        <v>1698.1267787170723</v>
      </c>
      <c r="L6" s="98">
        <f t="shared" si="2"/>
        <v>1784.4196330853488</v>
      </c>
      <c r="M6" s="98">
        <f t="shared" si="2"/>
        <v>1821.1182823124525</v>
      </c>
      <c r="N6" s="98">
        <f t="shared" si="2"/>
        <v>1897.8371263704373</v>
      </c>
      <c r="O6" s="98">
        <f t="shared" si="2"/>
        <v>1971.437499256876</v>
      </c>
      <c r="P6" s="98">
        <f t="shared" si="2"/>
        <v>2049.1004852160336</v>
      </c>
      <c r="Q6" s="98">
        <f t="shared" si="2"/>
        <v>2127.0208092487492</v>
      </c>
      <c r="R6" s="98">
        <f t="shared" si="2"/>
        <v>2192.0787129176333</v>
      </c>
    </row>
    <row r="7" spans="1:22" x14ac:dyDescent="0.3">
      <c r="E7" s="98"/>
      <c r="F7" s="98"/>
      <c r="G7" s="98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</row>
    <row r="8" spans="1:22" x14ac:dyDescent="0.3">
      <c r="D8" s="1" t="s">
        <v>117</v>
      </c>
      <c r="N8" s="2">
        <f t="shared" ref="N8:R8" si="3">M8+1</f>
        <v>1</v>
      </c>
      <c r="O8" s="2">
        <f t="shared" si="3"/>
        <v>2</v>
      </c>
      <c r="P8" s="2">
        <f t="shared" si="3"/>
        <v>3</v>
      </c>
      <c r="Q8" s="2">
        <f t="shared" si="3"/>
        <v>4</v>
      </c>
      <c r="R8" s="2">
        <f t="shared" si="3"/>
        <v>5</v>
      </c>
      <c r="U8" s="1" t="s">
        <v>118</v>
      </c>
      <c r="V8" s="98">
        <f>J9+K9+L9+M9+N9+O9+P9+Q9+R9</f>
        <v>8353.9016131464014</v>
      </c>
    </row>
    <row r="9" spans="1:22" x14ac:dyDescent="0.3">
      <c r="D9" s="1" t="s">
        <v>119</v>
      </c>
      <c r="F9" s="98"/>
      <c r="G9" s="98"/>
      <c r="H9" s="98"/>
      <c r="I9" s="98"/>
      <c r="J9" s="98"/>
      <c r="K9" s="98"/>
      <c r="L9" s="98"/>
      <c r="M9" s="98"/>
      <c r="N9" s="98">
        <f t="shared" ref="N9:R9" si="4">N6/(1+$V$2)^(N8)</f>
        <v>1773.6795573555487</v>
      </c>
      <c r="O9" s="98">
        <f t="shared" si="4"/>
        <v>1721.9298622210463</v>
      </c>
      <c r="P9" s="98">
        <f t="shared" si="4"/>
        <v>1672.6763756178627</v>
      </c>
      <c r="Q9" s="98">
        <f t="shared" si="4"/>
        <v>1622.6939913013232</v>
      </c>
      <c r="R9" s="98">
        <f t="shared" si="4"/>
        <v>1562.9218266506205</v>
      </c>
      <c r="S9" s="316">
        <f>(R6*(1+V3))/(V2-V3)</f>
        <v>44718.405743519725</v>
      </c>
      <c r="T9" s="316"/>
      <c r="U9" s="1" t="s">
        <v>120</v>
      </c>
      <c r="V9" s="98">
        <f>(S9)/((1+V2)^(R8+1))</f>
        <v>29797.761928666041</v>
      </c>
    </row>
    <row r="10" spans="1:22" x14ac:dyDescent="0.3">
      <c r="F10" s="356"/>
      <c r="U10" s="13" t="s">
        <v>121</v>
      </c>
      <c r="V10" s="352">
        <f>V8+V9</f>
        <v>38151.663541812442</v>
      </c>
    </row>
    <row r="11" spans="1:22" x14ac:dyDescent="0.3">
      <c r="D11" s="1" t="s">
        <v>122</v>
      </c>
      <c r="E11" s="400"/>
      <c r="F11" s="400"/>
      <c r="G11" s="400"/>
      <c r="H11" s="400"/>
      <c r="I11" s="400"/>
      <c r="J11" s="400"/>
      <c r="K11" s="400"/>
      <c r="L11" s="400">
        <f>$V10/L3</f>
        <v>11.049958691768163</v>
      </c>
      <c r="M11" s="400">
        <f>$V10/M3</f>
        <v>10.638171404486185</v>
      </c>
      <c r="N11" s="400">
        <f>$V10/N3</f>
        <v>10.333327821140934</v>
      </c>
    </row>
    <row r="12" spans="1:22" x14ac:dyDescent="0.3">
      <c r="D12" s="1" t="s">
        <v>123</v>
      </c>
      <c r="E12" s="400"/>
      <c r="F12" s="400"/>
      <c r="G12" s="400"/>
      <c r="H12" s="400"/>
      <c r="I12" s="400"/>
      <c r="J12" s="400"/>
      <c r="K12" s="400"/>
      <c r="L12" s="400">
        <f>$V10/(L3-L4)</f>
        <v>14.431791946940356</v>
      </c>
      <c r="M12" s="400">
        <f>$V10/(M3-M4)</f>
        <v>14.140966647165326</v>
      </c>
      <c r="N12" s="400">
        <f>$V10/(N3-N4)</f>
        <v>13.569327174020525</v>
      </c>
    </row>
    <row r="13" spans="1:22" x14ac:dyDescent="0.3">
      <c r="D13" s="1" t="s">
        <v>124</v>
      </c>
      <c r="E13" s="400"/>
      <c r="F13" s="400"/>
      <c r="G13" s="400"/>
      <c r="H13" s="400"/>
      <c r="I13" s="400"/>
      <c r="J13" s="400"/>
      <c r="K13" s="400"/>
      <c r="L13" s="400">
        <f>$V10/((1-$V4)*(L3-L4))</f>
        <v>21.38043251398571</v>
      </c>
      <c r="M13" s="400">
        <f>$V10/((1-$V4)*(M3-M4))</f>
        <v>20.949580218022707</v>
      </c>
      <c r="N13" s="400">
        <f>$V10/((1-$V4)*(N3-N4))</f>
        <v>20.102706924474852</v>
      </c>
    </row>
    <row r="14" spans="1:22" x14ac:dyDescent="0.3">
      <c r="B14" s="13"/>
      <c r="G14" s="98"/>
      <c r="H14" s="98"/>
      <c r="I14" s="98"/>
      <c r="J14" s="98"/>
      <c r="K14" s="98"/>
      <c r="L14" s="98">
        <f>L5-L6</f>
        <v>859.16500852257514</v>
      </c>
      <c r="M14" s="98">
        <f>M5-M6</f>
        <v>876.83472852081036</v>
      </c>
      <c r="N14" s="98">
        <f>N5-N6</f>
        <v>913.77343121539548</v>
      </c>
    </row>
    <row r="15" spans="1:22" x14ac:dyDescent="0.3">
      <c r="A15" s="401"/>
      <c r="B15" s="402"/>
      <c r="C15" s="401"/>
      <c r="D15" s="401"/>
      <c r="E15" s="403"/>
      <c r="F15" s="403"/>
      <c r="G15" s="403"/>
      <c r="H15" s="403"/>
      <c r="I15" s="403"/>
      <c r="J15" s="403"/>
      <c r="K15" s="403"/>
      <c r="L15" s="403"/>
      <c r="M15" s="403"/>
      <c r="N15" s="403"/>
      <c r="O15" s="403"/>
      <c r="P15" s="403"/>
      <c r="Q15" s="403"/>
      <c r="R15" s="403"/>
      <c r="S15" s="401"/>
      <c r="T15" s="401"/>
      <c r="U15" s="401"/>
      <c r="V15" s="403"/>
    </row>
    <row r="16" spans="1:22" x14ac:dyDescent="0.3">
      <c r="B16" s="13"/>
    </row>
    <row r="17" spans="1:22" x14ac:dyDescent="0.3">
      <c r="B17" s="13" t="s">
        <v>126</v>
      </c>
      <c r="E17" s="3">
        <v>2010</v>
      </c>
      <c r="F17" s="3">
        <f t="shared" ref="F17:M17" si="5">E17+1</f>
        <v>2011</v>
      </c>
      <c r="G17" s="3">
        <f t="shared" si="5"/>
        <v>2012</v>
      </c>
      <c r="H17" s="3">
        <f t="shared" si="5"/>
        <v>2013</v>
      </c>
      <c r="I17" s="3">
        <f t="shared" si="5"/>
        <v>2014</v>
      </c>
      <c r="J17" s="3">
        <f t="shared" si="5"/>
        <v>2015</v>
      </c>
      <c r="K17" s="3">
        <f t="shared" si="5"/>
        <v>2016</v>
      </c>
      <c r="L17" s="3">
        <f t="shared" si="5"/>
        <v>2017</v>
      </c>
      <c r="M17" s="3">
        <f t="shared" si="5"/>
        <v>2018</v>
      </c>
      <c r="N17" s="3">
        <v>2019</v>
      </c>
      <c r="O17" s="3">
        <v>2020</v>
      </c>
      <c r="P17" s="3">
        <v>2021</v>
      </c>
      <c r="Q17" s="3">
        <v>2022</v>
      </c>
      <c r="R17" s="3">
        <v>2023</v>
      </c>
      <c r="U17" s="1" t="s">
        <v>113</v>
      </c>
      <c r="V17" s="357">
        <v>7.0000000000000007E-2</v>
      </c>
    </row>
    <row r="18" spans="1:22" x14ac:dyDescent="0.3">
      <c r="D18" s="1" t="s">
        <v>82</v>
      </c>
      <c r="E18" s="98">
        <f>'T-Home Germany'!Y187</f>
        <v>6130</v>
      </c>
      <c r="F18" s="98">
        <f>'T-Home Germany'!AE187</f>
        <v>6046.7074526666711</v>
      </c>
      <c r="G18" s="98">
        <f>'T-Home Germany'!AK187</f>
        <v>5900.0583676694878</v>
      </c>
      <c r="H18" s="98">
        <f>'T-Home Germany'!AQ187</f>
        <v>5665.7537847765434</v>
      </c>
      <c r="I18" s="98">
        <f>'T-Home Germany'!AW187</f>
        <v>5507.8318530805955</v>
      </c>
      <c r="J18" s="98">
        <f>'T-Home Germany'!BC187</f>
        <v>5414.7296882207374</v>
      </c>
      <c r="K18" s="98">
        <f>'T-Home Germany'!BI187</f>
        <v>4909</v>
      </c>
      <c r="L18" s="98">
        <f>'T-Home Germany'!BO187</f>
        <v>5014</v>
      </c>
      <c r="M18" s="98">
        <f ca="1">'T-Home Germany'!BU187</f>
        <v>5155.1346511535776</v>
      </c>
      <c r="N18" s="98">
        <f ca="1">'T-Home Germany'!CA187</f>
        <v>5408.6619198636108</v>
      </c>
      <c r="O18" s="98">
        <f ca="1">'T-Home Germany'!CG187</f>
        <v>5600.1321989221706</v>
      </c>
      <c r="P18" s="98">
        <f ca="1">'T-Home Germany'!CM187</f>
        <v>5773.8826584429899</v>
      </c>
      <c r="Q18" s="98">
        <f ca="1">'T-Home Germany'!CS187</f>
        <v>5925.5714346770728</v>
      </c>
      <c r="R18" s="98">
        <f ca="1">'T-Home Germany'!CY187</f>
        <v>6078.713663272978</v>
      </c>
      <c r="U18" s="1" t="s">
        <v>114</v>
      </c>
      <c r="V18" s="357">
        <v>9.4999999999999998E-3</v>
      </c>
    </row>
    <row r="19" spans="1:22" x14ac:dyDescent="0.3">
      <c r="D19" s="1" t="s">
        <v>90</v>
      </c>
      <c r="E19" s="98">
        <f>'T-Home Germany'!Y194</f>
        <v>2887</v>
      </c>
      <c r="F19" s="98">
        <f>'T-Home Germany'!AE194</f>
        <v>2776.8888021581097</v>
      </c>
      <c r="G19" s="98">
        <f>'T-Home Germany'!AK194</f>
        <v>2702.8131423498803</v>
      </c>
      <c r="H19" s="98">
        <f>'T-Home Germany'!AQ194</f>
        <v>2682.0797744115621</v>
      </c>
      <c r="I19" s="98">
        <f>'T-Home Germany'!AW194</f>
        <v>3023.2255530006878</v>
      </c>
      <c r="J19" s="98">
        <f>'T-Home Germany'!BC194</f>
        <v>3172.7109994425327</v>
      </c>
      <c r="K19" s="98">
        <f>'T-Home Germany'!BI194</f>
        <v>3216.0978500000001</v>
      </c>
      <c r="L19" s="98">
        <f>'T-Home Germany'!BO194</f>
        <v>3405.1475500000001</v>
      </c>
      <c r="M19" s="98">
        <f ca="1">'T-Home Germany'!BU194</f>
        <v>3430.5833529144552</v>
      </c>
      <c r="N19" s="98">
        <f ca="1">'T-Home Germany'!CA194</f>
        <v>3411.498130949235</v>
      </c>
      <c r="O19" s="98">
        <f ca="1">'T-Home Germany'!CG194</f>
        <v>3428.70438234521</v>
      </c>
      <c r="P19" s="98">
        <f ca="1">'T-Home Germany'!CM194</f>
        <v>3453.9903145699909</v>
      </c>
      <c r="Q19" s="98">
        <f ca="1">'T-Home Germany'!CS194</f>
        <v>3448.140044598912</v>
      </c>
      <c r="R19" s="98">
        <f ca="1">'T-Home Germany'!CY194</f>
        <v>2988.4658060912652</v>
      </c>
      <c r="U19" s="1" t="s">
        <v>115</v>
      </c>
      <c r="V19" s="357">
        <v>0.32500000000000001</v>
      </c>
    </row>
    <row r="20" spans="1:22" x14ac:dyDescent="0.3">
      <c r="D20" s="1" t="s">
        <v>38</v>
      </c>
      <c r="E20" s="98">
        <f t="shared" ref="E20:R20" si="6">E18-E19</f>
        <v>3243</v>
      </c>
      <c r="F20" s="98">
        <f t="shared" si="6"/>
        <v>3269.8186505085614</v>
      </c>
      <c r="G20" s="98">
        <f t="shared" si="6"/>
        <v>3197.2452253196075</v>
      </c>
      <c r="H20" s="98">
        <f t="shared" si="6"/>
        <v>2983.6740103649813</v>
      </c>
      <c r="I20" s="98">
        <f t="shared" si="6"/>
        <v>2484.6063000799077</v>
      </c>
      <c r="J20" s="98">
        <f t="shared" si="6"/>
        <v>2242.0186887782047</v>
      </c>
      <c r="K20" s="98">
        <f t="shared" si="6"/>
        <v>1692.9021499999999</v>
      </c>
      <c r="L20" s="98">
        <f t="shared" si="6"/>
        <v>1608.8524499999999</v>
      </c>
      <c r="M20" s="98">
        <f t="shared" ca="1" si="6"/>
        <v>1724.5512982391224</v>
      </c>
      <c r="N20" s="98">
        <f t="shared" ca="1" si="6"/>
        <v>1997.1637889143758</v>
      </c>
      <c r="O20" s="98">
        <f t="shared" ca="1" si="6"/>
        <v>2171.4278165769606</v>
      </c>
      <c r="P20" s="98">
        <f t="shared" ca="1" si="6"/>
        <v>2319.8923438729989</v>
      </c>
      <c r="Q20" s="98">
        <f t="shared" ca="1" si="6"/>
        <v>2477.4313900781608</v>
      </c>
      <c r="R20" s="98">
        <f t="shared" ca="1" si="6"/>
        <v>3090.2478571817128</v>
      </c>
    </row>
    <row r="21" spans="1:22" x14ac:dyDescent="0.3">
      <c r="D21" s="1" t="s">
        <v>116</v>
      </c>
      <c r="E21" s="98">
        <f t="shared" ref="E21:R21" si="7">E20*(1-$V19)</f>
        <v>2189.0250000000001</v>
      </c>
      <c r="F21" s="98">
        <f t="shared" si="7"/>
        <v>2207.1275890932793</v>
      </c>
      <c r="G21" s="98">
        <f t="shared" si="7"/>
        <v>2158.1405270907353</v>
      </c>
      <c r="H21" s="98">
        <f t="shared" si="7"/>
        <v>2013.9799569963625</v>
      </c>
      <c r="I21" s="98">
        <f t="shared" si="7"/>
        <v>1677.1092525539377</v>
      </c>
      <c r="J21" s="98">
        <f t="shared" si="7"/>
        <v>1513.3626149252882</v>
      </c>
      <c r="K21" s="98">
        <f t="shared" si="7"/>
        <v>1142.7089512499999</v>
      </c>
      <c r="L21" s="98">
        <f t="shared" si="7"/>
        <v>1085.9754037499999</v>
      </c>
      <c r="M21" s="98">
        <f t="shared" ca="1" si="7"/>
        <v>1164.0721263114076</v>
      </c>
      <c r="N21" s="98">
        <f t="shared" ca="1" si="7"/>
        <v>1348.0855575172038</v>
      </c>
      <c r="O21" s="98">
        <f t="shared" ca="1" si="7"/>
        <v>1465.7137761894485</v>
      </c>
      <c r="P21" s="98">
        <f t="shared" ca="1" si="7"/>
        <v>1565.9273321142743</v>
      </c>
      <c r="Q21" s="98">
        <f t="shared" ca="1" si="7"/>
        <v>1672.2661883027586</v>
      </c>
      <c r="R21" s="98">
        <f t="shared" ca="1" si="7"/>
        <v>2085.9173035976564</v>
      </c>
    </row>
    <row r="22" spans="1:22" x14ac:dyDescent="0.3"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</row>
    <row r="23" spans="1:22" x14ac:dyDescent="0.3">
      <c r="D23" s="1" t="s">
        <v>117</v>
      </c>
      <c r="N23" s="2">
        <f t="shared" ref="N23:R23" si="8">M23+1</f>
        <v>1</v>
      </c>
      <c r="O23" s="2">
        <f t="shared" si="8"/>
        <v>2</v>
      </c>
      <c r="P23" s="2">
        <f t="shared" si="8"/>
        <v>3</v>
      </c>
      <c r="Q23" s="2">
        <f t="shared" si="8"/>
        <v>4</v>
      </c>
      <c r="R23" s="2">
        <f t="shared" si="8"/>
        <v>5</v>
      </c>
      <c r="U23" s="1" t="s">
        <v>118</v>
      </c>
      <c r="V23" s="98">
        <f ca="1">J24+K24+L24+M24+N24+O24+P24+Q24+R24</f>
        <v>6581.3614550023867</v>
      </c>
    </row>
    <row r="24" spans="1:22" x14ac:dyDescent="0.3">
      <c r="D24" s="1" t="s">
        <v>119</v>
      </c>
      <c r="F24" s="98"/>
      <c r="G24" s="98"/>
      <c r="H24" s="98"/>
      <c r="I24" s="98"/>
      <c r="J24" s="98"/>
      <c r="K24" s="98"/>
      <c r="L24" s="98"/>
      <c r="M24" s="98"/>
      <c r="N24" s="98">
        <f ca="1">N21/(1+$V$2)^(N23)</f>
        <v>1259.8930444086016</v>
      </c>
      <c r="O24" s="98">
        <f ca="1">O21/(1+$V$2)^(O23)</f>
        <v>1280.2111766874386</v>
      </c>
      <c r="P24" s="98">
        <f ca="1">P21/(1+$V$2)^(P23)</f>
        <v>1278.2631565702382</v>
      </c>
      <c r="Q24" s="98">
        <f ca="1">Q21/(1+$V$2)^(Q23)</f>
        <v>1275.7638683251398</v>
      </c>
      <c r="R24" s="98">
        <f ca="1">R21/(1+$V$2)^(R23)</f>
        <v>1487.2302090109681</v>
      </c>
      <c r="S24" s="316">
        <f ca="1">(R21*(1+V18))/(V17-V18)</f>
        <v>34805.512693914614</v>
      </c>
      <c r="U24" s="1" t="s">
        <v>120</v>
      </c>
      <c r="V24" s="98">
        <f ca="1">(S24)/((1+V17)^(R23+1))</f>
        <v>23192.382729536919</v>
      </c>
    </row>
    <row r="25" spans="1:22" x14ac:dyDescent="0.3">
      <c r="U25" s="13" t="s">
        <v>121</v>
      </c>
      <c r="V25" s="352">
        <f ca="1">V23+V24</f>
        <v>29773.744184539304</v>
      </c>
    </row>
    <row r="26" spans="1:22" x14ac:dyDescent="0.3">
      <c r="D26" s="1" t="s">
        <v>122</v>
      </c>
      <c r="E26" s="400"/>
      <c r="F26" s="400"/>
      <c r="G26" s="400"/>
      <c r="H26" s="400"/>
      <c r="I26" s="400"/>
      <c r="J26" s="400"/>
      <c r="K26" s="400"/>
      <c r="L26" s="400">
        <f ca="1">$V25/L18</f>
        <v>5.9381220950417442</v>
      </c>
      <c r="M26" s="400">
        <f ca="1">$V25/M18</f>
        <v>5.7755512123968975</v>
      </c>
      <c r="N26" s="400">
        <f ca="1">$V25/N18</f>
        <v>5.5048262630713847</v>
      </c>
      <c r="O26" s="400"/>
      <c r="P26" s="400"/>
      <c r="Q26" s="400"/>
      <c r="R26" s="400"/>
    </row>
    <row r="27" spans="1:22" x14ac:dyDescent="0.3">
      <c r="D27" s="1" t="s">
        <v>123</v>
      </c>
      <c r="E27" s="400"/>
      <c r="F27" s="400"/>
      <c r="G27" s="400"/>
      <c r="H27" s="400"/>
      <c r="I27" s="400"/>
      <c r="J27" s="400"/>
      <c r="K27" s="400"/>
      <c r="L27" s="400">
        <f ca="1">$V25/(L18-L19)</f>
        <v>18.50619936249549</v>
      </c>
      <c r="M27" s="400">
        <f ca="1">$V25/(M18-M19)</f>
        <v>17.264632379993689</v>
      </c>
      <c r="N27" s="400">
        <f ca="1">$V25/(N18-N19)</f>
        <v>14.908013228461249</v>
      </c>
      <c r="O27" s="400"/>
      <c r="P27" s="400"/>
      <c r="Q27" s="400"/>
      <c r="R27" s="400"/>
    </row>
    <row r="28" spans="1:22" x14ac:dyDescent="0.3">
      <c r="D28" s="1" t="s">
        <v>124</v>
      </c>
      <c r="E28" s="400"/>
      <c r="F28" s="400"/>
      <c r="G28" s="400"/>
      <c r="H28" s="400"/>
      <c r="I28" s="400"/>
      <c r="J28" s="400"/>
      <c r="K28" s="400"/>
      <c r="L28" s="400">
        <f ca="1">$V25/((1-$V19)*(L18-L19))</f>
        <v>27.416591648141466</v>
      </c>
      <c r="M28" s="400">
        <f ca="1">$V25/((1-$V19)*(M18-M19))</f>
        <v>25.577233155546203</v>
      </c>
      <c r="N28" s="400">
        <f ca="1">$V25/((1-$V19)*(N18-N19))</f>
        <v>22.085945523646291</v>
      </c>
      <c r="O28" s="400"/>
      <c r="P28" s="400"/>
      <c r="Q28" s="400"/>
      <c r="R28" s="400"/>
    </row>
    <row r="29" spans="1:22" x14ac:dyDescent="0.3">
      <c r="G29" s="98"/>
      <c r="H29" s="98"/>
      <c r="I29" s="98"/>
      <c r="J29" s="98"/>
      <c r="K29" s="98"/>
      <c r="L29" s="98">
        <f>L20-L21</f>
        <v>522.87704624999992</v>
      </c>
      <c r="M29" s="98">
        <f ca="1">M20-M21</f>
        <v>560.47917192771479</v>
      </c>
      <c r="N29" s="98">
        <f ca="1">N20-N21</f>
        <v>649.07823139717198</v>
      </c>
    </row>
    <row r="30" spans="1:22" x14ac:dyDescent="0.3">
      <c r="G30" s="98"/>
      <c r="H30" s="98"/>
      <c r="I30" s="98"/>
      <c r="J30" s="98"/>
      <c r="K30" s="98"/>
      <c r="L30" s="98"/>
      <c r="M30" s="98"/>
      <c r="N30" s="98"/>
    </row>
    <row r="31" spans="1:22" x14ac:dyDescent="0.3">
      <c r="A31" s="401"/>
      <c r="B31" s="402"/>
      <c r="C31" s="401"/>
      <c r="D31" s="401"/>
      <c r="E31" s="403"/>
      <c r="F31" s="403"/>
      <c r="G31" s="403"/>
      <c r="H31" s="403"/>
      <c r="I31" s="403"/>
      <c r="J31" s="403"/>
      <c r="K31" s="403"/>
      <c r="L31" s="403"/>
      <c r="M31" s="403"/>
      <c r="N31" s="403"/>
      <c r="O31" s="403"/>
      <c r="P31" s="403"/>
      <c r="Q31" s="403"/>
      <c r="R31" s="403"/>
      <c r="S31" s="401"/>
      <c r="T31" s="401"/>
      <c r="U31" s="401"/>
      <c r="V31" s="403"/>
    </row>
    <row r="32" spans="1:22" x14ac:dyDescent="0.3">
      <c r="G32" s="98"/>
      <c r="H32" s="98"/>
      <c r="I32" s="98"/>
      <c r="J32" s="98"/>
      <c r="K32" s="98"/>
      <c r="L32" s="98"/>
      <c r="M32" s="98"/>
      <c r="N32" s="98"/>
    </row>
    <row r="33" spans="1:22" x14ac:dyDescent="0.3">
      <c r="B33" s="13" t="s">
        <v>596</v>
      </c>
      <c r="E33" s="3">
        <v>2010</v>
      </c>
      <c r="F33" s="3">
        <f t="shared" ref="F33" si="9">E33+1</f>
        <v>2011</v>
      </c>
      <c r="G33" s="3">
        <f t="shared" ref="G33" si="10">F33+1</f>
        <v>2012</v>
      </c>
      <c r="H33" s="3">
        <f t="shared" ref="H33" si="11">G33+1</f>
        <v>2013</v>
      </c>
      <c r="I33" s="3">
        <f t="shared" ref="I33" si="12">H33+1</f>
        <v>2014</v>
      </c>
      <c r="J33" s="3">
        <f t="shared" ref="J33" si="13">I33+1</f>
        <v>2015</v>
      </c>
      <c r="K33" s="3">
        <f t="shared" ref="K33" si="14">J33+1</f>
        <v>2016</v>
      </c>
      <c r="L33" s="3">
        <f t="shared" ref="L33" si="15">K33+1</f>
        <v>2017</v>
      </c>
      <c r="M33" s="3">
        <f t="shared" ref="M33" si="16">L33+1</f>
        <v>2018</v>
      </c>
      <c r="N33" s="3">
        <v>2019</v>
      </c>
      <c r="O33" s="3">
        <v>2020</v>
      </c>
      <c r="P33" s="3">
        <v>2021</v>
      </c>
      <c r="Q33" s="3">
        <v>2022</v>
      </c>
      <c r="R33" s="3">
        <v>2023</v>
      </c>
      <c r="U33" s="1" t="s">
        <v>113</v>
      </c>
      <c r="V33" s="675">
        <v>6.25E-2</v>
      </c>
    </row>
    <row r="34" spans="1:22" x14ac:dyDescent="0.3">
      <c r="D34" s="1" t="s">
        <v>82</v>
      </c>
      <c r="E34" s="98"/>
      <c r="F34" s="98"/>
      <c r="G34" s="98"/>
      <c r="H34" s="98"/>
      <c r="I34" s="98"/>
      <c r="J34" s="98"/>
      <c r="K34" s="98">
        <f>Interims!BI188</f>
        <v>585</v>
      </c>
      <c r="L34" s="98">
        <f>Interims!BO188</f>
        <v>493</v>
      </c>
      <c r="M34" s="98">
        <f>Interims!BU188</f>
        <v>509.71999999999997</v>
      </c>
      <c r="N34" s="98">
        <f>Interims!CA188</f>
        <v>522.46299999999997</v>
      </c>
      <c r="O34" s="98">
        <f>Interims!CG188</f>
        <v>538.13688999999999</v>
      </c>
      <c r="P34" s="98">
        <f>Interims!CM188</f>
        <v>559.66236559999993</v>
      </c>
      <c r="Q34" s="98">
        <f>Interims!CS188</f>
        <v>584.84717205199991</v>
      </c>
      <c r="R34" s="98">
        <f>Interims!CY188</f>
        <v>617.01376651485987</v>
      </c>
      <c r="U34" s="1" t="s">
        <v>114</v>
      </c>
      <c r="V34" s="357">
        <v>0.03</v>
      </c>
    </row>
    <row r="35" spans="1:22" x14ac:dyDescent="0.3">
      <c r="D35" s="1" t="s">
        <v>90</v>
      </c>
      <c r="E35" s="98"/>
      <c r="F35" s="98"/>
      <c r="G35" s="98"/>
      <c r="H35" s="98"/>
      <c r="I35" s="98"/>
      <c r="J35" s="98"/>
      <c r="K35" s="98">
        <f>Interims!BI201</f>
        <v>148</v>
      </c>
      <c r="L35" s="98">
        <f>Interims!BO201</f>
        <v>118</v>
      </c>
      <c r="M35" s="98">
        <f>Interims!BU201</f>
        <v>185.51809999999998</v>
      </c>
      <c r="N35" s="98">
        <f>Interims!CA201</f>
        <v>193.04774737499997</v>
      </c>
      <c r="O35" s="98">
        <f>Interims!CG201</f>
        <v>181.68895723124996</v>
      </c>
      <c r="P35" s="98">
        <f>Interims!CM201</f>
        <v>172.56352100055463</v>
      </c>
      <c r="Q35" s="98">
        <f>Interims!CS201</f>
        <v>167.06423213963433</v>
      </c>
      <c r="R35" s="98">
        <f>Interims!CY201</f>
        <v>148.08821806941944</v>
      </c>
      <c r="U35" s="1" t="s">
        <v>115</v>
      </c>
      <c r="V35" s="357">
        <v>0.32500000000000001</v>
      </c>
    </row>
    <row r="36" spans="1:22" x14ac:dyDescent="0.3">
      <c r="D36" s="1" t="s">
        <v>38</v>
      </c>
      <c r="E36" s="98"/>
      <c r="F36" s="98"/>
      <c r="G36" s="98"/>
      <c r="H36" s="98"/>
      <c r="I36" s="98"/>
      <c r="J36" s="98"/>
      <c r="K36" s="98">
        <f t="shared" ref="K36:R36" si="17">K34-K35</f>
        <v>437</v>
      </c>
      <c r="L36" s="98">
        <f t="shared" si="17"/>
        <v>375</v>
      </c>
      <c r="M36" s="98">
        <f t="shared" si="17"/>
        <v>324.20190000000002</v>
      </c>
      <c r="N36" s="98">
        <f t="shared" si="17"/>
        <v>329.41525262499999</v>
      </c>
      <c r="O36" s="98">
        <f t="shared" si="17"/>
        <v>356.44793276875004</v>
      </c>
      <c r="P36" s="98">
        <f t="shared" si="17"/>
        <v>387.09884459944533</v>
      </c>
      <c r="Q36" s="98">
        <f t="shared" si="17"/>
        <v>417.78293991236558</v>
      </c>
      <c r="R36" s="98">
        <f t="shared" si="17"/>
        <v>468.92554844544043</v>
      </c>
    </row>
    <row r="37" spans="1:22" x14ac:dyDescent="0.3">
      <c r="D37" s="1" t="s">
        <v>116</v>
      </c>
      <c r="E37" s="98"/>
      <c r="F37" s="98"/>
      <c r="G37" s="98"/>
      <c r="H37" s="98"/>
      <c r="I37" s="98"/>
      <c r="J37" s="98"/>
      <c r="K37" s="98">
        <f t="shared" ref="K37:R37" si="18">K36*(1-$V35)</f>
        <v>294.97500000000002</v>
      </c>
      <c r="L37" s="98">
        <f t="shared" si="18"/>
        <v>253.12500000000003</v>
      </c>
      <c r="M37" s="98">
        <f t="shared" si="18"/>
        <v>218.83628250000004</v>
      </c>
      <c r="N37" s="98">
        <f t="shared" si="18"/>
        <v>222.35529552187501</v>
      </c>
      <c r="O37" s="98">
        <f t="shared" si="18"/>
        <v>240.6023546189063</v>
      </c>
      <c r="P37" s="98">
        <f t="shared" si="18"/>
        <v>261.2917201046256</v>
      </c>
      <c r="Q37" s="98">
        <f t="shared" si="18"/>
        <v>282.00348444084676</v>
      </c>
      <c r="R37" s="98">
        <f t="shared" si="18"/>
        <v>316.52474520067233</v>
      </c>
    </row>
    <row r="38" spans="1:22" x14ac:dyDescent="0.3">
      <c r="E38" s="98"/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</row>
    <row r="39" spans="1:22" x14ac:dyDescent="0.3">
      <c r="D39" s="1" t="s">
        <v>117</v>
      </c>
      <c r="N39" s="2">
        <f t="shared" ref="N39" si="19">M39+1</f>
        <v>1</v>
      </c>
      <c r="O39" s="2">
        <f t="shared" ref="O39" si="20">N39+1</f>
        <v>2</v>
      </c>
      <c r="P39" s="2">
        <f t="shared" ref="P39" si="21">O39+1</f>
        <v>3</v>
      </c>
      <c r="Q39" s="2">
        <f t="shared" ref="Q39" si="22">P39+1</f>
        <v>4</v>
      </c>
      <c r="R39" s="2">
        <f t="shared" ref="R39" si="23">Q39+1</f>
        <v>5</v>
      </c>
      <c r="U39" s="1" t="s">
        <v>118</v>
      </c>
      <c r="V39" s="98">
        <f>J40+K40+L40+M40+N40+O40+P40+Q40+R40</f>
        <v>1095.2792623983112</v>
      </c>
    </row>
    <row r="40" spans="1:22" x14ac:dyDescent="0.3">
      <c r="D40" s="1" t="s">
        <v>119</v>
      </c>
      <c r="F40" s="98"/>
      <c r="G40" s="98"/>
      <c r="H40" s="98"/>
      <c r="I40" s="98"/>
      <c r="J40" s="98"/>
      <c r="K40" s="98"/>
      <c r="L40" s="98"/>
      <c r="M40" s="98"/>
      <c r="N40" s="98">
        <f>N37/(1+$V$33)^(N39)</f>
        <v>209.27557225588237</v>
      </c>
      <c r="O40" s="98">
        <f>O37/(1+$V$33)^(O39)</f>
        <v>213.1287293510035</v>
      </c>
      <c r="P40" s="98">
        <f>P37/(1+$V$33)^(P39)</f>
        <v>217.84060361256797</v>
      </c>
      <c r="Q40" s="98">
        <f>Q37/(1+$V$33)^(Q39)</f>
        <v>221.27824566654294</v>
      </c>
      <c r="R40" s="98">
        <f>R37/(1+$V$33)^(R39)</f>
        <v>233.75611151231439</v>
      </c>
      <c r="S40" s="316">
        <f>(R37*(1+V34))/(V33-V34)</f>
        <v>10031.399617129</v>
      </c>
      <c r="U40" s="1" t="s">
        <v>120</v>
      </c>
      <c r="V40" s="98">
        <f>(S40)/((1+V33)^(R39+1))</f>
        <v>6972.489986828853</v>
      </c>
    </row>
    <row r="41" spans="1:22" x14ac:dyDescent="0.3">
      <c r="U41" s="13" t="s">
        <v>121</v>
      </c>
      <c r="V41" s="352">
        <f>V39+V40</f>
        <v>8067.7692492271644</v>
      </c>
    </row>
    <row r="42" spans="1:22" x14ac:dyDescent="0.3">
      <c r="D42" s="1" t="s">
        <v>122</v>
      </c>
      <c r="E42" s="400"/>
      <c r="F42" s="400"/>
      <c r="G42" s="400"/>
      <c r="H42" s="400"/>
      <c r="I42" s="400"/>
      <c r="J42" s="400"/>
      <c r="K42" s="400"/>
      <c r="L42" s="400">
        <f>$V41/L34</f>
        <v>16.364643507560171</v>
      </c>
      <c r="M42" s="400">
        <f>$V41/M34</f>
        <v>15.827845187999618</v>
      </c>
      <c r="N42" s="400">
        <f>$V41/N34</f>
        <v>15.44180018341426</v>
      </c>
      <c r="O42" s="400"/>
      <c r="P42" s="400"/>
      <c r="Q42" s="400"/>
      <c r="R42" s="400"/>
    </row>
    <row r="43" spans="1:22" x14ac:dyDescent="0.3">
      <c r="D43" s="1" t="s">
        <v>123</v>
      </c>
      <c r="E43" s="400"/>
      <c r="F43" s="400"/>
      <c r="G43" s="400"/>
      <c r="H43" s="400"/>
      <c r="I43" s="400"/>
      <c r="J43" s="400"/>
      <c r="K43" s="400"/>
      <c r="L43" s="400">
        <f>$V41/(L34-L35)</f>
        <v>21.514051331272437</v>
      </c>
      <c r="M43" s="400">
        <f>$V41/(M34-M35)</f>
        <v>24.885015322942785</v>
      </c>
      <c r="N43" s="400">
        <f>$V41/(N34-N35)</f>
        <v>24.49118304309776</v>
      </c>
      <c r="O43" s="400"/>
      <c r="P43" s="400"/>
      <c r="Q43" s="400"/>
      <c r="R43" s="400"/>
    </row>
    <row r="44" spans="1:22" x14ac:dyDescent="0.3">
      <c r="D44" s="1" t="s">
        <v>124</v>
      </c>
      <c r="E44" s="400"/>
      <c r="F44" s="400"/>
      <c r="G44" s="400"/>
      <c r="H44" s="400"/>
      <c r="I44" s="400"/>
      <c r="J44" s="400"/>
      <c r="K44" s="400"/>
      <c r="L44" s="400">
        <f>$V41/((1-$V35)*(L34-L35))</f>
        <v>31.872668638922129</v>
      </c>
      <c r="M44" s="400">
        <f>$V41/((1-$V35)*(M34-M35))</f>
        <v>36.866689367322635</v>
      </c>
      <c r="N44" s="400">
        <f>$V41/((1-$V35)*(N34-N35))</f>
        <v>36.283234137922605</v>
      </c>
      <c r="O44" s="400"/>
      <c r="P44" s="400"/>
      <c r="Q44" s="400"/>
      <c r="R44" s="400"/>
    </row>
    <row r="45" spans="1:22" x14ac:dyDescent="0.3">
      <c r="G45" s="98"/>
      <c r="H45" s="98"/>
      <c r="I45" s="98"/>
      <c r="J45" s="98"/>
      <c r="K45" s="98"/>
      <c r="L45" s="98"/>
      <c r="M45" s="98"/>
      <c r="N45" s="98"/>
    </row>
    <row r="46" spans="1:22" x14ac:dyDescent="0.3">
      <c r="G46" s="98"/>
      <c r="H46" s="98"/>
      <c r="I46" s="98"/>
      <c r="J46" s="98"/>
      <c r="K46" s="98"/>
      <c r="L46" s="98"/>
      <c r="M46" s="98"/>
      <c r="N46" s="98"/>
    </row>
    <row r="47" spans="1:22" x14ac:dyDescent="0.3">
      <c r="A47" s="401"/>
      <c r="B47" s="401"/>
      <c r="C47" s="401"/>
      <c r="D47" s="401"/>
      <c r="E47" s="403"/>
      <c r="F47" s="403"/>
      <c r="G47" s="403"/>
      <c r="H47" s="403"/>
      <c r="I47" s="403"/>
      <c r="J47" s="403"/>
      <c r="K47" s="403"/>
      <c r="L47" s="403"/>
      <c r="M47" s="403"/>
      <c r="N47" s="403"/>
      <c r="O47" s="403"/>
      <c r="P47" s="403"/>
      <c r="Q47" s="403"/>
      <c r="R47" s="403"/>
      <c r="S47" s="401"/>
      <c r="T47" s="401"/>
      <c r="U47" s="401"/>
      <c r="V47" s="403"/>
    </row>
    <row r="49" spans="1:23" x14ac:dyDescent="0.3">
      <c r="B49" s="13" t="s">
        <v>165</v>
      </c>
      <c r="E49" s="3">
        <v>2010</v>
      </c>
      <c r="F49" s="3">
        <f t="shared" ref="F49:M49" si="24">E49+1</f>
        <v>2011</v>
      </c>
      <c r="G49" s="3">
        <f t="shared" si="24"/>
        <v>2012</v>
      </c>
      <c r="H49" s="3">
        <f t="shared" si="24"/>
        <v>2013</v>
      </c>
      <c r="I49" s="3">
        <f t="shared" si="24"/>
        <v>2014</v>
      </c>
      <c r="J49" s="3">
        <f t="shared" si="24"/>
        <v>2015</v>
      </c>
      <c r="K49" s="3">
        <f t="shared" si="24"/>
        <v>2016</v>
      </c>
      <c r="L49" s="3">
        <f t="shared" si="24"/>
        <v>2017</v>
      </c>
      <c r="M49" s="3">
        <f t="shared" si="24"/>
        <v>2018</v>
      </c>
      <c r="N49" s="3">
        <v>2019</v>
      </c>
      <c r="O49" s="3">
        <v>2020</v>
      </c>
      <c r="P49" s="3">
        <v>2021</v>
      </c>
      <c r="Q49" s="3">
        <v>2022</v>
      </c>
      <c r="R49" s="3">
        <v>2023</v>
      </c>
      <c r="U49" s="1" t="s">
        <v>113</v>
      </c>
      <c r="V49" s="357">
        <v>7.4999999999999997E-2</v>
      </c>
    </row>
    <row r="50" spans="1:23" x14ac:dyDescent="0.3">
      <c r="D50" s="1" t="s">
        <v>82</v>
      </c>
      <c r="E50" s="98">
        <v>5478</v>
      </c>
      <c r="F50" s="98">
        <v>5310</v>
      </c>
      <c r="G50" s="98">
        <v>4886</v>
      </c>
      <c r="H50" s="98">
        <f>'US Metro PF'!Z222</f>
        <v>5317.7461614470767</v>
      </c>
      <c r="I50" s="98">
        <f>'US Metro PF'!AF222</f>
        <v>5636</v>
      </c>
      <c r="J50" s="98">
        <f>'US Metro PF'!AL222</f>
        <v>7393</v>
      </c>
      <c r="K50" s="98">
        <f>'US Metro PF'!AR222</f>
        <v>10391</v>
      </c>
      <c r="L50" s="98">
        <f>'US Metro PF'!AX222</f>
        <v>11213</v>
      </c>
      <c r="M50" s="98">
        <f>'US Metro PF'!BD222</f>
        <v>11882.221745504135</v>
      </c>
      <c r="N50" s="98">
        <f>'US Metro PF'!BJ222</f>
        <v>12549.749747726471</v>
      </c>
      <c r="O50" s="98">
        <f>'US Metro PF'!BP222</f>
        <v>13287.021418308748</v>
      </c>
      <c r="P50" s="98">
        <f>'US Metro PF'!BV222</f>
        <v>14019.054747310052</v>
      </c>
      <c r="Q50" s="98">
        <f>'US Metro PF'!CB222</f>
        <v>14674.782926386664</v>
      </c>
      <c r="R50" s="98">
        <f>'US Metro PF'!CH222</f>
        <v>15273.15707066112</v>
      </c>
      <c r="U50" s="1" t="s">
        <v>114</v>
      </c>
      <c r="V50" s="357">
        <v>1.6E-2</v>
      </c>
    </row>
    <row r="51" spans="1:23" x14ac:dyDescent="0.3">
      <c r="D51" s="1" t="s">
        <v>90</v>
      </c>
      <c r="E51" s="98">
        <v>2819</v>
      </c>
      <c r="F51" s="98">
        <v>2729</v>
      </c>
      <c r="G51" s="98">
        <v>2901</v>
      </c>
      <c r="H51" s="98">
        <f>'US Metro PF'!Z261</f>
        <v>4241</v>
      </c>
      <c r="I51" s="98">
        <f>'US Metro PF'!AF261</f>
        <v>4317</v>
      </c>
      <c r="J51" s="98">
        <f>'US Metro PF'!AL261</f>
        <v>4724</v>
      </c>
      <c r="K51" s="98">
        <f>'US Metro PF'!AR261</f>
        <v>4702</v>
      </c>
      <c r="L51" s="98">
        <f>'US Metro PF'!AX261</f>
        <v>7237</v>
      </c>
      <c r="M51" s="98">
        <f>'US Metro PF'!BD261</f>
        <v>7320</v>
      </c>
      <c r="N51" s="98">
        <f>'US Metro PF'!BJ261</f>
        <v>7475</v>
      </c>
      <c r="O51" s="98">
        <f>'US Metro PF'!BP261</f>
        <v>7675</v>
      </c>
      <c r="P51" s="98">
        <f>'US Metro PF'!BV261</f>
        <v>6850</v>
      </c>
      <c r="Q51" s="98">
        <f>'US Metro PF'!CB261</f>
        <v>5975</v>
      </c>
      <c r="R51" s="98">
        <f>'US Metro PF'!CH261</f>
        <v>6050</v>
      </c>
      <c r="U51" s="1" t="s">
        <v>115</v>
      </c>
      <c r="V51" s="399">
        <v>0.3</v>
      </c>
    </row>
    <row r="52" spans="1:23" x14ac:dyDescent="0.3">
      <c r="D52" s="1" t="s">
        <v>38</v>
      </c>
      <c r="E52" s="98">
        <f t="shared" ref="E52:M52" si="25">E50-E51</f>
        <v>2659</v>
      </c>
      <c r="F52" s="98">
        <f t="shared" si="25"/>
        <v>2581</v>
      </c>
      <c r="G52" s="98">
        <f t="shared" si="25"/>
        <v>1985</v>
      </c>
      <c r="H52" s="98">
        <f t="shared" si="25"/>
        <v>1076.7461614470767</v>
      </c>
      <c r="I52" s="98">
        <f t="shared" si="25"/>
        <v>1319</v>
      </c>
      <c r="J52" s="98">
        <f t="shared" si="25"/>
        <v>2669</v>
      </c>
      <c r="K52" s="98">
        <f t="shared" si="25"/>
        <v>5689</v>
      </c>
      <c r="L52" s="98">
        <f t="shared" si="25"/>
        <v>3976</v>
      </c>
      <c r="M52" s="98">
        <f t="shared" si="25"/>
        <v>4562.2217455041355</v>
      </c>
      <c r="N52" s="98">
        <f>N50-N51</f>
        <v>5074.7497477264715</v>
      </c>
      <c r="O52" s="98">
        <f>O50-O51</f>
        <v>5612.0214183087483</v>
      </c>
      <c r="P52" s="98">
        <f>P50-P51</f>
        <v>7169.0547473100523</v>
      </c>
      <c r="Q52" s="98">
        <f>Q50-Q51</f>
        <v>8699.7829263866643</v>
      </c>
      <c r="R52" s="98">
        <f>R50-R51</f>
        <v>9223.1570706611201</v>
      </c>
    </row>
    <row r="53" spans="1:23" x14ac:dyDescent="0.3">
      <c r="D53" s="1" t="s">
        <v>116</v>
      </c>
      <c r="E53" s="98">
        <f>E52*(1-$V51)</f>
        <v>1861.3</v>
      </c>
      <c r="F53" s="98">
        <f>F52*(1-$V51)</f>
        <v>1806.6999999999998</v>
      </c>
      <c r="G53" s="98">
        <f>G52*(1-$V51)</f>
        <v>1389.5</v>
      </c>
      <c r="H53" s="98">
        <f>H52</f>
        <v>1076.7461614470767</v>
      </c>
      <c r="I53" s="98">
        <f>I52</f>
        <v>1319</v>
      </c>
      <c r="J53" s="98">
        <f>J52</f>
        <v>2669</v>
      </c>
      <c r="K53" s="98">
        <f>K52</f>
        <v>5689</v>
      </c>
      <c r="L53" s="98">
        <f>L52*(1-$V51/2)</f>
        <v>3379.6</v>
      </c>
      <c r="M53" s="98">
        <f t="shared" ref="M53:R53" si="26">M52*(1-$V51)</f>
        <v>3193.5552218528946</v>
      </c>
      <c r="N53" s="98">
        <f t="shared" si="26"/>
        <v>3552.3248234085299</v>
      </c>
      <c r="O53" s="98">
        <f t="shared" si="26"/>
        <v>3928.4149928161237</v>
      </c>
      <c r="P53" s="98">
        <f t="shared" si="26"/>
        <v>5018.3383231170365</v>
      </c>
      <c r="Q53" s="98">
        <f t="shared" si="26"/>
        <v>6089.8480484706643</v>
      </c>
      <c r="R53" s="98">
        <f t="shared" si="26"/>
        <v>6456.2099494627837</v>
      </c>
    </row>
    <row r="54" spans="1:23" x14ac:dyDescent="0.3"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  <c r="Q54" s="98"/>
      <c r="R54" s="98"/>
    </row>
    <row r="55" spans="1:23" x14ac:dyDescent="0.3">
      <c r="D55" s="1" t="s">
        <v>117</v>
      </c>
      <c r="N55" s="2">
        <f t="shared" ref="N55:R55" si="27">M55+1</f>
        <v>1</v>
      </c>
      <c r="O55" s="2">
        <f t="shared" si="27"/>
        <v>2</v>
      </c>
      <c r="P55" s="2">
        <f t="shared" si="27"/>
        <v>3</v>
      </c>
      <c r="Q55" s="2">
        <f t="shared" si="27"/>
        <v>4</v>
      </c>
      <c r="R55" s="2">
        <f t="shared" si="27"/>
        <v>5</v>
      </c>
      <c r="U55" s="1" t="s">
        <v>118</v>
      </c>
      <c r="V55" s="98">
        <f>J56+K56+L56+M56+N56+O56+P56+Q56+R56</f>
        <v>20096.722839725619</v>
      </c>
    </row>
    <row r="56" spans="1:23" x14ac:dyDescent="0.3">
      <c r="D56" s="1" t="s">
        <v>119</v>
      </c>
      <c r="F56" s="98"/>
      <c r="G56" s="98"/>
      <c r="H56" s="98"/>
      <c r="I56" s="98"/>
      <c r="J56" s="98"/>
      <c r="K56" s="98"/>
      <c r="L56" s="98"/>
      <c r="M56" s="98"/>
      <c r="N56" s="98">
        <f>N53/(1+$V$2)^(N55)</f>
        <v>3319.9297415032988</v>
      </c>
      <c r="O56" s="98">
        <f>O53/(1+$V$2)^(O55)</f>
        <v>3431.229795454733</v>
      </c>
      <c r="P56" s="98">
        <f>P53/(1+$V$2)^(P55)</f>
        <v>4096.4589186804351</v>
      </c>
      <c r="Q56" s="98">
        <f>Q53/(1+$V$2)^(Q55)</f>
        <v>4645.9159182752346</v>
      </c>
      <c r="R56" s="98">
        <f>R53/(1+$V$2)^(R55)</f>
        <v>4603.1884658119179</v>
      </c>
      <c r="S56" s="316">
        <f>(R53*(1+V50))/(V49-V50)</f>
        <v>111178.12387549473</v>
      </c>
      <c r="U56" s="1" t="s">
        <v>120</v>
      </c>
      <c r="V56" s="98">
        <f>(S56)/((1+V49)^(R55+1))</f>
        <v>72039.145966480384</v>
      </c>
    </row>
    <row r="57" spans="1:23" x14ac:dyDescent="0.3">
      <c r="U57" s="13" t="s">
        <v>121</v>
      </c>
      <c r="V57" s="352">
        <f>V55+V56</f>
        <v>92135.86880620601</v>
      </c>
      <c r="W57" s="322">
        <f ca="1">'Sum of parts'!AE65</f>
        <v>91920.239486765189</v>
      </c>
    </row>
    <row r="58" spans="1:23" x14ac:dyDescent="0.3">
      <c r="D58" s="1" t="s">
        <v>122</v>
      </c>
      <c r="E58" s="400"/>
      <c r="F58" s="400"/>
      <c r="G58" s="400"/>
      <c r="H58" s="400"/>
      <c r="I58" s="400"/>
      <c r="J58" s="400"/>
      <c r="K58" s="400"/>
      <c r="L58" s="400">
        <f>$V57/L50</f>
        <v>8.2168794083836634</v>
      </c>
      <c r="M58" s="400">
        <f>$V57/M50</f>
        <v>7.7540943755798333</v>
      </c>
      <c r="N58" s="400">
        <f>$V57/N50</f>
        <v>7.341649886118045</v>
      </c>
      <c r="O58" s="400"/>
      <c r="P58" s="400"/>
      <c r="Q58" s="400"/>
      <c r="R58" s="400"/>
    </row>
    <row r="59" spans="1:23" x14ac:dyDescent="0.3">
      <c r="D59" s="1" t="s">
        <v>123</v>
      </c>
      <c r="E59" s="400"/>
      <c r="F59" s="400"/>
      <c r="G59" s="400"/>
      <c r="H59" s="400"/>
      <c r="I59" s="400"/>
      <c r="J59" s="400"/>
      <c r="K59" s="400"/>
      <c r="L59" s="400">
        <f>$V57/(L50-L51)</f>
        <v>23.173005232949198</v>
      </c>
      <c r="M59" s="400">
        <f>$V57/(M50-M51)</f>
        <v>20.195394688344944</v>
      </c>
      <c r="N59" s="400">
        <f>$V57/(N50-N51)</f>
        <v>18.155746270539471</v>
      </c>
      <c r="O59" s="400"/>
      <c r="P59" s="400"/>
      <c r="Q59" s="400"/>
      <c r="R59" s="400"/>
      <c r="U59" s="1" t="s">
        <v>210</v>
      </c>
      <c r="V59" s="452">
        <v>1.22</v>
      </c>
    </row>
    <row r="60" spans="1:23" x14ac:dyDescent="0.3">
      <c r="D60" s="1" t="s">
        <v>124</v>
      </c>
      <c r="E60" s="400"/>
      <c r="F60" s="400"/>
      <c r="G60" s="400"/>
      <c r="H60" s="400"/>
      <c r="I60" s="400"/>
      <c r="J60" s="400"/>
      <c r="K60" s="400"/>
      <c r="L60" s="400">
        <f>$V57/((1-$V51)*(L50-L51))</f>
        <v>33.104293189927425</v>
      </c>
      <c r="M60" s="400">
        <f>$V57/((1-$V51)*(M50-M51))</f>
        <v>28.850563840492775</v>
      </c>
      <c r="N60" s="400">
        <f>$V57/((1-$V51)*(N50-N51))</f>
        <v>25.936780386484962</v>
      </c>
      <c r="O60" s="400"/>
      <c r="P60" s="400"/>
      <c r="Q60" s="400"/>
      <c r="R60" s="400"/>
    </row>
    <row r="61" spans="1:23" hidden="1" x14ac:dyDescent="0.3">
      <c r="H61" s="356"/>
      <c r="I61" s="356"/>
      <c r="J61" s="356"/>
      <c r="K61" s="356"/>
      <c r="L61" s="356"/>
      <c r="M61" s="356"/>
      <c r="N61" s="356"/>
      <c r="O61" s="356"/>
      <c r="P61" s="356"/>
      <c r="Q61" s="356"/>
      <c r="R61" s="356"/>
    </row>
    <row r="62" spans="1:23" hidden="1" x14ac:dyDescent="0.3">
      <c r="A62" s="401"/>
      <c r="B62" s="401"/>
      <c r="C62" s="401"/>
      <c r="D62" s="401"/>
      <c r="E62" s="403"/>
      <c r="F62" s="403"/>
      <c r="G62" s="403"/>
      <c r="H62" s="403"/>
      <c r="I62" s="403"/>
      <c r="J62" s="403"/>
      <c r="K62" s="403"/>
      <c r="L62" s="403"/>
      <c r="M62" s="403"/>
      <c r="N62" s="403"/>
      <c r="O62" s="403"/>
      <c r="P62" s="403"/>
      <c r="Q62" s="403"/>
      <c r="R62" s="403"/>
      <c r="S62" s="401"/>
      <c r="T62" s="401"/>
      <c r="U62" s="401"/>
      <c r="V62" s="403"/>
    </row>
    <row r="63" spans="1:23" hidden="1" x14ac:dyDescent="0.3"/>
    <row r="64" spans="1:23" hidden="1" x14ac:dyDescent="0.3">
      <c r="B64" s="13" t="s">
        <v>6</v>
      </c>
      <c r="E64" s="3">
        <v>2010</v>
      </c>
      <c r="F64" s="3">
        <f t="shared" ref="F64:M64" si="28">E64+1</f>
        <v>2011</v>
      </c>
      <c r="G64" s="3">
        <f t="shared" si="28"/>
        <v>2012</v>
      </c>
      <c r="H64" s="3">
        <f t="shared" si="28"/>
        <v>2013</v>
      </c>
      <c r="I64" s="3">
        <f t="shared" si="28"/>
        <v>2014</v>
      </c>
      <c r="J64" s="3">
        <f t="shared" si="28"/>
        <v>2015</v>
      </c>
      <c r="K64" s="3">
        <f t="shared" si="28"/>
        <v>2016</v>
      </c>
      <c r="L64" s="3">
        <f t="shared" si="28"/>
        <v>2017</v>
      </c>
      <c r="M64" s="3">
        <f t="shared" si="28"/>
        <v>2018</v>
      </c>
      <c r="N64" s="3">
        <v>2019</v>
      </c>
      <c r="O64" s="3">
        <v>2020</v>
      </c>
      <c r="P64" s="3">
        <v>2021</v>
      </c>
      <c r="Q64" s="3">
        <v>2022</v>
      </c>
      <c r="R64" s="3">
        <v>2023</v>
      </c>
      <c r="U64" s="1" t="s">
        <v>113</v>
      </c>
      <c r="V64" s="357">
        <v>7.5999999999999998E-2</v>
      </c>
    </row>
    <row r="65" spans="1:22" hidden="1" x14ac:dyDescent="0.3">
      <c r="D65" s="1" t="s">
        <v>82</v>
      </c>
      <c r="E65" s="356">
        <v>1225.0550000000001</v>
      </c>
      <c r="F65" s="356">
        <v>1170.9181999999998</v>
      </c>
      <c r="G65" s="356">
        <v>1104.864</v>
      </c>
      <c r="H65" s="356">
        <v>1313.155</v>
      </c>
      <c r="I65" s="356">
        <v>1366.2350000000001</v>
      </c>
      <c r="J65" s="356">
        <v>1573.2869744635555</v>
      </c>
      <c r="K65" s="356">
        <v>1649.8196941087404</v>
      </c>
      <c r="L65" s="356">
        <v>1726.600801770983</v>
      </c>
      <c r="M65" s="356">
        <v>1784.5387605839153</v>
      </c>
      <c r="N65" s="356">
        <v>1839.1278432594345</v>
      </c>
      <c r="O65" s="356">
        <v>1901.4121922257561</v>
      </c>
      <c r="P65" s="356">
        <v>1930.8507482437606</v>
      </c>
      <c r="Q65" s="356">
        <v>1960.5777003269532</v>
      </c>
      <c r="R65" s="356">
        <v>1994.7545974032287</v>
      </c>
      <c r="U65" s="1" t="s">
        <v>114</v>
      </c>
      <c r="V65" s="399">
        <v>1.4250000000000001E-2</v>
      </c>
    </row>
    <row r="66" spans="1:22" hidden="1" x14ac:dyDescent="0.3">
      <c r="D66" s="1" t="s">
        <v>90</v>
      </c>
      <c r="E66" s="356">
        <v>465.01300000000003</v>
      </c>
      <c r="F66" s="356">
        <v>575.7355</v>
      </c>
      <c r="G66" s="356">
        <v>648.66</v>
      </c>
      <c r="H66" s="356">
        <v>586.93000000000006</v>
      </c>
      <c r="I66" s="356">
        <v>596.01</v>
      </c>
      <c r="J66" s="356">
        <v>570.52340496246302</v>
      </c>
      <c r="K66" s="356">
        <v>593.78795858948047</v>
      </c>
      <c r="L66" s="356">
        <v>603.59934026022802</v>
      </c>
      <c r="M66" s="356">
        <v>612.30007615794739</v>
      </c>
      <c r="N66" s="356">
        <v>619.57868152041681</v>
      </c>
      <c r="O66" s="356">
        <v>629.15060069719311</v>
      </c>
      <c r="P66" s="356">
        <v>638.93656135037406</v>
      </c>
      <c r="Q66" s="356">
        <v>648.79725649084662</v>
      </c>
      <c r="R66" s="356">
        <v>660.08394674431781</v>
      </c>
      <c r="U66" s="1" t="s">
        <v>115</v>
      </c>
      <c r="V66" s="399">
        <v>0.18</v>
      </c>
    </row>
    <row r="67" spans="1:22" hidden="1" x14ac:dyDescent="0.3">
      <c r="D67" s="1" t="s">
        <v>38</v>
      </c>
      <c r="E67" s="98">
        <f t="shared" ref="E67:M67" si="29">E65-E66</f>
        <v>760.04200000000003</v>
      </c>
      <c r="F67" s="98">
        <f t="shared" si="29"/>
        <v>595.18269999999984</v>
      </c>
      <c r="G67" s="98">
        <f t="shared" si="29"/>
        <v>456.20400000000006</v>
      </c>
      <c r="H67" s="98">
        <f t="shared" si="29"/>
        <v>726.22499999999991</v>
      </c>
      <c r="I67" s="98">
        <f t="shared" si="29"/>
        <v>770.22500000000014</v>
      </c>
      <c r="J67" s="98">
        <f t="shared" si="29"/>
        <v>1002.7635695010924</v>
      </c>
      <c r="K67" s="98">
        <f t="shared" si="29"/>
        <v>1056.0317355192599</v>
      </c>
      <c r="L67" s="98">
        <f t="shared" si="29"/>
        <v>1123.001461510755</v>
      </c>
      <c r="M67" s="98">
        <f t="shared" si="29"/>
        <v>1172.2386844259679</v>
      </c>
      <c r="N67" s="98">
        <f>N65-N66</f>
        <v>1219.5491617390176</v>
      </c>
      <c r="O67" s="98">
        <f>O65-O66</f>
        <v>1272.261591528563</v>
      </c>
      <c r="P67" s="98">
        <f>P65-P66</f>
        <v>1291.9141868933866</v>
      </c>
      <c r="Q67" s="98">
        <f>Q65-Q66</f>
        <v>1311.7804438361065</v>
      </c>
      <c r="R67" s="98">
        <f>R65-R66</f>
        <v>1334.6706506589107</v>
      </c>
      <c r="S67" s="98"/>
    </row>
    <row r="68" spans="1:22" hidden="1" x14ac:dyDescent="0.3">
      <c r="D68" s="1" t="s">
        <v>116</v>
      </c>
      <c r="E68" s="98">
        <f>E67*(1-$V66)</f>
        <v>623.23444000000006</v>
      </c>
      <c r="F68" s="98">
        <f>F67*(1-$V66)</f>
        <v>488.04981399999991</v>
      </c>
      <c r="G68" s="98">
        <f>G67*(1-$V66)</f>
        <v>374.08728000000008</v>
      </c>
      <c r="H68" s="98">
        <f>H67*(1-$V66)</f>
        <v>595.50450000000001</v>
      </c>
      <c r="I68" s="98">
        <f>I67</f>
        <v>770.22500000000014</v>
      </c>
      <c r="J68" s="98">
        <f>J67</f>
        <v>1002.7635695010924</v>
      </c>
      <c r="K68" s="98">
        <f>K67</f>
        <v>1056.0317355192599</v>
      </c>
      <c r="L68" s="98">
        <f>L67</f>
        <v>1123.001461510755</v>
      </c>
      <c r="M68" s="98">
        <f t="shared" ref="M68:R68" si="30">M67*(1-$V66)</f>
        <v>961.23572122929374</v>
      </c>
      <c r="N68" s="98">
        <f t="shared" si="30"/>
        <v>1000.0303126259945</v>
      </c>
      <c r="O68" s="98">
        <f t="shared" si="30"/>
        <v>1043.2545050534218</v>
      </c>
      <c r="P68" s="98">
        <f t="shared" si="30"/>
        <v>1059.3696332525772</v>
      </c>
      <c r="Q68" s="98">
        <f t="shared" si="30"/>
        <v>1075.6599639456074</v>
      </c>
      <c r="R68" s="98">
        <f t="shared" si="30"/>
        <v>1094.4299335403068</v>
      </c>
      <c r="S68" s="98"/>
    </row>
    <row r="69" spans="1:22" hidden="1" x14ac:dyDescent="0.3"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</row>
    <row r="70" spans="1:22" hidden="1" x14ac:dyDescent="0.3">
      <c r="D70" s="1" t="s">
        <v>117</v>
      </c>
      <c r="L70" s="2">
        <v>0.5</v>
      </c>
      <c r="M70" s="2">
        <f t="shared" ref="M70:R70" si="31">L70+1</f>
        <v>1.5</v>
      </c>
      <c r="N70" s="2">
        <f t="shared" si="31"/>
        <v>2.5</v>
      </c>
      <c r="O70" s="2">
        <f t="shared" si="31"/>
        <v>3.5</v>
      </c>
      <c r="P70" s="2">
        <f t="shared" si="31"/>
        <v>4.5</v>
      </c>
      <c r="Q70" s="2">
        <f t="shared" si="31"/>
        <v>5.5</v>
      </c>
      <c r="R70" s="2">
        <f t="shared" si="31"/>
        <v>6.5</v>
      </c>
      <c r="U70" s="1" t="s">
        <v>118</v>
      </c>
      <c r="V70" s="98">
        <f>J71+K71+L71+M71+N71+O71+P71+Q71+R71</f>
        <v>5203.2308129564954</v>
      </c>
    </row>
    <row r="71" spans="1:22" hidden="1" x14ac:dyDescent="0.3">
      <c r="D71" s="1" t="s">
        <v>119</v>
      </c>
      <c r="F71" s="98"/>
      <c r="G71" s="98"/>
      <c r="H71" s="98"/>
      <c r="I71" s="98"/>
      <c r="J71" s="98"/>
      <c r="K71" s="98"/>
      <c r="L71" s="98">
        <f>0.5*L68/(1+$V$64)^(L70)</f>
        <v>541.30768160992295</v>
      </c>
      <c r="M71" s="98">
        <f t="shared" ref="M71:R71" si="32">M68/(1+$V$64)^(M70)</f>
        <v>861.21481985698006</v>
      </c>
      <c r="N71" s="98">
        <f t="shared" si="32"/>
        <v>832.68834524427416</v>
      </c>
      <c r="O71" s="98">
        <f t="shared" si="32"/>
        <v>807.32298840492433</v>
      </c>
      <c r="P71" s="98">
        <f t="shared" si="32"/>
        <v>761.89004454066128</v>
      </c>
      <c r="Q71" s="98">
        <f t="shared" si="32"/>
        <v>718.96460798867656</v>
      </c>
      <c r="R71" s="98">
        <f t="shared" si="32"/>
        <v>679.84232531105579</v>
      </c>
      <c r="S71" s="316">
        <f>(R68*(1+V65))/(V64-V65)</f>
        <v>17976.12243066002</v>
      </c>
      <c r="U71" s="1" t="s">
        <v>120</v>
      </c>
      <c r="V71" s="98">
        <f>(S71)/((1+V64)^(R70+1))</f>
        <v>10377.768590321602</v>
      </c>
    </row>
    <row r="72" spans="1:22" hidden="1" x14ac:dyDescent="0.3">
      <c r="U72" s="13" t="s">
        <v>121</v>
      </c>
      <c r="V72" s="352">
        <f>V70+V71</f>
        <v>15580.999403278098</v>
      </c>
    </row>
    <row r="73" spans="1:22" hidden="1" x14ac:dyDescent="0.3">
      <c r="D73" s="1" t="s">
        <v>122</v>
      </c>
      <c r="E73" s="400"/>
      <c r="F73" s="400"/>
      <c r="G73" s="400"/>
      <c r="H73" s="400"/>
      <c r="I73" s="400"/>
      <c r="J73" s="400"/>
      <c r="K73" s="400"/>
      <c r="L73" s="400">
        <f>$V72/L65</f>
        <v>9.0240890582794755</v>
      </c>
      <c r="M73" s="400">
        <f>$V72/M65</f>
        <v>8.7311073020234495</v>
      </c>
    </row>
    <row r="74" spans="1:22" hidden="1" x14ac:dyDescent="0.3">
      <c r="D74" s="1" t="s">
        <v>123</v>
      </c>
      <c r="E74" s="400"/>
      <c r="F74" s="400"/>
      <c r="G74" s="400"/>
      <c r="H74" s="400"/>
      <c r="I74" s="400"/>
      <c r="J74" s="400"/>
      <c r="K74" s="400"/>
      <c r="L74" s="400">
        <f>$V72/(L65-L66)</f>
        <v>13.87442486701419</v>
      </c>
      <c r="M74" s="400">
        <f>$V72/(M65-M66)</f>
        <v>13.291661169591872</v>
      </c>
      <c r="U74" s="13" t="s">
        <v>8</v>
      </c>
      <c r="V74" s="352">
        <v>12543.151003176519</v>
      </c>
    </row>
    <row r="75" spans="1:22" hidden="1" x14ac:dyDescent="0.3">
      <c r="D75" s="1" t="s">
        <v>124</v>
      </c>
      <c r="E75" s="400"/>
      <c r="F75" s="400"/>
      <c r="G75" s="400"/>
      <c r="H75" s="400"/>
      <c r="I75" s="400"/>
      <c r="J75" s="400"/>
      <c r="K75" s="400"/>
      <c r="L75" s="400">
        <f>$V72/((1-$V66)*(L65-L66))</f>
        <v>16.92003032562706</v>
      </c>
      <c r="M75" s="400">
        <f>$V72/((1-$V66)*(M65-M66))</f>
        <v>16.209342889746186</v>
      </c>
    </row>
    <row r="76" spans="1:22" x14ac:dyDescent="0.3">
      <c r="U76" s="1" t="s">
        <v>211</v>
      </c>
      <c r="V76" s="452">
        <v>1.38</v>
      </c>
    </row>
    <row r="77" spans="1:22" x14ac:dyDescent="0.3">
      <c r="A77" s="401"/>
      <c r="B77" s="401"/>
      <c r="C77" s="401"/>
      <c r="D77" s="401"/>
      <c r="E77" s="403"/>
      <c r="F77" s="403"/>
      <c r="G77" s="403"/>
      <c r="H77" s="403"/>
      <c r="I77" s="403"/>
      <c r="J77" s="403"/>
      <c r="K77" s="403"/>
      <c r="L77" s="403"/>
      <c r="M77" s="403"/>
      <c r="N77" s="403"/>
      <c r="O77" s="403"/>
      <c r="P77" s="403"/>
      <c r="Q77" s="403"/>
      <c r="R77" s="403"/>
      <c r="S77" s="401"/>
      <c r="T77" s="401"/>
      <c r="U77" s="401"/>
      <c r="V77" s="403"/>
    </row>
    <row r="79" spans="1:22" x14ac:dyDescent="0.3">
      <c r="B79" s="13" t="s">
        <v>170</v>
      </c>
      <c r="E79" s="3">
        <v>2010</v>
      </c>
      <c r="F79" s="3">
        <f t="shared" ref="F79:M79" si="33">E79+1</f>
        <v>2011</v>
      </c>
      <c r="G79" s="3">
        <f t="shared" si="33"/>
        <v>2012</v>
      </c>
      <c r="H79" s="3">
        <f t="shared" si="33"/>
        <v>2013</v>
      </c>
      <c r="I79" s="3">
        <f t="shared" si="33"/>
        <v>2014</v>
      </c>
      <c r="J79" s="3">
        <f t="shared" si="33"/>
        <v>2015</v>
      </c>
      <c r="K79" s="3">
        <f t="shared" si="33"/>
        <v>2016</v>
      </c>
      <c r="L79" s="3">
        <f t="shared" si="33"/>
        <v>2017</v>
      </c>
      <c r="M79" s="3">
        <f t="shared" si="33"/>
        <v>2018</v>
      </c>
      <c r="N79" s="3">
        <v>2019</v>
      </c>
      <c r="O79" s="3">
        <v>2020</v>
      </c>
      <c r="P79" s="3">
        <v>2021</v>
      </c>
      <c r="Q79" s="3">
        <v>2022</v>
      </c>
      <c r="R79" s="3">
        <v>2023</v>
      </c>
      <c r="U79" s="1" t="s">
        <v>113</v>
      </c>
      <c r="V79" s="357">
        <v>7.4999999999999997E-2</v>
      </c>
    </row>
    <row r="80" spans="1:22" x14ac:dyDescent="0.3">
      <c r="D80" s="1" t="s">
        <v>82</v>
      </c>
      <c r="E80" s="98">
        <f>'TMO Netherlands'!Y46</f>
        <v>461</v>
      </c>
      <c r="F80" s="98">
        <f>'TMO Netherlands'!AE46</f>
        <v>458</v>
      </c>
      <c r="G80" s="98">
        <f>'TMO Netherlands'!AK46</f>
        <v>525</v>
      </c>
      <c r="H80" s="98">
        <f>'TMO Netherlands'!AQ46</f>
        <v>495</v>
      </c>
      <c r="I80" s="98">
        <f>'TMO Netherlands'!AW46</f>
        <v>630</v>
      </c>
      <c r="J80" s="98">
        <f>'TMO Netherlands'!BC46</f>
        <v>500</v>
      </c>
      <c r="K80" s="98">
        <f>'TMO Netherlands'!BI46</f>
        <v>358</v>
      </c>
      <c r="L80" s="98">
        <f>'TMO Netherlands'!BO46</f>
        <v>421</v>
      </c>
      <c r="M80" s="98">
        <f>'TMO Netherlands'!BU46</f>
        <v>388.050425158613</v>
      </c>
      <c r="N80" s="98">
        <f>'TMO Netherlands'!CA46</f>
        <v>384.50259753695832</v>
      </c>
      <c r="O80" s="98">
        <f>'TMO Netherlands'!CG46</f>
        <v>386.97488512445466</v>
      </c>
      <c r="P80" s="98">
        <f>'TMO Netherlands'!CM46</f>
        <v>393.03344707947724</v>
      </c>
      <c r="Q80" s="98">
        <f>'TMO Netherlands'!CS46</f>
        <v>400.87692193577374</v>
      </c>
      <c r="R80" s="98">
        <f>'TMO Netherlands'!CY46</f>
        <v>409.34584955151735</v>
      </c>
      <c r="U80" s="1" t="s">
        <v>114</v>
      </c>
      <c r="V80" s="357">
        <v>0</v>
      </c>
    </row>
    <row r="81" spans="1:22" x14ac:dyDescent="0.3">
      <c r="D81" s="1" t="s">
        <v>90</v>
      </c>
      <c r="E81" s="98">
        <f>'TMO Netherlands'!Y52</f>
        <v>142</v>
      </c>
      <c r="F81" s="98">
        <f>'TMO Netherlands'!AE52</f>
        <v>170</v>
      </c>
      <c r="G81" s="98">
        <f>'TMO Netherlands'!AK52</f>
        <v>137</v>
      </c>
      <c r="H81" s="98">
        <f>'TMO Netherlands'!AQ52</f>
        <v>195</v>
      </c>
      <c r="I81" s="98">
        <f>'TMO Netherlands'!AW52</f>
        <v>181</v>
      </c>
      <c r="J81" s="98">
        <f>'TMO Netherlands'!BC52</f>
        <v>176</v>
      </c>
      <c r="K81" s="98">
        <f>'TMO Netherlands'!BI52</f>
        <v>123</v>
      </c>
      <c r="L81" s="98">
        <f>'TMO Netherlands'!BO52</f>
        <v>172</v>
      </c>
      <c r="M81" s="98">
        <f>'TMO Netherlands'!BU52</f>
        <v>156.97489444684902</v>
      </c>
      <c r="N81" s="98">
        <f>'TMO Netherlands'!CA52</f>
        <v>148.8185950099008</v>
      </c>
      <c r="O81" s="98">
        <f>'TMO Netherlands'!CG52</f>
        <v>140.61975771225113</v>
      </c>
      <c r="P81" s="98">
        <f>'TMO Netherlands'!CM52</f>
        <v>138.69656889529327</v>
      </c>
      <c r="Q81" s="98">
        <f>'TMO Netherlands'!CS52</f>
        <v>140.52102242980732</v>
      </c>
      <c r="R81" s="98">
        <f>'TMO Netherlands'!CY52</f>
        <v>139.02450601779935</v>
      </c>
      <c r="U81" s="1" t="s">
        <v>115</v>
      </c>
      <c r="V81" s="399">
        <v>0.25</v>
      </c>
    </row>
    <row r="82" spans="1:22" x14ac:dyDescent="0.3">
      <c r="D82" s="1" t="s">
        <v>38</v>
      </c>
      <c r="E82" s="98">
        <f t="shared" ref="E82:M82" si="34">E80-E81</f>
        <v>319</v>
      </c>
      <c r="F82" s="98">
        <f t="shared" si="34"/>
        <v>288</v>
      </c>
      <c r="G82" s="98">
        <f t="shared" si="34"/>
        <v>388</v>
      </c>
      <c r="H82" s="98">
        <f t="shared" si="34"/>
        <v>300</v>
      </c>
      <c r="I82" s="98">
        <f t="shared" si="34"/>
        <v>449</v>
      </c>
      <c r="J82" s="98">
        <f t="shared" si="34"/>
        <v>324</v>
      </c>
      <c r="K82" s="98">
        <f t="shared" si="34"/>
        <v>235</v>
      </c>
      <c r="L82" s="98">
        <f t="shared" si="34"/>
        <v>249</v>
      </c>
      <c r="M82" s="98">
        <f t="shared" si="34"/>
        <v>231.07553071176397</v>
      </c>
      <c r="N82" s="98">
        <f>N80-N81</f>
        <v>235.68400252705752</v>
      </c>
      <c r="O82" s="98">
        <f>O80-O81</f>
        <v>246.35512741220353</v>
      </c>
      <c r="P82" s="98">
        <f>P80-P81</f>
        <v>254.33687818418397</v>
      </c>
      <c r="Q82" s="98">
        <f>Q80-Q81</f>
        <v>260.35589950596642</v>
      </c>
      <c r="R82" s="98">
        <f>R80-R81</f>
        <v>270.32134353371799</v>
      </c>
    </row>
    <row r="83" spans="1:22" x14ac:dyDescent="0.3">
      <c r="D83" s="1" t="s">
        <v>116</v>
      </c>
      <c r="E83" s="98">
        <f t="shared" ref="E83:R83" si="35">E82*(1-$V81)</f>
        <v>239.25</v>
      </c>
      <c r="F83" s="98">
        <f t="shared" si="35"/>
        <v>216</v>
      </c>
      <c r="G83" s="98">
        <f t="shared" si="35"/>
        <v>291</v>
      </c>
      <c r="H83" s="98">
        <f t="shared" si="35"/>
        <v>225</v>
      </c>
      <c r="I83" s="98">
        <f t="shared" si="35"/>
        <v>336.75</v>
      </c>
      <c r="J83" s="98">
        <f t="shared" si="35"/>
        <v>243</v>
      </c>
      <c r="K83" s="98">
        <f t="shared" si="35"/>
        <v>176.25</v>
      </c>
      <c r="L83" s="98">
        <f t="shared" si="35"/>
        <v>186.75</v>
      </c>
      <c r="M83" s="98">
        <f t="shared" si="35"/>
        <v>173.30664803382297</v>
      </c>
      <c r="N83" s="98">
        <f t="shared" si="35"/>
        <v>176.76300189529314</v>
      </c>
      <c r="O83" s="98">
        <f t="shared" si="35"/>
        <v>184.76634555915265</v>
      </c>
      <c r="P83" s="98">
        <f t="shared" si="35"/>
        <v>190.75265863813797</v>
      </c>
      <c r="Q83" s="98">
        <f t="shared" si="35"/>
        <v>195.26692462947483</v>
      </c>
      <c r="R83" s="98">
        <f t="shared" si="35"/>
        <v>202.74100765028851</v>
      </c>
    </row>
    <row r="84" spans="1:22" x14ac:dyDescent="0.3">
      <c r="E84" s="98"/>
      <c r="F84" s="98"/>
      <c r="G84" s="98"/>
      <c r="H84" s="98"/>
      <c r="I84" s="98"/>
      <c r="J84" s="98"/>
      <c r="K84" s="98"/>
      <c r="L84" s="98"/>
      <c r="M84" s="98"/>
      <c r="N84" s="98"/>
      <c r="O84" s="98"/>
      <c r="P84" s="98"/>
      <c r="Q84" s="98"/>
      <c r="R84" s="98"/>
    </row>
    <row r="85" spans="1:22" x14ac:dyDescent="0.3">
      <c r="D85" s="1" t="s">
        <v>117</v>
      </c>
      <c r="N85" s="2">
        <f t="shared" ref="N85:R85" si="36">M85+1</f>
        <v>1</v>
      </c>
      <c r="O85" s="2">
        <f t="shared" si="36"/>
        <v>2</v>
      </c>
      <c r="P85" s="2">
        <f t="shared" si="36"/>
        <v>3</v>
      </c>
      <c r="Q85" s="2">
        <f t="shared" si="36"/>
        <v>4</v>
      </c>
      <c r="R85" s="2">
        <f t="shared" si="36"/>
        <v>5</v>
      </c>
      <c r="U85" s="1" t="s">
        <v>118</v>
      </c>
      <c r="V85" s="98">
        <f>J86+K86+L86+M86+N86+O86+P86+Q86+R86</f>
        <v>775.81187768265499</v>
      </c>
    </row>
    <row r="86" spans="1:22" x14ac:dyDescent="0.3">
      <c r="D86" s="1" t="s">
        <v>119</v>
      </c>
      <c r="F86" s="98"/>
      <c r="G86" s="98"/>
      <c r="H86" s="98"/>
      <c r="I86" s="98"/>
      <c r="J86" s="98"/>
      <c r="K86" s="98"/>
      <c r="L86" s="98"/>
      <c r="M86" s="98"/>
      <c r="N86" s="98">
        <f>N83/(1+$V$2)^(N85)</f>
        <v>165.19906719186275</v>
      </c>
      <c r="O86" s="98">
        <f>O83/(1+$V$2)^(O85)</f>
        <v>161.38208189287505</v>
      </c>
      <c r="P86" s="98">
        <f>P83/(1+$V$2)^(P85)</f>
        <v>155.71099025759744</v>
      </c>
      <c r="Q86" s="98">
        <f>Q83/(1+$V$2)^(Q85)</f>
        <v>148.96820187107133</v>
      </c>
      <c r="R86" s="98">
        <f>R83/(1+$V$2)^(R85)</f>
        <v>144.55153646924839</v>
      </c>
      <c r="S86" s="316">
        <f>(R83*(1+V80))/(V79-V80)</f>
        <v>2703.2134353371803</v>
      </c>
      <c r="U86" s="1" t="s">
        <v>120</v>
      </c>
      <c r="V86" s="98">
        <f>(S86)/((1+V79)^(R85+1))</f>
        <v>1751.5782822966751</v>
      </c>
    </row>
    <row r="87" spans="1:22" x14ac:dyDescent="0.3">
      <c r="U87" s="13" t="s">
        <v>121</v>
      </c>
      <c r="V87" s="352">
        <f>V85+V86</f>
        <v>2527.3901599793298</v>
      </c>
    </row>
    <row r="88" spans="1:22" x14ac:dyDescent="0.3">
      <c r="D88" s="1" t="s">
        <v>122</v>
      </c>
      <c r="E88" s="400"/>
      <c r="F88" s="400"/>
      <c r="G88" s="400"/>
      <c r="H88" s="400"/>
      <c r="I88" s="400"/>
      <c r="J88" s="400"/>
      <c r="K88" s="400"/>
      <c r="L88" s="400">
        <f>$V87/L80</f>
        <v>6.0033020427062462</v>
      </c>
      <c r="M88" s="400">
        <f>$V87/M80</f>
        <v>6.5130457180823242</v>
      </c>
      <c r="N88" s="400">
        <f>$V87/N80</f>
        <v>6.5731419661902217</v>
      </c>
    </row>
    <row r="89" spans="1:22" x14ac:dyDescent="0.3">
      <c r="D89" s="1" t="s">
        <v>123</v>
      </c>
      <c r="E89" s="400"/>
      <c r="F89" s="400"/>
      <c r="G89" s="400"/>
      <c r="H89" s="400"/>
      <c r="I89" s="400"/>
      <c r="J89" s="400"/>
      <c r="K89" s="400"/>
      <c r="L89" s="400">
        <f>$V87/(L80-L81)</f>
        <v>10.15016128505755</v>
      </c>
      <c r="M89" s="400">
        <f>$V87/(M80-M81)</f>
        <v>10.937506676688816</v>
      </c>
      <c r="N89" s="400">
        <f>$V87/(N80-N81)</f>
        <v>10.723638994925736</v>
      </c>
    </row>
    <row r="90" spans="1:22" x14ac:dyDescent="0.3">
      <c r="D90" s="1" t="s">
        <v>124</v>
      </c>
      <c r="E90" s="400"/>
      <c r="F90" s="400"/>
      <c r="G90" s="400"/>
      <c r="H90" s="400"/>
      <c r="I90" s="400"/>
      <c r="J90" s="400"/>
      <c r="K90" s="400"/>
      <c r="L90" s="400">
        <f>$V87/((1-$V81)*(L80-L81))</f>
        <v>13.533548380076732</v>
      </c>
      <c r="M90" s="400">
        <f>$V87/((1-$V81)*(M80-M81))</f>
        <v>14.583342235585087</v>
      </c>
      <c r="N90" s="400">
        <f>$V87/((1-$V81)*(N80-N81))</f>
        <v>14.298185326567648</v>
      </c>
    </row>
    <row r="91" spans="1:22" x14ac:dyDescent="0.3">
      <c r="G91" s="98"/>
      <c r="H91" s="98"/>
      <c r="I91" s="98"/>
      <c r="J91" s="98"/>
      <c r="K91" s="98"/>
      <c r="L91" s="98">
        <f>L82-L83</f>
        <v>62.25</v>
      </c>
      <c r="M91" s="98">
        <f>M82-M83</f>
        <v>57.768882677941008</v>
      </c>
      <c r="N91" s="98">
        <f>N82-N83</f>
        <v>58.921000631764372</v>
      </c>
      <c r="O91" s="98"/>
      <c r="P91" s="98"/>
      <c r="Q91" s="98"/>
      <c r="R91" s="98"/>
    </row>
    <row r="92" spans="1:22" x14ac:dyDescent="0.3">
      <c r="A92" s="401"/>
      <c r="B92" s="401"/>
      <c r="C92" s="401"/>
      <c r="D92" s="401"/>
      <c r="E92" s="403"/>
      <c r="F92" s="403"/>
      <c r="G92" s="403"/>
      <c r="H92" s="403"/>
      <c r="I92" s="403"/>
      <c r="J92" s="403"/>
      <c r="K92" s="403"/>
      <c r="L92" s="403"/>
      <c r="M92" s="403"/>
      <c r="N92" s="403"/>
      <c r="O92" s="403"/>
      <c r="P92" s="403"/>
      <c r="Q92" s="403"/>
      <c r="R92" s="403"/>
      <c r="S92" s="401"/>
      <c r="T92" s="401"/>
      <c r="U92" s="401"/>
      <c r="V92" s="403"/>
    </row>
    <row r="94" spans="1:22" x14ac:dyDescent="0.3">
      <c r="B94" s="13" t="s">
        <v>171</v>
      </c>
      <c r="E94" s="3">
        <v>2010</v>
      </c>
      <c r="F94" s="3">
        <f t="shared" ref="F94:M94" si="37">E94+1</f>
        <v>2011</v>
      </c>
      <c r="G94" s="3">
        <f t="shared" si="37"/>
        <v>2012</v>
      </c>
      <c r="H94" s="3">
        <f t="shared" si="37"/>
        <v>2013</v>
      </c>
      <c r="I94" s="3">
        <f t="shared" si="37"/>
        <v>2014</v>
      </c>
      <c r="J94" s="3">
        <f t="shared" si="37"/>
        <v>2015</v>
      </c>
      <c r="K94" s="3">
        <f t="shared" si="37"/>
        <v>2016</v>
      </c>
      <c r="L94" s="3">
        <f t="shared" si="37"/>
        <v>2017</v>
      </c>
      <c r="M94" s="3">
        <f t="shared" si="37"/>
        <v>2018</v>
      </c>
      <c r="N94" s="3">
        <v>2019</v>
      </c>
      <c r="O94" s="3">
        <v>2020</v>
      </c>
      <c r="P94" s="3">
        <v>2021</v>
      </c>
      <c r="Q94" s="3">
        <v>2022</v>
      </c>
      <c r="R94" s="3">
        <v>2023</v>
      </c>
      <c r="U94" s="1" t="s">
        <v>113</v>
      </c>
      <c r="V94" s="357">
        <v>7.4999999999999997E-2</v>
      </c>
    </row>
    <row r="95" spans="1:22" x14ac:dyDescent="0.3">
      <c r="D95" s="1" t="s">
        <v>82</v>
      </c>
      <c r="E95" s="98">
        <f>'TMO Austria'!Y46</f>
        <v>283</v>
      </c>
      <c r="F95" s="98">
        <f>'TMO Austria'!AE46</f>
        <v>253</v>
      </c>
      <c r="G95" s="98">
        <f>'TMO Austria'!AK46</f>
        <v>234</v>
      </c>
      <c r="H95" s="98">
        <f>'TMO Austria'!AQ46</f>
        <v>192</v>
      </c>
      <c r="I95" s="98">
        <f>'TMO Austria'!AW46</f>
        <v>211</v>
      </c>
      <c r="J95" s="98">
        <f>'TMO Austria'!BC46</f>
        <v>259</v>
      </c>
      <c r="K95" s="98">
        <f>'TMO Austria'!BI46</f>
        <v>258</v>
      </c>
      <c r="L95" s="98">
        <f>'TMO Austria'!BO46</f>
        <v>266</v>
      </c>
      <c r="M95" s="98">
        <f>'TMO Austria'!BU46</f>
        <v>254.62274220394872</v>
      </c>
      <c r="N95" s="98">
        <f>'TMO Austria'!CA46</f>
        <v>255.35701261357542</v>
      </c>
      <c r="O95" s="98">
        <f>'TMO Austria'!CG46</f>
        <v>262.65158798429729</v>
      </c>
      <c r="P95" s="98">
        <f>'TMO Austria'!CM46</f>
        <v>268.92913375844125</v>
      </c>
      <c r="Q95" s="98">
        <f>'TMO Austria'!CS46</f>
        <v>274.38035494901311</v>
      </c>
      <c r="R95" s="98">
        <f>'TMO Austria'!CY46</f>
        <v>280.5222890399196</v>
      </c>
      <c r="U95" s="1" t="s">
        <v>114</v>
      </c>
      <c r="V95" s="357">
        <v>0</v>
      </c>
    </row>
    <row r="96" spans="1:22" x14ac:dyDescent="0.3">
      <c r="D96" s="1" t="s">
        <v>90</v>
      </c>
      <c r="E96" s="98">
        <f>'TMO Austria'!Y52</f>
        <v>116</v>
      </c>
      <c r="F96" s="98">
        <f>'TMO Austria'!AE52</f>
        <v>102</v>
      </c>
      <c r="G96" s="98">
        <f>'TMO Austria'!AK52</f>
        <v>97</v>
      </c>
      <c r="H96" s="98">
        <f>'TMO Austria'!AQ52</f>
        <v>737</v>
      </c>
      <c r="I96" s="98">
        <f>'TMO Austria'!AW52</f>
        <v>94</v>
      </c>
      <c r="J96" s="98">
        <f>'TMO Austria'!BC52</f>
        <v>129</v>
      </c>
      <c r="K96" s="98">
        <f>'TMO Austria'!BI52</f>
        <v>139</v>
      </c>
      <c r="L96" s="98">
        <f>'TMO Austria'!BO52</f>
        <v>157</v>
      </c>
      <c r="M96" s="98">
        <f>'TMO Austria'!BU52</f>
        <v>157.92198928172454</v>
      </c>
      <c r="N96" s="98">
        <f>'TMO Austria'!CA52</f>
        <v>152.705868460641</v>
      </c>
      <c r="O96" s="98">
        <f>'TMO Austria'!CG52</f>
        <v>144.56479079858985</v>
      </c>
      <c r="P96" s="98">
        <f>'TMO Austria'!CM52</f>
        <v>134.12493824704887</v>
      </c>
      <c r="Q96" s="98">
        <f>'TMO Austria'!CS52</f>
        <v>126.76993090786436</v>
      </c>
      <c r="R96" s="98">
        <f>'TMO Austria'!CY52</f>
        <v>121.94849817593676</v>
      </c>
      <c r="U96" s="1" t="s">
        <v>115</v>
      </c>
      <c r="V96" s="399">
        <v>0.25</v>
      </c>
    </row>
    <row r="97" spans="1:22" x14ac:dyDescent="0.3">
      <c r="D97" s="1" t="s">
        <v>38</v>
      </c>
      <c r="E97" s="98">
        <f t="shared" ref="E97:M97" si="38">E95-E96</f>
        <v>167</v>
      </c>
      <c r="F97" s="98">
        <f t="shared" si="38"/>
        <v>151</v>
      </c>
      <c r="G97" s="98">
        <f t="shared" si="38"/>
        <v>137</v>
      </c>
      <c r="H97" s="98">
        <f t="shared" si="38"/>
        <v>-545</v>
      </c>
      <c r="I97" s="98">
        <f t="shared" si="38"/>
        <v>117</v>
      </c>
      <c r="J97" s="98">
        <f t="shared" si="38"/>
        <v>130</v>
      </c>
      <c r="K97" s="98">
        <f t="shared" si="38"/>
        <v>119</v>
      </c>
      <c r="L97" s="98">
        <f t="shared" si="38"/>
        <v>109</v>
      </c>
      <c r="M97" s="98">
        <f t="shared" si="38"/>
        <v>96.700752922224183</v>
      </c>
      <c r="N97" s="98">
        <f>N95-N96</f>
        <v>102.65114415293442</v>
      </c>
      <c r="O97" s="98">
        <f>O95-O96</f>
        <v>118.08679718570744</v>
      </c>
      <c r="P97" s="98">
        <f>P95-P96</f>
        <v>134.80419551139238</v>
      </c>
      <c r="Q97" s="98">
        <f>Q95-Q96</f>
        <v>147.61042404114875</v>
      </c>
      <c r="R97" s="98">
        <f>R95-R96</f>
        <v>158.57379086398282</v>
      </c>
    </row>
    <row r="98" spans="1:22" x14ac:dyDescent="0.3">
      <c r="D98" s="1" t="s">
        <v>116</v>
      </c>
      <c r="E98" s="98">
        <f t="shared" ref="E98:R98" si="39">E97*(1-$V96)</f>
        <v>125.25</v>
      </c>
      <c r="F98" s="98">
        <f t="shared" si="39"/>
        <v>113.25</v>
      </c>
      <c r="G98" s="98">
        <f t="shared" si="39"/>
        <v>102.75</v>
      </c>
      <c r="H98" s="98">
        <f t="shared" si="39"/>
        <v>-408.75</v>
      </c>
      <c r="I98" s="98">
        <f t="shared" si="39"/>
        <v>87.75</v>
      </c>
      <c r="J98" s="98">
        <f t="shared" si="39"/>
        <v>97.5</v>
      </c>
      <c r="K98" s="98">
        <f t="shared" si="39"/>
        <v>89.25</v>
      </c>
      <c r="L98" s="98">
        <f t="shared" si="39"/>
        <v>81.75</v>
      </c>
      <c r="M98" s="98">
        <f t="shared" si="39"/>
        <v>72.525564691668137</v>
      </c>
      <c r="N98" s="98">
        <f t="shared" si="39"/>
        <v>76.988358114700816</v>
      </c>
      <c r="O98" s="98">
        <f t="shared" si="39"/>
        <v>88.56509788928058</v>
      </c>
      <c r="P98" s="98">
        <f t="shared" si="39"/>
        <v>101.10314663354428</v>
      </c>
      <c r="Q98" s="98">
        <f t="shared" si="39"/>
        <v>110.70781803086156</v>
      </c>
      <c r="R98" s="98">
        <f t="shared" si="39"/>
        <v>118.93034314798712</v>
      </c>
    </row>
    <row r="99" spans="1:22" x14ac:dyDescent="0.3">
      <c r="E99" s="98"/>
      <c r="F99" s="98"/>
      <c r="G99" s="98"/>
      <c r="H99" s="98"/>
      <c r="I99" s="98"/>
      <c r="J99" s="98"/>
      <c r="K99" s="98"/>
      <c r="L99" s="98"/>
      <c r="M99" s="98"/>
      <c r="N99" s="98"/>
      <c r="O99" s="98"/>
      <c r="P99" s="98"/>
      <c r="Q99" s="98"/>
      <c r="R99" s="98"/>
    </row>
    <row r="100" spans="1:22" x14ac:dyDescent="0.3">
      <c r="D100" s="1" t="s">
        <v>117</v>
      </c>
      <c r="N100" s="2">
        <f t="shared" ref="N100:R100" si="40">M100+1</f>
        <v>1</v>
      </c>
      <c r="O100" s="2">
        <f t="shared" si="40"/>
        <v>2</v>
      </c>
      <c r="P100" s="2">
        <f t="shared" si="40"/>
        <v>3</v>
      </c>
      <c r="Q100" s="2">
        <f t="shared" si="40"/>
        <v>4</v>
      </c>
      <c r="R100" s="2">
        <f t="shared" si="40"/>
        <v>5</v>
      </c>
      <c r="U100" s="1" t="s">
        <v>118</v>
      </c>
      <c r="V100" s="98">
        <f>J101+K101+L101+M101+N101+O101+P101+Q101+R101</f>
        <v>395.37942127764018</v>
      </c>
    </row>
    <row r="101" spans="1:22" x14ac:dyDescent="0.3">
      <c r="D101" s="1" t="s">
        <v>119</v>
      </c>
      <c r="F101" s="98"/>
      <c r="G101" s="98"/>
      <c r="H101" s="98"/>
      <c r="I101" s="98"/>
      <c r="J101" s="98"/>
      <c r="K101" s="98"/>
      <c r="L101" s="98"/>
      <c r="M101" s="98"/>
      <c r="N101" s="98">
        <f t="shared" ref="N101:R101" si="41">N98/(1+$V$94)^(N100)</f>
        <v>71.61707731600076</v>
      </c>
      <c r="O101" s="98">
        <f t="shared" si="41"/>
        <v>76.638267508301212</v>
      </c>
      <c r="P101" s="98">
        <f t="shared" si="41"/>
        <v>81.384046493350709</v>
      </c>
      <c r="Q101" s="98">
        <f t="shared" si="41"/>
        <v>82.898072791895643</v>
      </c>
      <c r="R101" s="98">
        <f t="shared" si="41"/>
        <v>82.841957168091909</v>
      </c>
      <c r="S101" s="316">
        <f>(R98*(1+V95))/(V94-V95)</f>
        <v>1585.7379086398282</v>
      </c>
      <c r="U101" s="1" t="s">
        <v>120</v>
      </c>
      <c r="V101" s="98">
        <f>(S101)/((1+V94)^(R100+1))</f>
        <v>1027.4971431701324</v>
      </c>
    </row>
    <row r="102" spans="1:22" x14ac:dyDescent="0.3">
      <c r="U102" s="13" t="s">
        <v>121</v>
      </c>
      <c r="V102" s="352">
        <f>V100+V101</f>
        <v>1422.8765644477726</v>
      </c>
    </row>
    <row r="103" spans="1:22" x14ac:dyDescent="0.3">
      <c r="D103" s="1" t="s">
        <v>122</v>
      </c>
      <c r="E103" s="400"/>
      <c r="F103" s="400"/>
      <c r="G103" s="400"/>
      <c r="H103" s="400"/>
      <c r="I103" s="400"/>
      <c r="J103" s="400"/>
      <c r="K103" s="400"/>
      <c r="L103" s="400">
        <f>$V102/L95</f>
        <v>5.3491600167209494</v>
      </c>
      <c r="M103" s="400">
        <f>$V102/M95</f>
        <v>5.5881754792667788</v>
      </c>
    </row>
    <row r="104" spans="1:22" x14ac:dyDescent="0.3">
      <c r="D104" s="1" t="s">
        <v>123</v>
      </c>
      <c r="E104" s="400"/>
      <c r="F104" s="400"/>
      <c r="G104" s="400"/>
      <c r="H104" s="400"/>
      <c r="I104" s="400"/>
      <c r="J104" s="400"/>
      <c r="K104" s="400"/>
      <c r="L104" s="400">
        <f>$V102/(L95-L96)</f>
        <v>13.053913435300666</v>
      </c>
      <c r="M104" s="400">
        <f>$V102/(M95-M96)</f>
        <v>14.714224258338334</v>
      </c>
    </row>
    <row r="105" spans="1:22" x14ac:dyDescent="0.3">
      <c r="D105" s="1" t="s">
        <v>124</v>
      </c>
      <c r="E105" s="400"/>
      <c r="F105" s="400"/>
      <c r="G105" s="400"/>
      <c r="H105" s="400"/>
      <c r="I105" s="400"/>
      <c r="J105" s="400"/>
      <c r="K105" s="400"/>
      <c r="L105" s="400">
        <f>$V102/((1-$V96)*(L95-L96))</f>
        <v>17.405217913734223</v>
      </c>
      <c r="M105" s="400">
        <f>$V102/((1-$V96)*(M95-M96))</f>
        <v>19.618965677784445</v>
      </c>
    </row>
    <row r="106" spans="1:22" x14ac:dyDescent="0.3">
      <c r="G106" s="98"/>
      <c r="H106" s="98"/>
      <c r="I106" s="98"/>
      <c r="J106" s="98"/>
      <c r="K106" s="98"/>
      <c r="L106" s="98">
        <f>L97-L98</f>
        <v>27.25</v>
      </c>
      <c r="M106" s="98">
        <f>M97-M98</f>
        <v>24.175188230556046</v>
      </c>
      <c r="N106" s="98">
        <f>N97-N98</f>
        <v>25.662786038233605</v>
      </c>
      <c r="O106" s="98"/>
      <c r="P106" s="98"/>
      <c r="Q106" s="98"/>
      <c r="R106" s="98"/>
    </row>
    <row r="107" spans="1:22" x14ac:dyDescent="0.3">
      <c r="A107" s="401"/>
      <c r="B107" s="401"/>
      <c r="C107" s="401"/>
      <c r="D107" s="401"/>
      <c r="E107" s="403"/>
      <c r="F107" s="403"/>
      <c r="G107" s="403"/>
      <c r="H107" s="403"/>
      <c r="I107" s="403"/>
      <c r="J107" s="403"/>
      <c r="K107" s="403"/>
      <c r="L107" s="403"/>
      <c r="M107" s="403"/>
      <c r="N107" s="403"/>
      <c r="O107" s="403"/>
      <c r="P107" s="403"/>
      <c r="Q107" s="403"/>
      <c r="R107" s="403"/>
      <c r="S107" s="401"/>
      <c r="T107" s="401"/>
      <c r="U107" s="401"/>
      <c r="V107" s="403"/>
    </row>
    <row r="109" spans="1:22" x14ac:dyDescent="0.3">
      <c r="B109" s="13" t="s">
        <v>172</v>
      </c>
      <c r="E109" s="3">
        <v>2010</v>
      </c>
      <c r="F109" s="3">
        <f t="shared" ref="F109:M109" si="42">E109+1</f>
        <v>2011</v>
      </c>
      <c r="G109" s="3">
        <f t="shared" si="42"/>
        <v>2012</v>
      </c>
      <c r="H109" s="3">
        <f t="shared" si="42"/>
        <v>2013</v>
      </c>
      <c r="I109" s="3">
        <f t="shared" si="42"/>
        <v>2014</v>
      </c>
      <c r="J109" s="3">
        <f t="shared" si="42"/>
        <v>2015</v>
      </c>
      <c r="K109" s="3">
        <f t="shared" si="42"/>
        <v>2016</v>
      </c>
      <c r="L109" s="3">
        <f t="shared" si="42"/>
        <v>2017</v>
      </c>
      <c r="M109" s="3">
        <f t="shared" si="42"/>
        <v>2018</v>
      </c>
      <c r="N109" s="3">
        <v>2019</v>
      </c>
      <c r="O109" s="3">
        <v>2020</v>
      </c>
      <c r="P109" s="3">
        <v>2021</v>
      </c>
      <c r="Q109" s="3">
        <v>2022</v>
      </c>
      <c r="R109" s="3">
        <v>2023</v>
      </c>
      <c r="U109" s="1" t="s">
        <v>113</v>
      </c>
      <c r="V109" s="357">
        <v>0.09</v>
      </c>
    </row>
    <row r="110" spans="1:22" x14ac:dyDescent="0.3">
      <c r="D110" s="1" t="s">
        <v>82</v>
      </c>
      <c r="E110" s="98">
        <f>'TMO Cz Rep'!Y54</f>
        <v>551</v>
      </c>
      <c r="F110" s="98">
        <f>'TMO Cz Rep'!AE54</f>
        <v>509</v>
      </c>
      <c r="G110" s="98">
        <f>'TMO Cz Rep'!AK54</f>
        <v>486</v>
      </c>
      <c r="H110" s="98">
        <f>'TMO Cz Rep'!AQ54</f>
        <v>425</v>
      </c>
      <c r="I110" s="98">
        <f>'TMO Cz Rep'!AW54</f>
        <v>362</v>
      </c>
      <c r="J110" s="98">
        <f>'TMO Cz Rep'!BC54</f>
        <v>390</v>
      </c>
      <c r="K110" s="98">
        <f>'TMO Cz Rep'!BI54</f>
        <v>398</v>
      </c>
      <c r="L110" s="98">
        <f>'TMO Cz Rep'!BO54</f>
        <v>406</v>
      </c>
      <c r="M110" s="98">
        <f>'TMO Cz Rep'!BU54</f>
        <v>419.22559800505906</v>
      </c>
      <c r="N110" s="98">
        <f>'TMO Cz Rep'!CA54</f>
        <v>426.22523982793251</v>
      </c>
      <c r="O110" s="98">
        <f>'TMO Cz Rep'!CG54</f>
        <v>431.10583555209041</v>
      </c>
      <c r="P110" s="98">
        <f>'TMO Cz Rep'!CM54</f>
        <v>434.76441015295507</v>
      </c>
      <c r="Q110" s="98">
        <f>'TMO Cz Rep'!CS54</f>
        <v>436.73119417538555</v>
      </c>
      <c r="R110" s="98">
        <f>'TMO Cz Rep'!CY54</f>
        <v>438.8345860996875</v>
      </c>
      <c r="U110" s="1" t="s">
        <v>114</v>
      </c>
      <c r="V110" s="357">
        <v>0.02</v>
      </c>
    </row>
    <row r="111" spans="1:22" x14ac:dyDescent="0.3">
      <c r="D111" s="1" t="s">
        <v>90</v>
      </c>
      <c r="E111" s="98">
        <f>'TMO Cz Rep'!Y60</f>
        <v>118</v>
      </c>
      <c r="F111" s="98">
        <f>'TMO Cz Rep'!AE60</f>
        <v>148</v>
      </c>
      <c r="G111" s="98">
        <f>'TMO Cz Rep'!AK60</f>
        <v>129</v>
      </c>
      <c r="H111" s="98">
        <f>'TMO Cz Rep'!AQ60</f>
        <v>120</v>
      </c>
      <c r="I111" s="98">
        <f>'TMO Cz Rep'!AW60</f>
        <v>186</v>
      </c>
      <c r="J111" s="98">
        <f>'TMO Cz Rep'!BC60</f>
        <v>104</v>
      </c>
      <c r="K111" s="98">
        <f>'TMO Cz Rep'!BI60</f>
        <v>160</v>
      </c>
      <c r="L111" s="98">
        <f>'TMO Cz Rep'!BO60</f>
        <v>122</v>
      </c>
      <c r="M111" s="98">
        <f>'TMO Cz Rep'!BU60</f>
        <v>118.95187352499754</v>
      </c>
      <c r="N111" s="98">
        <f>'TMO Cz Rep'!CA60</f>
        <v>119.0621899918073</v>
      </c>
      <c r="O111" s="98">
        <f>'TMO Cz Rep'!CG60</f>
        <v>121.21407779422663</v>
      </c>
      <c r="P111" s="98">
        <f>'TMO Cz Rep'!CM60</f>
        <v>123.15073599317591</v>
      </c>
      <c r="Q111" s="98">
        <f>'TMO Cz Rep'!CS60</f>
        <v>124.66853560638054</v>
      </c>
      <c r="R111" s="98">
        <f>'TMO Cz Rep'!CY60</f>
        <v>126.24953585818312</v>
      </c>
      <c r="U111" s="1" t="s">
        <v>115</v>
      </c>
      <c r="V111" s="399">
        <v>0.2</v>
      </c>
    </row>
    <row r="112" spans="1:22" x14ac:dyDescent="0.3">
      <c r="D112" s="1" t="s">
        <v>38</v>
      </c>
      <c r="E112" s="98">
        <f t="shared" ref="E112:M112" si="43">E110-E111</f>
        <v>433</v>
      </c>
      <c r="F112" s="98">
        <f t="shared" si="43"/>
        <v>361</v>
      </c>
      <c r="G112" s="98">
        <f t="shared" si="43"/>
        <v>357</v>
      </c>
      <c r="H112" s="98">
        <f t="shared" si="43"/>
        <v>305</v>
      </c>
      <c r="I112" s="98">
        <f t="shared" si="43"/>
        <v>176</v>
      </c>
      <c r="J112" s="98">
        <f t="shared" si="43"/>
        <v>286</v>
      </c>
      <c r="K112" s="98">
        <f t="shared" si="43"/>
        <v>238</v>
      </c>
      <c r="L112" s="98">
        <f t="shared" si="43"/>
        <v>284</v>
      </c>
      <c r="M112" s="98">
        <f t="shared" si="43"/>
        <v>300.2737244800615</v>
      </c>
      <c r="N112" s="98">
        <f>N110-N111</f>
        <v>307.1630498361252</v>
      </c>
      <c r="O112" s="98">
        <f>O110-O111</f>
        <v>309.89175775786379</v>
      </c>
      <c r="P112" s="98">
        <f>P110-P111</f>
        <v>311.61367415977918</v>
      </c>
      <c r="Q112" s="98">
        <f>Q110-Q111</f>
        <v>312.06265856900501</v>
      </c>
      <c r="R112" s="98">
        <f>R110-R111</f>
        <v>312.5850502415044</v>
      </c>
    </row>
    <row r="113" spans="1:22" x14ac:dyDescent="0.3">
      <c r="D113" s="1" t="s">
        <v>116</v>
      </c>
      <c r="E113" s="98">
        <f t="shared" ref="E113:R113" si="44">E112*(1-$V111)</f>
        <v>346.40000000000003</v>
      </c>
      <c r="F113" s="98">
        <f t="shared" si="44"/>
        <v>288.8</v>
      </c>
      <c r="G113" s="98">
        <f t="shared" si="44"/>
        <v>285.60000000000002</v>
      </c>
      <c r="H113" s="98">
        <f t="shared" si="44"/>
        <v>244</v>
      </c>
      <c r="I113" s="98">
        <f t="shared" si="44"/>
        <v>140.80000000000001</v>
      </c>
      <c r="J113" s="98">
        <f t="shared" si="44"/>
        <v>228.8</v>
      </c>
      <c r="K113" s="98">
        <f t="shared" si="44"/>
        <v>190.4</v>
      </c>
      <c r="L113" s="98">
        <f t="shared" si="44"/>
        <v>227.20000000000002</v>
      </c>
      <c r="M113" s="98">
        <f t="shared" si="44"/>
        <v>240.21897958404921</v>
      </c>
      <c r="N113" s="98">
        <f t="shared" si="44"/>
        <v>245.73043986890016</v>
      </c>
      <c r="O113" s="98">
        <f t="shared" si="44"/>
        <v>247.91340620629103</v>
      </c>
      <c r="P113" s="98">
        <f t="shared" si="44"/>
        <v>249.29093932782337</v>
      </c>
      <c r="Q113" s="98">
        <f t="shared" si="44"/>
        <v>249.65012685520401</v>
      </c>
      <c r="R113" s="98">
        <f t="shared" si="44"/>
        <v>250.06804019320353</v>
      </c>
    </row>
    <row r="114" spans="1:22" x14ac:dyDescent="0.3">
      <c r="E114" s="98"/>
      <c r="F114" s="98"/>
      <c r="G114" s="98"/>
      <c r="H114" s="98"/>
      <c r="I114" s="98"/>
      <c r="J114" s="98"/>
      <c r="K114" s="98"/>
      <c r="L114" s="98"/>
      <c r="M114" s="98"/>
      <c r="N114" s="98"/>
      <c r="O114" s="98"/>
      <c r="P114" s="98"/>
      <c r="Q114" s="98"/>
      <c r="R114" s="98"/>
    </row>
    <row r="115" spans="1:22" x14ac:dyDescent="0.3">
      <c r="D115" s="1" t="s">
        <v>117</v>
      </c>
      <c r="N115" s="2">
        <f t="shared" ref="N115:R115" si="45">M115+1</f>
        <v>1</v>
      </c>
      <c r="O115" s="2">
        <f t="shared" si="45"/>
        <v>2</v>
      </c>
      <c r="P115" s="2">
        <f t="shared" si="45"/>
        <v>3</v>
      </c>
      <c r="Q115" s="2">
        <f t="shared" si="45"/>
        <v>4</v>
      </c>
      <c r="R115" s="2">
        <f t="shared" si="45"/>
        <v>5</v>
      </c>
      <c r="U115" s="1" t="s">
        <v>118</v>
      </c>
      <c r="V115" s="98">
        <f>J116+K116+L116+M116+N116+O116+P116+Q116+R116</f>
        <v>1004.9085869038241</v>
      </c>
    </row>
    <row r="116" spans="1:22" x14ac:dyDescent="0.3">
      <c r="D116" s="1" t="s">
        <v>119</v>
      </c>
      <c r="F116" s="98"/>
      <c r="G116" s="98"/>
      <c r="H116" s="98"/>
      <c r="I116" s="98"/>
      <c r="J116" s="98"/>
      <c r="K116" s="98"/>
      <c r="L116" s="98"/>
      <c r="M116" s="98"/>
      <c r="N116" s="98">
        <f>N113/(1+$V$94)^(N115)</f>
        <v>228.58645569200016</v>
      </c>
      <c r="O116" s="98">
        <f>O113/(1+$V$94)^(O115)</f>
        <v>214.5275553975477</v>
      </c>
      <c r="P116" s="98">
        <f>P113/(1+$V$94)^(P115)</f>
        <v>200.66937649490859</v>
      </c>
      <c r="Q116" s="98">
        <f>Q113/(1+$V$94)^(Q115)</f>
        <v>186.93814724791596</v>
      </c>
      <c r="R116" s="98">
        <f>R113/(1+$V$94)^(R115)</f>
        <v>174.18705207145172</v>
      </c>
      <c r="S116" s="316">
        <f>(R113*(1+V110))/(V109-V110)</f>
        <v>3643.8485856723951</v>
      </c>
      <c r="U116" s="1" t="s">
        <v>120</v>
      </c>
      <c r="V116" s="98">
        <f>(S116)/((1+V109)^(R115+1))</f>
        <v>2172.7078557314903</v>
      </c>
    </row>
    <row r="117" spans="1:22" x14ac:dyDescent="0.3">
      <c r="U117" s="13" t="s">
        <v>121</v>
      </c>
      <c r="V117" s="352">
        <f>V115+V116</f>
        <v>3177.6164426353143</v>
      </c>
    </row>
    <row r="118" spans="1:22" x14ac:dyDescent="0.3">
      <c r="D118" s="1" t="s">
        <v>122</v>
      </c>
      <c r="E118" s="400"/>
      <c r="F118" s="400"/>
      <c r="G118" s="400"/>
      <c r="H118" s="400"/>
      <c r="I118" s="400"/>
      <c r="J118" s="400"/>
      <c r="K118" s="400"/>
      <c r="L118" s="400">
        <f>$V117/L110</f>
        <v>7.8266414843234342</v>
      </c>
      <c r="M118" s="400">
        <f>$V117/M110</f>
        <v>7.5797290474542258</v>
      </c>
      <c r="N118" s="400">
        <f>$V117/N110</f>
        <v>7.4552516972437406</v>
      </c>
    </row>
    <row r="119" spans="1:22" x14ac:dyDescent="0.3">
      <c r="D119" s="1" t="s">
        <v>123</v>
      </c>
      <c r="E119" s="400"/>
      <c r="F119" s="400"/>
      <c r="G119" s="400"/>
      <c r="H119" s="400"/>
      <c r="I119" s="400"/>
      <c r="J119" s="400"/>
      <c r="K119" s="400"/>
      <c r="L119" s="400">
        <f>$V117/(L110-L111)</f>
        <v>11.188790290969417</v>
      </c>
      <c r="M119" s="400">
        <f>$V117/(M110-M111)</f>
        <v>10.58239926965808</v>
      </c>
      <c r="N119" s="400">
        <f>$V117/(N110-N111)</f>
        <v>10.3450478315364</v>
      </c>
    </row>
    <row r="120" spans="1:22" x14ac:dyDescent="0.3">
      <c r="D120" s="1" t="s">
        <v>124</v>
      </c>
      <c r="E120" s="400"/>
      <c r="F120" s="400"/>
      <c r="G120" s="400"/>
      <c r="H120" s="400"/>
      <c r="I120" s="400"/>
      <c r="J120" s="400"/>
      <c r="K120" s="400"/>
      <c r="L120" s="400">
        <f>$V117/((1-$V111)*(L110-L111))</f>
        <v>13.98598786371177</v>
      </c>
      <c r="M120" s="400">
        <f>$V117/((1-$V111)*(M110-M111))</f>
        <v>13.2279990870726</v>
      </c>
      <c r="N120" s="400">
        <f>$V117/((1-$V111)*(N110-N111))</f>
        <v>12.931309789420501</v>
      </c>
    </row>
    <row r="121" spans="1:22" x14ac:dyDescent="0.3">
      <c r="G121" s="98"/>
      <c r="H121" s="98"/>
      <c r="I121" s="98"/>
      <c r="J121" s="98"/>
      <c r="K121" s="98"/>
      <c r="L121" s="98">
        <f>L112-L113</f>
        <v>56.799999999999983</v>
      </c>
      <c r="M121" s="98">
        <f>M112-M113</f>
        <v>60.054744896012295</v>
      </c>
      <c r="N121" s="98">
        <f>N112-N113</f>
        <v>61.432609967225034</v>
      </c>
      <c r="O121" s="98"/>
      <c r="P121" s="98"/>
      <c r="Q121" s="98"/>
      <c r="R121" s="98"/>
    </row>
    <row r="122" spans="1:22" x14ac:dyDescent="0.3">
      <c r="A122" s="401"/>
      <c r="B122" s="401"/>
      <c r="C122" s="401"/>
      <c r="D122" s="401"/>
      <c r="E122" s="403"/>
      <c r="F122" s="403"/>
      <c r="G122" s="403"/>
      <c r="H122" s="403"/>
      <c r="I122" s="403"/>
      <c r="J122" s="403"/>
      <c r="K122" s="403"/>
      <c r="L122" s="403"/>
      <c r="M122" s="403"/>
      <c r="N122" s="403"/>
      <c r="O122" s="403"/>
      <c r="P122" s="403"/>
      <c r="Q122" s="403"/>
      <c r="R122" s="403"/>
      <c r="S122" s="401"/>
      <c r="T122" s="401"/>
      <c r="U122" s="401"/>
      <c r="V122" s="403"/>
    </row>
    <row r="124" spans="1:22" x14ac:dyDescent="0.3">
      <c r="B124" s="13" t="s">
        <v>173</v>
      </c>
      <c r="E124" s="3">
        <v>2010</v>
      </c>
      <c r="F124" s="3">
        <f t="shared" ref="F124:M124" si="46">E124+1</f>
        <v>2011</v>
      </c>
      <c r="G124" s="3">
        <f t="shared" si="46"/>
        <v>2012</v>
      </c>
      <c r="H124" s="3">
        <f t="shared" si="46"/>
        <v>2013</v>
      </c>
      <c r="I124" s="3">
        <f t="shared" si="46"/>
        <v>2014</v>
      </c>
      <c r="J124" s="3">
        <f t="shared" si="46"/>
        <v>2015</v>
      </c>
      <c r="K124" s="3">
        <f t="shared" si="46"/>
        <v>2016</v>
      </c>
      <c r="L124" s="3">
        <f t="shared" si="46"/>
        <v>2017</v>
      </c>
      <c r="M124" s="3">
        <f t="shared" si="46"/>
        <v>2018</v>
      </c>
      <c r="N124" s="3">
        <v>2019</v>
      </c>
      <c r="O124" s="3">
        <v>2020</v>
      </c>
      <c r="P124" s="3">
        <v>2021</v>
      </c>
      <c r="Q124" s="3">
        <v>2022</v>
      </c>
      <c r="R124" s="3">
        <v>2023</v>
      </c>
      <c r="U124" s="1" t="s">
        <v>113</v>
      </c>
      <c r="V124" s="357">
        <v>0.1</v>
      </c>
    </row>
    <row r="125" spans="1:22" x14ac:dyDescent="0.3">
      <c r="D125" s="1" t="s">
        <v>82</v>
      </c>
      <c r="E125" s="98">
        <f>'PTC (Poland)'!Y54</f>
        <v>691</v>
      </c>
      <c r="F125" s="98">
        <f>'PTC (Poland)'!AE54</f>
        <v>629</v>
      </c>
      <c r="G125" s="98">
        <f>'PTC (Poland)'!AK54</f>
        <v>586</v>
      </c>
      <c r="H125" s="98">
        <f>'PTC (Poland)'!AQ54</f>
        <v>599</v>
      </c>
      <c r="I125" s="98">
        <f>'PTC (Poland)'!AW54</f>
        <v>579</v>
      </c>
      <c r="J125" s="98">
        <f>'PTC (Poland)'!BC54</f>
        <v>580</v>
      </c>
      <c r="K125" s="98">
        <f>'PTC (Poland)'!BI54</f>
        <v>477</v>
      </c>
      <c r="L125" s="98">
        <f>'PTC (Poland)'!BO54</f>
        <v>419</v>
      </c>
      <c r="M125" s="98">
        <f>'PTC (Poland)'!BU54</f>
        <v>388.66424089743737</v>
      </c>
      <c r="N125" s="98">
        <f>'PTC (Poland)'!CA54</f>
        <v>379.20530927617898</v>
      </c>
      <c r="O125" s="98">
        <f>'PTC (Poland)'!CG54</f>
        <v>378.1236666569103</v>
      </c>
      <c r="P125" s="98">
        <f>'PTC (Poland)'!CM54</f>
        <v>381.90339590974628</v>
      </c>
      <c r="Q125" s="98">
        <f>'PTC (Poland)'!CS54</f>
        <v>386.21442611243384</v>
      </c>
      <c r="R125" s="98">
        <f>'PTC (Poland)'!CY54</f>
        <v>392.77510452495846</v>
      </c>
      <c r="U125" s="1" t="s">
        <v>114</v>
      </c>
      <c r="V125" s="357">
        <v>0.01</v>
      </c>
    </row>
    <row r="126" spans="1:22" x14ac:dyDescent="0.3">
      <c r="D126" s="1" t="s">
        <v>90</v>
      </c>
      <c r="E126" s="98">
        <f>'PTC (Poland)'!Y60</f>
        <v>198</v>
      </c>
      <c r="F126" s="98">
        <f>'PTC (Poland)'!AE60</f>
        <v>165</v>
      </c>
      <c r="G126" s="98">
        <f>'PTC (Poland)'!AK60</f>
        <v>225</v>
      </c>
      <c r="H126" s="98">
        <f>'PTC (Poland)'!AQ60</f>
        <v>339</v>
      </c>
      <c r="I126" s="98">
        <f>'PTC (Poland)'!AW60</f>
        <v>285</v>
      </c>
      <c r="J126" s="98">
        <f>'PTC (Poland)'!BC60</f>
        <v>189</v>
      </c>
      <c r="K126" s="98">
        <f>'PTC (Poland)'!BI60</f>
        <v>198</v>
      </c>
      <c r="L126" s="98">
        <f>'PTC (Poland)'!BO60</f>
        <v>203</v>
      </c>
      <c r="M126" s="98">
        <f>'PTC (Poland)'!BU60</f>
        <v>201.31484091566918</v>
      </c>
      <c r="N126" s="98">
        <f>'PTC (Poland)'!CA60</f>
        <v>198.96548538940036</v>
      </c>
      <c r="O126" s="98">
        <f>'PTC (Poland)'!CG60</f>
        <v>192.95490228196041</v>
      </c>
      <c r="P126" s="98">
        <f>'PTC (Poland)'!CM60</f>
        <v>187.4661416996141</v>
      </c>
      <c r="Q126" s="98">
        <f>'PTC (Poland)'!CS60</f>
        <v>184.06556177524033</v>
      </c>
      <c r="R126" s="98">
        <f>'PTC (Poland)'!CY60</f>
        <v>187.28060562051525</v>
      </c>
      <c r="U126" s="1" t="s">
        <v>115</v>
      </c>
      <c r="V126" s="399">
        <v>0.2</v>
      </c>
    </row>
    <row r="127" spans="1:22" x14ac:dyDescent="0.3">
      <c r="D127" s="1" t="s">
        <v>38</v>
      </c>
      <c r="E127" s="98">
        <f t="shared" ref="E127:M127" si="47">E125-E126</f>
        <v>493</v>
      </c>
      <c r="F127" s="98">
        <f t="shared" si="47"/>
        <v>464</v>
      </c>
      <c r="G127" s="98">
        <f t="shared" si="47"/>
        <v>361</v>
      </c>
      <c r="H127" s="98">
        <f t="shared" si="47"/>
        <v>260</v>
      </c>
      <c r="I127" s="98">
        <f t="shared" si="47"/>
        <v>294</v>
      </c>
      <c r="J127" s="98">
        <f t="shared" si="47"/>
        <v>391</v>
      </c>
      <c r="K127" s="98">
        <f t="shared" si="47"/>
        <v>279</v>
      </c>
      <c r="L127" s="98">
        <f t="shared" si="47"/>
        <v>216</v>
      </c>
      <c r="M127" s="98">
        <f t="shared" si="47"/>
        <v>187.34939998176819</v>
      </c>
      <c r="N127" s="98">
        <f>N125-N126</f>
        <v>180.23982388677862</v>
      </c>
      <c r="O127" s="98">
        <f>O125-O126</f>
        <v>185.16876437494989</v>
      </c>
      <c r="P127" s="98">
        <f>P125-P126</f>
        <v>194.43725421013218</v>
      </c>
      <c r="Q127" s="98">
        <f>Q125-Q126</f>
        <v>202.14886433719352</v>
      </c>
      <c r="R127" s="98">
        <f>R125-R126</f>
        <v>205.49449890444322</v>
      </c>
    </row>
    <row r="128" spans="1:22" x14ac:dyDescent="0.3">
      <c r="D128" s="1" t="s">
        <v>116</v>
      </c>
      <c r="E128" s="98">
        <f t="shared" ref="E128:R128" si="48">E127*(1-$V126)</f>
        <v>394.40000000000003</v>
      </c>
      <c r="F128" s="98">
        <f t="shared" si="48"/>
        <v>371.20000000000005</v>
      </c>
      <c r="G128" s="98">
        <f t="shared" si="48"/>
        <v>288.8</v>
      </c>
      <c r="H128" s="98">
        <f t="shared" si="48"/>
        <v>208</v>
      </c>
      <c r="I128" s="98">
        <f t="shared" si="48"/>
        <v>235.20000000000002</v>
      </c>
      <c r="J128" s="98">
        <f t="shared" si="48"/>
        <v>312.8</v>
      </c>
      <c r="K128" s="98">
        <f t="shared" si="48"/>
        <v>223.20000000000002</v>
      </c>
      <c r="L128" s="98">
        <f t="shared" si="48"/>
        <v>172.8</v>
      </c>
      <c r="M128" s="98">
        <f t="shared" si="48"/>
        <v>149.87951998541456</v>
      </c>
      <c r="N128" s="98">
        <f t="shared" si="48"/>
        <v>144.19185910942289</v>
      </c>
      <c r="O128" s="98">
        <f t="shared" si="48"/>
        <v>148.13501149995992</v>
      </c>
      <c r="P128" s="98">
        <f t="shared" si="48"/>
        <v>155.54980336810576</v>
      </c>
      <c r="Q128" s="98">
        <f t="shared" si="48"/>
        <v>161.71909146975483</v>
      </c>
      <c r="R128" s="98">
        <f t="shared" si="48"/>
        <v>164.39559912355458</v>
      </c>
    </row>
    <row r="129" spans="1:22" x14ac:dyDescent="0.3">
      <c r="E129" s="98"/>
      <c r="F129" s="98"/>
      <c r="G129" s="98"/>
      <c r="H129" s="98"/>
      <c r="I129" s="98"/>
      <c r="J129" s="98"/>
      <c r="K129" s="98"/>
      <c r="L129" s="98"/>
      <c r="M129" s="98"/>
      <c r="N129" s="98"/>
      <c r="O129" s="98"/>
      <c r="P129" s="98"/>
      <c r="Q129" s="98"/>
      <c r="R129" s="98"/>
    </row>
    <row r="130" spans="1:22" x14ac:dyDescent="0.3">
      <c r="D130" s="1" t="s">
        <v>117</v>
      </c>
      <c r="N130" s="2">
        <f t="shared" ref="N130:R130" si="49">M130+1</f>
        <v>1</v>
      </c>
      <c r="O130" s="2">
        <f t="shared" si="49"/>
        <v>2</v>
      </c>
      <c r="P130" s="2">
        <f t="shared" si="49"/>
        <v>3</v>
      </c>
      <c r="Q130" s="2">
        <f t="shared" si="49"/>
        <v>4</v>
      </c>
      <c r="R130" s="2">
        <f t="shared" si="49"/>
        <v>5</v>
      </c>
      <c r="U130" s="1" t="s">
        <v>118</v>
      </c>
      <c r="V130" s="98">
        <f>J131+K131+L131+M131+N131+O131+P131+Q131+R131</f>
        <v>582.90905554404833</v>
      </c>
    </row>
    <row r="131" spans="1:22" x14ac:dyDescent="0.3">
      <c r="D131" s="1" t="s">
        <v>119</v>
      </c>
      <c r="F131" s="98"/>
      <c r="G131" s="98"/>
      <c r="H131" s="98"/>
      <c r="I131" s="98"/>
      <c r="J131" s="98"/>
      <c r="K131" s="98"/>
      <c r="L131" s="98"/>
      <c r="M131" s="98"/>
      <c r="N131" s="98">
        <f t="shared" ref="N131:R131" si="50">N128/(1+$V$124)^(N130)</f>
        <v>131.08350828129352</v>
      </c>
      <c r="O131" s="98">
        <f t="shared" si="50"/>
        <v>122.42562933880983</v>
      </c>
      <c r="P131" s="98">
        <f t="shared" si="50"/>
        <v>116.86686954778791</v>
      </c>
      <c r="Q131" s="98">
        <f t="shared" si="50"/>
        <v>110.45631546325714</v>
      </c>
      <c r="R131" s="98">
        <f t="shared" si="50"/>
        <v>102.07673291289996</v>
      </c>
      <c r="S131" s="316">
        <f>(R128*(1+V125))/(V124-V125)</f>
        <v>1844.8839457198899</v>
      </c>
      <c r="U131" s="1" t="s">
        <v>120</v>
      </c>
      <c r="V131" s="98">
        <f>(S131)/((1+V124)^(R130+1))</f>
        <v>1041.3888913336255</v>
      </c>
    </row>
    <row r="132" spans="1:22" x14ac:dyDescent="0.3">
      <c r="U132" s="13" t="s">
        <v>121</v>
      </c>
      <c r="V132" s="352">
        <f>V130+V131</f>
        <v>1624.2979468776739</v>
      </c>
    </row>
    <row r="133" spans="1:22" x14ac:dyDescent="0.3">
      <c r="D133" s="1" t="s">
        <v>122</v>
      </c>
      <c r="E133" s="400"/>
      <c r="F133" s="400"/>
      <c r="G133" s="400"/>
      <c r="H133" s="400"/>
      <c r="I133" s="400"/>
      <c r="J133" s="400"/>
      <c r="K133" s="400"/>
      <c r="L133" s="400">
        <f>$V132/L125</f>
        <v>3.876606078467002</v>
      </c>
      <c r="M133" s="400">
        <f>$V132/M125</f>
        <v>4.1791803205952816</v>
      </c>
      <c r="N133" s="400">
        <f>$V132/N125</f>
        <v>4.283426173483984</v>
      </c>
    </row>
    <row r="134" spans="1:22" x14ac:dyDescent="0.3">
      <c r="D134" s="1" t="s">
        <v>123</v>
      </c>
      <c r="E134" s="400"/>
      <c r="F134" s="400"/>
      <c r="G134" s="400"/>
      <c r="H134" s="400"/>
      <c r="I134" s="400"/>
      <c r="J134" s="400"/>
      <c r="K134" s="400"/>
      <c r="L134" s="400">
        <f>$V132/(L125-L126)</f>
        <v>7.5198979022114534</v>
      </c>
      <c r="M134" s="400">
        <f>$V132/(M125-M126)</f>
        <v>8.6698860366552637</v>
      </c>
      <c r="N134" s="400">
        <f>$V132/(N125-N126)</f>
        <v>9.0118704726321202</v>
      </c>
    </row>
    <row r="135" spans="1:22" x14ac:dyDescent="0.3">
      <c r="D135" s="1" t="s">
        <v>124</v>
      </c>
      <c r="E135" s="400"/>
      <c r="F135" s="400"/>
      <c r="G135" s="400"/>
      <c r="H135" s="400"/>
      <c r="I135" s="400"/>
      <c r="J135" s="400"/>
      <c r="K135" s="400"/>
      <c r="L135" s="400">
        <f>$V132/((1-$V126)*(L125-L126))</f>
        <v>9.3998723777643161</v>
      </c>
      <c r="M135" s="400">
        <f>$V132/((1-$V126)*(M125-M126))</f>
        <v>10.837357545819078</v>
      </c>
      <c r="N135" s="400">
        <f>$V132/((1-$V126)*(N125-N126))</f>
        <v>11.264838090790152</v>
      </c>
    </row>
    <row r="136" spans="1:22" x14ac:dyDescent="0.3">
      <c r="G136" s="98"/>
      <c r="H136" s="98"/>
      <c r="I136" s="98"/>
      <c r="J136" s="98"/>
      <c r="K136" s="98"/>
      <c r="L136" s="98">
        <f>L127-L128</f>
        <v>43.199999999999989</v>
      </c>
      <c r="M136" s="98">
        <f>M127-M128</f>
        <v>37.469879996353626</v>
      </c>
      <c r="N136" s="98">
        <f>N127-N128</f>
        <v>36.04796477735573</v>
      </c>
      <c r="O136" s="98"/>
      <c r="P136" s="98"/>
      <c r="Q136" s="98"/>
      <c r="R136" s="98"/>
    </row>
    <row r="137" spans="1:22" x14ac:dyDescent="0.3">
      <c r="A137" s="401"/>
      <c r="B137" s="401"/>
      <c r="C137" s="401"/>
      <c r="D137" s="401"/>
      <c r="E137" s="403"/>
      <c r="F137" s="403"/>
      <c r="G137" s="403"/>
      <c r="H137" s="403"/>
      <c r="I137" s="403"/>
      <c r="J137" s="403"/>
      <c r="K137" s="403"/>
      <c r="L137" s="403"/>
      <c r="M137" s="403"/>
      <c r="N137" s="403"/>
      <c r="O137" s="403"/>
      <c r="P137" s="403"/>
      <c r="Q137" s="403"/>
      <c r="R137" s="403"/>
      <c r="S137" s="401"/>
      <c r="T137" s="401"/>
      <c r="U137" s="401"/>
      <c r="V137" s="403"/>
    </row>
    <row r="139" spans="1:22" x14ac:dyDescent="0.3">
      <c r="B139" s="13" t="s">
        <v>174</v>
      </c>
      <c r="E139" s="3">
        <v>2010</v>
      </c>
      <c r="F139" s="3">
        <f t="shared" ref="F139:M139" si="51">E139+1</f>
        <v>2011</v>
      </c>
      <c r="G139" s="3">
        <f t="shared" si="51"/>
        <v>2012</v>
      </c>
      <c r="H139" s="3">
        <f t="shared" si="51"/>
        <v>2013</v>
      </c>
      <c r="I139" s="3">
        <f t="shared" si="51"/>
        <v>2014</v>
      </c>
      <c r="J139" s="3">
        <f t="shared" si="51"/>
        <v>2015</v>
      </c>
      <c r="K139" s="3">
        <f t="shared" si="51"/>
        <v>2016</v>
      </c>
      <c r="L139" s="3">
        <f t="shared" si="51"/>
        <v>2017</v>
      </c>
      <c r="M139" s="3">
        <f t="shared" si="51"/>
        <v>2018</v>
      </c>
      <c r="N139" s="3">
        <v>2019</v>
      </c>
      <c r="O139" s="3">
        <v>2020</v>
      </c>
      <c r="P139" s="3">
        <v>2021</v>
      </c>
      <c r="Q139" s="3">
        <v>2022</v>
      </c>
      <c r="R139" s="3">
        <v>2023</v>
      </c>
      <c r="U139" s="1" t="s">
        <v>113</v>
      </c>
      <c r="V139" s="357">
        <v>0.1</v>
      </c>
    </row>
    <row r="140" spans="1:22" x14ac:dyDescent="0.3">
      <c r="D140" s="1" t="s">
        <v>82</v>
      </c>
      <c r="E140" s="98">
        <f>Hungary!Y54</f>
        <v>430</v>
      </c>
      <c r="F140" s="98">
        <f>Hungary!AE54</f>
        <v>339</v>
      </c>
      <c r="G140" s="98">
        <f>Hungary!AK54</f>
        <v>302</v>
      </c>
      <c r="H140" s="98">
        <f>Hungary!AQ54</f>
        <v>286</v>
      </c>
      <c r="I140" s="98">
        <f>Hungary!AW54</f>
        <v>291.43</v>
      </c>
      <c r="J140" s="98">
        <f>Hungary!BC54</f>
        <v>255</v>
      </c>
      <c r="K140" s="98">
        <f>Hungary!BI54</f>
        <v>261.45999999999998</v>
      </c>
      <c r="L140" s="98">
        <f>Hungary!BO54</f>
        <v>265.88504999999998</v>
      </c>
      <c r="M140" s="98">
        <f>Hungary!BU54</f>
        <v>283.29789250805004</v>
      </c>
      <c r="N140" s="98">
        <f>Hungary!CA54</f>
        <v>291.7330853197592</v>
      </c>
      <c r="O140" s="98">
        <f>Hungary!CG54</f>
        <v>299.05371050224028</v>
      </c>
      <c r="P140" s="98">
        <f>Hungary!CM54</f>
        <v>305.72734536683379</v>
      </c>
      <c r="Q140" s="98">
        <f>Hungary!CS54</f>
        <v>313.0267946505611</v>
      </c>
      <c r="R140" s="98">
        <f>Hungary!CY54</f>
        <v>319.48763498198389</v>
      </c>
      <c r="U140" s="1" t="s">
        <v>114</v>
      </c>
      <c r="V140" s="357">
        <v>0.02</v>
      </c>
    </row>
    <row r="141" spans="1:22" x14ac:dyDescent="0.3">
      <c r="D141" s="1" t="s">
        <v>90</v>
      </c>
      <c r="E141" s="98">
        <f>Hungary!Y60</f>
        <v>75</v>
      </c>
      <c r="F141" s="98">
        <f>Hungary!AE60</f>
        <v>93</v>
      </c>
      <c r="G141" s="98">
        <f>Hungary!AK60</f>
        <v>94</v>
      </c>
      <c r="H141" s="98">
        <f>Hungary!AQ60</f>
        <v>170</v>
      </c>
      <c r="I141" s="98">
        <f>Hungary!AW60</f>
        <v>290.96000000000004</v>
      </c>
      <c r="J141" s="98">
        <f>Hungary!BC60</f>
        <v>128</v>
      </c>
      <c r="K141" s="98">
        <f>Hungary!BI60</f>
        <v>126.38</v>
      </c>
      <c r="L141" s="98">
        <f>Hungary!BO60</f>
        <v>120.842</v>
      </c>
      <c r="M141" s="98">
        <f>Hungary!BU60</f>
        <v>125.38767411840911</v>
      </c>
      <c r="N141" s="98">
        <f>Hungary!CA60</f>
        <v>124.48243756442366</v>
      </c>
      <c r="O141" s="98">
        <f>Hungary!CG60</f>
        <v>124.04967227735742</v>
      </c>
      <c r="P141" s="98">
        <f>Hungary!CM60</f>
        <v>121.84152135139513</v>
      </c>
      <c r="Q141" s="98">
        <f>Hungary!CS60</f>
        <v>118.6716009683156</v>
      </c>
      <c r="R141" s="98">
        <f>Hungary!CY60</f>
        <v>120.25878960574383</v>
      </c>
      <c r="U141" s="1" t="s">
        <v>115</v>
      </c>
      <c r="V141" s="399">
        <v>0.19</v>
      </c>
    </row>
    <row r="142" spans="1:22" x14ac:dyDescent="0.3">
      <c r="D142" s="1" t="s">
        <v>38</v>
      </c>
      <c r="E142" s="98">
        <f t="shared" ref="E142:J142" si="52">E140-E141</f>
        <v>355</v>
      </c>
      <c r="F142" s="98">
        <f t="shared" si="52"/>
        <v>246</v>
      </c>
      <c r="G142" s="98">
        <f t="shared" si="52"/>
        <v>208</v>
      </c>
      <c r="H142" s="98">
        <f t="shared" si="52"/>
        <v>116</v>
      </c>
      <c r="I142" s="98">
        <f t="shared" si="52"/>
        <v>0.46999999999997044</v>
      </c>
      <c r="J142" s="98">
        <f t="shared" si="52"/>
        <v>127</v>
      </c>
      <c r="K142" s="98">
        <f t="shared" ref="K142:R142" si="53">K140-K141</f>
        <v>135.07999999999998</v>
      </c>
      <c r="L142" s="98">
        <f t="shared" si="53"/>
        <v>145.04304999999999</v>
      </c>
      <c r="M142" s="98">
        <f t="shared" si="53"/>
        <v>157.91021838964093</v>
      </c>
      <c r="N142" s="98">
        <f t="shared" si="53"/>
        <v>167.25064775533554</v>
      </c>
      <c r="O142" s="98">
        <f t="shared" si="53"/>
        <v>175.00403822488286</v>
      </c>
      <c r="P142" s="98">
        <f t="shared" si="53"/>
        <v>183.88582401543866</v>
      </c>
      <c r="Q142" s="98">
        <f t="shared" si="53"/>
        <v>194.3551936822455</v>
      </c>
      <c r="R142" s="98">
        <f t="shared" si="53"/>
        <v>199.22884537624006</v>
      </c>
    </row>
    <row r="143" spans="1:22" x14ac:dyDescent="0.3">
      <c r="D143" s="1" t="s">
        <v>116</v>
      </c>
      <c r="E143" s="98">
        <f t="shared" ref="E143:J143" si="54">E142*(1-$V141)</f>
        <v>287.55</v>
      </c>
      <c r="F143" s="98">
        <f t="shared" si="54"/>
        <v>199.26000000000002</v>
      </c>
      <c r="G143" s="98">
        <f t="shared" si="54"/>
        <v>168.48000000000002</v>
      </c>
      <c r="H143" s="98">
        <f t="shared" si="54"/>
        <v>93.960000000000008</v>
      </c>
      <c r="I143" s="98">
        <f t="shared" si="54"/>
        <v>0.38069999999997606</v>
      </c>
      <c r="J143" s="98">
        <f t="shared" si="54"/>
        <v>102.87</v>
      </c>
      <c r="K143" s="98">
        <f t="shared" ref="K143:R143" si="55">K142*(1-$V141)</f>
        <v>109.4148</v>
      </c>
      <c r="L143" s="98">
        <f t="shared" si="55"/>
        <v>117.4848705</v>
      </c>
      <c r="M143" s="98">
        <f t="shared" si="55"/>
        <v>127.90727689560916</v>
      </c>
      <c r="N143" s="98">
        <f t="shared" si="55"/>
        <v>135.47302468182178</v>
      </c>
      <c r="O143" s="98">
        <f t="shared" si="55"/>
        <v>141.75327096215511</v>
      </c>
      <c r="P143" s="98">
        <f t="shared" si="55"/>
        <v>148.94751745250531</v>
      </c>
      <c r="Q143" s="98">
        <f t="shared" si="55"/>
        <v>157.42770688261888</v>
      </c>
      <c r="R143" s="98">
        <f t="shared" si="55"/>
        <v>161.37536475475446</v>
      </c>
    </row>
    <row r="144" spans="1:22" x14ac:dyDescent="0.3">
      <c r="E144" s="98"/>
      <c r="F144" s="98"/>
      <c r="G144" s="98"/>
      <c r="H144" s="98"/>
      <c r="I144" s="98"/>
      <c r="J144" s="98"/>
      <c r="K144" s="98"/>
      <c r="L144" s="98"/>
      <c r="M144" s="98"/>
      <c r="N144" s="98"/>
      <c r="O144" s="98"/>
      <c r="P144" s="98"/>
      <c r="Q144" s="98"/>
      <c r="R144" s="98"/>
    </row>
    <row r="145" spans="1:22" x14ac:dyDescent="0.3">
      <c r="D145" s="1" t="s">
        <v>117</v>
      </c>
      <c r="N145" s="2">
        <f t="shared" ref="N145:R145" si="56">M145+1</f>
        <v>1</v>
      </c>
      <c r="O145" s="2">
        <f t="shared" si="56"/>
        <v>2</v>
      </c>
      <c r="P145" s="2">
        <f t="shared" si="56"/>
        <v>3</v>
      </c>
      <c r="Q145" s="2">
        <f t="shared" si="56"/>
        <v>4</v>
      </c>
      <c r="R145" s="2">
        <f t="shared" si="56"/>
        <v>5</v>
      </c>
      <c r="U145" s="1" t="s">
        <v>118</v>
      </c>
      <c r="V145" s="98">
        <f>J146+K146+L146+M146+N146+O146+P146+Q146+R146</f>
        <v>559.94188023076549</v>
      </c>
    </row>
    <row r="146" spans="1:22" x14ac:dyDescent="0.3">
      <c r="D146" s="1" t="s">
        <v>119</v>
      </c>
      <c r="F146" s="98"/>
      <c r="G146" s="98"/>
      <c r="H146" s="98"/>
      <c r="I146" s="98"/>
      <c r="J146" s="98"/>
      <c r="K146" s="98"/>
      <c r="L146" s="98"/>
      <c r="M146" s="98"/>
      <c r="N146" s="98">
        <f>N143/(1+$V$124)^(N145)</f>
        <v>123.15729516529252</v>
      </c>
      <c r="O146" s="98">
        <f>O143/(1+$V$124)^(O145)</f>
        <v>117.15146360508685</v>
      </c>
      <c r="P146" s="98">
        <f>P143/(1+$V$124)^(P145)</f>
        <v>111.90647441961328</v>
      </c>
      <c r="Q146" s="98">
        <f>Q143/(1+$V$124)^(Q145)</f>
        <v>107.52524204809701</v>
      </c>
      <c r="R146" s="98">
        <f>R143/(1+$V$124)^(R145)</f>
        <v>100.20140499267586</v>
      </c>
      <c r="S146" s="316">
        <f>(R143*(1+V140))/(V139-V140)</f>
        <v>2057.5359006231192</v>
      </c>
      <c r="U146" s="1" t="s">
        <v>120</v>
      </c>
      <c r="V146" s="98">
        <f>(S146)/((1+V139)^(R145+1))</f>
        <v>1161.42537605147</v>
      </c>
    </row>
    <row r="147" spans="1:22" x14ac:dyDescent="0.3">
      <c r="E147" s="98"/>
      <c r="F147" s="98"/>
      <c r="G147" s="98"/>
      <c r="H147" s="98"/>
      <c r="I147" s="98"/>
      <c r="J147" s="98"/>
      <c r="K147" s="98"/>
      <c r="L147" s="98"/>
      <c r="M147" s="98"/>
      <c r="U147" s="13" t="s">
        <v>121</v>
      </c>
      <c r="V147" s="352">
        <f>V145+V146</f>
        <v>1721.3672562822355</v>
      </c>
    </row>
    <row r="148" spans="1:22" x14ac:dyDescent="0.3">
      <c r="D148" s="1" t="s">
        <v>122</v>
      </c>
      <c r="E148" s="400"/>
      <c r="F148" s="400"/>
      <c r="G148" s="400"/>
      <c r="H148" s="400"/>
      <c r="I148" s="400"/>
      <c r="J148" s="400"/>
      <c r="K148" s="400"/>
      <c r="L148" s="400">
        <f>$V147/L140</f>
        <v>6.474103212204807</v>
      </c>
      <c r="M148" s="400">
        <f>$V147/M140</f>
        <v>6.0761738855269529</v>
      </c>
      <c r="N148" s="400">
        <f>$V147/N140</f>
        <v>5.9004869276157024</v>
      </c>
      <c r="O148" s="98"/>
      <c r="P148" s="98"/>
      <c r="Q148" s="98"/>
      <c r="R148" s="98"/>
    </row>
    <row r="149" spans="1:22" x14ac:dyDescent="0.3">
      <c r="D149" s="1" t="s">
        <v>123</v>
      </c>
      <c r="E149" s="400"/>
      <c r="F149" s="400"/>
      <c r="G149" s="400"/>
      <c r="H149" s="400"/>
      <c r="I149" s="400"/>
      <c r="J149" s="400"/>
      <c r="K149" s="400"/>
      <c r="L149" s="400">
        <f>$V147/(L140-L141)</f>
        <v>11.867974758406111</v>
      </c>
      <c r="M149" s="400">
        <f>$V147/(M140-M141)</f>
        <v>10.900923789711882</v>
      </c>
      <c r="N149" s="400">
        <f>$V147/(N140-N141)</f>
        <v>10.292141043306192</v>
      </c>
      <c r="O149" s="98"/>
      <c r="P149" s="98"/>
      <c r="Q149" s="98"/>
      <c r="R149" s="98"/>
    </row>
    <row r="150" spans="1:22" x14ac:dyDescent="0.3">
      <c r="D150" s="1" t="s">
        <v>124</v>
      </c>
      <c r="E150" s="400"/>
      <c r="F150" s="400"/>
      <c r="G150" s="400"/>
      <c r="H150" s="400"/>
      <c r="I150" s="400"/>
      <c r="J150" s="400"/>
      <c r="K150" s="400"/>
      <c r="L150" s="400">
        <f>$V147/((1-$V141)*(L140-L141))</f>
        <v>14.651820689390261</v>
      </c>
      <c r="M150" s="400">
        <f>$V147/((1-$V141)*(M140-M141))</f>
        <v>13.45793060458257</v>
      </c>
      <c r="N150" s="400">
        <f>$V147/((1-$V141)*(N140-N141))</f>
        <v>12.706346967044682</v>
      </c>
      <c r="O150" s="98"/>
      <c r="P150" s="98"/>
      <c r="Q150" s="98"/>
      <c r="R150" s="98"/>
    </row>
    <row r="151" spans="1:22" x14ac:dyDescent="0.3">
      <c r="E151" s="400"/>
      <c r="F151" s="400"/>
      <c r="G151" s="98"/>
      <c r="H151" s="98"/>
      <c r="I151" s="98"/>
      <c r="J151" s="98"/>
      <c r="K151" s="98"/>
      <c r="L151" s="98">
        <f>L142-L143</f>
        <v>27.558179499999994</v>
      </c>
      <c r="M151" s="98">
        <f>M142-M143</f>
        <v>30.002941494031774</v>
      </c>
      <c r="N151" s="98">
        <f>N142-N143</f>
        <v>31.777623073513752</v>
      </c>
      <c r="O151" s="98"/>
      <c r="P151" s="98"/>
      <c r="Q151" s="98"/>
      <c r="R151" s="98"/>
    </row>
    <row r="152" spans="1:22" x14ac:dyDescent="0.3">
      <c r="A152" s="401"/>
      <c r="B152" s="401"/>
      <c r="C152" s="401"/>
      <c r="D152" s="401"/>
      <c r="E152" s="405"/>
      <c r="F152" s="405"/>
      <c r="G152" s="405"/>
      <c r="H152" s="405"/>
      <c r="I152" s="405"/>
      <c r="J152" s="406"/>
      <c r="K152" s="406"/>
      <c r="L152" s="406"/>
      <c r="M152" s="406"/>
      <c r="N152" s="406"/>
      <c r="O152" s="406"/>
      <c r="P152" s="406"/>
      <c r="Q152" s="406"/>
      <c r="R152" s="406"/>
      <c r="S152" s="401"/>
      <c r="T152" s="401"/>
      <c r="U152" s="401"/>
      <c r="V152" s="403"/>
    </row>
    <row r="154" spans="1:22" x14ac:dyDescent="0.3">
      <c r="B154" s="13" t="s">
        <v>175</v>
      </c>
      <c r="E154" s="3">
        <v>2010</v>
      </c>
      <c r="F154" s="3">
        <f t="shared" ref="F154:M154" si="57">E154+1</f>
        <v>2011</v>
      </c>
      <c r="G154" s="3">
        <f t="shared" si="57"/>
        <v>2012</v>
      </c>
      <c r="H154" s="3">
        <f t="shared" si="57"/>
        <v>2013</v>
      </c>
      <c r="I154" s="3">
        <f t="shared" si="57"/>
        <v>2014</v>
      </c>
      <c r="J154" s="3">
        <f t="shared" si="57"/>
        <v>2015</v>
      </c>
      <c r="K154" s="3">
        <f t="shared" si="57"/>
        <v>2016</v>
      </c>
      <c r="L154" s="3">
        <f t="shared" si="57"/>
        <v>2017</v>
      </c>
      <c r="M154" s="3">
        <f t="shared" si="57"/>
        <v>2018</v>
      </c>
      <c r="N154" s="3">
        <v>2019</v>
      </c>
      <c r="O154" s="3">
        <v>2020</v>
      </c>
      <c r="P154" s="3">
        <v>2021</v>
      </c>
      <c r="Q154" s="3">
        <v>2022</v>
      </c>
      <c r="R154" s="3">
        <v>2023</v>
      </c>
      <c r="U154" s="1" t="s">
        <v>113</v>
      </c>
      <c r="V154" s="357">
        <v>0.1</v>
      </c>
    </row>
    <row r="155" spans="1:22" x14ac:dyDescent="0.3">
      <c r="D155" s="1" t="s">
        <v>82</v>
      </c>
      <c r="E155" s="356">
        <f>Slovakia!Y46</f>
        <v>229</v>
      </c>
      <c r="F155" s="356">
        <f>Slovakia!AE46</f>
        <v>220</v>
      </c>
      <c r="G155" s="356">
        <f>Slovakia!AK46</f>
        <v>199</v>
      </c>
      <c r="H155" s="356">
        <f>Slovakia!AQ46</f>
        <v>191</v>
      </c>
      <c r="I155" s="356">
        <f ca="1">Slovakia!AW46</f>
        <v>174.60040304672899</v>
      </c>
      <c r="J155" s="356">
        <f ca="1">Slovakia!BC46</f>
        <v>165.40443936534581</v>
      </c>
      <c r="K155" s="356">
        <f ca="1">Slovakia!BI46</f>
        <v>168.75894174502008</v>
      </c>
      <c r="L155" s="356">
        <f ca="1">Slovakia!BO46</f>
        <v>175.85936429804798</v>
      </c>
      <c r="M155" s="356">
        <f ca="1">Slovakia!BU46</f>
        <v>184.59458261829417</v>
      </c>
      <c r="N155" s="356">
        <f ca="1">Slovakia!CA46</f>
        <v>186.13404043269995</v>
      </c>
      <c r="O155" s="356">
        <f ca="1">Slovakia!CG46</f>
        <v>187.31325764854071</v>
      </c>
      <c r="P155" s="356">
        <f ca="1">Slovakia!CM46</f>
        <v>187.94798516130817</v>
      </c>
      <c r="Q155" s="356">
        <f ca="1">Slovakia!CS46</f>
        <v>188.30572491552417</v>
      </c>
      <c r="R155" s="356">
        <f ca="1">Slovakia!CY46</f>
        <v>188.85526846634767</v>
      </c>
      <c r="U155" s="1" t="s">
        <v>114</v>
      </c>
      <c r="V155" s="357">
        <v>0.02</v>
      </c>
    </row>
    <row r="156" spans="1:22" x14ac:dyDescent="0.3">
      <c r="D156" s="1" t="s">
        <v>90</v>
      </c>
      <c r="E156" s="356">
        <f>Slovakia!Y52</f>
        <v>62</v>
      </c>
      <c r="F156" s="356">
        <f>Slovakia!AE52</f>
        <v>104</v>
      </c>
      <c r="G156" s="356">
        <f>Slovakia!AK52</f>
        <v>46.4</v>
      </c>
      <c r="H156" s="356">
        <f>Slovakia!AQ52</f>
        <v>55</v>
      </c>
      <c r="I156" s="356">
        <f>Slovakia!AW52</f>
        <v>91.59</v>
      </c>
      <c r="J156" s="356">
        <f>Slovakia!BC52</f>
        <v>47.526400000000002</v>
      </c>
      <c r="K156" s="356">
        <f>Slovakia!BI52</f>
        <v>56.067999999999998</v>
      </c>
      <c r="L156" s="356">
        <f>Slovakia!BO52</f>
        <v>57.019599999999997</v>
      </c>
      <c r="M156" s="356">
        <f>Slovakia!BU52</f>
        <v>56.119660595935287</v>
      </c>
      <c r="N156" s="356">
        <f>Slovakia!CA52</f>
        <v>56.00846586342994</v>
      </c>
      <c r="O156" s="356">
        <f>Slovakia!CG52</f>
        <v>52.858954191016878</v>
      </c>
      <c r="P156" s="356">
        <f>Slovakia!CM52</f>
        <v>49.555448837383288</v>
      </c>
      <c r="Q156" s="356">
        <f>Slovakia!CS52</f>
        <v>47.104070517420318</v>
      </c>
      <c r="R156" s="356">
        <f>Slovakia!CY52</f>
        <v>45.631063233064459</v>
      </c>
      <c r="U156" s="1" t="s">
        <v>115</v>
      </c>
      <c r="V156" s="399">
        <v>0.19</v>
      </c>
    </row>
    <row r="157" spans="1:22" x14ac:dyDescent="0.3">
      <c r="D157" s="1" t="s">
        <v>38</v>
      </c>
      <c r="E157" s="98">
        <f>E155-E156</f>
        <v>167</v>
      </c>
      <c r="F157" s="98">
        <f>F155-F156</f>
        <v>116</v>
      </c>
      <c r="G157" s="98">
        <f>G155-G156</f>
        <v>152.6</v>
      </c>
      <c r="H157" s="98">
        <f>H155-H156</f>
        <v>136</v>
      </c>
      <c r="I157" s="98">
        <f t="shared" ref="I157:R157" ca="1" si="58">I155-I156</f>
        <v>83.010403046728982</v>
      </c>
      <c r="J157" s="98">
        <f t="shared" ca="1" si="58"/>
        <v>117.87803936534581</v>
      </c>
      <c r="K157" s="98">
        <f t="shared" ca="1" si="58"/>
        <v>112.69094174502008</v>
      </c>
      <c r="L157" s="98">
        <f t="shared" ca="1" si="58"/>
        <v>118.83976429804798</v>
      </c>
      <c r="M157" s="98">
        <f t="shared" ca="1" si="58"/>
        <v>128.4749220223589</v>
      </c>
      <c r="N157" s="98">
        <f t="shared" ca="1" si="58"/>
        <v>130.12557456927001</v>
      </c>
      <c r="O157" s="98">
        <f t="shared" ca="1" si="58"/>
        <v>134.45430345752385</v>
      </c>
      <c r="P157" s="98">
        <f t="shared" ca="1" si="58"/>
        <v>138.39253632392487</v>
      </c>
      <c r="Q157" s="98">
        <f t="shared" ca="1" si="58"/>
        <v>141.20165439810384</v>
      </c>
      <c r="R157" s="98">
        <f t="shared" ca="1" si="58"/>
        <v>143.22420523328321</v>
      </c>
    </row>
    <row r="158" spans="1:22" x14ac:dyDescent="0.3">
      <c r="D158" s="1" t="s">
        <v>116</v>
      </c>
      <c r="E158" s="98">
        <f>E157*(1-$V156)</f>
        <v>135.27000000000001</v>
      </c>
      <c r="F158" s="98">
        <f>F157*(1-$V156)</f>
        <v>93.960000000000008</v>
      </c>
      <c r="G158" s="98">
        <f>G157*(1-$V156)</f>
        <v>123.60600000000001</v>
      </c>
      <c r="H158" s="98">
        <f>H157*(1-$V156)</f>
        <v>110.16000000000001</v>
      </c>
      <c r="I158" s="98">
        <f t="shared" ref="I158:R158" ca="1" si="59">I157*(1-$V156)</f>
        <v>67.238426467850474</v>
      </c>
      <c r="J158" s="98">
        <f t="shared" ca="1" si="59"/>
        <v>95.481211885930122</v>
      </c>
      <c r="K158" s="98">
        <f t="shared" ca="1" si="59"/>
        <v>91.279662813466274</v>
      </c>
      <c r="L158" s="98">
        <f t="shared" ca="1" si="59"/>
        <v>96.260209081418878</v>
      </c>
      <c r="M158" s="98">
        <f t="shared" ca="1" si="59"/>
        <v>104.06468683811072</v>
      </c>
      <c r="N158" s="98">
        <f t="shared" ca="1" si="59"/>
        <v>105.40171540110872</v>
      </c>
      <c r="O158" s="98">
        <f t="shared" ca="1" si="59"/>
        <v>108.90798580059433</v>
      </c>
      <c r="P158" s="98">
        <f t="shared" ca="1" si="59"/>
        <v>112.09795442237916</v>
      </c>
      <c r="Q158" s="98">
        <f t="shared" ca="1" si="59"/>
        <v>114.37334006246412</v>
      </c>
      <c r="R158" s="98">
        <f t="shared" ca="1" si="59"/>
        <v>116.01160623895942</v>
      </c>
    </row>
    <row r="160" spans="1:22" x14ac:dyDescent="0.3">
      <c r="D160" s="1" t="s">
        <v>117</v>
      </c>
      <c r="N160" s="2">
        <f t="shared" ref="N160:R160" si="60">M160+1</f>
        <v>1</v>
      </c>
      <c r="O160" s="2">
        <f t="shared" si="60"/>
        <v>2</v>
      </c>
      <c r="P160" s="2">
        <f t="shared" si="60"/>
        <v>3</v>
      </c>
      <c r="Q160" s="2">
        <f t="shared" si="60"/>
        <v>4</v>
      </c>
      <c r="R160" s="2">
        <f t="shared" si="60"/>
        <v>5</v>
      </c>
      <c r="U160" s="1" t="s">
        <v>118</v>
      </c>
      <c r="V160" s="98">
        <f ca="1">J161+K161+L161+M161+N161+O161+P161+Q161+R161</f>
        <v>448.97587583693928</v>
      </c>
    </row>
    <row r="161" spans="1:22" x14ac:dyDescent="0.3">
      <c r="D161" s="1" t="s">
        <v>119</v>
      </c>
      <c r="F161" s="98"/>
      <c r="G161" s="98"/>
      <c r="H161" s="98"/>
      <c r="I161" s="98"/>
      <c r="J161" s="98"/>
      <c r="K161" s="98"/>
      <c r="L161" s="98"/>
      <c r="M161" s="98"/>
      <c r="N161" s="98">
        <f ca="1">N158/(1+$V$94)^(N160)</f>
        <v>98.048107349868573</v>
      </c>
      <c r="O161" s="98">
        <f ca="1">O158/(1+$V$94)^(O160)</f>
        <v>94.241631844754437</v>
      </c>
      <c r="P161" s="98">
        <f ca="1">P158/(1+$V$94)^(P160)</f>
        <v>90.234433232699857</v>
      </c>
      <c r="Q161" s="98">
        <f ca="1">Q158/(1+$V$94)^(Q160)</f>
        <v>85.64281763106662</v>
      </c>
      <c r="R161" s="98">
        <f ca="1">R158/(1+$V$94)^(R160)</f>
        <v>80.808885778549779</v>
      </c>
      <c r="S161" s="316">
        <f ca="1">(R158*(1+V155))/(V154-V155)</f>
        <v>1479.1479795467326</v>
      </c>
      <c r="U161" s="1" t="s">
        <v>120</v>
      </c>
      <c r="V161" s="98">
        <f ca="1">(S161)/((1+V154)^(R160+1))</f>
        <v>834.94047314584816</v>
      </c>
    </row>
    <row r="162" spans="1:22" x14ac:dyDescent="0.3">
      <c r="U162" s="13" t="s">
        <v>121</v>
      </c>
      <c r="V162" s="352">
        <f ca="1">V160+V161</f>
        <v>1283.9163489827874</v>
      </c>
    </row>
    <row r="163" spans="1:22" x14ac:dyDescent="0.3">
      <c r="D163" s="1" t="s">
        <v>122</v>
      </c>
      <c r="E163" s="400"/>
      <c r="F163" s="400"/>
      <c r="G163" s="400"/>
      <c r="H163" s="400"/>
      <c r="I163" s="400"/>
      <c r="J163" s="400"/>
      <c r="K163" s="400"/>
      <c r="L163" s="400">
        <f ca="1">$V162/L155</f>
        <v>7.3008130906625759</v>
      </c>
      <c r="M163" s="400">
        <f ca="1">$V162/M155</f>
        <v>6.9553305994774384</v>
      </c>
      <c r="N163" s="400">
        <f ca="1">$V162/N155</f>
        <v>6.89780518382402</v>
      </c>
    </row>
    <row r="164" spans="1:22" x14ac:dyDescent="0.3">
      <c r="D164" s="1" t="s">
        <v>123</v>
      </c>
      <c r="E164" s="400"/>
      <c r="F164" s="400"/>
      <c r="G164" s="400"/>
      <c r="H164" s="400"/>
      <c r="I164" s="400"/>
      <c r="J164" s="400"/>
      <c r="K164" s="400"/>
      <c r="L164" s="400">
        <f ca="1">$V162/(L155-L156)</f>
        <v>10.803760480059086</v>
      </c>
      <c r="M164" s="400">
        <f ca="1">$V162/(M155-M156)</f>
        <v>9.9935172465747311</v>
      </c>
      <c r="N164" s="400">
        <f ca="1">$V162/(N155-N156)</f>
        <v>9.8667487404585295</v>
      </c>
    </row>
    <row r="165" spans="1:22" x14ac:dyDescent="0.3">
      <c r="D165" s="1" t="s">
        <v>124</v>
      </c>
      <c r="E165" s="400"/>
      <c r="F165" s="400"/>
      <c r="G165" s="400"/>
      <c r="H165" s="400"/>
      <c r="I165" s="400"/>
      <c r="J165" s="400"/>
      <c r="K165" s="400"/>
      <c r="L165" s="400">
        <f ca="1">$V162/((1-$V156)*(L155-L156))</f>
        <v>13.337975901307511</v>
      </c>
      <c r="M165" s="400">
        <f ca="1">$V162/((1-$V156)*(M155-M156))</f>
        <v>12.337675613055223</v>
      </c>
      <c r="N165" s="400">
        <f ca="1">$V162/((1-$V156)*(N155-N156))</f>
        <v>12.181171284516703</v>
      </c>
    </row>
    <row r="166" spans="1:22" x14ac:dyDescent="0.3">
      <c r="G166" s="98"/>
      <c r="H166" s="98"/>
      <c r="I166" s="98"/>
      <c r="J166" s="98"/>
      <c r="K166" s="98"/>
      <c r="L166" s="98">
        <f ca="1">L157-L158</f>
        <v>22.579555216629103</v>
      </c>
      <c r="M166" s="98">
        <f ca="1">M157-M158</f>
        <v>24.41023518424818</v>
      </c>
      <c r="N166" s="98">
        <f ca="1">N157-N158</f>
        <v>24.723859168161297</v>
      </c>
      <c r="O166" s="98"/>
      <c r="P166" s="98"/>
      <c r="Q166" s="98"/>
      <c r="R166" s="98"/>
    </row>
    <row r="167" spans="1:22" x14ac:dyDescent="0.3">
      <c r="A167" s="401"/>
      <c r="B167" s="401"/>
      <c r="C167" s="401"/>
      <c r="D167" s="401"/>
      <c r="E167" s="403"/>
      <c r="F167" s="403"/>
      <c r="G167" s="403"/>
      <c r="H167" s="403"/>
      <c r="I167" s="403"/>
      <c r="J167" s="403"/>
      <c r="K167" s="403"/>
      <c r="L167" s="403"/>
      <c r="M167" s="403"/>
      <c r="N167" s="403"/>
      <c r="O167" s="403"/>
      <c r="P167" s="403"/>
      <c r="Q167" s="403"/>
      <c r="R167" s="403"/>
      <c r="S167" s="401"/>
      <c r="T167" s="401"/>
      <c r="U167" s="401"/>
      <c r="V167" s="403"/>
    </row>
    <row r="169" spans="1:22" x14ac:dyDescent="0.3">
      <c r="B169" s="13" t="s">
        <v>176</v>
      </c>
      <c r="E169" s="3">
        <v>2010</v>
      </c>
      <c r="F169" s="3">
        <f t="shared" ref="F169:M169" si="61">E169+1</f>
        <v>2011</v>
      </c>
      <c r="G169" s="3">
        <f t="shared" si="61"/>
        <v>2012</v>
      </c>
      <c r="H169" s="3">
        <f t="shared" si="61"/>
        <v>2013</v>
      </c>
      <c r="I169" s="3">
        <f t="shared" si="61"/>
        <v>2014</v>
      </c>
      <c r="J169" s="3">
        <f t="shared" si="61"/>
        <v>2015</v>
      </c>
      <c r="K169" s="3">
        <f t="shared" si="61"/>
        <v>2016</v>
      </c>
      <c r="L169" s="3">
        <f t="shared" si="61"/>
        <v>2017</v>
      </c>
      <c r="M169" s="3">
        <f t="shared" si="61"/>
        <v>2018</v>
      </c>
      <c r="N169" s="3">
        <v>2019</v>
      </c>
      <c r="O169" s="3">
        <v>2020</v>
      </c>
      <c r="P169" s="3">
        <v>2021</v>
      </c>
      <c r="Q169" s="3">
        <v>2022</v>
      </c>
      <c r="R169" s="3">
        <v>2023</v>
      </c>
      <c r="U169" s="1" t="s">
        <v>113</v>
      </c>
      <c r="V169" s="357">
        <v>0.1</v>
      </c>
    </row>
    <row r="170" spans="1:22" x14ac:dyDescent="0.3">
      <c r="D170" s="1" t="s">
        <v>82</v>
      </c>
      <c r="E170" s="356">
        <f>Croatia!Y54</f>
        <v>221</v>
      </c>
      <c r="F170" s="356">
        <f>Croatia!AE54</f>
        <v>212</v>
      </c>
      <c r="G170" s="356">
        <f>Croatia!AK54</f>
        <v>194</v>
      </c>
      <c r="H170" s="356">
        <f>Croatia!AQ54</f>
        <v>166.5</v>
      </c>
      <c r="I170" s="356">
        <f>Croatia!AW54</f>
        <v>150.18899999999999</v>
      </c>
      <c r="J170" s="356">
        <f>Croatia!BC54</f>
        <v>150.46501499999999</v>
      </c>
      <c r="K170" s="356">
        <f>Croatia!BI54</f>
        <v>153.58545340000001</v>
      </c>
      <c r="L170" s="356">
        <f>Croatia!BO54</f>
        <v>158.67617984059999</v>
      </c>
      <c r="M170" s="356">
        <f>Croatia!BU54</f>
        <v>158.25525665076137</v>
      </c>
      <c r="N170" s="356">
        <f>Croatia!CA54</f>
        <v>158.49988904521567</v>
      </c>
      <c r="O170" s="356">
        <f>Croatia!CG54</f>
        <v>160.1241789108708</v>
      </c>
      <c r="P170" s="356">
        <f>Croatia!CM54</f>
        <v>162.5064868182231</v>
      </c>
      <c r="Q170" s="356">
        <f>Croatia!CS54</f>
        <v>165.70362715626516</v>
      </c>
      <c r="R170" s="356">
        <f>Croatia!CY54</f>
        <v>169.25960968893202</v>
      </c>
      <c r="U170" s="1" t="s">
        <v>114</v>
      </c>
      <c r="V170" s="357">
        <v>0.02</v>
      </c>
    </row>
    <row r="171" spans="1:22" x14ac:dyDescent="0.3">
      <c r="D171" s="1" t="s">
        <v>90</v>
      </c>
      <c r="E171" s="356">
        <f>Croatia!Y60</f>
        <v>51</v>
      </c>
      <c r="F171" s="356">
        <f>Croatia!AE60</f>
        <v>31</v>
      </c>
      <c r="G171" s="356">
        <f>Croatia!AK60</f>
        <v>55</v>
      </c>
      <c r="H171" s="356">
        <f>Croatia!AQ60</f>
        <v>45</v>
      </c>
      <c r="I171" s="356">
        <f>Croatia!AW60</f>
        <v>34.479999999999997</v>
      </c>
      <c r="J171" s="356">
        <f>Croatia!BC60</f>
        <v>37.044399999999996</v>
      </c>
      <c r="K171" s="356">
        <f>Croatia!BI60</f>
        <v>54</v>
      </c>
      <c r="L171" s="356">
        <f>Croatia!BO60</f>
        <v>57.881999999999998</v>
      </c>
      <c r="M171" s="356">
        <f>Croatia!BU60</f>
        <v>53.101667421264736</v>
      </c>
      <c r="N171" s="356">
        <f>Croatia!CA60</f>
        <v>51.433450551075865</v>
      </c>
      <c r="O171" s="356">
        <f>Croatia!CG60</f>
        <v>48.232729887423829</v>
      </c>
      <c r="P171" s="356">
        <f>Croatia!CM60</f>
        <v>47.219266551412602</v>
      </c>
      <c r="Q171" s="356">
        <f>Croatia!CS60</f>
        <v>48.499274134267516</v>
      </c>
      <c r="R171" s="356">
        <f>Croatia!CY60</f>
        <v>49.897334418131216</v>
      </c>
      <c r="U171" s="1" t="s">
        <v>115</v>
      </c>
      <c r="V171" s="399">
        <v>0.2</v>
      </c>
    </row>
    <row r="172" spans="1:22" x14ac:dyDescent="0.3">
      <c r="D172" s="1" t="s">
        <v>38</v>
      </c>
      <c r="E172" s="98">
        <f t="shared" ref="E172:M172" si="62">E170-E171</f>
        <v>170</v>
      </c>
      <c r="F172" s="98">
        <f t="shared" si="62"/>
        <v>181</v>
      </c>
      <c r="G172" s="98">
        <f t="shared" si="62"/>
        <v>139</v>
      </c>
      <c r="H172" s="98">
        <f t="shared" si="62"/>
        <v>121.5</v>
      </c>
      <c r="I172" s="98">
        <f t="shared" si="62"/>
        <v>115.709</v>
      </c>
      <c r="J172" s="98">
        <f t="shared" si="62"/>
        <v>113.420615</v>
      </c>
      <c r="K172" s="98">
        <f t="shared" si="62"/>
        <v>99.585453400000006</v>
      </c>
      <c r="L172" s="98">
        <f t="shared" si="62"/>
        <v>100.79417984059998</v>
      </c>
      <c r="M172" s="98">
        <f t="shared" si="62"/>
        <v>105.15358922949663</v>
      </c>
      <c r="N172" s="98">
        <f>N170-N171</f>
        <v>107.0664384941398</v>
      </c>
      <c r="O172" s="98">
        <f>O170-O171</f>
        <v>111.89144902344697</v>
      </c>
      <c r="P172" s="98">
        <f>P170-P171</f>
        <v>115.28722026681049</v>
      </c>
      <c r="Q172" s="98">
        <f>Q170-Q171</f>
        <v>117.20435302199763</v>
      </c>
      <c r="R172" s="98">
        <f>R170-R171</f>
        <v>119.36227527080081</v>
      </c>
    </row>
    <row r="173" spans="1:22" x14ac:dyDescent="0.3">
      <c r="D173" s="1" t="s">
        <v>116</v>
      </c>
      <c r="E173" s="98">
        <f t="shared" ref="E173:M173" si="63">E172*(1-$V171)</f>
        <v>136</v>
      </c>
      <c r="F173" s="98">
        <f t="shared" si="63"/>
        <v>144.80000000000001</v>
      </c>
      <c r="G173" s="98">
        <f t="shared" si="63"/>
        <v>111.2</v>
      </c>
      <c r="H173" s="98">
        <f t="shared" si="63"/>
        <v>97.2</v>
      </c>
      <c r="I173" s="98">
        <f t="shared" si="63"/>
        <v>92.567200000000014</v>
      </c>
      <c r="J173" s="98">
        <f t="shared" si="63"/>
        <v>90.736491999999998</v>
      </c>
      <c r="K173" s="98">
        <f t="shared" si="63"/>
        <v>79.668362720000005</v>
      </c>
      <c r="L173" s="98">
        <f t="shared" si="63"/>
        <v>80.635343872479993</v>
      </c>
      <c r="M173" s="98">
        <f t="shared" si="63"/>
        <v>84.122871383597314</v>
      </c>
      <c r="N173" s="98">
        <f>N172*(1-$V171)</f>
        <v>85.653150795311845</v>
      </c>
      <c r="O173" s="98">
        <f>O172*(1-$V171)</f>
        <v>89.513159218757579</v>
      </c>
      <c r="P173" s="98">
        <f>P172*(1-$V171)</f>
        <v>92.229776213448403</v>
      </c>
      <c r="Q173" s="98">
        <f>Q172*(1-$V171)</f>
        <v>93.763482417598112</v>
      </c>
      <c r="R173" s="98">
        <f>R172*(1-$V171)</f>
        <v>95.489820216640652</v>
      </c>
    </row>
    <row r="175" spans="1:22" x14ac:dyDescent="0.3">
      <c r="D175" s="1" t="s">
        <v>117</v>
      </c>
      <c r="N175" s="2">
        <f t="shared" ref="N175:R175" si="64">M175+1</f>
        <v>1</v>
      </c>
      <c r="O175" s="2">
        <f t="shared" si="64"/>
        <v>2</v>
      </c>
      <c r="P175" s="2">
        <f t="shared" si="64"/>
        <v>3</v>
      </c>
      <c r="Q175" s="2">
        <f t="shared" si="64"/>
        <v>4</v>
      </c>
      <c r="R175" s="2">
        <f t="shared" si="64"/>
        <v>5</v>
      </c>
      <c r="U175" s="1" t="s">
        <v>118</v>
      </c>
      <c r="V175" s="98">
        <f>J176+K176+L176+M176+N176+O176+P176+Q176+R176</f>
        <v>368.10174254007688</v>
      </c>
    </row>
    <row r="176" spans="1:22" x14ac:dyDescent="0.3">
      <c r="D176" s="1" t="s">
        <v>119</v>
      </c>
      <c r="F176" s="98"/>
      <c r="G176" s="98"/>
      <c r="H176" s="98"/>
      <c r="I176" s="98"/>
      <c r="J176" s="98"/>
      <c r="K176" s="98"/>
      <c r="L176" s="98"/>
      <c r="M176" s="98"/>
      <c r="N176" s="98">
        <f>N173/(1+$V$94)^(N175)</f>
        <v>79.677349577034278</v>
      </c>
      <c r="O176" s="98">
        <f>O173/(1+$V$94)^(O175)</f>
        <v>77.458655895084988</v>
      </c>
      <c r="P176" s="98">
        <f>P173/(1+$V$94)^(P175)</f>
        <v>74.241333186520663</v>
      </c>
      <c r="Q176" s="98">
        <f>Q173/(1+$V$94)^(Q175)</f>
        <v>70.210145307975282</v>
      </c>
      <c r="R176" s="98">
        <f>R173/(1+$V$94)^(R175)</f>
        <v>66.514258573461689</v>
      </c>
      <c r="S176" s="316">
        <f>(R173*(1+V170))/(V169-V170)</f>
        <v>1217.4952077621683</v>
      </c>
      <c r="U176" s="1" t="s">
        <v>120</v>
      </c>
      <c r="V176" s="98">
        <f>(S176)/((1+V169)^(R175+1))</f>
        <v>687.24430474715109</v>
      </c>
    </row>
    <row r="177" spans="1:22" x14ac:dyDescent="0.3">
      <c r="U177" s="13" t="s">
        <v>121</v>
      </c>
      <c r="V177" s="352">
        <f>V175+V176</f>
        <v>1055.346047287228</v>
      </c>
    </row>
    <row r="178" spans="1:22" x14ac:dyDescent="0.3">
      <c r="D178" s="1" t="s">
        <v>122</v>
      </c>
      <c r="E178" s="400"/>
      <c r="F178" s="400"/>
      <c r="G178" s="400"/>
      <c r="H178" s="400"/>
      <c r="I178" s="400"/>
      <c r="J178" s="400"/>
      <c r="K178" s="400"/>
      <c r="L178" s="400">
        <f>$V177/L170</f>
        <v>6.6509418637843956</v>
      </c>
      <c r="M178" s="400">
        <f>$V177/M170</f>
        <v>6.6686318648875709</v>
      </c>
      <c r="N178" s="400">
        <f>$V177/N170</f>
        <v>6.6583393442386996</v>
      </c>
    </row>
    <row r="179" spans="1:22" x14ac:dyDescent="0.3">
      <c r="D179" s="1" t="s">
        <v>123</v>
      </c>
      <c r="E179" s="400"/>
      <c r="F179" s="400"/>
      <c r="G179" s="400"/>
      <c r="H179" s="400"/>
      <c r="I179" s="400"/>
      <c r="J179" s="400"/>
      <c r="K179" s="400"/>
      <c r="L179" s="400">
        <f>$V177/(L170-L171)</f>
        <v>10.470307402234884</v>
      </c>
      <c r="M179" s="400">
        <f>$V177/(M170-M171)</f>
        <v>10.036234188677536</v>
      </c>
      <c r="N179" s="400">
        <f>$V177/(N170-N171)</f>
        <v>9.8569268029307935</v>
      </c>
    </row>
    <row r="180" spans="1:22" x14ac:dyDescent="0.3">
      <c r="D180" s="1" t="s">
        <v>124</v>
      </c>
      <c r="E180" s="400"/>
      <c r="F180" s="400"/>
      <c r="G180" s="400"/>
      <c r="H180" s="400"/>
      <c r="I180" s="400"/>
      <c r="J180" s="400"/>
      <c r="K180" s="400"/>
      <c r="L180" s="400">
        <f>$V177/((1-$V171)*(L170-L171))</f>
        <v>13.087884252793602</v>
      </c>
      <c r="M180" s="400">
        <f>$V177/((1-$V171)*(M170-M171))</f>
        <v>12.545292735846918</v>
      </c>
      <c r="N180" s="400">
        <f>$V177/((1-$V171)*(N170-N171))</f>
        <v>12.321158503663492</v>
      </c>
    </row>
    <row r="181" spans="1:22" x14ac:dyDescent="0.3">
      <c r="G181" s="98"/>
      <c r="H181" s="98"/>
      <c r="I181" s="98"/>
      <c r="J181" s="98"/>
      <c r="K181" s="98"/>
      <c r="L181" s="98">
        <f>L172-L173</f>
        <v>20.158835968119988</v>
      </c>
      <c r="M181" s="98">
        <f>M172-M173</f>
        <v>21.030717845899318</v>
      </c>
      <c r="N181" s="98">
        <f>N172-N173</f>
        <v>21.413287698827958</v>
      </c>
      <c r="O181" s="98"/>
      <c r="P181" s="98"/>
      <c r="Q181" s="98"/>
      <c r="R181" s="98"/>
    </row>
    <row r="182" spans="1:22" x14ac:dyDescent="0.3">
      <c r="A182" s="401"/>
      <c r="B182" s="401"/>
      <c r="C182" s="401"/>
      <c r="D182" s="401"/>
      <c r="E182" s="403"/>
      <c r="F182" s="403"/>
      <c r="G182" s="403"/>
      <c r="H182" s="403"/>
      <c r="I182" s="403"/>
      <c r="J182" s="403"/>
      <c r="K182" s="403"/>
      <c r="L182" s="403"/>
      <c r="M182" s="403"/>
      <c r="N182" s="403"/>
      <c r="O182" s="403"/>
      <c r="P182" s="403"/>
      <c r="Q182" s="403"/>
      <c r="R182" s="403"/>
      <c r="S182" s="401"/>
      <c r="T182" s="401"/>
      <c r="U182" s="401"/>
      <c r="V182" s="403"/>
    </row>
    <row r="184" spans="1:22" x14ac:dyDescent="0.3">
      <c r="B184" s="13" t="s">
        <v>177</v>
      </c>
      <c r="E184" s="3">
        <v>2010</v>
      </c>
      <c r="F184" s="3">
        <f t="shared" ref="F184:M184" si="65">E184+1</f>
        <v>2011</v>
      </c>
      <c r="G184" s="3">
        <f t="shared" si="65"/>
        <v>2012</v>
      </c>
      <c r="H184" s="3">
        <f t="shared" si="65"/>
        <v>2013</v>
      </c>
      <c r="I184" s="3">
        <f t="shared" si="65"/>
        <v>2014</v>
      </c>
      <c r="J184" s="3">
        <f t="shared" si="65"/>
        <v>2015</v>
      </c>
      <c r="K184" s="3">
        <f t="shared" si="65"/>
        <v>2016</v>
      </c>
      <c r="L184" s="3">
        <f t="shared" si="65"/>
        <v>2017</v>
      </c>
      <c r="M184" s="3">
        <f t="shared" si="65"/>
        <v>2018</v>
      </c>
      <c r="N184" s="3">
        <v>2019</v>
      </c>
      <c r="O184" s="3">
        <v>2020</v>
      </c>
      <c r="P184" s="3">
        <v>2021</v>
      </c>
      <c r="Q184" s="3">
        <v>2022</v>
      </c>
      <c r="R184" s="3">
        <v>2023</v>
      </c>
      <c r="U184" s="1" t="s">
        <v>113</v>
      </c>
      <c r="V184" s="357">
        <v>7.4999999999999997E-2</v>
      </c>
    </row>
    <row r="185" spans="1:22" x14ac:dyDescent="0.3">
      <c r="D185" s="1" t="s">
        <v>82</v>
      </c>
      <c r="E185" s="356">
        <f>'T-Systems'!Y8</f>
        <v>948</v>
      </c>
      <c r="F185" s="356">
        <f>'T-Systems'!AE8</f>
        <v>672</v>
      </c>
      <c r="G185" s="356">
        <f>'T-Systems'!AK8</f>
        <v>747</v>
      </c>
      <c r="H185" s="356">
        <f>'T-Systems'!AQ8</f>
        <v>774</v>
      </c>
      <c r="I185" s="356">
        <f>'T-Systems'!AW8</f>
        <v>835</v>
      </c>
      <c r="J185" s="356">
        <f>'T-Systems'!BC8</f>
        <v>740</v>
      </c>
      <c r="K185" s="356">
        <f>'T-Systems'!BI8</f>
        <v>530</v>
      </c>
      <c r="L185" s="356">
        <f>'T-Systems'!BO8</f>
        <v>510</v>
      </c>
      <c r="M185" s="356">
        <f>'T-Systems'!BU8</f>
        <v>433.03100000000001</v>
      </c>
      <c r="N185" s="356">
        <f>'T-Systems'!CA8</f>
        <v>441.07061375000001</v>
      </c>
      <c r="O185" s="356">
        <f>'T-Systems'!CG8</f>
        <v>447.90002685000002</v>
      </c>
      <c r="P185" s="356">
        <f>'T-Systems'!CM8</f>
        <v>457.00308714974994</v>
      </c>
      <c r="Q185" s="356">
        <f>'T-Systems'!CS8</f>
        <v>466.18598055182616</v>
      </c>
      <c r="R185" s="356">
        <f>'T-Systems'!CY8</f>
        <v>475.44927781074443</v>
      </c>
      <c r="U185" s="1" t="s">
        <v>114</v>
      </c>
      <c r="V185" s="357">
        <v>-0.02</v>
      </c>
    </row>
    <row r="186" spans="1:22" x14ac:dyDescent="0.3">
      <c r="D186" s="1" t="s">
        <v>90</v>
      </c>
      <c r="E186" s="356">
        <f>'T-Systems'!Y14</f>
        <v>725</v>
      </c>
      <c r="F186" s="356">
        <f>'T-Systems'!AE14</f>
        <v>1413</v>
      </c>
      <c r="G186" s="356">
        <f>'T-Systems'!AK14</f>
        <v>1187</v>
      </c>
      <c r="H186" s="356">
        <f>'T-Systems'!AQ14</f>
        <v>1066</v>
      </c>
      <c r="I186" s="356">
        <f>'T-Systems'!AW14</f>
        <v>1171</v>
      </c>
      <c r="J186" s="356">
        <f>'T-Systems'!BC14</f>
        <v>1151</v>
      </c>
      <c r="K186" s="356">
        <f>'T-Systems'!BI14</f>
        <v>402</v>
      </c>
      <c r="L186" s="356">
        <f>'T-Systems'!BO14</f>
        <v>384</v>
      </c>
      <c r="M186" s="356">
        <f>'T-Systems'!BU14</f>
        <v>430.13310000000001</v>
      </c>
      <c r="N186" s="356">
        <f>'T-Systems'!CA14</f>
        <v>418.47946845000001</v>
      </c>
      <c r="O186" s="356">
        <f>'T-Systems'!CG14</f>
        <v>415.06476189999995</v>
      </c>
      <c r="P186" s="356">
        <f>'T-Systems'!CM14</f>
        <v>413.70830562674996</v>
      </c>
      <c r="Q186" s="356">
        <f>'T-Systems'!CS14</f>
        <v>412.32790817171997</v>
      </c>
      <c r="R186" s="356">
        <f>'T-Systems'!CY14</f>
        <v>410.92336403449889</v>
      </c>
      <c r="U186" s="1" t="s">
        <v>115</v>
      </c>
      <c r="V186" s="399">
        <v>0.3</v>
      </c>
    </row>
    <row r="187" spans="1:22" x14ac:dyDescent="0.3">
      <c r="D187" s="1" t="s">
        <v>38</v>
      </c>
      <c r="E187" s="98">
        <f t="shared" ref="E187:M187" si="66">E185-E186</f>
        <v>223</v>
      </c>
      <c r="F187" s="98">
        <f t="shared" si="66"/>
        <v>-741</v>
      </c>
      <c r="G187" s="98">
        <f t="shared" si="66"/>
        <v>-440</v>
      </c>
      <c r="H187" s="98">
        <f t="shared" si="66"/>
        <v>-292</v>
      </c>
      <c r="I187" s="98">
        <f t="shared" si="66"/>
        <v>-336</v>
      </c>
      <c r="J187" s="98">
        <f t="shared" si="66"/>
        <v>-411</v>
      </c>
      <c r="K187" s="98">
        <f t="shared" si="66"/>
        <v>128</v>
      </c>
      <c r="L187" s="98">
        <f t="shared" si="66"/>
        <v>126</v>
      </c>
      <c r="M187" s="98">
        <f t="shared" si="66"/>
        <v>2.8978999999999928</v>
      </c>
      <c r="N187" s="98">
        <f>N185-N186</f>
        <v>22.591145299999994</v>
      </c>
      <c r="O187" s="98">
        <f>O185-O186</f>
        <v>32.835264950000067</v>
      </c>
      <c r="P187" s="98">
        <f>P185-P186</f>
        <v>43.294781522999983</v>
      </c>
      <c r="Q187" s="98">
        <f>Q185-Q186</f>
        <v>53.858072380106194</v>
      </c>
      <c r="R187" s="98">
        <f>R185-R186</f>
        <v>64.525913776245545</v>
      </c>
    </row>
    <row r="188" spans="1:22" x14ac:dyDescent="0.3">
      <c r="D188" s="1" t="s">
        <v>116</v>
      </c>
      <c r="E188" s="98">
        <f t="shared" ref="E188:M188" si="67">E187*(1-$V186)</f>
        <v>156.1</v>
      </c>
      <c r="F188" s="98">
        <f t="shared" si="67"/>
        <v>-518.69999999999993</v>
      </c>
      <c r="G188" s="98">
        <f t="shared" si="67"/>
        <v>-308</v>
      </c>
      <c r="H188" s="98">
        <f t="shared" si="67"/>
        <v>-204.39999999999998</v>
      </c>
      <c r="I188" s="98">
        <f t="shared" si="67"/>
        <v>-235.2</v>
      </c>
      <c r="J188" s="98">
        <f t="shared" si="67"/>
        <v>-287.7</v>
      </c>
      <c r="K188" s="98">
        <f t="shared" si="67"/>
        <v>89.6</v>
      </c>
      <c r="L188" s="98">
        <f t="shared" si="67"/>
        <v>88.199999999999989</v>
      </c>
      <c r="M188" s="98">
        <f t="shared" si="67"/>
        <v>2.0285299999999951</v>
      </c>
      <c r="N188" s="98">
        <f>N187*(1-$V186)</f>
        <v>15.813801709999995</v>
      </c>
      <c r="O188" s="98">
        <f>O187*(1-$V186)</f>
        <v>22.984685465000045</v>
      </c>
      <c r="P188" s="98">
        <f>P187*(1-$V186)</f>
        <v>30.306347066099985</v>
      </c>
      <c r="Q188" s="98">
        <f>Q187*(1-$V186)</f>
        <v>37.700650666074331</v>
      </c>
      <c r="R188" s="98">
        <f>R187*(1-$V186)</f>
        <v>45.16813964337188</v>
      </c>
    </row>
    <row r="190" spans="1:22" x14ac:dyDescent="0.3">
      <c r="D190" s="1" t="s">
        <v>117</v>
      </c>
      <c r="N190" s="2">
        <f t="shared" ref="N190:R190" si="68">M190+1</f>
        <v>1</v>
      </c>
      <c r="O190" s="2">
        <f t="shared" si="68"/>
        <v>2</v>
      </c>
      <c r="P190" s="2">
        <f t="shared" si="68"/>
        <v>3</v>
      </c>
      <c r="Q190" s="2">
        <f t="shared" si="68"/>
        <v>4</v>
      </c>
      <c r="R190" s="2">
        <f t="shared" si="68"/>
        <v>5</v>
      </c>
      <c r="U190" s="1" t="s">
        <v>118</v>
      </c>
      <c r="V190" s="98">
        <f>J191+K191+L191+M191+N191+O191+P191+Q191+R191</f>
        <v>118.68785029469329</v>
      </c>
    </row>
    <row r="191" spans="1:22" x14ac:dyDescent="0.3">
      <c r="D191" s="1" t="s">
        <v>119</v>
      </c>
      <c r="F191" s="98"/>
      <c r="G191" s="98"/>
      <c r="H191" s="98"/>
      <c r="I191" s="98"/>
      <c r="J191" s="98"/>
      <c r="K191" s="98"/>
      <c r="L191" s="98"/>
      <c r="M191" s="98"/>
      <c r="N191" s="98">
        <f>N188/(1+$V$94)^(N190)</f>
        <v>14.710513218604646</v>
      </c>
      <c r="O191" s="98">
        <f>O188/(1+$V$94)^(O190)</f>
        <v>19.889397914548443</v>
      </c>
      <c r="P191" s="98">
        <f>P188/(1+$V$94)^(P190)</f>
        <v>24.395414394083531</v>
      </c>
      <c r="Q191" s="98">
        <f>Q188/(1+$V$94)^(Q190)</f>
        <v>28.230267191670499</v>
      </c>
      <c r="R191" s="98">
        <f>R188/(1+$V$94)^(R190)</f>
        <v>31.462257575786179</v>
      </c>
      <c r="S191" s="316">
        <f>(R188*(1+V185))/(V184-V185)</f>
        <v>465.94501947899408</v>
      </c>
      <c r="U191" s="1" t="s">
        <v>120</v>
      </c>
      <c r="V191" s="98">
        <f>(S191)/((1+V184)^(R190+1))</f>
        <v>301.9144423429176</v>
      </c>
    </row>
    <row r="192" spans="1:22" x14ac:dyDescent="0.3">
      <c r="U192" s="13" t="s">
        <v>121</v>
      </c>
      <c r="V192" s="352">
        <f>V190+V191</f>
        <v>420.6022926376109</v>
      </c>
    </row>
    <row r="193" spans="1:22" x14ac:dyDescent="0.3">
      <c r="D193" s="1" t="s">
        <v>122</v>
      </c>
      <c r="E193" s="400"/>
      <c r="F193" s="400"/>
      <c r="G193" s="400"/>
      <c r="H193" s="400"/>
      <c r="I193" s="400"/>
      <c r="J193" s="400"/>
      <c r="K193" s="400"/>
      <c r="L193" s="400">
        <f>$V192/L185</f>
        <v>0.82471037772080569</v>
      </c>
      <c r="M193" s="400">
        <f>$V192/M185</f>
        <v>0.97129834269973947</v>
      </c>
      <c r="N193" s="400">
        <f>$V192/N185</f>
        <v>0.95359400405670502</v>
      </c>
      <c r="O193" s="400">
        <f>$V192/O185</f>
        <v>0.93905395718689921</v>
      </c>
    </row>
    <row r="194" spans="1:22" x14ac:dyDescent="0.3">
      <c r="D194" s="1" t="s">
        <v>123</v>
      </c>
      <c r="E194" s="400"/>
      <c r="F194" s="400"/>
      <c r="G194" s="400"/>
      <c r="H194" s="400"/>
      <c r="I194" s="400"/>
      <c r="J194" s="400"/>
      <c r="K194" s="400"/>
      <c r="L194" s="400">
        <f>$V192/(L185-L186)</f>
        <v>3.3381134336318325</v>
      </c>
      <c r="M194" s="400">
        <f>$V192/(M185-M186)</f>
        <v>145.14037497415782</v>
      </c>
      <c r="N194" s="400">
        <f>$V192/(N185-N186)</f>
        <v>18.618015468105153</v>
      </c>
      <c r="O194" s="400">
        <f>$V192/(O185-O186)</f>
        <v>12.809468517402966</v>
      </c>
    </row>
    <row r="195" spans="1:22" x14ac:dyDescent="0.3">
      <c r="D195" s="1" t="s">
        <v>124</v>
      </c>
      <c r="E195" s="400"/>
      <c r="F195" s="400"/>
      <c r="G195" s="400"/>
      <c r="H195" s="400"/>
      <c r="I195" s="400"/>
      <c r="J195" s="400"/>
      <c r="K195" s="400"/>
      <c r="L195" s="400">
        <f>$V192/((1-$V186)*(L185-L186))</f>
        <v>4.7687334766169043</v>
      </c>
      <c r="M195" s="400">
        <f>$V192/((1-$V186)*(M185-M186))</f>
        <v>207.34339282022546</v>
      </c>
      <c r="N195" s="400">
        <f>$V192/((1-$V186)*(N185-N186))</f>
        <v>26.597164954435932</v>
      </c>
      <c r="O195" s="400">
        <f>$V192/((1-$V186)*(O185-O186))</f>
        <v>18.299240739147095</v>
      </c>
    </row>
    <row r="196" spans="1:22" x14ac:dyDescent="0.3">
      <c r="G196" s="98"/>
      <c r="H196" s="98"/>
      <c r="I196" s="98"/>
      <c r="J196" s="98"/>
      <c r="K196" s="98"/>
      <c r="L196" s="98"/>
      <c r="M196" s="98"/>
      <c r="N196" s="98"/>
      <c r="O196" s="98"/>
      <c r="P196" s="98"/>
      <c r="Q196" s="98"/>
      <c r="R196" s="98"/>
    </row>
    <row r="197" spans="1:22" x14ac:dyDescent="0.3">
      <c r="A197" s="401"/>
      <c r="B197" s="401"/>
      <c r="C197" s="401"/>
      <c r="D197" s="401"/>
      <c r="E197" s="403"/>
      <c r="F197" s="403"/>
      <c r="G197" s="403"/>
      <c r="H197" s="403"/>
      <c r="I197" s="403"/>
      <c r="J197" s="403"/>
      <c r="K197" s="403"/>
      <c r="L197" s="403"/>
      <c r="M197" s="403"/>
      <c r="N197" s="403"/>
      <c r="O197" s="403"/>
      <c r="P197" s="403"/>
      <c r="Q197" s="403"/>
      <c r="R197" s="403"/>
      <c r="S197" s="401"/>
      <c r="T197" s="401"/>
      <c r="U197" s="401"/>
      <c r="V197" s="403"/>
    </row>
    <row r="199" spans="1:22" x14ac:dyDescent="0.3">
      <c r="B199" s="13" t="s">
        <v>178</v>
      </c>
      <c r="E199" s="3">
        <v>2010</v>
      </c>
      <c r="F199" s="3">
        <f t="shared" ref="F199:M199" si="69">E199+1</f>
        <v>2011</v>
      </c>
      <c r="G199" s="3">
        <f t="shared" si="69"/>
        <v>2012</v>
      </c>
      <c r="H199" s="3">
        <f t="shared" si="69"/>
        <v>2013</v>
      </c>
      <c r="I199" s="3">
        <f t="shared" si="69"/>
        <v>2014</v>
      </c>
      <c r="J199" s="3">
        <f t="shared" si="69"/>
        <v>2015</v>
      </c>
      <c r="K199" s="3">
        <f t="shared" si="69"/>
        <v>2016</v>
      </c>
      <c r="L199" s="3">
        <f t="shared" si="69"/>
        <v>2017</v>
      </c>
      <c r="M199" s="3">
        <f t="shared" si="69"/>
        <v>2018</v>
      </c>
      <c r="N199" s="3">
        <v>2019</v>
      </c>
      <c r="O199" s="3">
        <v>2020</v>
      </c>
      <c r="P199" s="3">
        <v>2021</v>
      </c>
      <c r="Q199" s="3">
        <v>2022</v>
      </c>
      <c r="R199" s="3">
        <v>2023</v>
      </c>
      <c r="U199" s="1" t="s">
        <v>113</v>
      </c>
      <c r="V199" s="357">
        <v>0.1</v>
      </c>
    </row>
    <row r="200" spans="1:22" x14ac:dyDescent="0.3">
      <c r="D200" s="1" t="s">
        <v>82</v>
      </c>
      <c r="E200" s="356">
        <f>Hungary!Y97</f>
        <v>270.5</v>
      </c>
      <c r="F200" s="356">
        <f>Hungary!AE97</f>
        <v>210</v>
      </c>
      <c r="G200" s="356">
        <f>Hungary!AK97</f>
        <v>172</v>
      </c>
      <c r="H200" s="356">
        <f>Hungary!AQ97</f>
        <v>152</v>
      </c>
      <c r="I200" s="356">
        <f>Hungary!AW97</f>
        <v>153.916</v>
      </c>
      <c r="J200" s="356">
        <f>Hungary!BC97</f>
        <v>271</v>
      </c>
      <c r="K200" s="356">
        <f>Hungary!BI97</f>
        <v>278.49900000000002</v>
      </c>
      <c r="L200" s="356">
        <f>Hungary!BO97</f>
        <v>280.246196</v>
      </c>
      <c r="M200" s="356">
        <f>Hungary!BU97</f>
        <v>285.97371286735671</v>
      </c>
      <c r="N200" s="356">
        <f>Hungary!CA97</f>
        <v>280.24737584615286</v>
      </c>
      <c r="O200" s="356">
        <f>Hungary!CG97</f>
        <v>274.6036502510218</v>
      </c>
      <c r="P200" s="356">
        <f>Hungary!CM97</f>
        <v>269.04169063913491</v>
      </c>
      <c r="Q200" s="356">
        <f>Hungary!CS97</f>
        <v>263.56065876924129</v>
      </c>
      <c r="R200" s="356">
        <f>Hungary!CY97</f>
        <v>258.15972354672544</v>
      </c>
      <c r="U200" s="1" t="s">
        <v>114</v>
      </c>
      <c r="V200" s="357">
        <v>-0.01</v>
      </c>
    </row>
    <row r="201" spans="1:22" x14ac:dyDescent="0.3">
      <c r="D201" s="1" t="s">
        <v>90</v>
      </c>
      <c r="E201" s="356">
        <f>Hungary!Y103</f>
        <v>156</v>
      </c>
      <c r="F201" s="356">
        <f>Hungary!AE103</f>
        <v>132</v>
      </c>
      <c r="G201" s="356">
        <f>Hungary!AK103</f>
        <v>163</v>
      </c>
      <c r="H201" s="356">
        <f>Hungary!AQ103</f>
        <v>172</v>
      </c>
      <c r="I201" s="356">
        <f>Hungary!AW103</f>
        <v>108.75666666666666</v>
      </c>
      <c r="J201" s="356">
        <f>Hungary!BC103</f>
        <v>143</v>
      </c>
      <c r="K201" s="356">
        <f>Hungary!BI103</f>
        <v>151.608</v>
      </c>
      <c r="L201" s="356">
        <f>Hungary!BO103</f>
        <v>140</v>
      </c>
      <c r="M201" s="356">
        <f>Hungary!BU103</f>
        <v>139.7606709394579</v>
      </c>
      <c r="N201" s="356">
        <f>Hungary!CA103</f>
        <v>133.64289140324161</v>
      </c>
      <c r="O201" s="356">
        <f>Hungary!CG103</f>
        <v>128.15842704072483</v>
      </c>
      <c r="P201" s="356">
        <f>Hungary!CM103</f>
        <v>126.56235102427567</v>
      </c>
      <c r="Q201" s="356">
        <f>Hungary!CS103</f>
        <v>124.97903180731498</v>
      </c>
      <c r="R201" s="356">
        <f>Hungary!CY103</f>
        <v>123.40838172374828</v>
      </c>
      <c r="U201" s="1" t="s">
        <v>115</v>
      </c>
      <c r="V201" s="399">
        <v>0.19</v>
      </c>
    </row>
    <row r="202" spans="1:22" x14ac:dyDescent="0.3">
      <c r="D202" s="1" t="s">
        <v>38</v>
      </c>
      <c r="E202" s="98">
        <f t="shared" ref="E202:M202" si="70">E200-E201</f>
        <v>114.5</v>
      </c>
      <c r="F202" s="98">
        <f t="shared" si="70"/>
        <v>78</v>
      </c>
      <c r="G202" s="98">
        <f t="shared" si="70"/>
        <v>9</v>
      </c>
      <c r="H202" s="98">
        <f t="shared" si="70"/>
        <v>-20</v>
      </c>
      <c r="I202" s="98">
        <f t="shared" si="70"/>
        <v>45.159333333333336</v>
      </c>
      <c r="J202" s="98">
        <f t="shared" si="70"/>
        <v>128</v>
      </c>
      <c r="K202" s="98">
        <f t="shared" si="70"/>
        <v>126.89100000000002</v>
      </c>
      <c r="L202" s="98">
        <f t="shared" si="70"/>
        <v>140.246196</v>
      </c>
      <c r="M202" s="98">
        <f t="shared" si="70"/>
        <v>146.21304192789881</v>
      </c>
      <c r="N202" s="98">
        <f>N200-N201</f>
        <v>146.60448444291126</v>
      </c>
      <c r="O202" s="98">
        <f>O200-O201</f>
        <v>146.44522321029697</v>
      </c>
      <c r="P202" s="98">
        <f>P200-P201</f>
        <v>142.47933961485924</v>
      </c>
      <c r="Q202" s="98">
        <f>Q200-Q201</f>
        <v>138.5816269619263</v>
      </c>
      <c r="R202" s="98">
        <f>R200-R201</f>
        <v>134.75134182297717</v>
      </c>
    </row>
    <row r="203" spans="1:22" x14ac:dyDescent="0.3">
      <c r="D203" s="1" t="s">
        <v>116</v>
      </c>
      <c r="E203" s="98">
        <f t="shared" ref="E203:M203" si="71">E202*(1-$V201)</f>
        <v>92.745000000000005</v>
      </c>
      <c r="F203" s="98">
        <f t="shared" si="71"/>
        <v>63.180000000000007</v>
      </c>
      <c r="G203" s="98">
        <f t="shared" si="71"/>
        <v>7.2900000000000009</v>
      </c>
      <c r="H203" s="98">
        <f t="shared" si="71"/>
        <v>-16.200000000000003</v>
      </c>
      <c r="I203" s="98">
        <f t="shared" si="71"/>
        <v>36.579060000000005</v>
      </c>
      <c r="J203" s="98">
        <f t="shared" si="71"/>
        <v>103.68</v>
      </c>
      <c r="K203" s="98">
        <f t="shared" si="71"/>
        <v>102.78171000000002</v>
      </c>
      <c r="L203" s="98">
        <f t="shared" si="71"/>
        <v>113.59941876000001</v>
      </c>
      <c r="M203" s="98">
        <f t="shared" si="71"/>
        <v>118.43256396159805</v>
      </c>
      <c r="N203" s="98">
        <f>N202*(1-$V201)</f>
        <v>118.74963239875812</v>
      </c>
      <c r="O203" s="98">
        <f>O202*(1-$V201)</f>
        <v>118.62063080034055</v>
      </c>
      <c r="P203" s="98">
        <f>P202*(1-$V201)</f>
        <v>115.40826508803599</v>
      </c>
      <c r="Q203" s="98">
        <f>Q202*(1-$V201)</f>
        <v>112.25111783916032</v>
      </c>
      <c r="R203" s="98">
        <f>R202*(1-$V201)</f>
        <v>109.14858687661152</v>
      </c>
    </row>
    <row r="205" spans="1:22" x14ac:dyDescent="0.3">
      <c r="D205" s="1" t="s">
        <v>117</v>
      </c>
      <c r="N205" s="2">
        <f t="shared" ref="N205:R205" si="72">M205+1</f>
        <v>1</v>
      </c>
      <c r="O205" s="2">
        <f t="shared" si="72"/>
        <v>2</v>
      </c>
      <c r="P205" s="2">
        <f t="shared" si="72"/>
        <v>3</v>
      </c>
      <c r="Q205" s="2">
        <f t="shared" si="72"/>
        <v>4</v>
      </c>
      <c r="R205" s="2">
        <f t="shared" si="72"/>
        <v>5</v>
      </c>
      <c r="U205" s="1" t="s">
        <v>118</v>
      </c>
      <c r="V205" s="98">
        <f>J206+K206+L206+M206+N206+O206+P206+Q206+R206</f>
        <v>466.0922643334585</v>
      </c>
    </row>
    <row r="206" spans="1:22" x14ac:dyDescent="0.3">
      <c r="D206" s="1" t="s">
        <v>119</v>
      </c>
      <c r="F206" s="98"/>
      <c r="G206" s="98"/>
      <c r="H206" s="98"/>
      <c r="I206" s="98"/>
      <c r="J206" s="98"/>
      <c r="K206" s="98"/>
      <c r="L206" s="98"/>
      <c r="M206" s="98"/>
      <c r="N206" s="98">
        <f>N203/(1+$V$94)^(N205)</f>
        <v>110.46477432442616</v>
      </c>
      <c r="O206" s="98">
        <f>O203/(1+$V$94)^(O205)</f>
        <v>102.64630031397778</v>
      </c>
      <c r="P206" s="98">
        <f>P203/(1+$V$94)^(P205)</f>
        <v>92.899102791380685</v>
      </c>
      <c r="Q206" s="98">
        <f>Q203/(1+$V$94)^(Q205)</f>
        <v>84.053696505953525</v>
      </c>
      <c r="R206" s="98">
        <f>R203/(1+$V$94)^(R205)</f>
        <v>76.028390397720358</v>
      </c>
      <c r="S206" s="316">
        <f>(R203*(1+V200))/(V199-V200)</f>
        <v>982.33728188950363</v>
      </c>
      <c r="U206" s="1" t="s">
        <v>120</v>
      </c>
      <c r="V206" s="98">
        <f>(S206)/((1+V199)^(R205+1))</f>
        <v>554.50378614651322</v>
      </c>
    </row>
    <row r="207" spans="1:22" x14ac:dyDescent="0.3">
      <c r="U207" s="13" t="s">
        <v>121</v>
      </c>
      <c r="V207" s="352">
        <f>V205+V206</f>
        <v>1020.5960504799717</v>
      </c>
    </row>
    <row r="208" spans="1:22" x14ac:dyDescent="0.3">
      <c r="D208" s="1" t="s">
        <v>122</v>
      </c>
      <c r="E208" s="400"/>
      <c r="F208" s="400"/>
      <c r="G208" s="400"/>
      <c r="H208" s="400"/>
      <c r="I208" s="400"/>
      <c r="J208" s="400"/>
      <c r="K208" s="400"/>
      <c r="L208" s="400">
        <f>$V207/L200</f>
        <v>3.6417837781461686</v>
      </c>
      <c r="M208" s="400">
        <f>$V207/M200</f>
        <v>3.5688456825168235</v>
      </c>
      <c r="N208" s="400">
        <f>$V207/N200</f>
        <v>3.6417684461753796</v>
      </c>
    </row>
    <row r="209" spans="1:22" x14ac:dyDescent="0.3">
      <c r="D209" s="1" t="s">
        <v>123</v>
      </c>
      <c r="E209" s="400"/>
      <c r="F209" s="400"/>
      <c r="G209" s="400"/>
      <c r="H209" s="400"/>
      <c r="I209" s="400"/>
      <c r="J209" s="400"/>
      <c r="K209" s="400"/>
      <c r="L209" s="400">
        <f>$V207/(L200-L201)</f>
        <v>7.2771745657898039</v>
      </c>
      <c r="M209" s="400">
        <f>$V207/(M200-M201)</f>
        <v>6.9801984626190343</v>
      </c>
      <c r="N209" s="400">
        <f>$V207/(N200-N201)</f>
        <v>6.9615609260397386</v>
      </c>
    </row>
    <row r="210" spans="1:22" x14ac:dyDescent="0.3">
      <c r="D210" s="1" t="s">
        <v>124</v>
      </c>
      <c r="E210" s="400"/>
      <c r="F210" s="400"/>
      <c r="G210" s="400"/>
      <c r="H210" s="400"/>
      <c r="I210" s="400"/>
      <c r="J210" s="400"/>
      <c r="K210" s="400"/>
      <c r="L210" s="400">
        <f>$V207/((1-$V201)*(L200-L201))</f>
        <v>8.9841661306046952</v>
      </c>
      <c r="M210" s="400">
        <f>$V207/((1-$V201)*(M200-M201))</f>
        <v>8.6175289661963372</v>
      </c>
      <c r="N210" s="400">
        <f>$V207/((1-$V201)*(N200-N201))</f>
        <v>8.5945196617774542</v>
      </c>
    </row>
    <row r="211" spans="1:22" x14ac:dyDescent="0.3">
      <c r="G211" s="98"/>
      <c r="H211" s="98"/>
      <c r="I211" s="98"/>
      <c r="J211" s="98"/>
      <c r="K211" s="98"/>
      <c r="L211" s="98">
        <f>L202-L203</f>
        <v>26.646777239999992</v>
      </c>
      <c r="M211" s="98">
        <f>M202-M203</f>
        <v>27.780477966300765</v>
      </c>
      <c r="N211" s="98">
        <f>N202-N203</f>
        <v>27.854852044153134</v>
      </c>
      <c r="O211" s="98"/>
      <c r="P211" s="98"/>
      <c r="Q211" s="98"/>
      <c r="R211" s="98"/>
    </row>
    <row r="212" spans="1:22" x14ac:dyDescent="0.3">
      <c r="A212" s="401"/>
      <c r="B212" s="401"/>
      <c r="C212" s="401"/>
      <c r="D212" s="401"/>
      <c r="E212" s="403"/>
      <c r="F212" s="403"/>
      <c r="G212" s="403"/>
      <c r="H212" s="403"/>
      <c r="I212" s="403"/>
      <c r="J212" s="403"/>
      <c r="K212" s="403"/>
      <c r="L212" s="403"/>
      <c r="M212" s="403"/>
      <c r="N212" s="403"/>
      <c r="O212" s="403"/>
      <c r="P212" s="403"/>
      <c r="Q212" s="403"/>
      <c r="R212" s="403"/>
      <c r="S212" s="401"/>
      <c r="T212" s="401"/>
      <c r="U212" s="401"/>
      <c r="V212" s="403"/>
    </row>
    <row r="214" spans="1:22" x14ac:dyDescent="0.3">
      <c r="B214" s="13" t="s">
        <v>179</v>
      </c>
      <c r="E214" s="3">
        <v>2010</v>
      </c>
      <c r="F214" s="3">
        <f t="shared" ref="F214:M214" si="73">E214+1</f>
        <v>2011</v>
      </c>
      <c r="G214" s="3">
        <f t="shared" si="73"/>
        <v>2012</v>
      </c>
      <c r="H214" s="3">
        <f t="shared" si="73"/>
        <v>2013</v>
      </c>
      <c r="I214" s="3">
        <f t="shared" si="73"/>
        <v>2014</v>
      </c>
      <c r="J214" s="3">
        <f t="shared" si="73"/>
        <v>2015</v>
      </c>
      <c r="K214" s="3">
        <f t="shared" si="73"/>
        <v>2016</v>
      </c>
      <c r="L214" s="3">
        <f t="shared" si="73"/>
        <v>2017</v>
      </c>
      <c r="M214" s="3">
        <f t="shared" si="73"/>
        <v>2018</v>
      </c>
      <c r="N214" s="3">
        <v>2019</v>
      </c>
      <c r="O214" s="3">
        <v>2020</v>
      </c>
      <c r="P214" s="3">
        <v>2021</v>
      </c>
      <c r="Q214" s="3">
        <v>2022</v>
      </c>
      <c r="R214" s="3">
        <v>2023</v>
      </c>
      <c r="U214" s="1" t="s">
        <v>113</v>
      </c>
      <c r="V214" s="357">
        <v>0.1</v>
      </c>
    </row>
    <row r="215" spans="1:22" x14ac:dyDescent="0.3">
      <c r="D215" s="1" t="s">
        <v>82</v>
      </c>
      <c r="E215" s="356">
        <f>Slovakia!Y86</f>
        <v>173</v>
      </c>
      <c r="F215" s="356">
        <f>Slovakia!AE86</f>
        <v>169</v>
      </c>
      <c r="G215" s="356">
        <f>Slovakia!AK86</f>
        <v>153</v>
      </c>
      <c r="H215" s="356">
        <f>Slovakia!AQ86</f>
        <v>146</v>
      </c>
      <c r="I215" s="356">
        <f>Slovakia!AW86</f>
        <v>135.14999999999998</v>
      </c>
      <c r="J215" s="356">
        <f>Slovakia!BC86</f>
        <v>130.24600000000001</v>
      </c>
      <c r="K215" s="356">
        <f>Slovakia!BI86</f>
        <v>132.83443000000003</v>
      </c>
      <c r="L215" s="356">
        <f>Slovakia!BO86</f>
        <v>138.66591034999999</v>
      </c>
      <c r="M215" s="356">
        <f>Slovakia!BU86</f>
        <v>133.58321011381616</v>
      </c>
      <c r="N215" s="356">
        <f>Slovakia!CA86</f>
        <v>131.51937892307967</v>
      </c>
      <c r="O215" s="356">
        <f>Slovakia!CG86</f>
        <v>129.69266746487094</v>
      </c>
      <c r="P215" s="356">
        <f>Slovakia!CM86</f>
        <v>127.92855218545006</v>
      </c>
      <c r="Q215" s="356">
        <f>Slovakia!CS86</f>
        <v>126.50723952117932</v>
      </c>
      <c r="R215" s="356">
        <f>Slovakia!CY86</f>
        <v>125.70711222308591</v>
      </c>
      <c r="U215" s="1" t="s">
        <v>114</v>
      </c>
      <c r="V215" s="357">
        <v>-0.01</v>
      </c>
    </row>
    <row r="216" spans="1:22" x14ac:dyDescent="0.3">
      <c r="D216" s="1" t="s">
        <v>90</v>
      </c>
      <c r="E216" s="356">
        <f>Slovakia!Y92</f>
        <v>82</v>
      </c>
      <c r="F216" s="356">
        <f>Slovakia!AE92</f>
        <v>78</v>
      </c>
      <c r="G216" s="356">
        <f>Slovakia!AK92</f>
        <v>57.4</v>
      </c>
      <c r="H216" s="356">
        <f>Slovakia!AQ92</f>
        <v>60</v>
      </c>
      <c r="I216" s="356">
        <f>Slovakia!AW92</f>
        <v>86.4</v>
      </c>
      <c r="J216" s="356">
        <f>Slovakia!BC92</f>
        <v>52.384</v>
      </c>
      <c r="K216" s="356">
        <f>Slovakia!BI92</f>
        <v>62.760000000000005</v>
      </c>
      <c r="L216" s="356">
        <f>Slovakia!BO92</f>
        <v>69.052800000000005</v>
      </c>
      <c r="M216" s="356">
        <f>Slovakia!BU92</f>
        <v>62.450640783516349</v>
      </c>
      <c r="N216" s="356">
        <f>Slovakia!CA92</f>
        <v>60.134929698691387</v>
      </c>
      <c r="O216" s="356">
        <f>Slovakia!CG92</f>
        <v>57.967115160290859</v>
      </c>
      <c r="P216" s="356">
        <f>Slovakia!CM92</f>
        <v>57.567597938719125</v>
      </c>
      <c r="Q216" s="356">
        <f>Slovakia!CS92</f>
        <v>57.313556339093807</v>
      </c>
      <c r="R216" s="356">
        <f>Slovakia!CY92</f>
        <v>57.33939351727264</v>
      </c>
      <c r="U216" s="1" t="s">
        <v>115</v>
      </c>
      <c r="V216" s="399">
        <v>0.19</v>
      </c>
    </row>
    <row r="217" spans="1:22" x14ac:dyDescent="0.3">
      <c r="D217" s="1" t="s">
        <v>38</v>
      </c>
      <c r="E217" s="98">
        <f t="shared" ref="E217:M217" si="74">E215-E216</f>
        <v>91</v>
      </c>
      <c r="F217" s="98">
        <f t="shared" si="74"/>
        <v>91</v>
      </c>
      <c r="G217" s="98">
        <f t="shared" si="74"/>
        <v>95.6</v>
      </c>
      <c r="H217" s="98">
        <f t="shared" si="74"/>
        <v>86</v>
      </c>
      <c r="I217" s="98">
        <f t="shared" si="74"/>
        <v>48.749999999999972</v>
      </c>
      <c r="J217" s="98">
        <f t="shared" si="74"/>
        <v>77.862000000000009</v>
      </c>
      <c r="K217" s="98">
        <f t="shared" si="74"/>
        <v>70.074430000000021</v>
      </c>
      <c r="L217" s="98">
        <f t="shared" si="74"/>
        <v>69.613110349999985</v>
      </c>
      <c r="M217" s="98">
        <f t="shared" si="74"/>
        <v>71.132569330299816</v>
      </c>
      <c r="N217" s="98">
        <f>N215-N216</f>
        <v>71.384449224388277</v>
      </c>
      <c r="O217" s="98">
        <f>O215-O216</f>
        <v>71.725552304580077</v>
      </c>
      <c r="P217" s="98">
        <f>P215-P216</f>
        <v>70.360954246730927</v>
      </c>
      <c r="Q217" s="98">
        <f>Q215-Q216</f>
        <v>69.193683182085508</v>
      </c>
      <c r="R217" s="98">
        <f>R215-R216</f>
        <v>68.367718705813274</v>
      </c>
    </row>
    <row r="218" spans="1:22" x14ac:dyDescent="0.3">
      <c r="D218" s="1" t="s">
        <v>116</v>
      </c>
      <c r="E218" s="98">
        <f t="shared" ref="E218:M218" si="75">E217*(1-$V216)</f>
        <v>73.710000000000008</v>
      </c>
      <c r="F218" s="98">
        <f t="shared" si="75"/>
        <v>73.710000000000008</v>
      </c>
      <c r="G218" s="98">
        <f t="shared" si="75"/>
        <v>77.436000000000007</v>
      </c>
      <c r="H218" s="98">
        <f t="shared" si="75"/>
        <v>69.660000000000011</v>
      </c>
      <c r="I218" s="98">
        <f t="shared" si="75"/>
        <v>39.487499999999983</v>
      </c>
      <c r="J218" s="98">
        <f t="shared" si="75"/>
        <v>63.068220000000011</v>
      </c>
      <c r="K218" s="98">
        <f t="shared" si="75"/>
        <v>56.76028830000002</v>
      </c>
      <c r="L218" s="98">
        <f t="shared" si="75"/>
        <v>56.38661938349999</v>
      </c>
      <c r="M218" s="98">
        <f t="shared" si="75"/>
        <v>57.617381157542852</v>
      </c>
      <c r="N218" s="98">
        <f>N217*(1-$V216)</f>
        <v>57.821403871754505</v>
      </c>
      <c r="O218" s="98">
        <f>O217*(1-$V216)</f>
        <v>58.097697366709866</v>
      </c>
      <c r="P218" s="98">
        <f>P217*(1-$V216)</f>
        <v>56.992372939852054</v>
      </c>
      <c r="Q218" s="98">
        <f>Q217*(1-$V216)</f>
        <v>56.046883377489266</v>
      </c>
      <c r="R218" s="98">
        <f>R217*(1-$V216)</f>
        <v>55.377852151708758</v>
      </c>
    </row>
    <row r="220" spans="1:22" x14ac:dyDescent="0.3">
      <c r="D220" s="1" t="s">
        <v>117</v>
      </c>
      <c r="N220" s="2">
        <f t="shared" ref="N220:R220" si="76">M220+1</f>
        <v>1</v>
      </c>
      <c r="O220" s="2">
        <f t="shared" si="76"/>
        <v>2</v>
      </c>
      <c r="P220" s="2">
        <f t="shared" si="76"/>
        <v>3</v>
      </c>
      <c r="Q220" s="2">
        <f t="shared" si="76"/>
        <v>4</v>
      </c>
      <c r="R220" s="2">
        <f t="shared" si="76"/>
        <v>5</v>
      </c>
      <c r="U220" s="1" t="s">
        <v>118</v>
      </c>
      <c r="V220" s="98">
        <f>J221+K221+L221+M221+N221+O221+P221+Q221+R221</f>
        <v>230.47965456733434</v>
      </c>
    </row>
    <row r="221" spans="1:22" x14ac:dyDescent="0.3">
      <c r="D221" s="1" t="s">
        <v>119</v>
      </c>
      <c r="F221" s="98"/>
      <c r="G221" s="98"/>
      <c r="H221" s="98"/>
      <c r="I221" s="98"/>
      <c r="J221" s="98"/>
      <c r="K221" s="98"/>
      <c r="L221" s="98"/>
      <c r="M221" s="98"/>
      <c r="N221" s="98">
        <f>N218/(1+$V$94)^(N220)</f>
        <v>53.787352438841403</v>
      </c>
      <c r="O221" s="98">
        <f>O218/(1+$V$94)^(O220)</f>
        <v>50.273832226466084</v>
      </c>
      <c r="P221" s="98">
        <f>P218/(1+$V$94)^(P220)</f>
        <v>45.876612979366996</v>
      </c>
      <c r="Q221" s="98">
        <f>Q218/(1+$V$94)^(Q220)</f>
        <v>41.967935965378665</v>
      </c>
      <c r="R221" s="98">
        <f>R218/(1+$V$94)^(R220)</f>
        <v>38.573920957281189</v>
      </c>
      <c r="S221" s="316">
        <f>(R218*(1+V215))/(V214-V215)</f>
        <v>498.4006693653788</v>
      </c>
      <c r="U221" s="1" t="s">
        <v>120</v>
      </c>
      <c r="V221" s="98">
        <f>(S221)/((1+V214)^(R220+1))</f>
        <v>281.33418457810853</v>
      </c>
    </row>
    <row r="222" spans="1:22" x14ac:dyDescent="0.3">
      <c r="U222" s="13" t="s">
        <v>121</v>
      </c>
      <c r="V222" s="352">
        <f>V220+V221</f>
        <v>511.8138391454429</v>
      </c>
    </row>
    <row r="223" spans="1:22" x14ac:dyDescent="0.3">
      <c r="D223" s="1" t="s">
        <v>122</v>
      </c>
      <c r="E223" s="400"/>
      <c r="F223" s="400"/>
      <c r="G223" s="400"/>
      <c r="H223" s="400"/>
      <c r="I223" s="400"/>
      <c r="J223" s="400"/>
      <c r="K223" s="400"/>
      <c r="L223" s="400">
        <f>$V222/L215</f>
        <v>3.6909853175419833</v>
      </c>
      <c r="M223" s="400">
        <f>$V222/M215</f>
        <v>3.8314234154828664</v>
      </c>
      <c r="N223" s="400">
        <f>$V222/N215</f>
        <v>3.8915469593631671</v>
      </c>
    </row>
    <row r="224" spans="1:22" x14ac:dyDescent="0.3">
      <c r="D224" s="1" t="s">
        <v>123</v>
      </c>
      <c r="E224" s="400"/>
      <c r="F224" s="400"/>
      <c r="G224" s="400"/>
      <c r="H224" s="400"/>
      <c r="I224" s="400"/>
      <c r="J224" s="400"/>
      <c r="K224" s="400"/>
      <c r="L224" s="400">
        <f>$V222/(L215-L216)</f>
        <v>7.3522621898684202</v>
      </c>
      <c r="M224" s="400">
        <f>$V222/(M215-M216)</f>
        <v>7.1952109134265356</v>
      </c>
      <c r="N224" s="400">
        <f>$V222/(N215-N216)</f>
        <v>7.1698226253258435</v>
      </c>
    </row>
    <row r="225" spans="1:22" x14ac:dyDescent="0.3">
      <c r="D225" s="1" t="s">
        <v>124</v>
      </c>
      <c r="E225" s="400"/>
      <c r="F225" s="400"/>
      <c r="G225" s="400"/>
      <c r="H225" s="400"/>
      <c r="I225" s="400"/>
      <c r="J225" s="400"/>
      <c r="K225" s="400"/>
      <c r="L225" s="400">
        <f>$V222/((1-$V216)*(L215-L216))</f>
        <v>9.0768669010721243</v>
      </c>
      <c r="M225" s="400">
        <f>$V222/((1-$V216)*(M215-M216))</f>
        <v>8.8829764363290558</v>
      </c>
      <c r="N225" s="400">
        <f>$V222/((1-$V216)*(N215-N216))</f>
        <v>8.8516328707726455</v>
      </c>
    </row>
    <row r="226" spans="1:22" x14ac:dyDescent="0.3">
      <c r="G226" s="98"/>
      <c r="H226" s="98"/>
      <c r="I226" s="98"/>
      <c r="J226" s="98"/>
      <c r="K226" s="98"/>
      <c r="L226" s="98">
        <f>L217-L218</f>
        <v>13.226490966499995</v>
      </c>
      <c r="M226" s="98">
        <f>M217-M218</f>
        <v>13.515188172756964</v>
      </c>
      <c r="N226" s="98">
        <f>N217-N218</f>
        <v>13.563045352633772</v>
      </c>
      <c r="O226" s="98"/>
      <c r="P226" s="98"/>
      <c r="Q226" s="98"/>
      <c r="R226" s="98"/>
    </row>
    <row r="227" spans="1:22" x14ac:dyDescent="0.3">
      <c r="A227" s="401"/>
      <c r="B227" s="401"/>
      <c r="C227" s="401"/>
      <c r="D227" s="401"/>
      <c r="E227" s="403"/>
      <c r="F227" s="403"/>
      <c r="G227" s="403"/>
      <c r="H227" s="403"/>
      <c r="I227" s="403"/>
      <c r="J227" s="403"/>
      <c r="K227" s="403"/>
      <c r="L227" s="403"/>
      <c r="M227" s="403"/>
      <c r="N227" s="403"/>
      <c r="O227" s="403"/>
      <c r="P227" s="403"/>
      <c r="Q227" s="403"/>
      <c r="R227" s="403"/>
      <c r="S227" s="401"/>
      <c r="T227" s="401"/>
      <c r="U227" s="401"/>
      <c r="V227" s="403"/>
    </row>
    <row r="229" spans="1:22" x14ac:dyDescent="0.3">
      <c r="B229" s="13" t="s">
        <v>180</v>
      </c>
      <c r="E229" s="3">
        <v>2010</v>
      </c>
      <c r="F229" s="3">
        <f t="shared" ref="F229:M229" si="77">E229+1</f>
        <v>2011</v>
      </c>
      <c r="G229" s="3">
        <f t="shared" si="77"/>
        <v>2012</v>
      </c>
      <c r="H229" s="3">
        <f t="shared" si="77"/>
        <v>2013</v>
      </c>
      <c r="I229" s="3">
        <f t="shared" si="77"/>
        <v>2014</v>
      </c>
      <c r="J229" s="3">
        <f t="shared" si="77"/>
        <v>2015</v>
      </c>
      <c r="K229" s="3">
        <f t="shared" si="77"/>
        <v>2016</v>
      </c>
      <c r="L229" s="3">
        <f t="shared" si="77"/>
        <v>2017</v>
      </c>
      <c r="M229" s="3">
        <f t="shared" si="77"/>
        <v>2018</v>
      </c>
      <c r="N229" s="3">
        <v>2019</v>
      </c>
      <c r="O229" s="3">
        <v>2020</v>
      </c>
      <c r="P229" s="3">
        <v>2021</v>
      </c>
      <c r="Q229" s="3">
        <v>2022</v>
      </c>
      <c r="R229" s="3">
        <v>2023</v>
      </c>
      <c r="U229" s="1" t="s">
        <v>113</v>
      </c>
      <c r="V229" s="357">
        <v>0.1</v>
      </c>
    </row>
    <row r="230" spans="1:22" x14ac:dyDescent="0.3">
      <c r="D230" s="1" t="s">
        <v>82</v>
      </c>
      <c r="E230" s="356">
        <f>Croatia!Y97</f>
        <v>286</v>
      </c>
      <c r="F230" s="356">
        <f>Croatia!AE97</f>
        <v>296</v>
      </c>
      <c r="G230" s="356">
        <f>Croatia!AK97</f>
        <v>275</v>
      </c>
      <c r="H230" s="356">
        <f>Croatia!AQ97</f>
        <v>237</v>
      </c>
      <c r="I230" s="356">
        <f>Croatia!AW97</f>
        <v>214.51599999999999</v>
      </c>
      <c r="J230" s="356">
        <f>Croatia!BC97</f>
        <v>216.18635999999998</v>
      </c>
      <c r="K230" s="356">
        <f>Croatia!BI97</f>
        <v>220.16099400000002</v>
      </c>
      <c r="L230" s="356">
        <f>Croatia!BO97</f>
        <v>227.17434991879998</v>
      </c>
      <c r="M230" s="356">
        <f>Croatia!BU97</f>
        <v>217.81815155196654</v>
      </c>
      <c r="N230" s="356">
        <f>Croatia!CA97</f>
        <v>213.31952072782994</v>
      </c>
      <c r="O230" s="356">
        <f>Croatia!CG97</f>
        <v>211.85483384017382</v>
      </c>
      <c r="P230" s="356">
        <f>Croatia!CM97</f>
        <v>210.82130067929739</v>
      </c>
      <c r="Q230" s="356">
        <f>Croatia!CS97</f>
        <v>209.76894668731723</v>
      </c>
      <c r="R230" s="356">
        <f>Croatia!CY97</f>
        <v>208.69772915408237</v>
      </c>
      <c r="U230" s="1" t="s">
        <v>114</v>
      </c>
      <c r="V230" s="357">
        <v>-0.01</v>
      </c>
    </row>
    <row r="231" spans="1:22" x14ac:dyDescent="0.3">
      <c r="D231" s="1" t="s">
        <v>90</v>
      </c>
      <c r="E231" s="356">
        <f>Croatia!Y103</f>
        <v>116</v>
      </c>
      <c r="F231" s="356">
        <f>Croatia!AE103</f>
        <v>80</v>
      </c>
      <c r="G231" s="356">
        <f>Croatia!AK103</f>
        <v>82</v>
      </c>
      <c r="H231" s="356">
        <f>Croatia!AQ103</f>
        <v>115</v>
      </c>
      <c r="I231" s="356">
        <f>Croatia!AW103</f>
        <v>88.355862068965521</v>
      </c>
      <c r="J231" s="356">
        <f>Croatia!BC103</f>
        <v>92.009460629921264</v>
      </c>
      <c r="K231" s="356">
        <f>Croatia!BI103</f>
        <v>101</v>
      </c>
      <c r="L231" s="356">
        <f>Croatia!BO103</f>
        <v>115</v>
      </c>
      <c r="M231" s="356">
        <f>Croatia!BU103</f>
        <v>108.91962601398669</v>
      </c>
      <c r="N231" s="356">
        <f>Croatia!CA103</f>
        <v>104.69916138414592</v>
      </c>
      <c r="O231" s="356">
        <f>Croatia!CG103</f>
        <v>101.99871643723866</v>
      </c>
      <c r="P231" s="356">
        <f>Croatia!CM103</f>
        <v>100.81580728526727</v>
      </c>
      <c r="Q231" s="356">
        <f>Croatia!CS103</f>
        <v>99.622075394110595</v>
      </c>
      <c r="R231" s="356">
        <f>Croatia!CY103</f>
        <v>98.41765295305504</v>
      </c>
      <c r="U231" s="1" t="s">
        <v>115</v>
      </c>
      <c r="V231" s="399">
        <v>0.2</v>
      </c>
    </row>
    <row r="232" spans="1:22" x14ac:dyDescent="0.3">
      <c r="D232" s="1" t="s">
        <v>38</v>
      </c>
      <c r="E232" s="98">
        <f t="shared" ref="E232:M232" si="78">E230-E231</f>
        <v>170</v>
      </c>
      <c r="F232" s="98">
        <f t="shared" si="78"/>
        <v>216</v>
      </c>
      <c r="G232" s="98">
        <f t="shared" si="78"/>
        <v>193</v>
      </c>
      <c r="H232" s="98">
        <f t="shared" si="78"/>
        <v>122</v>
      </c>
      <c r="I232" s="98">
        <f t="shared" si="78"/>
        <v>126.16013793103447</v>
      </c>
      <c r="J232" s="98">
        <f t="shared" si="78"/>
        <v>124.17689937007871</v>
      </c>
      <c r="K232" s="98">
        <f t="shared" si="78"/>
        <v>119.16099400000002</v>
      </c>
      <c r="L232" s="98">
        <f t="shared" si="78"/>
        <v>112.17434991879998</v>
      </c>
      <c r="M232" s="98">
        <f t="shared" si="78"/>
        <v>108.89852553797985</v>
      </c>
      <c r="N232" s="98">
        <f>N230-N231</f>
        <v>108.62035934368402</v>
      </c>
      <c r="O232" s="98">
        <f>O230-O231</f>
        <v>109.85611740293517</v>
      </c>
      <c r="P232" s="98">
        <f>P230-P231</f>
        <v>110.00549339403013</v>
      </c>
      <c r="Q232" s="98">
        <f>Q230-Q231</f>
        <v>110.14687129320663</v>
      </c>
      <c r="R232" s="98">
        <f>R230-R231</f>
        <v>110.28007620102733</v>
      </c>
    </row>
    <row r="233" spans="1:22" x14ac:dyDescent="0.3">
      <c r="D233" s="1" t="s">
        <v>116</v>
      </c>
      <c r="E233" s="98">
        <f t="shared" ref="E233:M233" si="79">E232*(1-$V231)</f>
        <v>136</v>
      </c>
      <c r="F233" s="98">
        <f t="shared" si="79"/>
        <v>172.8</v>
      </c>
      <c r="G233" s="98">
        <f t="shared" si="79"/>
        <v>154.4</v>
      </c>
      <c r="H233" s="98">
        <f t="shared" si="79"/>
        <v>97.600000000000009</v>
      </c>
      <c r="I233" s="98">
        <f t="shared" si="79"/>
        <v>100.92811034482759</v>
      </c>
      <c r="J233" s="98">
        <f t="shared" si="79"/>
        <v>99.341519496062972</v>
      </c>
      <c r="K233" s="98">
        <f t="shared" si="79"/>
        <v>95.328795200000016</v>
      </c>
      <c r="L233" s="98">
        <f t="shared" si="79"/>
        <v>89.739479935039981</v>
      </c>
      <c r="M233" s="98">
        <f t="shared" si="79"/>
        <v>87.118820430383892</v>
      </c>
      <c r="N233" s="98">
        <f>N232*(1-$V231)</f>
        <v>86.896287474947215</v>
      </c>
      <c r="O233" s="98">
        <f>O232*(1-$V231)</f>
        <v>87.884893922348141</v>
      </c>
      <c r="P233" s="98">
        <f>P232*(1-$V231)</f>
        <v>88.004394715224109</v>
      </c>
      <c r="Q233" s="98">
        <f>Q232*(1-$V231)</f>
        <v>88.117497034565304</v>
      </c>
      <c r="R233" s="98">
        <f>R232*(1-$V231)</f>
        <v>88.224060960821873</v>
      </c>
    </row>
    <row r="235" spans="1:22" x14ac:dyDescent="0.3">
      <c r="D235" s="1" t="s">
        <v>117</v>
      </c>
      <c r="N235" s="2">
        <f t="shared" ref="N235:R235" si="80">M235+1</f>
        <v>1</v>
      </c>
      <c r="O235" s="2">
        <f t="shared" si="80"/>
        <v>2</v>
      </c>
      <c r="P235" s="2">
        <f t="shared" si="80"/>
        <v>3</v>
      </c>
      <c r="Q235" s="2">
        <f t="shared" si="80"/>
        <v>4</v>
      </c>
      <c r="R235" s="2">
        <f t="shared" si="80"/>
        <v>5</v>
      </c>
      <c r="U235" s="1" t="s">
        <v>118</v>
      </c>
      <c r="V235" s="98">
        <f>J236+K236+L236+M236+N236+O236+P236+Q236+R236</f>
        <v>355.15914801800847</v>
      </c>
    </row>
    <row r="236" spans="1:22" x14ac:dyDescent="0.3">
      <c r="D236" s="1" t="s">
        <v>119</v>
      </c>
      <c r="F236" s="98"/>
      <c r="G236" s="98"/>
      <c r="H236" s="98"/>
      <c r="I236" s="98"/>
      <c r="J236" s="98"/>
      <c r="K236" s="98"/>
      <c r="L236" s="98"/>
      <c r="M236" s="98"/>
      <c r="N236" s="98">
        <f>N233/(1+$V$94)^(N235)</f>
        <v>80.833755790648581</v>
      </c>
      <c r="O236" s="98">
        <f>O233/(1+$V$94)^(O235)</f>
        <v>76.049664832751233</v>
      </c>
      <c r="P236" s="98">
        <f>P233/(1+$V$94)^(P235)</f>
        <v>70.840067689314694</v>
      </c>
      <c r="Q236" s="98">
        <f>Q233/(1+$V$94)^(Q235)</f>
        <v>65.982428462050649</v>
      </c>
      <c r="R236" s="98">
        <f>R233/(1+$V$94)^(R235)</f>
        <v>61.453231243243359</v>
      </c>
      <c r="S236" s="316">
        <f>(R233*(1+V230))/(V229-V230)</f>
        <v>794.01654864739692</v>
      </c>
      <c r="U236" s="1" t="s">
        <v>120</v>
      </c>
      <c r="V236" s="98">
        <f>(S236)/((1+V229)^(R235+1))</f>
        <v>448.20164174273231</v>
      </c>
    </row>
    <row r="237" spans="1:22" x14ac:dyDescent="0.3">
      <c r="U237" s="13" t="s">
        <v>121</v>
      </c>
      <c r="V237" s="352">
        <f>V235+V236</f>
        <v>803.36078976074077</v>
      </c>
    </row>
    <row r="238" spans="1:22" x14ac:dyDescent="0.3">
      <c r="D238" s="1" t="s">
        <v>122</v>
      </c>
      <c r="E238" s="400"/>
      <c r="F238" s="400"/>
      <c r="G238" s="400"/>
      <c r="H238" s="400"/>
      <c r="I238" s="400"/>
      <c r="J238" s="400"/>
      <c r="K238" s="400"/>
      <c r="L238" s="400">
        <f>$V237/L230</f>
        <v>3.5363182069097583</v>
      </c>
      <c r="M238" s="400">
        <f>$V237/M230</f>
        <v>3.6882178277464486</v>
      </c>
      <c r="N238" s="400">
        <f>$V237/N230</f>
        <v>3.7659975374955605</v>
      </c>
    </row>
    <row r="239" spans="1:22" x14ac:dyDescent="0.3">
      <c r="D239" s="1" t="s">
        <v>123</v>
      </c>
      <c r="E239" s="400"/>
      <c r="F239" s="400"/>
      <c r="G239" s="400"/>
      <c r="H239" s="400"/>
      <c r="I239" s="400"/>
      <c r="J239" s="400"/>
      <c r="K239" s="400"/>
      <c r="L239" s="400">
        <f>$V237/(L230-L231)</f>
        <v>7.1617155824149838</v>
      </c>
      <c r="M239" s="400">
        <f>$V237/(M230-M231)</f>
        <v>7.3771502946617744</v>
      </c>
      <c r="N239" s="400">
        <f>$V237/(N230-N231)</f>
        <v>7.3960424603166635</v>
      </c>
    </row>
    <row r="240" spans="1:22" x14ac:dyDescent="0.3">
      <c r="D240" s="1" t="s">
        <v>124</v>
      </c>
      <c r="E240" s="400"/>
      <c r="F240" s="400"/>
      <c r="G240" s="400"/>
      <c r="H240" s="400"/>
      <c r="I240" s="400"/>
      <c r="J240" s="400"/>
      <c r="K240" s="400"/>
      <c r="L240" s="400">
        <f>$V237/((1-$V231)*(L230-L231))</f>
        <v>8.9521444780187291</v>
      </c>
      <c r="M240" s="400">
        <f>$V237/((1-$V231)*(M230-M231))</f>
        <v>9.2214378683272162</v>
      </c>
      <c r="N240" s="400">
        <f>$V237/((1-$V231)*(N230-N231))</f>
        <v>9.2450530753958287</v>
      </c>
    </row>
    <row r="241" spans="1:22" x14ac:dyDescent="0.3">
      <c r="G241" s="98"/>
      <c r="H241" s="98"/>
      <c r="I241" s="98"/>
      <c r="J241" s="98"/>
      <c r="K241" s="98"/>
      <c r="L241" s="98">
        <f>L232-L233</f>
        <v>22.434869983759995</v>
      </c>
      <c r="M241" s="98">
        <f>M232-M233</f>
        <v>21.779705107595959</v>
      </c>
      <c r="N241" s="98">
        <f>N232-N233</f>
        <v>21.7240718687368</v>
      </c>
      <c r="O241" s="98"/>
      <c r="P241" s="98"/>
      <c r="Q241" s="98"/>
      <c r="R241" s="98"/>
    </row>
    <row r="242" spans="1:22" x14ac:dyDescent="0.3">
      <c r="A242" s="401"/>
      <c r="B242" s="401"/>
      <c r="C242" s="401"/>
      <c r="D242" s="401"/>
      <c r="E242" s="403"/>
      <c r="F242" s="403"/>
      <c r="G242" s="403"/>
      <c r="H242" s="403"/>
      <c r="I242" s="403"/>
      <c r="J242" s="403"/>
      <c r="K242" s="403"/>
      <c r="L242" s="403"/>
      <c r="M242" s="403"/>
      <c r="N242" s="403"/>
      <c r="O242" s="403"/>
      <c r="P242" s="403"/>
      <c r="Q242" s="403"/>
      <c r="R242" s="403"/>
      <c r="S242" s="401"/>
      <c r="T242" s="401"/>
      <c r="U242" s="401"/>
      <c r="V242" s="403"/>
    </row>
    <row r="244" spans="1:22" x14ac:dyDescent="0.3">
      <c r="B244" s="13" t="s">
        <v>181</v>
      </c>
      <c r="E244" s="3">
        <v>2010</v>
      </c>
      <c r="F244" s="3">
        <f t="shared" ref="F244:M244" si="81">E244+1</f>
        <v>2011</v>
      </c>
      <c r="G244" s="3">
        <f t="shared" si="81"/>
        <v>2012</v>
      </c>
      <c r="H244" s="3">
        <f t="shared" si="81"/>
        <v>2013</v>
      </c>
      <c r="I244" s="3">
        <f t="shared" si="81"/>
        <v>2014</v>
      </c>
      <c r="J244" s="3">
        <f t="shared" si="81"/>
        <v>2015</v>
      </c>
      <c r="K244" s="3">
        <f t="shared" si="81"/>
        <v>2016</v>
      </c>
      <c r="L244" s="3">
        <f t="shared" si="81"/>
        <v>2017</v>
      </c>
      <c r="M244" s="3">
        <f t="shared" si="81"/>
        <v>2018</v>
      </c>
      <c r="N244" s="3">
        <v>2019</v>
      </c>
      <c r="O244" s="3">
        <v>2020</v>
      </c>
      <c r="P244" s="3">
        <v>2021</v>
      </c>
      <c r="Q244" s="3">
        <v>2022</v>
      </c>
      <c r="R244" s="3">
        <v>2023</v>
      </c>
      <c r="U244" s="1" t="s">
        <v>113</v>
      </c>
      <c r="V244" s="357">
        <v>0.08</v>
      </c>
    </row>
    <row r="245" spans="1:22" x14ac:dyDescent="0.3">
      <c r="D245" s="1" t="s">
        <v>82</v>
      </c>
      <c r="E245" s="356">
        <f>GHS!Y14</f>
        <v>-870</v>
      </c>
      <c r="F245" s="356">
        <f>GHS!AE14</f>
        <v>-617</v>
      </c>
      <c r="G245" s="356">
        <f>GHS!AK14</f>
        <v>-715</v>
      </c>
      <c r="H245" s="356">
        <f>GHS!AQ14</f>
        <v>-655</v>
      </c>
      <c r="I245" s="356">
        <f>GHS!AW14</f>
        <v>-667</v>
      </c>
      <c r="J245" s="356">
        <f>GHS!BC14</f>
        <v>-727</v>
      </c>
      <c r="K245" s="356">
        <f>GHS!BI14</f>
        <v>-670</v>
      </c>
      <c r="L245" s="356">
        <f>GHS!BO14</f>
        <v>-716</v>
      </c>
      <c r="M245" s="356">
        <f>GHS!BU14</f>
        <v>-682.0999999999998</v>
      </c>
      <c r="N245" s="356">
        <f>GHS!CA14</f>
        <v>-664.99331249999977</v>
      </c>
      <c r="O245" s="356">
        <f>GHS!CG14</f>
        <v>-641.4144306249998</v>
      </c>
      <c r="P245" s="356">
        <f>GHS!CM14</f>
        <v>-618.3252718</v>
      </c>
      <c r="Q245" s="356">
        <f>GHS!CS14</f>
        <v>-595.71712978103119</v>
      </c>
      <c r="R245" s="356">
        <f>GHS!CY14</f>
        <v>-581.6707005024939</v>
      </c>
      <c r="U245" s="1" t="s">
        <v>114</v>
      </c>
      <c r="V245" s="357">
        <v>-1.7500000000000002E-2</v>
      </c>
    </row>
    <row r="246" spans="1:22" x14ac:dyDescent="0.3">
      <c r="D246" s="1" t="s">
        <v>90</v>
      </c>
      <c r="E246" s="356">
        <f>GHS!Y20</f>
        <v>406</v>
      </c>
      <c r="F246" s="356">
        <f>GHS!AE20</f>
        <v>352</v>
      </c>
      <c r="G246" s="356">
        <f>GHS!AK20</f>
        <v>379</v>
      </c>
      <c r="H246" s="356">
        <f>GHS!AQ20</f>
        <v>411</v>
      </c>
      <c r="I246" s="356">
        <f>GHS!AW20</f>
        <v>381</v>
      </c>
      <c r="J246" s="356">
        <f>GHS!BC20</f>
        <v>342</v>
      </c>
      <c r="K246" s="356">
        <f>GHS!BI20</f>
        <v>935.8</v>
      </c>
      <c r="L246" s="356">
        <f>GHS!BO20</f>
        <v>1006</v>
      </c>
      <c r="M246" s="356">
        <f>GHS!BU20</f>
        <v>962.06775000000016</v>
      </c>
      <c r="N246" s="356">
        <f>GHS!CA20</f>
        <v>943.40368109375004</v>
      </c>
      <c r="O246" s="356">
        <f>GHS!CG20</f>
        <v>920.50170191718757</v>
      </c>
      <c r="P246" s="356">
        <f>GHS!CM20</f>
        <v>897.96342195604689</v>
      </c>
      <c r="Q246" s="356">
        <f>GHS!CS20</f>
        <v>875.78385742393721</v>
      </c>
      <c r="R246" s="356">
        <f>GHS!CY20</f>
        <v>853.95808784027429</v>
      </c>
      <c r="U246" s="1" t="s">
        <v>115</v>
      </c>
      <c r="V246" s="357">
        <v>0.32500000000000001</v>
      </c>
    </row>
    <row r="247" spans="1:22" x14ac:dyDescent="0.3">
      <c r="D247" s="1" t="s">
        <v>38</v>
      </c>
      <c r="E247" s="98">
        <f t="shared" ref="E247:M247" si="82">E245-E246</f>
        <v>-1276</v>
      </c>
      <c r="F247" s="98">
        <f t="shared" si="82"/>
        <v>-969</v>
      </c>
      <c r="G247" s="98">
        <f t="shared" si="82"/>
        <v>-1094</v>
      </c>
      <c r="H247" s="98">
        <f t="shared" si="82"/>
        <v>-1066</v>
      </c>
      <c r="I247" s="98">
        <f t="shared" si="82"/>
        <v>-1048</v>
      </c>
      <c r="J247" s="98">
        <f t="shared" si="82"/>
        <v>-1069</v>
      </c>
      <c r="K247" s="98">
        <f t="shared" si="82"/>
        <v>-1605.8</v>
      </c>
      <c r="L247" s="98">
        <f t="shared" si="82"/>
        <v>-1722</v>
      </c>
      <c r="M247" s="98">
        <f t="shared" si="82"/>
        <v>-1644.1677500000001</v>
      </c>
      <c r="N247" s="98">
        <f>N245-N246</f>
        <v>-1608.3969935937498</v>
      </c>
      <c r="O247" s="98">
        <f>O245-O246</f>
        <v>-1561.9161325421874</v>
      </c>
      <c r="P247" s="98">
        <f>P245-P246</f>
        <v>-1516.288693756047</v>
      </c>
      <c r="Q247" s="98">
        <f>Q245-Q246</f>
        <v>-1471.5009872049684</v>
      </c>
      <c r="R247" s="98">
        <f>R245-R246</f>
        <v>-1435.6287883427681</v>
      </c>
    </row>
    <row r="248" spans="1:22" x14ac:dyDescent="0.3">
      <c r="D248" s="1" t="s">
        <v>116</v>
      </c>
      <c r="E248" s="98">
        <f t="shared" ref="E248:M248" si="83">E247*(1-$V246)</f>
        <v>-861.30000000000007</v>
      </c>
      <c r="F248" s="98">
        <f t="shared" si="83"/>
        <v>-654.07500000000005</v>
      </c>
      <c r="G248" s="98">
        <f t="shared" si="83"/>
        <v>-738.45</v>
      </c>
      <c r="H248" s="98">
        <f t="shared" si="83"/>
        <v>-719.55000000000007</v>
      </c>
      <c r="I248" s="98">
        <f t="shared" si="83"/>
        <v>-707.40000000000009</v>
      </c>
      <c r="J248" s="98">
        <f t="shared" si="83"/>
        <v>-721.57500000000005</v>
      </c>
      <c r="K248" s="98">
        <f t="shared" si="83"/>
        <v>-1083.915</v>
      </c>
      <c r="L248" s="98">
        <f t="shared" si="83"/>
        <v>-1162.3500000000001</v>
      </c>
      <c r="M248" s="98">
        <f t="shared" si="83"/>
        <v>-1109.8132312500002</v>
      </c>
      <c r="N248" s="98">
        <f>N247*(1-$V246)</f>
        <v>-1085.6679706757811</v>
      </c>
      <c r="O248" s="98">
        <f>O247*(1-$V246)</f>
        <v>-1054.2933894659766</v>
      </c>
      <c r="P248" s="98">
        <f>P247*(1-$V246)</f>
        <v>-1023.4948682853318</v>
      </c>
      <c r="Q248" s="98">
        <f>Q247*(1-$V246)</f>
        <v>-993.26316636335378</v>
      </c>
      <c r="R248" s="98">
        <f>R247*(1-$V246)</f>
        <v>-969.04943213136846</v>
      </c>
    </row>
    <row r="250" spans="1:22" x14ac:dyDescent="0.3">
      <c r="D250" s="1" t="s">
        <v>117</v>
      </c>
      <c r="N250" s="2">
        <f t="shared" ref="N250:R250" si="84">M250+1</f>
        <v>1</v>
      </c>
      <c r="O250" s="2">
        <f t="shared" si="84"/>
        <v>2</v>
      </c>
      <c r="P250" s="2">
        <f t="shared" si="84"/>
        <v>3</v>
      </c>
      <c r="Q250" s="2">
        <f t="shared" si="84"/>
        <v>4</v>
      </c>
      <c r="R250" s="2">
        <f t="shared" si="84"/>
        <v>5</v>
      </c>
      <c r="U250" s="1" t="s">
        <v>118</v>
      </c>
      <c r="V250" s="98">
        <f>J251+K251+L251+M251+N251+O251+P251+Q251+R251</f>
        <v>-4164.8668907781757</v>
      </c>
    </row>
    <row r="251" spans="1:22" x14ac:dyDescent="0.3">
      <c r="D251" s="1" t="s">
        <v>119</v>
      </c>
      <c r="F251" s="98"/>
      <c r="G251" s="98"/>
      <c r="H251" s="98"/>
      <c r="I251" s="98"/>
      <c r="J251" s="98"/>
      <c r="K251" s="98"/>
      <c r="L251" s="98"/>
      <c r="M251" s="98"/>
      <c r="N251" s="98">
        <f>N248/(1+$V$94)^(N250)</f>
        <v>-1009.9236936518895</v>
      </c>
      <c r="O251" s="98">
        <f>O248/(1+$V$94)^(O250)</f>
        <v>-912.31445275584781</v>
      </c>
      <c r="P251" s="98">
        <f>P248/(1+$V$94)^(P250)</f>
        <v>-823.87301206511677</v>
      </c>
      <c r="Q251" s="98">
        <f>Q248/(1+$V$94)^(Q250)</f>
        <v>-743.75598518023889</v>
      </c>
      <c r="R251" s="98">
        <f>R248/(1+$V$94)^(R250)</f>
        <v>-674.99974712508276</v>
      </c>
      <c r="S251" s="316">
        <f>(R248*(1+V245))/(V244-V245)</f>
        <v>-9765.0365853237909</v>
      </c>
      <c r="U251" s="1" t="s">
        <v>120</v>
      </c>
      <c r="V251" s="98">
        <f>(S251)/((1+V244)^(R250+1))</f>
        <v>-6153.6294614733588</v>
      </c>
    </row>
    <row r="252" spans="1:22" x14ac:dyDescent="0.3">
      <c r="U252" s="13" t="s">
        <v>121</v>
      </c>
      <c r="V252" s="352">
        <f>V250+V251</f>
        <v>-10318.496352251535</v>
      </c>
    </row>
    <row r="253" spans="1:22" x14ac:dyDescent="0.3">
      <c r="E253" s="400"/>
      <c r="F253" s="400"/>
      <c r="G253" s="400"/>
      <c r="H253" s="400"/>
      <c r="I253" s="400"/>
    </row>
    <row r="254" spans="1:22" x14ac:dyDescent="0.3">
      <c r="A254" s="401"/>
      <c r="B254" s="401"/>
      <c r="C254" s="401"/>
      <c r="D254" s="401"/>
      <c r="E254" s="403"/>
      <c r="F254" s="403"/>
      <c r="G254" s="403"/>
      <c r="H254" s="403"/>
      <c r="I254" s="403"/>
      <c r="J254" s="403"/>
      <c r="K254" s="403"/>
      <c r="L254" s="403"/>
      <c r="M254" s="403"/>
      <c r="N254" s="403"/>
      <c r="O254" s="403"/>
      <c r="P254" s="403"/>
      <c r="Q254" s="403"/>
      <c r="R254" s="403"/>
      <c r="S254" s="401"/>
      <c r="T254" s="401"/>
      <c r="U254" s="401"/>
      <c r="V254" s="403"/>
    </row>
    <row r="256" spans="1:22" x14ac:dyDescent="0.3">
      <c r="B256" s="13" t="s">
        <v>364</v>
      </c>
      <c r="E256" s="3">
        <v>2010</v>
      </c>
      <c r="F256" s="3">
        <f t="shared" ref="F256:M256" si="85">E256+1</f>
        <v>2011</v>
      </c>
      <c r="G256" s="3">
        <f t="shared" si="85"/>
        <v>2012</v>
      </c>
      <c r="H256" s="3">
        <f t="shared" si="85"/>
        <v>2013</v>
      </c>
      <c r="I256" s="3">
        <f t="shared" si="85"/>
        <v>2014</v>
      </c>
      <c r="J256" s="3">
        <f t="shared" si="85"/>
        <v>2015</v>
      </c>
      <c r="K256" s="3">
        <f t="shared" si="85"/>
        <v>2016</v>
      </c>
      <c r="L256" s="3">
        <f t="shared" si="85"/>
        <v>2017</v>
      </c>
      <c r="M256" s="3">
        <f t="shared" si="85"/>
        <v>2018</v>
      </c>
      <c r="N256" s="3">
        <v>2019</v>
      </c>
      <c r="O256" s="3">
        <v>2020</v>
      </c>
      <c r="P256" s="3">
        <v>2021</v>
      </c>
      <c r="Q256" s="3">
        <v>2022</v>
      </c>
      <c r="R256" s="3">
        <v>2023</v>
      </c>
      <c r="U256" s="1" t="s">
        <v>113</v>
      </c>
      <c r="V256" s="357">
        <v>7.0000000000000007E-2</v>
      </c>
    </row>
    <row r="257" spans="1:22" x14ac:dyDescent="0.3">
      <c r="E257" s="356"/>
      <c r="F257" s="356"/>
      <c r="G257" s="356"/>
      <c r="H257" s="356"/>
      <c r="I257" s="356"/>
      <c r="J257" s="356"/>
      <c r="K257" s="356"/>
      <c r="L257" s="356"/>
      <c r="M257" s="356"/>
      <c r="N257" s="356"/>
      <c r="O257" s="356"/>
      <c r="P257" s="356"/>
      <c r="Q257" s="356"/>
      <c r="R257" s="356"/>
      <c r="U257" s="1" t="s">
        <v>114</v>
      </c>
      <c r="V257" s="357">
        <v>1.4999999999999999E-2</v>
      </c>
    </row>
    <row r="258" spans="1:22" x14ac:dyDescent="0.3">
      <c r="D258" s="1" t="s">
        <v>376</v>
      </c>
      <c r="E258" s="356"/>
      <c r="F258" s="356">
        <v>-267</v>
      </c>
      <c r="G258" s="356">
        <v>-768</v>
      </c>
      <c r="H258" s="356">
        <v>-269</v>
      </c>
      <c r="I258" s="356">
        <v>-266</v>
      </c>
      <c r="J258" s="356">
        <v>-276</v>
      </c>
      <c r="K258" s="356">
        <v>-264</v>
      </c>
      <c r="L258" s="356">
        <v>-275</v>
      </c>
      <c r="M258" s="356">
        <v>-300</v>
      </c>
      <c r="N258" s="356">
        <v>-300</v>
      </c>
      <c r="O258" s="356">
        <v>-300</v>
      </c>
      <c r="P258" s="356">
        <v>-300</v>
      </c>
      <c r="Q258" s="356">
        <v>-300</v>
      </c>
      <c r="R258" s="356">
        <v>-300</v>
      </c>
      <c r="U258" s="1" t="s">
        <v>115</v>
      </c>
      <c r="V258" s="357">
        <v>0.32500000000000001</v>
      </c>
    </row>
    <row r="259" spans="1:22" x14ac:dyDescent="0.3">
      <c r="D259" s="1" t="s">
        <v>91</v>
      </c>
      <c r="E259" s="98"/>
      <c r="F259" s="98">
        <f t="shared" ref="F259:M259" si="86">F258*0.35</f>
        <v>-93.449999999999989</v>
      </c>
      <c r="G259" s="98">
        <f t="shared" si="86"/>
        <v>-268.79999999999995</v>
      </c>
      <c r="H259" s="98">
        <f t="shared" si="86"/>
        <v>-94.149999999999991</v>
      </c>
      <c r="I259" s="98">
        <f t="shared" si="86"/>
        <v>-93.1</v>
      </c>
      <c r="J259" s="98">
        <f t="shared" si="86"/>
        <v>-96.6</v>
      </c>
      <c r="K259" s="98">
        <f t="shared" si="86"/>
        <v>-92.399999999999991</v>
      </c>
      <c r="L259" s="98">
        <f t="shared" si="86"/>
        <v>-96.25</v>
      </c>
      <c r="M259" s="98">
        <f t="shared" si="86"/>
        <v>-105</v>
      </c>
      <c r="N259" s="98">
        <f>N258*0.35</f>
        <v>-105</v>
      </c>
      <c r="O259" s="98">
        <f>O258*0.35</f>
        <v>-105</v>
      </c>
      <c r="P259" s="98">
        <f>P258*0.35</f>
        <v>-105</v>
      </c>
      <c r="Q259" s="98">
        <f>Q258*0.35</f>
        <v>-105</v>
      </c>
      <c r="R259" s="98">
        <f>R258*0.35</f>
        <v>-105</v>
      </c>
    </row>
    <row r="260" spans="1:22" x14ac:dyDescent="0.3">
      <c r="D260" s="1" t="s">
        <v>377</v>
      </c>
      <c r="E260" s="98"/>
      <c r="F260" s="98">
        <f t="shared" ref="F260:M260" si="87">F258-F259</f>
        <v>-173.55</v>
      </c>
      <c r="G260" s="98">
        <f t="shared" si="87"/>
        <v>-499.20000000000005</v>
      </c>
      <c r="H260" s="98">
        <f t="shared" si="87"/>
        <v>-174.85000000000002</v>
      </c>
      <c r="I260" s="98">
        <f t="shared" si="87"/>
        <v>-172.9</v>
      </c>
      <c r="J260" s="98">
        <f t="shared" si="87"/>
        <v>-179.4</v>
      </c>
      <c r="K260" s="98">
        <f t="shared" si="87"/>
        <v>-171.60000000000002</v>
      </c>
      <c r="L260" s="98">
        <f t="shared" si="87"/>
        <v>-178.75</v>
      </c>
      <c r="M260" s="98">
        <f t="shared" si="87"/>
        <v>-195</v>
      </c>
      <c r="N260" s="98">
        <f>N258-N259</f>
        <v>-195</v>
      </c>
      <c r="O260" s="98">
        <f>O258-O259</f>
        <v>-195</v>
      </c>
      <c r="P260" s="98">
        <f>P258-P259</f>
        <v>-195</v>
      </c>
      <c r="Q260" s="98">
        <f>Q258-Q259</f>
        <v>-195</v>
      </c>
      <c r="R260" s="98">
        <f>R258-R259</f>
        <v>-195</v>
      </c>
    </row>
    <row r="262" spans="1:22" x14ac:dyDescent="0.3">
      <c r="D262" s="1" t="s">
        <v>117</v>
      </c>
      <c r="N262" s="2">
        <f t="shared" ref="N262:R262" si="88">M262+1</f>
        <v>1</v>
      </c>
      <c r="O262" s="2">
        <f t="shared" si="88"/>
        <v>2</v>
      </c>
      <c r="P262" s="2">
        <f t="shared" si="88"/>
        <v>3</v>
      </c>
      <c r="Q262" s="2">
        <f t="shared" si="88"/>
        <v>4</v>
      </c>
      <c r="R262" s="2">
        <f t="shared" si="88"/>
        <v>5</v>
      </c>
      <c r="U262" s="1" t="s">
        <v>118</v>
      </c>
      <c r="V262" s="98">
        <f>J263+K263+L263+M263+N263+O263+P263+Q263+R263</f>
        <v>-788.94755588969815</v>
      </c>
    </row>
    <row r="263" spans="1:22" x14ac:dyDescent="0.3">
      <c r="D263" s="1" t="s">
        <v>119</v>
      </c>
      <c r="F263" s="98"/>
      <c r="G263" s="98"/>
      <c r="H263" s="98"/>
      <c r="I263" s="98"/>
      <c r="J263" s="98"/>
      <c r="K263" s="98"/>
      <c r="L263" s="98"/>
      <c r="M263" s="98"/>
      <c r="N263" s="98">
        <f>N260/(1+$V$94)^(N262)</f>
        <v>-181.3953488372093</v>
      </c>
      <c r="O263" s="98">
        <f>O260/(1+$V$94)^(O262)</f>
        <v>-168.73985938345052</v>
      </c>
      <c r="P263" s="98">
        <f>P260/(1+$V$94)^(P262)</f>
        <v>-156.9673110543726</v>
      </c>
      <c r="Q263" s="98">
        <f>Q260/(1+$V$94)^(Q262)</f>
        <v>-146.01610330639309</v>
      </c>
      <c r="R263" s="98">
        <f>R260/(1+$V$94)^(R262)</f>
        <v>-135.82893330827264</v>
      </c>
      <c r="S263" s="316">
        <f>(R260*(1+V257))/(V256-V257)</f>
        <v>-3598.6363636363631</v>
      </c>
      <c r="U263" s="1" t="s">
        <v>120</v>
      </c>
      <c r="V263" s="98">
        <f>(S263)/((1+V256)^(R262+1))</f>
        <v>-2397.9233572524222</v>
      </c>
    </row>
    <row r="264" spans="1:22" x14ac:dyDescent="0.3">
      <c r="U264" s="13" t="s">
        <v>121</v>
      </c>
      <c r="V264" s="352">
        <f>V262+V263</f>
        <v>-3186.8709131421201</v>
      </c>
    </row>
    <row r="266" spans="1:22" x14ac:dyDescent="0.3">
      <c r="A266" s="401"/>
      <c r="B266" s="401"/>
      <c r="C266" s="401"/>
      <c r="D266" s="401"/>
      <c r="E266" s="403"/>
      <c r="F266" s="403"/>
      <c r="G266" s="403"/>
      <c r="H266" s="403"/>
      <c r="I266" s="403"/>
      <c r="J266" s="403"/>
      <c r="K266" s="403"/>
      <c r="L266" s="403"/>
      <c r="M266" s="403"/>
      <c r="N266" s="403"/>
      <c r="O266" s="403"/>
      <c r="P266" s="403"/>
      <c r="Q266" s="403"/>
      <c r="R266" s="403"/>
      <c r="S266" s="401"/>
      <c r="T266" s="401"/>
      <c r="U266" s="401"/>
      <c r="V266" s="403"/>
    </row>
    <row r="268" spans="1:22" x14ac:dyDescent="0.3">
      <c r="B268" s="13" t="s">
        <v>391</v>
      </c>
      <c r="E268" s="3">
        <v>2010</v>
      </c>
      <c r="F268" s="3">
        <f t="shared" ref="F268:M268" si="89">E268+1</f>
        <v>2011</v>
      </c>
      <c r="G268" s="3">
        <f t="shared" si="89"/>
        <v>2012</v>
      </c>
      <c r="H268" s="3">
        <f t="shared" si="89"/>
        <v>2013</v>
      </c>
      <c r="I268" s="3">
        <f t="shared" si="89"/>
        <v>2014</v>
      </c>
      <c r="J268" s="3">
        <f t="shared" si="89"/>
        <v>2015</v>
      </c>
      <c r="K268" s="3">
        <f t="shared" si="89"/>
        <v>2016</v>
      </c>
      <c r="L268" s="3">
        <f t="shared" si="89"/>
        <v>2017</v>
      </c>
      <c r="M268" s="3">
        <f t="shared" si="89"/>
        <v>2018</v>
      </c>
      <c r="N268" s="3">
        <v>2019</v>
      </c>
      <c r="O268" s="3">
        <v>2020</v>
      </c>
      <c r="P268" s="3">
        <v>2021</v>
      </c>
      <c r="Q268" s="3">
        <v>2022</v>
      </c>
      <c r="R268" s="3">
        <v>2023</v>
      </c>
      <c r="U268" s="1" t="s">
        <v>113</v>
      </c>
      <c r="V268" s="357">
        <v>0.08</v>
      </c>
    </row>
    <row r="269" spans="1:22" x14ac:dyDescent="0.3">
      <c r="E269" s="356"/>
      <c r="F269" s="356"/>
      <c r="G269" s="356"/>
      <c r="H269" s="356"/>
      <c r="I269" s="356"/>
      <c r="J269" s="356"/>
      <c r="K269" s="356"/>
      <c r="L269" s="356"/>
      <c r="M269" s="356"/>
      <c r="N269" s="356"/>
      <c r="O269" s="356"/>
      <c r="P269" s="356"/>
      <c r="Q269" s="356"/>
      <c r="R269" s="356"/>
      <c r="U269" s="1" t="s">
        <v>114</v>
      </c>
      <c r="V269" s="357">
        <v>0</v>
      </c>
    </row>
    <row r="270" spans="1:22" x14ac:dyDescent="0.3">
      <c r="D270" s="1" t="s">
        <v>376</v>
      </c>
      <c r="E270" s="356"/>
      <c r="F270" s="356"/>
      <c r="G270" s="356"/>
      <c r="H270" s="356"/>
      <c r="I270" s="356">
        <f>'US Metro PF'!AF246/V59</f>
        <v>94.26229508196721</v>
      </c>
      <c r="J270" s="356">
        <f>'US Metro PF'!AL246/V59</f>
        <v>504.09836065573774</v>
      </c>
      <c r="K270" s="356">
        <f>'US Metro PF'!AR246/V59</f>
        <v>696.72131147540983</v>
      </c>
      <c r="L270" s="356">
        <f>'US Metro PF'!AX246/V59</f>
        <v>81.967213114754102</v>
      </c>
      <c r="M270" s="356"/>
      <c r="N270" s="356"/>
      <c r="O270" s="356"/>
      <c r="P270" s="356"/>
      <c r="Q270" s="356"/>
      <c r="R270" s="356"/>
      <c r="U270" s="1" t="s">
        <v>115</v>
      </c>
      <c r="V270" s="399">
        <v>0.35</v>
      </c>
    </row>
    <row r="271" spans="1:22" x14ac:dyDescent="0.3">
      <c r="D271" s="1" t="s">
        <v>115</v>
      </c>
      <c r="E271" s="98"/>
      <c r="F271" s="98"/>
      <c r="G271" s="98"/>
      <c r="H271" s="98"/>
      <c r="I271" s="98">
        <v>0</v>
      </c>
      <c r="J271" s="98">
        <v>0</v>
      </c>
      <c r="K271" s="98">
        <v>0</v>
      </c>
      <c r="L271" s="98">
        <v>0</v>
      </c>
      <c r="T271" s="466" t="s">
        <v>394</v>
      </c>
    </row>
    <row r="272" spans="1:22" x14ac:dyDescent="0.3">
      <c r="D272" s="1" t="s">
        <v>377</v>
      </c>
      <c r="E272" s="98"/>
      <c r="F272" s="98"/>
      <c r="G272" s="98"/>
      <c r="H272" s="98"/>
      <c r="I272" s="98">
        <f>I270-I271</f>
        <v>94.26229508196721</v>
      </c>
      <c r="J272" s="98">
        <f>J270-J271</f>
        <v>504.09836065573774</v>
      </c>
      <c r="K272" s="98">
        <f>K270-K271</f>
        <v>696.72131147540983</v>
      </c>
      <c r="L272" s="98">
        <f>L270-L271</f>
        <v>81.967213114754102</v>
      </c>
      <c r="M272" s="98"/>
      <c r="N272" s="98"/>
      <c r="O272" s="98"/>
      <c r="P272" s="98"/>
      <c r="Q272" s="98"/>
      <c r="R272" s="98"/>
    </row>
    <row r="274" spans="1:22" x14ac:dyDescent="0.3">
      <c r="D274" s="1" t="s">
        <v>117</v>
      </c>
      <c r="K274" s="2">
        <f>J274+1</f>
        <v>1</v>
      </c>
      <c r="L274" s="2">
        <f>K274+1</f>
        <v>2</v>
      </c>
      <c r="U274" s="1" t="s">
        <v>118</v>
      </c>
      <c r="V274" s="98">
        <f>F275+G275+H275+I275+J275+K275+L275+M275</f>
        <v>701.12450887413627</v>
      </c>
    </row>
    <row r="275" spans="1:22" x14ac:dyDescent="0.3">
      <c r="D275" s="1" t="s">
        <v>119</v>
      </c>
      <c r="F275" s="98"/>
      <c r="G275" s="98"/>
      <c r="H275" s="98"/>
      <c r="I275" s="98"/>
      <c r="J275" s="98"/>
      <c r="K275" s="98">
        <f>K272/(1+$V$169)^(K274)</f>
        <v>633.38301043219076</v>
      </c>
      <c r="L275" s="98">
        <f>L272/(1+$V$169)^(L274)</f>
        <v>67.741498441945524</v>
      </c>
      <c r="M275" s="98"/>
      <c r="N275" s="98"/>
      <c r="O275" s="98"/>
      <c r="P275" s="98"/>
      <c r="Q275" s="98"/>
      <c r="R275" s="98"/>
      <c r="S275" s="316">
        <f>(M272*(1+V269))/(V268-V269)</f>
        <v>0</v>
      </c>
      <c r="U275" s="1" t="s">
        <v>120</v>
      </c>
      <c r="V275" s="98">
        <v>0</v>
      </c>
    </row>
    <row r="276" spans="1:22" x14ac:dyDescent="0.3">
      <c r="U276" s="13" t="s">
        <v>392</v>
      </c>
      <c r="V276" s="352">
        <f>V274+V275</f>
        <v>701.12450887413627</v>
      </c>
    </row>
    <row r="278" spans="1:22" x14ac:dyDescent="0.3">
      <c r="U278" s="1" t="s">
        <v>393</v>
      </c>
      <c r="V278" s="356">
        <f>V276/V59</f>
        <v>574.69222038863631</v>
      </c>
    </row>
    <row r="280" spans="1:22" x14ac:dyDescent="0.3">
      <c r="A280" s="401"/>
      <c r="B280" s="401"/>
      <c r="C280" s="401"/>
      <c r="D280" s="401"/>
      <c r="E280" s="403"/>
      <c r="F280" s="403"/>
      <c r="G280" s="403"/>
      <c r="H280" s="403"/>
      <c r="I280" s="403"/>
      <c r="J280" s="403"/>
      <c r="K280" s="403"/>
      <c r="L280" s="403"/>
      <c r="M280" s="403"/>
      <c r="N280" s="403"/>
      <c r="O280" s="403"/>
      <c r="P280" s="403"/>
      <c r="Q280" s="403"/>
      <c r="R280" s="403"/>
      <c r="S280" s="401"/>
      <c r="T280" s="401"/>
      <c r="U280" s="401"/>
      <c r="V280" s="403"/>
    </row>
  </sheetData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:DQ220"/>
  <sheetViews>
    <sheetView showGridLines="0" zoomScale="65" zoomScaleNormal="65" workbookViewId="0">
      <pane xSplit="7" ySplit="3" topLeftCell="BM4" activePane="bottomRight" state="frozen"/>
      <selection activeCell="J59" sqref="J59"/>
      <selection pane="topRight" activeCell="J59" sqref="J59"/>
      <selection pane="bottomLeft" activeCell="J59" sqref="J59"/>
      <selection pane="bottomRight" sqref="A1:XFD1048576"/>
    </sheetView>
  </sheetViews>
  <sheetFormatPr defaultRowHeight="15" x14ac:dyDescent="0.3"/>
  <cols>
    <col min="1" max="1" width="3.85546875" style="1" customWidth="1"/>
    <col min="2" max="2" width="30.85546875" style="1" customWidth="1"/>
    <col min="3" max="7" width="9.140625" style="2" customWidth="1"/>
    <col min="8" max="8" width="5.5703125" style="2" customWidth="1"/>
    <col min="9" max="12" width="9.140625" style="2"/>
    <col min="13" max="13" width="9.140625" style="2" customWidth="1"/>
    <col min="14" max="30" width="9.140625" style="2"/>
    <col min="31" max="31" width="9.140625" style="2" customWidth="1"/>
    <col min="32" max="103" width="9.140625" style="2"/>
    <col min="104" max="16384" width="9.140625" style="1"/>
  </cols>
  <sheetData>
    <row r="1" spans="2:115" ht="15.75" thickBot="1" x14ac:dyDescent="0.35"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2:115" x14ac:dyDescent="0.3">
      <c r="C2" s="709">
        <v>2007</v>
      </c>
      <c r="D2" s="710"/>
      <c r="E2" s="710"/>
      <c r="F2" s="710"/>
      <c r="G2" s="711"/>
      <c r="H2" s="3"/>
      <c r="I2" s="709">
        <v>2008</v>
      </c>
      <c r="J2" s="710"/>
      <c r="K2" s="710"/>
      <c r="L2" s="710"/>
      <c r="M2" s="711"/>
      <c r="N2" s="3"/>
      <c r="O2" s="709">
        <v>2009</v>
      </c>
      <c r="P2" s="710"/>
      <c r="Q2" s="710"/>
      <c r="R2" s="710"/>
      <c r="S2" s="711"/>
      <c r="T2" s="3"/>
      <c r="U2" s="709">
        <v>2010</v>
      </c>
      <c r="V2" s="710"/>
      <c r="W2" s="710"/>
      <c r="X2" s="710"/>
      <c r="Y2" s="711"/>
      <c r="AA2" s="709">
        <v>2011</v>
      </c>
      <c r="AB2" s="710"/>
      <c r="AC2" s="710"/>
      <c r="AD2" s="710"/>
      <c r="AE2" s="711"/>
      <c r="AG2" s="709">
        <v>2012</v>
      </c>
      <c r="AH2" s="710"/>
      <c r="AI2" s="710"/>
      <c r="AJ2" s="710"/>
      <c r="AK2" s="711"/>
      <c r="AM2" s="709">
        <v>2013</v>
      </c>
      <c r="AN2" s="710"/>
      <c r="AO2" s="710"/>
      <c r="AP2" s="710"/>
      <c r="AQ2" s="711"/>
      <c r="AS2" s="709">
        <v>2014</v>
      </c>
      <c r="AT2" s="710"/>
      <c r="AU2" s="710"/>
      <c r="AV2" s="710"/>
      <c r="AW2" s="711"/>
      <c r="AY2" s="709">
        <v>2015</v>
      </c>
      <c r="AZ2" s="710"/>
      <c r="BA2" s="710"/>
      <c r="BB2" s="710"/>
      <c r="BC2" s="711"/>
      <c r="BE2" s="709">
        <v>2016</v>
      </c>
      <c r="BF2" s="710"/>
      <c r="BG2" s="710"/>
      <c r="BH2" s="710"/>
      <c r="BI2" s="711"/>
      <c r="BK2" s="709">
        <v>2017</v>
      </c>
      <c r="BL2" s="710"/>
      <c r="BM2" s="710"/>
      <c r="BN2" s="710"/>
      <c r="BO2" s="711"/>
      <c r="BQ2" s="709">
        <v>2018</v>
      </c>
      <c r="BR2" s="710"/>
      <c r="BS2" s="710"/>
      <c r="BT2" s="710"/>
      <c r="BU2" s="711"/>
      <c r="BW2" s="709">
        <v>2019</v>
      </c>
      <c r="BX2" s="710"/>
      <c r="BY2" s="710"/>
      <c r="BZ2" s="710"/>
      <c r="CA2" s="711"/>
      <c r="CC2" s="709">
        <v>2020</v>
      </c>
      <c r="CD2" s="710"/>
      <c r="CE2" s="710"/>
      <c r="CF2" s="710"/>
      <c r="CG2" s="711"/>
      <c r="CI2" s="709">
        <v>2021</v>
      </c>
      <c r="CJ2" s="710"/>
      <c r="CK2" s="710"/>
      <c r="CL2" s="710"/>
      <c r="CM2" s="711"/>
      <c r="CO2" s="709">
        <v>2022</v>
      </c>
      <c r="CP2" s="710"/>
      <c r="CQ2" s="710"/>
      <c r="CR2" s="710"/>
      <c r="CS2" s="711"/>
      <c r="CU2" s="709">
        <v>2023</v>
      </c>
      <c r="CV2" s="710"/>
      <c r="CW2" s="710"/>
      <c r="CX2" s="710"/>
      <c r="CY2" s="711"/>
      <c r="CZ2" s="2"/>
      <c r="DA2" s="709">
        <v>2024</v>
      </c>
      <c r="DB2" s="710"/>
      <c r="DC2" s="710"/>
      <c r="DD2" s="710"/>
      <c r="DE2" s="711"/>
      <c r="DF2" s="2"/>
      <c r="DG2" s="709">
        <v>2025</v>
      </c>
      <c r="DH2" s="710"/>
      <c r="DI2" s="710"/>
      <c r="DJ2" s="710"/>
      <c r="DK2" s="711"/>
    </row>
    <row r="3" spans="2:115" ht="15.75" thickBot="1" x14ac:dyDescent="0.35">
      <c r="C3" s="51" t="s">
        <v>20</v>
      </c>
      <c r="D3" s="43" t="s">
        <v>19</v>
      </c>
      <c r="E3" s="43" t="s">
        <v>22</v>
      </c>
      <c r="F3" s="43" t="s">
        <v>21</v>
      </c>
      <c r="G3" s="95" t="s">
        <v>39</v>
      </c>
      <c r="H3" s="3"/>
      <c r="I3" s="51" t="s">
        <v>20</v>
      </c>
      <c r="J3" s="43" t="s">
        <v>19</v>
      </c>
      <c r="K3" s="43" t="s">
        <v>22</v>
      </c>
      <c r="L3" s="43" t="s">
        <v>21</v>
      </c>
      <c r="M3" s="95" t="s">
        <v>39</v>
      </c>
      <c r="N3" s="3"/>
      <c r="O3" s="51" t="s">
        <v>20</v>
      </c>
      <c r="P3" s="43" t="s">
        <v>19</v>
      </c>
      <c r="Q3" s="43" t="s">
        <v>22</v>
      </c>
      <c r="R3" s="43" t="s">
        <v>21</v>
      </c>
      <c r="S3" s="95" t="s">
        <v>39</v>
      </c>
      <c r="T3" s="3"/>
      <c r="U3" s="51" t="s">
        <v>20</v>
      </c>
      <c r="V3" s="43" t="s">
        <v>19</v>
      </c>
      <c r="W3" s="43" t="s">
        <v>22</v>
      </c>
      <c r="X3" s="43" t="s">
        <v>21</v>
      </c>
      <c r="Y3" s="95" t="s">
        <v>39</v>
      </c>
      <c r="AA3" s="51" t="s">
        <v>20</v>
      </c>
      <c r="AB3" s="43" t="s">
        <v>19</v>
      </c>
      <c r="AC3" s="43" t="s">
        <v>22</v>
      </c>
      <c r="AD3" s="43" t="s">
        <v>21</v>
      </c>
      <c r="AE3" s="95" t="s">
        <v>39</v>
      </c>
      <c r="AG3" s="51" t="s">
        <v>20</v>
      </c>
      <c r="AH3" s="43" t="s">
        <v>19</v>
      </c>
      <c r="AI3" s="43" t="s">
        <v>22</v>
      </c>
      <c r="AJ3" s="43" t="s">
        <v>21</v>
      </c>
      <c r="AK3" s="95" t="s">
        <v>39</v>
      </c>
      <c r="AM3" s="51" t="s">
        <v>20</v>
      </c>
      <c r="AN3" s="43" t="s">
        <v>19</v>
      </c>
      <c r="AO3" s="43" t="s">
        <v>22</v>
      </c>
      <c r="AP3" s="43" t="s">
        <v>21</v>
      </c>
      <c r="AQ3" s="95" t="s">
        <v>39</v>
      </c>
      <c r="AS3" s="51" t="s">
        <v>20</v>
      </c>
      <c r="AT3" s="43" t="s">
        <v>19</v>
      </c>
      <c r="AU3" s="43" t="s">
        <v>22</v>
      </c>
      <c r="AV3" s="43" t="s">
        <v>21</v>
      </c>
      <c r="AW3" s="95" t="s">
        <v>39</v>
      </c>
      <c r="AY3" s="51" t="s">
        <v>20</v>
      </c>
      <c r="AZ3" s="43" t="s">
        <v>19</v>
      </c>
      <c r="BA3" s="43" t="s">
        <v>22</v>
      </c>
      <c r="BB3" s="43" t="s">
        <v>21</v>
      </c>
      <c r="BC3" s="95" t="s">
        <v>39</v>
      </c>
      <c r="BE3" s="51" t="s">
        <v>20</v>
      </c>
      <c r="BF3" s="43" t="s">
        <v>19</v>
      </c>
      <c r="BG3" s="43" t="s">
        <v>22</v>
      </c>
      <c r="BH3" s="43" t="s">
        <v>21</v>
      </c>
      <c r="BI3" s="95" t="s">
        <v>39</v>
      </c>
      <c r="BK3" s="51" t="s">
        <v>20</v>
      </c>
      <c r="BL3" s="43" t="s">
        <v>19</v>
      </c>
      <c r="BM3" s="43" t="s">
        <v>22</v>
      </c>
      <c r="BN3" s="43" t="s">
        <v>21</v>
      </c>
      <c r="BO3" s="95" t="s">
        <v>39</v>
      </c>
      <c r="BQ3" s="51" t="s">
        <v>20</v>
      </c>
      <c r="BR3" s="43" t="s">
        <v>19</v>
      </c>
      <c r="BS3" s="43" t="s">
        <v>22</v>
      </c>
      <c r="BT3" s="43" t="s">
        <v>21</v>
      </c>
      <c r="BU3" s="95" t="s">
        <v>39</v>
      </c>
      <c r="BW3" s="51" t="s">
        <v>20</v>
      </c>
      <c r="BX3" s="467" t="s">
        <v>19</v>
      </c>
      <c r="BY3" s="467" t="s">
        <v>22</v>
      </c>
      <c r="BZ3" s="467" t="s">
        <v>21</v>
      </c>
      <c r="CA3" s="95" t="s">
        <v>39</v>
      </c>
      <c r="CC3" s="51" t="s">
        <v>20</v>
      </c>
      <c r="CD3" s="467" t="s">
        <v>19</v>
      </c>
      <c r="CE3" s="467" t="s">
        <v>22</v>
      </c>
      <c r="CF3" s="467" t="s">
        <v>21</v>
      </c>
      <c r="CG3" s="95" t="s">
        <v>39</v>
      </c>
      <c r="CI3" s="51" t="s">
        <v>20</v>
      </c>
      <c r="CJ3" s="467" t="s">
        <v>19</v>
      </c>
      <c r="CK3" s="467" t="s">
        <v>22</v>
      </c>
      <c r="CL3" s="467" t="s">
        <v>21</v>
      </c>
      <c r="CM3" s="95" t="s">
        <v>39</v>
      </c>
      <c r="CO3" s="51" t="s">
        <v>20</v>
      </c>
      <c r="CP3" s="467" t="s">
        <v>19</v>
      </c>
      <c r="CQ3" s="467" t="s">
        <v>22</v>
      </c>
      <c r="CR3" s="467" t="s">
        <v>21</v>
      </c>
      <c r="CS3" s="95" t="s">
        <v>39</v>
      </c>
      <c r="CU3" s="51" t="s">
        <v>20</v>
      </c>
      <c r="CV3" s="467" t="s">
        <v>19</v>
      </c>
      <c r="CW3" s="467" t="s">
        <v>22</v>
      </c>
      <c r="CX3" s="467" t="s">
        <v>21</v>
      </c>
      <c r="CY3" s="95" t="s">
        <v>39</v>
      </c>
      <c r="CZ3" s="2"/>
      <c r="DA3" s="51" t="s">
        <v>20</v>
      </c>
      <c r="DB3" s="570" t="s">
        <v>19</v>
      </c>
      <c r="DC3" s="570" t="s">
        <v>22</v>
      </c>
      <c r="DD3" s="570" t="s">
        <v>21</v>
      </c>
      <c r="DE3" s="95" t="s">
        <v>39</v>
      </c>
      <c r="DF3" s="2"/>
      <c r="DG3" s="51" t="s">
        <v>20</v>
      </c>
      <c r="DH3" s="570" t="s">
        <v>19</v>
      </c>
      <c r="DI3" s="570" t="s">
        <v>22</v>
      </c>
      <c r="DJ3" s="570" t="s">
        <v>21</v>
      </c>
      <c r="DK3" s="95" t="s">
        <v>39</v>
      </c>
    </row>
    <row r="4" spans="2:115" x14ac:dyDescent="0.3">
      <c r="B4" s="351" t="s">
        <v>182</v>
      </c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</row>
    <row r="5" spans="2:115" x14ac:dyDescent="0.3">
      <c r="O5" s="36">
        <f>O6/I6-1</f>
        <v>-3.5574800750649005E-2</v>
      </c>
      <c r="P5" s="36">
        <f>P6/J6-1</f>
        <v>-4.0865249183154262E-2</v>
      </c>
      <c r="Q5" s="36">
        <f>Q6/K6-1</f>
        <v>-9.7730071224180204E-3</v>
      </c>
      <c r="R5" s="36">
        <f>R6/L6-1</f>
        <v>-3.3071009518448213E-2</v>
      </c>
      <c r="S5" s="36">
        <f>S6/M6-1</f>
        <v>-2.9821813615444004E-2</v>
      </c>
      <c r="U5" s="36">
        <v>-2.2429316063812932E-2</v>
      </c>
      <c r="V5" s="36">
        <v>-3.6977491961415199E-3</v>
      </c>
      <c r="W5" s="36">
        <v>-2.3798485550919457E-2</v>
      </c>
      <c r="X5" s="36">
        <v>6.213109661385996E-4</v>
      </c>
      <c r="Y5" s="36">
        <v>-1.2372348782403786E-2</v>
      </c>
      <c r="AA5" s="36">
        <f>((AA7/AA6)*'T-Home Germany'!AA175)+((AA8/AA6)*'TMO Germany'!AA33)</f>
        <v>-2.448366624292753E-2</v>
      </c>
      <c r="AB5" s="36">
        <f>((AB7/AB6)*'T-Home Germany'!AB175)+((AB8/AB6)*'TMO Germany'!AB33)</f>
        <v>-2.9467449776061558E-2</v>
      </c>
      <c r="AC5" s="36">
        <f>((AC7/AC6)*'T-Home Germany'!AC175)+((AC8/AC6)*'TMO Germany'!AC33)</f>
        <v>-3.9863236247401485E-2</v>
      </c>
      <c r="AD5" s="36">
        <f>((AD7/AD6)*'T-Home Germany'!AD175)+((AD8/AD6)*'TMO Germany'!AD33)</f>
        <v>-3.8439805977155364E-2</v>
      </c>
      <c r="AE5" s="36">
        <v>-4.4302269650292048E-2</v>
      </c>
      <c r="AG5" s="36">
        <f>((AG7/AG6)*'T-Home Germany'!AG175)+((AG8/AG6)*'TMO Germany'!AG33)</f>
        <v>-2.1406143234936399E-2</v>
      </c>
      <c r="AH5" s="36">
        <f>AH6/AB6-1</f>
        <v>-3.1155015197568359E-2</v>
      </c>
      <c r="AI5" s="36">
        <f>AI6/AC6-1</f>
        <v>-1.2736660929432042E-2</v>
      </c>
      <c r="AJ5" s="36">
        <f>AJ6/AD6-1</f>
        <v>-1.3597246127366569E-2</v>
      </c>
      <c r="AK5" s="36">
        <f>AK6/AE6-1</f>
        <v>-2.024493876530864E-2</v>
      </c>
      <c r="AM5" s="36">
        <f>AM6/AG6-1</f>
        <v>-1.6433998939741956E-2</v>
      </c>
      <c r="AN5" s="36">
        <f>AN6/AH6-1</f>
        <v>-8.0213903743315829E-3</v>
      </c>
      <c r="AO5" s="36">
        <f>AO6/AI6-1</f>
        <v>-1.1506276150627603E-2</v>
      </c>
      <c r="AP5" s="36">
        <f>AP6/AJ6-1</f>
        <v>-1.6925492933170472E-2</v>
      </c>
      <c r="AQ5" s="36">
        <f>AQ6/AK6-1</f>
        <v>-1.3238916256157585E-2</v>
      </c>
      <c r="AS5" s="36">
        <f>AS6/AM6-1</f>
        <v>-1.4911965504850855E-2</v>
      </c>
      <c r="AT5" s="36">
        <f>AT6/AN6-1</f>
        <v>-1.8149146451033271E-2</v>
      </c>
      <c r="AU5" s="36">
        <f>AU6/AO6-1</f>
        <v>-1.4638447971781265E-2</v>
      </c>
      <c r="AV5" s="36">
        <f>AV6/AP6-1</f>
        <v>1.5796947106851311E-2</v>
      </c>
      <c r="AW5" s="36">
        <f>AW6/AQ6-1</f>
        <v>-7.9340316469801442E-3</v>
      </c>
      <c r="AY5" s="36">
        <f>AY6/AS6-1</f>
        <v>1.9332482217764069E-2</v>
      </c>
      <c r="AZ5" s="36">
        <f>AZ6/AT6-1</f>
        <v>2.1229868228404003E-2</v>
      </c>
      <c r="BA5" s="36">
        <f>BA6/AU6-1</f>
        <v>1.0739216037229937E-3</v>
      </c>
      <c r="BB5" s="36">
        <f>BB6/AV6-1</f>
        <v>-1.1182946007338823E-2</v>
      </c>
      <c r="BC5" s="36">
        <f>BC6/AW6-1</f>
        <v>7.3684683470369716E-3</v>
      </c>
      <c r="BE5" s="36">
        <v>-2.5000000000000001E-2</v>
      </c>
      <c r="BF5" s="36">
        <v>-3.1E-2</v>
      </c>
      <c r="BG5" s="36">
        <v>-8.0000000000000002E-3</v>
      </c>
      <c r="BH5" s="36">
        <v>-5.0000000000000001E-3</v>
      </c>
      <c r="BI5" s="36">
        <v>-1.6948396592480264E-2</v>
      </c>
      <c r="BK5" s="36">
        <f>BK6/BE6-1</f>
        <v>2.2284122562674646E-3</v>
      </c>
      <c r="BL5" s="36">
        <f>BL6/BF6-1</f>
        <v>6.1820906706631096E-3</v>
      </c>
      <c r="BM5" s="36">
        <f>BM6/BG6-1</f>
        <v>5.469462169553907E-4</v>
      </c>
      <c r="BN5" s="36">
        <f>BN6/BH6-1</f>
        <v>1.9946091644204911E-2</v>
      </c>
      <c r="BO5" s="36">
        <f>BO6/BI6-1</f>
        <v>7.2563607972810917E-3</v>
      </c>
      <c r="BQ5" s="36">
        <f>BQ6/BK6-1</f>
        <v>1.3840701894145324E-2</v>
      </c>
      <c r="BR5" s="36">
        <f>BR6/BL6-1</f>
        <v>1.4437515041061166E-2</v>
      </c>
      <c r="BS5" s="36">
        <f>BS6/BM6-1</f>
        <v>1.4556058400933658E-2</v>
      </c>
      <c r="BT5" s="36">
        <f ca="1">BT6/BN6-1</f>
        <v>1.2606489552915434E-2</v>
      </c>
      <c r="BU5" s="36">
        <f ca="1">BU6/BO6-1</f>
        <v>1.3846445587037959E-2</v>
      </c>
      <c r="BW5" s="36">
        <f>BW6/BQ6-1</f>
        <v>1.6744817360698105E-2</v>
      </c>
      <c r="BX5" s="36">
        <f>BX6/BR6-1</f>
        <v>1.7419752604433958E-2</v>
      </c>
      <c r="BY5" s="36">
        <f>BY6/BS6-1</f>
        <v>1.7122405437655308E-2</v>
      </c>
      <c r="BZ5" s="36">
        <f ca="1">BZ6/BT6-1</f>
        <v>1.7463758375669602E-2</v>
      </c>
      <c r="CA5" s="36">
        <f ca="1">CA6/BU6-1</f>
        <v>1.719058440222887E-2</v>
      </c>
      <c r="CC5" s="36">
        <f>CC6/BW6-1</f>
        <v>1.6369434397827787E-2</v>
      </c>
      <c r="CD5" s="36">
        <f>CD6/BX6-1</f>
        <v>1.649619946385239E-2</v>
      </c>
      <c r="CE5" s="36">
        <f>CE6/BY6-1</f>
        <v>1.7337786945938793E-2</v>
      </c>
      <c r="CF5" s="36">
        <f ca="1">CF6/BZ6-1</f>
        <v>1.7985957738363867E-2</v>
      </c>
      <c r="CG5" s="36">
        <f ca="1">CG6/CA6-1</f>
        <v>1.7060922334031892E-2</v>
      </c>
      <c r="CI5" s="36">
        <f>CI6/CC6-1</f>
        <v>1.7959264574713973E-2</v>
      </c>
      <c r="CJ5" s="36">
        <f>CJ6/CD6-1</f>
        <v>1.7785297426153424E-2</v>
      </c>
      <c r="CK5" s="36">
        <f>CK6/CE6-1</f>
        <v>1.9057272455833552E-2</v>
      </c>
      <c r="CL5" s="36">
        <f ca="1">CL6/CF6-1</f>
        <v>1.9251190535796381E-2</v>
      </c>
      <c r="CM5" s="36">
        <f ca="1">CM6/CG6-1</f>
        <v>1.8525986342207368E-2</v>
      </c>
      <c r="CO5" s="36">
        <f>CO6/CI6-1</f>
        <v>1.8926870672978158E-2</v>
      </c>
      <c r="CP5" s="36">
        <f>CP6/CJ6-1</f>
        <v>1.9374856970604482E-2</v>
      </c>
      <c r="CQ5" s="36">
        <f>CQ6/CK6-1</f>
        <v>1.9866882495746863E-2</v>
      </c>
      <c r="CR5" s="36">
        <f ca="1">CR6/CL6-1</f>
        <v>1.939484774670075E-2</v>
      </c>
      <c r="CS5" s="36">
        <f ca="1">CS6/CM6-1</f>
        <v>1.9393273507345654E-2</v>
      </c>
      <c r="CU5" s="36">
        <f>CU6/CO6-1</f>
        <v>1.8477163190014689E-2</v>
      </c>
      <c r="CV5" s="36">
        <f>CV6/CP6-1</f>
        <v>1.868155446962616E-2</v>
      </c>
      <c r="CW5" s="36">
        <f>CW6/CQ6-1</f>
        <v>1.9645222229964343E-2</v>
      </c>
      <c r="CX5" s="36">
        <f ca="1">CX6/CR6-1</f>
        <v>1.8222648013590526E-2</v>
      </c>
      <c r="CY5" s="36">
        <f ca="1">CY6/CS6-1</f>
        <v>1.8754114335708838E-2</v>
      </c>
      <c r="CZ5" s="2"/>
      <c r="DA5" s="36">
        <f>DA6/CU6-1</f>
        <v>1.7548460043211866E-2</v>
      </c>
      <c r="DB5" s="36">
        <f>DB6/CV6-1</f>
        <v>1.7696788094037963E-2</v>
      </c>
      <c r="DC5" s="36">
        <f>DC6/CW6-1</f>
        <v>1.8211074835441154E-2</v>
      </c>
      <c r="DD5" s="36">
        <f ca="1">DD6/CX6-1</f>
        <v>1.9647271210882833E-2</v>
      </c>
      <c r="DE5" s="36">
        <f ca="1">DE6/CY6-1</f>
        <v>1.8294279099545063E-2</v>
      </c>
      <c r="DF5" s="2"/>
      <c r="DG5" s="36">
        <f>DG6/DA6-1</f>
        <v>1.8105524314546484E-2</v>
      </c>
      <c r="DH5" s="36">
        <f>DH6/DB6-1</f>
        <v>1.8423506482847518E-2</v>
      </c>
      <c r="DI5" s="36">
        <f>DI6/DC6-1</f>
        <v>1.9244328104831343E-2</v>
      </c>
      <c r="DJ5" s="36">
        <f ca="1">DJ6/DD6-1</f>
        <v>1.7016211498213307E-2</v>
      </c>
      <c r="DK5" s="36">
        <f ca="1">DK6/DE6-1</f>
        <v>1.8186703019954287E-2</v>
      </c>
    </row>
    <row r="6" spans="2:115" x14ac:dyDescent="0.3">
      <c r="B6" s="13" t="s">
        <v>184</v>
      </c>
      <c r="C6" s="352">
        <f>C7+C8+C9</f>
        <v>1951</v>
      </c>
      <c r="D6" s="352">
        <f>D7+D8+D9</f>
        <v>2009</v>
      </c>
      <c r="E6" s="352">
        <f>E7+E8+E9</f>
        <v>2059</v>
      </c>
      <c r="F6" s="352">
        <f>F7+F8+F9</f>
        <v>1974</v>
      </c>
      <c r="G6" s="352">
        <f>C6+D6+E96+F6</f>
        <v>5934</v>
      </c>
      <c r="H6" s="3"/>
      <c r="I6" s="352">
        <f>I7+I8+I9</f>
        <v>6564.5319148936169</v>
      </c>
      <c r="J6" s="352">
        <f>J7+J8+J9</f>
        <v>6485.0116156283002</v>
      </c>
      <c r="K6" s="352">
        <f>K7+K8+K9</f>
        <v>6534.8652849740938</v>
      </c>
      <c r="L6" s="352">
        <f>L7+L8+L9</f>
        <v>6658.1931696905012</v>
      </c>
      <c r="M6" s="352">
        <f>I6+J6+K6+L6</f>
        <v>26242.601985186513</v>
      </c>
      <c r="N6" s="3"/>
      <c r="O6" s="352">
        <f>O7+O8+O9</f>
        <v>6331</v>
      </c>
      <c r="P6" s="352">
        <f>P7+P8+P9</f>
        <v>6220</v>
      </c>
      <c r="Q6" s="352">
        <f>Q7+Q8+Q9</f>
        <v>6471</v>
      </c>
      <c r="R6" s="352">
        <f>R7+R8+R9</f>
        <v>6438</v>
      </c>
      <c r="S6" s="352">
        <f>O6+P6+Q6+R6</f>
        <v>25460</v>
      </c>
      <c r="T6" s="3"/>
      <c r="U6" s="352">
        <f>U7+U8+U9</f>
        <v>6189</v>
      </c>
      <c r="V6" s="352">
        <f>V7+V8+V9</f>
        <v>6197</v>
      </c>
      <c r="W6" s="352">
        <f>W7+W8+W9</f>
        <v>6317</v>
      </c>
      <c r="X6" s="352">
        <f>X7+X8+X9</f>
        <v>6442</v>
      </c>
      <c r="Y6" s="352">
        <f>U6+V6+W6+X6</f>
        <v>25145</v>
      </c>
      <c r="Z6" s="3"/>
      <c r="AA6" s="352">
        <f>AA7+AA8+AA9+1.4</f>
        <v>5795.4</v>
      </c>
      <c r="AB6" s="352">
        <f>AB7+AB8+AB9+1.4</f>
        <v>5790.4</v>
      </c>
      <c r="AC6" s="352">
        <f>AC7+AC8+AC9</f>
        <v>5810</v>
      </c>
      <c r="AD6" s="352">
        <f>AD7+AD8+AD9+2</f>
        <v>5810</v>
      </c>
      <c r="AE6" s="352">
        <f>AA6+AB6+AC6+AD6</f>
        <v>23205.8</v>
      </c>
      <c r="AF6" s="3"/>
      <c r="AG6" s="352">
        <f>AG7+AG8+AG9+1</f>
        <v>5659</v>
      </c>
      <c r="AH6" s="352">
        <f>AH7+AH8+AH9</f>
        <v>5610</v>
      </c>
      <c r="AI6" s="352">
        <f>AI7+AI8+AI9</f>
        <v>5736</v>
      </c>
      <c r="AJ6" s="352">
        <f>AJ7+AJ8+AJ9</f>
        <v>5731</v>
      </c>
      <c r="AK6" s="352">
        <f>AG6+AH6+AI6+AJ6</f>
        <v>22736</v>
      </c>
      <c r="AL6" s="3"/>
      <c r="AM6" s="352">
        <f>AM7+AM8+AM9</f>
        <v>5566</v>
      </c>
      <c r="AN6" s="352">
        <f>AN7+AN8+AN9</f>
        <v>5565</v>
      </c>
      <c r="AO6" s="352">
        <f>AO7+AO8+AO9</f>
        <v>5670</v>
      </c>
      <c r="AP6" s="352">
        <f>AP7+AP8+AP9</f>
        <v>5634</v>
      </c>
      <c r="AQ6" s="352">
        <f>AM6+AN6+AO6+AP6</f>
        <v>22435</v>
      </c>
      <c r="AR6" s="3"/>
      <c r="AS6" s="352">
        <f>AS7+AS8+AS9</f>
        <v>5483</v>
      </c>
      <c r="AT6" s="352">
        <f>AT7+AT8+AT9</f>
        <v>5464</v>
      </c>
      <c r="AU6" s="352">
        <f>AU7+AU8+AU9</f>
        <v>5587</v>
      </c>
      <c r="AV6" s="352">
        <f>AV7+AV8+AV9</f>
        <v>5723</v>
      </c>
      <c r="AW6" s="352">
        <f>AS6+AT6+AU6+AV6</f>
        <v>22257</v>
      </c>
      <c r="AX6" s="352">
        <f>AW6-AW31</f>
        <v>13446.604447910164</v>
      </c>
      <c r="AY6" s="352">
        <f>AY7+AY8+AY9</f>
        <v>5589</v>
      </c>
      <c r="AZ6" s="352">
        <f>AZ7+AZ8+AZ9</f>
        <v>5580</v>
      </c>
      <c r="BA6" s="352">
        <f>BA7+BA8+BA9+25</f>
        <v>5593</v>
      </c>
      <c r="BB6" s="352">
        <f>BB7+BB8+BB9</f>
        <v>5659</v>
      </c>
      <c r="BC6" s="352">
        <f>AY6+AZ6+BA6+BB6</f>
        <v>22421</v>
      </c>
      <c r="BD6" s="352">
        <f>BC6-BC31</f>
        <v>13631.460181827297</v>
      </c>
      <c r="BE6" s="352">
        <f>BE7+BE8+BE9</f>
        <v>5385</v>
      </c>
      <c r="BF6" s="352">
        <f>BF7+BF8+BF9</f>
        <v>5338</v>
      </c>
      <c r="BG6" s="352">
        <f>BG7+BG8+BG9</f>
        <v>5485</v>
      </c>
      <c r="BH6" s="352">
        <f>BH7+BH8+BH9</f>
        <v>5565</v>
      </c>
      <c r="BI6" s="352">
        <f>BE6+BF6+BG6+BH6+1</f>
        <v>21774</v>
      </c>
      <c r="BJ6" s="3"/>
      <c r="BK6" s="352">
        <f>BK7+BK8+BK9</f>
        <v>5397</v>
      </c>
      <c r="BL6" s="352">
        <f>BL7+BL8+BL9</f>
        <v>5371</v>
      </c>
      <c r="BM6" s="352">
        <f>BM7+BM8+BM9</f>
        <v>5488</v>
      </c>
      <c r="BN6" s="352">
        <f>BN7+BN8+BN9</f>
        <v>5676</v>
      </c>
      <c r="BO6" s="352">
        <f>BK6+BL6+BM6+BN6</f>
        <v>21932</v>
      </c>
      <c r="BP6" s="3"/>
      <c r="BQ6" s="352">
        <f>BQ7+BQ8+BQ9</f>
        <v>5471.6982681227028</v>
      </c>
      <c r="BR6" s="352">
        <f>BR7+BR8+BR9</f>
        <v>5448.5438932855395</v>
      </c>
      <c r="BS6" s="352">
        <f>BS7+BS8+BS9</f>
        <v>5567.8836485043239</v>
      </c>
      <c r="BT6" s="352">
        <f ca="1">BT7+BT8+BT9</f>
        <v>5747.5544347023479</v>
      </c>
      <c r="BU6" s="352">
        <f ca="1">BQ6+BR6+BS6+BT6</f>
        <v>22235.680244614916</v>
      </c>
      <c r="BV6" s="3"/>
      <c r="BW6" s="352">
        <f>BW7+BW8+BW9</f>
        <v>5563.3208562752661</v>
      </c>
      <c r="BX6" s="352">
        <f>BX7+BX8+BX9</f>
        <v>5543.4561799609728</v>
      </c>
      <c r="BY6" s="352">
        <f>BY7+BY8+BY9</f>
        <v>5663.2192097637062</v>
      </c>
      <c r="BZ6" s="352">
        <f ca="1">BZ7+BZ8+BZ9</f>
        <v>5847.9283366009986</v>
      </c>
      <c r="CA6" s="352">
        <f ca="1">BW6+BX6+BY6+BZ6</f>
        <v>22617.924582600943</v>
      </c>
      <c r="CB6" s="3"/>
      <c r="CC6" s="352">
        <f>CC7+CC8+CC9</f>
        <v>5654.3892720661315</v>
      </c>
      <c r="CD6" s="352">
        <f>CD7+CD8+CD9</f>
        <v>5634.9021388247347</v>
      </c>
      <c r="CE6" s="352">
        <f>CE7+CE8+CE9</f>
        <v>5761.4068978507366</v>
      </c>
      <c r="CF6" s="352">
        <f ca="1">CF7+CF8+CF9</f>
        <v>5953.1089285200851</v>
      </c>
      <c r="CG6" s="352">
        <f ca="1">CC6+CD6+CE6+CF6</f>
        <v>23003.807237261688</v>
      </c>
      <c r="CH6" s="3"/>
      <c r="CI6" s="352">
        <f>CI7+CI8+CI9</f>
        <v>5755.9379450115912</v>
      </c>
      <c r="CJ6" s="352">
        <f>CJ7+CJ8+CJ9</f>
        <v>5735.1205493310008</v>
      </c>
      <c r="CK6" s="352">
        <f>CK7+CK8+CK9</f>
        <v>5871.2035988319967</v>
      </c>
      <c r="CL6" s="352">
        <f ca="1">CL7+CL8+CL9</f>
        <v>6067.7133627833755</v>
      </c>
      <c r="CM6" s="352">
        <f ca="1">CI6+CJ6+CK6+CL6</f>
        <v>23429.975455957967</v>
      </c>
      <c r="CN6" s="3"/>
      <c r="CO6" s="352">
        <f>CO7+CO8+CO9</f>
        <v>5864.8798380985136</v>
      </c>
      <c r="CP6" s="352">
        <f>CP7+CP8+CP9</f>
        <v>5846.237689683463</v>
      </c>
      <c r="CQ6" s="352">
        <f>CQ7+CQ8+CQ9</f>
        <v>5987.8461108385982</v>
      </c>
      <c r="CR6" s="352">
        <f ca="1">CR7+CR8+CR9</f>
        <v>6185.3957396251808</v>
      </c>
      <c r="CS6" s="352">
        <f ca="1">CO6+CP6+CQ6+CR6</f>
        <v>23884.359378245754</v>
      </c>
      <c r="CT6" s="3"/>
      <c r="CU6" s="352">
        <f>CU7+CU8+CU9</f>
        <v>5973.2461799568864</v>
      </c>
      <c r="CV6" s="352">
        <f>CV7+CV8+CV9</f>
        <v>5955.4544975256658</v>
      </c>
      <c r="CW6" s="352">
        <f>CW7+CW8+CW9</f>
        <v>6105.4786783648506</v>
      </c>
      <c r="CX6" s="352">
        <f ca="1">CX7+CX8+CX9</f>
        <v>6298.1100290131326</v>
      </c>
      <c r="CY6" s="352">
        <f ca="1">CU6+CV6+CW6+CX6</f>
        <v>24332.289384860534</v>
      </c>
      <c r="CZ6" s="3"/>
      <c r="DA6" s="352">
        <f>DA7+DA8+DA9</f>
        <v>6078.067451874128</v>
      </c>
      <c r="DB6" s="352">
        <f>DB7+DB8+DB9</f>
        <v>6060.8469137720631</v>
      </c>
      <c r="DC6" s="352">
        <f>DC7+DC8+DC9</f>
        <v>6216.6660074827432</v>
      </c>
      <c r="DD6" s="352">
        <f ca="1">DD7+DD8+DD9</f>
        <v>6421.8507048691354</v>
      </c>
      <c r="DE6" s="352">
        <f ca="1">DA6+DB6+DC6+DD6</f>
        <v>24777.43107799807</v>
      </c>
      <c r="DF6" s="3"/>
      <c r="DG6" s="352">
        <f>DG7+DG8+DG9</f>
        <v>6188.114049909489</v>
      </c>
      <c r="DH6" s="352">
        <f>DH7+DH8+DH9</f>
        <v>6172.5089661794891</v>
      </c>
      <c r="DI6" s="352">
        <f>DI7+DI8+DI9</f>
        <v>6336.3015678488937</v>
      </c>
      <c r="DJ6" s="352">
        <f ca="1">DJ7+DJ8+DJ9</f>
        <v>6531.1262746731381</v>
      </c>
      <c r="DK6" s="352">
        <f ca="1">DG6+DH6+DI6+DJ6</f>
        <v>25228.050858611008</v>
      </c>
    </row>
    <row r="7" spans="2:115" x14ac:dyDescent="0.3">
      <c r="B7" s="1" t="s">
        <v>189</v>
      </c>
      <c r="I7" s="98">
        <f>'T-Home Germany'!I176</f>
        <v>5025.5319148936169</v>
      </c>
      <c r="J7" s="98">
        <f>'T-Home Germany'!J176</f>
        <v>4887.0116156283002</v>
      </c>
      <c r="K7" s="98">
        <f>'T-Home Germany'!K176</f>
        <v>4881.8652849740938</v>
      </c>
      <c r="L7" s="98">
        <f>'T-Home Germany'!L176</f>
        <v>4987.1931696905012</v>
      </c>
      <c r="M7" s="98">
        <f>I7+J7+K7+L7</f>
        <v>19781.601985186513</v>
      </c>
      <c r="O7" s="98">
        <f>'T-Home Germany'!O176</f>
        <v>4724</v>
      </c>
      <c r="P7" s="98">
        <f>'T-Home Germany'!P176</f>
        <v>4628</v>
      </c>
      <c r="Q7" s="98">
        <f>'T-Home Germany'!Q176</f>
        <v>4711</v>
      </c>
      <c r="R7" s="98">
        <f>'T-Home Germany'!R176</f>
        <v>4673</v>
      </c>
      <c r="S7" s="98">
        <f>O7+P7+Q7+R7</f>
        <v>18736</v>
      </c>
      <c r="U7" s="98">
        <f>'T-Home Germany'!U176</f>
        <v>4359</v>
      </c>
      <c r="V7" s="98">
        <f>'T-Home Germany'!V176</f>
        <v>4304</v>
      </c>
      <c r="W7" s="98">
        <f>'T-Home Germany'!W176</f>
        <v>4315</v>
      </c>
      <c r="X7" s="98">
        <f>'T-Home Germany'!X176</f>
        <v>4462</v>
      </c>
      <c r="Y7" s="98">
        <f>U7+V7+W7+X7</f>
        <v>17440</v>
      </c>
      <c r="Z7" s="98"/>
      <c r="AA7" s="98">
        <f>'T-Home Germany'!AA176</f>
        <v>3937</v>
      </c>
      <c r="AB7" s="98">
        <f>'T-Home Germany'!AB176</f>
        <v>3918</v>
      </c>
      <c r="AC7" s="98">
        <f>'T-Home Germany'!AC176</f>
        <v>3912</v>
      </c>
      <c r="AD7" s="98">
        <f>'T-Home Germany'!AD176</f>
        <v>3882</v>
      </c>
      <c r="AE7" s="98">
        <f>AA7+AB7+AC7+AD7</f>
        <v>15649</v>
      </c>
      <c r="AG7" s="98">
        <f>'T-Home Germany'!AG176</f>
        <v>3823</v>
      </c>
      <c r="AH7" s="98">
        <f>'T-Home Germany'!AH176</f>
        <v>3758</v>
      </c>
      <c r="AI7" s="98">
        <f>'T-Home Germany'!AI176</f>
        <v>3778</v>
      </c>
      <c r="AJ7" s="98">
        <f>'T-Home Germany'!AJ176</f>
        <v>3744</v>
      </c>
      <c r="AK7" s="98">
        <f>AG7+AH7+AI7+AJ7</f>
        <v>15103</v>
      </c>
      <c r="AM7" s="98">
        <f>'T-Home Germany'!AM176</f>
        <v>3724</v>
      </c>
      <c r="AN7" s="98">
        <f>'T-Home Germany'!AN176</f>
        <v>3640</v>
      </c>
      <c r="AO7" s="98">
        <f>'T-Home Germany'!AO176</f>
        <v>3664</v>
      </c>
      <c r="AP7" s="98">
        <f>'T-Home Germany'!AP176</f>
        <v>3677</v>
      </c>
      <c r="AQ7" s="98">
        <f>AM7+AN7+AO7+AP7</f>
        <v>14705</v>
      </c>
      <c r="AS7" s="98">
        <f>'T-Home Germany'!AS176</f>
        <v>3612</v>
      </c>
      <c r="AT7" s="98">
        <f>'T-Home Germany'!AT176</f>
        <v>3583</v>
      </c>
      <c r="AU7" s="98">
        <f>'T-Home Germany'!AU176</f>
        <v>3581</v>
      </c>
      <c r="AV7" s="98">
        <f>'T-Home Germany'!AV176</f>
        <v>3625</v>
      </c>
      <c r="AW7" s="98">
        <f>AS7+AT7+AU7+AV7</f>
        <v>14401</v>
      </c>
      <c r="AY7" s="98">
        <f>'T-Home Germany'!AY176</f>
        <v>3528</v>
      </c>
      <c r="AZ7" s="98">
        <f>'T-Home Germany'!AZ176</f>
        <v>3533</v>
      </c>
      <c r="BA7" s="98">
        <f>'T-Home Germany'!BA176</f>
        <v>3512</v>
      </c>
      <c r="BB7" s="98">
        <f>'T-Home Germany'!BB176</f>
        <v>3587</v>
      </c>
      <c r="BC7" s="98">
        <f>AY7+AZ7+BA7+BB7</f>
        <v>14160</v>
      </c>
      <c r="BE7" s="98">
        <f>'T-Home Germany'!BE176</f>
        <v>3444</v>
      </c>
      <c r="BF7" s="98">
        <f>'T-Home Germany'!BF176</f>
        <v>3451</v>
      </c>
      <c r="BG7" s="98">
        <f>'T-Home Germany'!BG176</f>
        <v>3431</v>
      </c>
      <c r="BH7" s="98">
        <f>'T-Home Germany'!BH176</f>
        <v>3493</v>
      </c>
      <c r="BI7" s="98">
        <f>BE7+BF7+BG7+BH7</f>
        <v>13819</v>
      </c>
      <c r="BK7" s="98">
        <f>'T-Home Germany'!BK176</f>
        <v>3425</v>
      </c>
      <c r="BL7" s="98">
        <f>'T-Home Germany'!BL176</f>
        <v>3421</v>
      </c>
      <c r="BM7" s="98">
        <f>'T-Home Germany'!BM176</f>
        <v>3435</v>
      </c>
      <c r="BN7" s="98">
        <f>'T-Home Germany'!BN176</f>
        <v>3508</v>
      </c>
      <c r="BO7" s="98">
        <f>BK7+BL7+BM7+BN7</f>
        <v>13789</v>
      </c>
      <c r="BQ7" s="98">
        <f>'T-Home Germany'!BQ176</f>
        <v>3445.14829452807</v>
      </c>
      <c r="BR7" s="98">
        <f>'T-Home Germany'!BR176</f>
        <v>3448.6717395397509</v>
      </c>
      <c r="BS7" s="98">
        <f>'T-Home Germany'!BS176</f>
        <v>3463.1858434545807</v>
      </c>
      <c r="BT7" s="98">
        <f ca="1">'T-Home Germany'!BT176</f>
        <v>3535.078813826909</v>
      </c>
      <c r="BU7" s="98">
        <f ca="1">BQ7+BR7+BS7+BT7</f>
        <v>13892.084691349311</v>
      </c>
      <c r="BW7" s="98">
        <f>'T-Home Germany'!BW176</f>
        <v>3496.7753763785031</v>
      </c>
      <c r="BX7" s="98">
        <f>'T-Home Germany'!BX176</f>
        <v>3503.1014610665202</v>
      </c>
      <c r="BY7" s="98">
        <f>'T-Home Germany'!BY176</f>
        <v>3515.3941706552523</v>
      </c>
      <c r="BZ7" s="98">
        <f ca="1">'T-Home Germany'!BZ176</f>
        <v>3584.8755434343143</v>
      </c>
      <c r="CA7" s="98">
        <f ca="1">BW7+BX7+BY7+BZ7</f>
        <v>14100.14655153459</v>
      </c>
      <c r="CC7" s="98">
        <f>'T-Home Germany'!CC176</f>
        <v>3550.3019453432207</v>
      </c>
      <c r="CD7" s="98">
        <f>'T-Home Germany'!CD176</f>
        <v>3557.1934714400304</v>
      </c>
      <c r="CE7" s="98">
        <f>'T-Home Germany'!CE176</f>
        <v>3571.1005770171651</v>
      </c>
      <c r="CF7" s="98">
        <f ca="1">'T-Home Germany'!CF176</f>
        <v>3640.7279681275086</v>
      </c>
      <c r="CG7" s="98">
        <f ca="1">CC7+CD7+CE7+CF7</f>
        <v>14319.323961927925</v>
      </c>
      <c r="CI7" s="98">
        <f>'T-Home Germany'!CI176</f>
        <v>3613.8850765808238</v>
      </c>
      <c r="CJ7" s="98">
        <f>'T-Home Germany'!CJ176</f>
        <v>3621.4954722239327</v>
      </c>
      <c r="CK7" s="98">
        <f>'T-Home Germany'!CK176</f>
        <v>3636.2866034201957</v>
      </c>
      <c r="CL7" s="98">
        <f ca="1">'T-Home Germany'!CL176</f>
        <v>3705.5054440465847</v>
      </c>
      <c r="CM7" s="98">
        <f ca="1">CI7+CJ7+CK7+CL7</f>
        <v>14577.172596271537</v>
      </c>
      <c r="CO7" s="98">
        <f>'T-Home Germany'!CO176</f>
        <v>3685.5522565676729</v>
      </c>
      <c r="CP7" s="98">
        <f>'T-Home Germany'!CP176</f>
        <v>3693.7024252946726</v>
      </c>
      <c r="CQ7" s="98">
        <f>'T-Home Germany'!CQ176</f>
        <v>3709.1800320711127</v>
      </c>
      <c r="CR7" s="98">
        <f ca="1">'T-Home Germany'!CR176</f>
        <v>3777.7854316378516</v>
      </c>
      <c r="CS7" s="98">
        <f ca="1">CO7+CP7+CQ7+CR7</f>
        <v>14866.220145571308</v>
      </c>
      <c r="CU7" s="98">
        <f>'T-Home Germany'!CU176</f>
        <v>3763.4062149386173</v>
      </c>
      <c r="CV7" s="98">
        <f>'T-Home Germany'!CV176</f>
        <v>3771.0386322020372</v>
      </c>
      <c r="CW7" s="98">
        <f>'T-Home Germany'!CW176</f>
        <v>3786.3438460952475</v>
      </c>
      <c r="CX7" s="98">
        <f ca="1">'T-Home Germany'!CX176</f>
        <v>3853.3066390067934</v>
      </c>
      <c r="CY7" s="98">
        <f ca="1">CU7+CV7+CW7+CX7</f>
        <v>15174.095332242694</v>
      </c>
      <c r="CZ7" s="2"/>
      <c r="DA7" s="98">
        <f>'T-Home Germany'!DA176</f>
        <v>3842.6694566489232</v>
      </c>
      <c r="DB7" s="98">
        <f>'T-Home Germany'!DB176</f>
        <v>3850.0619834372051</v>
      </c>
      <c r="DC7" s="98">
        <f>'T-Home Germany'!DC176</f>
        <v>3865.2758706626346</v>
      </c>
      <c r="DD7" s="98">
        <f ca="1">'T-Home Germany'!DD176</f>
        <v>3930.903385774895</v>
      </c>
      <c r="DE7" s="98">
        <f ca="1">DA7+DB7+DC7+DD7</f>
        <v>15488.910696523657</v>
      </c>
      <c r="DF7" s="2"/>
      <c r="DG7" s="98">
        <f>'T-Home Germany'!DG176</f>
        <v>3924.4668967558869</v>
      </c>
      <c r="DH7" s="98">
        <f>'T-Home Germany'!DH176</f>
        <v>3932.4072146662161</v>
      </c>
      <c r="DI7" s="98">
        <f>'T-Home Germany'!DI176</f>
        <v>3948.3180639388243</v>
      </c>
      <c r="DJ7" s="98">
        <f ca="1">'T-Home Germany'!DJ176</f>
        <v>4013.6426135840111</v>
      </c>
      <c r="DK7" s="98">
        <f ca="1">DG7+DH7+DI7+DJ7</f>
        <v>15818.83478894494</v>
      </c>
    </row>
    <row r="8" spans="2:115" x14ac:dyDescent="0.3">
      <c r="B8" s="1" t="s">
        <v>190</v>
      </c>
      <c r="C8" s="98">
        <f>'TMO Germany'!C32</f>
        <v>1951</v>
      </c>
      <c r="D8" s="98">
        <f>'TMO Germany'!D32</f>
        <v>2009</v>
      </c>
      <c r="E8" s="98">
        <f>'TMO Germany'!E32</f>
        <v>2059</v>
      </c>
      <c r="F8" s="98">
        <f>'TMO Germany'!F32</f>
        <v>1974</v>
      </c>
      <c r="G8" s="98">
        <f>C8+D8+E98+F8</f>
        <v>5934</v>
      </c>
      <c r="I8" s="98">
        <f>'TMO Germany'!I32</f>
        <v>1884</v>
      </c>
      <c r="J8" s="98">
        <f>'TMO Germany'!J32</f>
        <v>1953</v>
      </c>
      <c r="K8" s="98">
        <f>'TMO Germany'!K32</f>
        <v>2002</v>
      </c>
      <c r="L8" s="98">
        <f>'TMO Germany'!L32</f>
        <v>2007</v>
      </c>
      <c r="M8" s="98">
        <f>I8+J8+K8+L8</f>
        <v>7846</v>
      </c>
      <c r="O8" s="98">
        <f>'TMO Germany'!O32</f>
        <v>1952</v>
      </c>
      <c r="P8" s="98">
        <f>'TMO Germany'!P32</f>
        <v>1947</v>
      </c>
      <c r="Q8" s="98">
        <f>'TMO Germany'!Q32</f>
        <v>2109</v>
      </c>
      <c r="R8" s="98">
        <f>'TMO Germany'!R32</f>
        <v>2101</v>
      </c>
      <c r="S8" s="98">
        <f>O8+P8+Q8+R8</f>
        <v>8109</v>
      </c>
      <c r="U8" s="98">
        <f>'TMO Germany'!U32</f>
        <v>1830</v>
      </c>
      <c r="V8" s="98">
        <f>'TMO Germany'!V32</f>
        <v>1893</v>
      </c>
      <c r="W8" s="98">
        <f>'TMO Germany'!W32</f>
        <v>2002</v>
      </c>
      <c r="X8" s="98">
        <f>'TMO Germany'!X32</f>
        <v>1980</v>
      </c>
      <c r="Y8" s="98">
        <f>U8+V8+W8+X8</f>
        <v>7705</v>
      </c>
      <c r="AA8" s="98">
        <f>'TMO Germany'!AA32</f>
        <v>1857</v>
      </c>
      <c r="AB8" s="98">
        <f>'TMO Germany'!AB32</f>
        <v>1871</v>
      </c>
      <c r="AC8" s="98">
        <f>'TMO Germany'!AC32</f>
        <v>1898</v>
      </c>
      <c r="AD8" s="98">
        <f>'TMO Germany'!AD32</f>
        <v>1926</v>
      </c>
      <c r="AE8" s="98">
        <f>AA8+AB8+AC8+AD8</f>
        <v>7552</v>
      </c>
      <c r="AG8" s="98">
        <f>'TMO Germany'!AG32</f>
        <v>1835</v>
      </c>
      <c r="AH8" s="98">
        <f>'TMO Germany'!AH32</f>
        <v>1852</v>
      </c>
      <c r="AI8" s="98">
        <f>'TMO Germany'!AI32</f>
        <v>1958</v>
      </c>
      <c r="AJ8" s="98">
        <f>'TMO Germany'!AJ32</f>
        <v>1987</v>
      </c>
      <c r="AK8" s="98">
        <f>AG8+AH8+AI8+AJ8</f>
        <v>7632</v>
      </c>
      <c r="AM8" s="98">
        <f>'TMO Germany'!AM32</f>
        <v>1842</v>
      </c>
      <c r="AN8" s="98">
        <f>'TMO Germany'!AN32</f>
        <v>1925</v>
      </c>
      <c r="AO8" s="98">
        <f>'TMO Germany'!AO32</f>
        <v>2006</v>
      </c>
      <c r="AP8" s="98">
        <f>'TMO Germany'!AP32</f>
        <v>1957</v>
      </c>
      <c r="AQ8" s="98">
        <f>AM8+AN8+AO8+AP8</f>
        <v>7730</v>
      </c>
      <c r="AS8" s="98">
        <f>'TMO Germany'!AS32</f>
        <v>1871</v>
      </c>
      <c r="AT8" s="98">
        <f>'TMO Germany'!AT32</f>
        <v>1881</v>
      </c>
      <c r="AU8" s="98">
        <f>'TMO Germany'!AU32</f>
        <v>2006</v>
      </c>
      <c r="AV8" s="98">
        <f>'TMO Germany'!AV32</f>
        <v>2098</v>
      </c>
      <c r="AW8" s="98">
        <f>AS8+AT8+AU8+AV8</f>
        <v>7856</v>
      </c>
      <c r="AY8" s="98">
        <f>'TMO Germany'!AY32</f>
        <v>2061</v>
      </c>
      <c r="AZ8" s="98">
        <f>'TMO Germany'!AZ32</f>
        <v>2047</v>
      </c>
      <c r="BA8" s="98">
        <f>'TMO Germany'!BA32</f>
        <v>2056</v>
      </c>
      <c r="BB8" s="98">
        <f>'TMO Germany'!BB32</f>
        <v>2072</v>
      </c>
      <c r="BC8" s="98">
        <f>AY8+AZ8+BA8+BB8</f>
        <v>8236</v>
      </c>
      <c r="BE8" s="98">
        <f>'TMO Germany'!BE32</f>
        <v>1941</v>
      </c>
      <c r="BF8" s="98">
        <f>'TMO Germany'!BF32</f>
        <v>1887</v>
      </c>
      <c r="BG8" s="98">
        <f>'TMO Germany'!BG32</f>
        <v>2054</v>
      </c>
      <c r="BH8" s="98">
        <f>'TMO Germany'!BH32</f>
        <v>2072</v>
      </c>
      <c r="BI8" s="98">
        <f>BE8+BF8+BG8+BH8</f>
        <v>7954</v>
      </c>
      <c r="BK8" s="98">
        <f>'TMO Germany'!BK32</f>
        <v>1972</v>
      </c>
      <c r="BL8" s="98">
        <f>'TMO Germany'!BL32</f>
        <v>1950</v>
      </c>
      <c r="BM8" s="98">
        <f>'TMO Germany'!BM32</f>
        <v>2053</v>
      </c>
      <c r="BN8" s="98">
        <f>'TMO Germany'!BN32</f>
        <v>2168</v>
      </c>
      <c r="BO8" s="98">
        <f>BK8+BL8+BM8+BN8</f>
        <v>8143</v>
      </c>
      <c r="BQ8" s="98">
        <f>'TMO Germany'!BQ32</f>
        <v>2026.5499735946328</v>
      </c>
      <c r="BR8" s="98">
        <f>'TMO Germany'!BR32</f>
        <v>1999.8721537457889</v>
      </c>
      <c r="BS8" s="98">
        <f>'TMO Germany'!BS32</f>
        <v>2104.6978050497432</v>
      </c>
      <c r="BT8" s="98">
        <f>'TMO Germany'!BT32</f>
        <v>2212.4756208754388</v>
      </c>
      <c r="BU8" s="98">
        <f>BQ8+BR8+BS8+BT8</f>
        <v>8343.5955532656044</v>
      </c>
      <c r="BW8" s="98">
        <f>'TMO Germany'!BW32</f>
        <v>2066.545479896763</v>
      </c>
      <c r="BX8" s="98">
        <f>'TMO Germany'!BX32</f>
        <v>2040.3547188944526</v>
      </c>
      <c r="BY8" s="98">
        <f>'TMO Germany'!BY32</f>
        <v>2147.8250391084539</v>
      </c>
      <c r="BZ8" s="98">
        <f>'TMO Germany'!BZ32</f>
        <v>2263.0527931666848</v>
      </c>
      <c r="CA8" s="98">
        <f>BW8+BX8+BY8+BZ8</f>
        <v>8517.7780310663547</v>
      </c>
      <c r="CC8" s="98">
        <f>'TMO Germany'!CC32</f>
        <v>2104.0873267229108</v>
      </c>
      <c r="CD8" s="98">
        <f>'TMO Germany'!CD32</f>
        <v>2077.7086673847043</v>
      </c>
      <c r="CE8" s="98">
        <f>'TMO Germany'!CE32</f>
        <v>2190.3063208335716</v>
      </c>
      <c r="CF8" s="98">
        <f>'TMO Germany'!CF32</f>
        <v>2312.380960392577</v>
      </c>
      <c r="CG8" s="98">
        <f>CC8+CD8+CE8+CF8</f>
        <v>8684.4832753337632</v>
      </c>
      <c r="CI8" s="98">
        <f>'TMO Germany'!CI32</f>
        <v>2142.0528684307674</v>
      </c>
      <c r="CJ8" s="98">
        <f>'TMO Germany'!CJ32</f>
        <v>2113.6250771070677</v>
      </c>
      <c r="CK8" s="98">
        <f>'TMO Germany'!CK32</f>
        <v>2234.9169954118011</v>
      </c>
      <c r="CL8" s="98">
        <f>'TMO Germany'!CL32</f>
        <v>2362.2079187367904</v>
      </c>
      <c r="CM8" s="98">
        <f>CI8+CJ8+CK8+CL8</f>
        <v>8852.802859686426</v>
      </c>
      <c r="CO8" s="98">
        <f>'TMO Germany'!CO32</f>
        <v>2179.3275815308411</v>
      </c>
      <c r="CP8" s="98">
        <f>'TMO Germany'!CP32</f>
        <v>2152.5352643887909</v>
      </c>
      <c r="CQ8" s="98">
        <f>'TMO Germany'!CQ32</f>
        <v>2278.6660787674855</v>
      </c>
      <c r="CR8" s="98">
        <f>'TMO Germany'!CR32</f>
        <v>2407.6103079873292</v>
      </c>
      <c r="CS8" s="98">
        <f>CO8+CP8+CQ8+CR8</f>
        <v>9018.1392326744462</v>
      </c>
      <c r="CU8" s="98">
        <f>'TMO Germany'!CU32</f>
        <v>2209.8399650182691</v>
      </c>
      <c r="CV8" s="98">
        <f>'TMO Germany'!CV32</f>
        <v>2184.4158653236286</v>
      </c>
      <c r="CW8" s="98">
        <f>'TMO Germany'!CW32</f>
        <v>2319.1348322696035</v>
      </c>
      <c r="CX8" s="98">
        <f>'TMO Germany'!CX32</f>
        <v>2444.8033900063397</v>
      </c>
      <c r="CY8" s="98">
        <f>CU8+CV8+CW8+CX8</f>
        <v>9158.1940526178405</v>
      </c>
      <c r="CZ8" s="2"/>
      <c r="DA8" s="98">
        <f>'TMO Germany'!DA32</f>
        <v>2235.3979952252048</v>
      </c>
      <c r="DB8" s="98">
        <f>'TMO Germany'!DB32</f>
        <v>2210.784930334858</v>
      </c>
      <c r="DC8" s="98">
        <f>'TMO Germany'!DC32</f>
        <v>2351.3901368201086</v>
      </c>
      <c r="DD8" s="98">
        <f>'TMO Germany'!DD32</f>
        <v>2490.9473190942399</v>
      </c>
      <c r="DE8" s="98">
        <f>DA8+DB8+DC8+DD8</f>
        <v>9288.5203814744109</v>
      </c>
      <c r="DF8" s="2"/>
      <c r="DG8" s="98">
        <f>'TMO Germany'!DG32</f>
        <v>2263.6471531536022</v>
      </c>
      <c r="DH8" s="98">
        <f>'TMO Germany'!DH32</f>
        <v>2240.101751513273</v>
      </c>
      <c r="DI8" s="98">
        <f>'TMO Germany'!DI32</f>
        <v>2387.9835039100699</v>
      </c>
      <c r="DJ8" s="98">
        <f>'TMO Germany'!DJ32</f>
        <v>2517.4836610891271</v>
      </c>
      <c r="DK8" s="98">
        <f>DG8+DH8+DI8+DJ8</f>
        <v>9409.2160696660721</v>
      </c>
    </row>
    <row r="9" spans="2:115" x14ac:dyDescent="0.3">
      <c r="B9" s="1" t="s">
        <v>191</v>
      </c>
      <c r="I9" s="98">
        <f>O9</f>
        <v>-345</v>
      </c>
      <c r="J9" s="98">
        <f>P9</f>
        <v>-355</v>
      </c>
      <c r="K9" s="98">
        <f>Q9</f>
        <v>-349</v>
      </c>
      <c r="L9" s="98">
        <f>R9</f>
        <v>-336</v>
      </c>
      <c r="M9" s="98">
        <f>I9+J9+K9+L9</f>
        <v>-1385</v>
      </c>
      <c r="N9" s="98"/>
      <c r="O9" s="98">
        <v>-345</v>
      </c>
      <c r="P9" s="98">
        <v>-355</v>
      </c>
      <c r="Q9" s="98">
        <v>-349</v>
      </c>
      <c r="R9" s="98">
        <v>-336</v>
      </c>
      <c r="S9" s="98">
        <f>O9+P9+Q9+R9</f>
        <v>-1385</v>
      </c>
      <c r="T9" s="98"/>
      <c r="U9" s="98">
        <v>0</v>
      </c>
      <c r="V9" s="98">
        <v>0</v>
      </c>
      <c r="W9" s="98">
        <v>0</v>
      </c>
      <c r="X9" s="98">
        <v>0</v>
      </c>
      <c r="Y9" s="98">
        <f>U9+V9+W9+X9</f>
        <v>0</v>
      </c>
      <c r="Z9" s="98"/>
      <c r="AA9" s="98">
        <f>U9*0.995</f>
        <v>0</v>
      </c>
      <c r="AB9" s="98">
        <f>V9*0.995</f>
        <v>0</v>
      </c>
      <c r="AC9" s="98">
        <f>W9*0.995</f>
        <v>0</v>
      </c>
      <c r="AD9" s="98">
        <f>X9*0.995</f>
        <v>0</v>
      </c>
      <c r="AE9" s="98">
        <f>AA9+AB9+AC9+AD9</f>
        <v>0</v>
      </c>
      <c r="AF9" s="98"/>
      <c r="AG9" s="98">
        <f>AA9*0.995</f>
        <v>0</v>
      </c>
      <c r="AH9" s="98">
        <f>AB9*0.995</f>
        <v>0</v>
      </c>
      <c r="AI9" s="98">
        <f>AC9*0.995</f>
        <v>0</v>
      </c>
      <c r="AJ9" s="98">
        <f>AD9*0.995</f>
        <v>0</v>
      </c>
      <c r="AK9" s="98">
        <f>AG9+AH9+AI9+AJ9</f>
        <v>0</v>
      </c>
      <c r="AL9" s="98"/>
      <c r="AM9" s="98">
        <f>AG9*0.995</f>
        <v>0</v>
      </c>
      <c r="AN9" s="98">
        <f>AH9*0.995</f>
        <v>0</v>
      </c>
      <c r="AO9" s="98">
        <f>AI9*0.995</f>
        <v>0</v>
      </c>
      <c r="AP9" s="98">
        <f>AJ9*0.995</f>
        <v>0</v>
      </c>
      <c r="AQ9" s="98">
        <f>AM9+AN9+AO9+AP9</f>
        <v>0</v>
      </c>
      <c r="AR9" s="98"/>
      <c r="AS9" s="98">
        <f>AM9*0.995</f>
        <v>0</v>
      </c>
      <c r="AT9" s="98">
        <f>AN9*0.995</f>
        <v>0</v>
      </c>
      <c r="AU9" s="98">
        <f>AO9*0.995</f>
        <v>0</v>
      </c>
      <c r="AV9" s="98">
        <f>AP9*0.995</f>
        <v>0</v>
      </c>
      <c r="AW9" s="98">
        <f>AS9+AT9+AU9+AV9</f>
        <v>0</v>
      </c>
      <c r="AX9" s="98"/>
      <c r="AY9" s="98">
        <f>AS9*0.995</f>
        <v>0</v>
      </c>
      <c r="AZ9" s="98">
        <f>AT9*0.995</f>
        <v>0</v>
      </c>
      <c r="BA9" s="98">
        <f>AU9*0.995</f>
        <v>0</v>
      </c>
      <c r="BB9" s="98">
        <f>AV9*0.995</f>
        <v>0</v>
      </c>
      <c r="BC9" s="98">
        <f>AY9+AZ9+BA9+BB9</f>
        <v>0</v>
      </c>
      <c r="BD9" s="98"/>
      <c r="BE9" s="98">
        <f>AY9*0.995</f>
        <v>0</v>
      </c>
      <c r="BF9" s="98">
        <f>AZ9*0.995</f>
        <v>0</v>
      </c>
      <c r="BG9" s="98">
        <f>BA9*0.995</f>
        <v>0</v>
      </c>
      <c r="BH9" s="98">
        <f>BB9*0.995</f>
        <v>0</v>
      </c>
      <c r="BI9" s="98">
        <f>BE9+BF9+BG9+BH9</f>
        <v>0</v>
      </c>
      <c r="BJ9" s="98"/>
      <c r="BK9" s="98">
        <f>BE9*0.995</f>
        <v>0</v>
      </c>
      <c r="BL9" s="98">
        <f>BF9*0.995</f>
        <v>0</v>
      </c>
      <c r="BM9" s="98">
        <f>BG9*0.995</f>
        <v>0</v>
      </c>
      <c r="BN9" s="98">
        <f>BH9*0.995</f>
        <v>0</v>
      </c>
      <c r="BO9" s="98">
        <f>BK9+BL9+BM9+BN9</f>
        <v>0</v>
      </c>
      <c r="BP9" s="98"/>
      <c r="BQ9" s="98">
        <f>BK9*0.995</f>
        <v>0</v>
      </c>
      <c r="BR9" s="98">
        <f>BL9*0.995</f>
        <v>0</v>
      </c>
      <c r="BS9" s="98">
        <f>BM9*0.995</f>
        <v>0</v>
      </c>
      <c r="BT9" s="98">
        <f>BN9*0.995</f>
        <v>0</v>
      </c>
      <c r="BU9" s="98">
        <f>BQ9+BR9+BS9+BT9</f>
        <v>0</v>
      </c>
      <c r="BV9" s="98"/>
      <c r="BW9" s="98">
        <f>BQ9*0.995</f>
        <v>0</v>
      </c>
      <c r="BX9" s="98">
        <f>BR9*0.995</f>
        <v>0</v>
      </c>
      <c r="BY9" s="98">
        <f>BS9*0.995</f>
        <v>0</v>
      </c>
      <c r="BZ9" s="98">
        <f>BT9*0.995</f>
        <v>0</v>
      </c>
      <c r="CA9" s="98">
        <f>BW9+BX9+BY9+BZ9</f>
        <v>0</v>
      </c>
      <c r="CB9" s="98"/>
      <c r="CC9" s="98">
        <f>BW9*0.995</f>
        <v>0</v>
      </c>
      <c r="CD9" s="98">
        <f>BX9*0.995</f>
        <v>0</v>
      </c>
      <c r="CE9" s="98">
        <f>BY9*0.995</f>
        <v>0</v>
      </c>
      <c r="CF9" s="98">
        <f>BZ9*0.995</f>
        <v>0</v>
      </c>
      <c r="CG9" s="98">
        <f>CC9+CD9+CE9+CF9</f>
        <v>0</v>
      </c>
      <c r="CH9" s="98"/>
      <c r="CI9" s="98">
        <f>CC9*0.995</f>
        <v>0</v>
      </c>
      <c r="CJ9" s="98">
        <f>CD9*0.995</f>
        <v>0</v>
      </c>
      <c r="CK9" s="98">
        <f>CE9*0.995</f>
        <v>0</v>
      </c>
      <c r="CL9" s="98">
        <f>CF9*0.995</f>
        <v>0</v>
      </c>
      <c r="CM9" s="98">
        <f>CI9+CJ9+CK9+CL9</f>
        <v>0</v>
      </c>
      <c r="CN9" s="98"/>
      <c r="CO9" s="98">
        <f>CI9*0.995</f>
        <v>0</v>
      </c>
      <c r="CP9" s="98">
        <f>CJ9*0.995</f>
        <v>0</v>
      </c>
      <c r="CQ9" s="98">
        <f>CK9*0.995</f>
        <v>0</v>
      </c>
      <c r="CR9" s="98">
        <f>CL9*0.995</f>
        <v>0</v>
      </c>
      <c r="CS9" s="98">
        <f>CO9+CP9+CQ9+CR9</f>
        <v>0</v>
      </c>
      <c r="CT9" s="98"/>
      <c r="CU9" s="98">
        <f>CO9*0.995</f>
        <v>0</v>
      </c>
      <c r="CV9" s="98">
        <f>CP9*0.995</f>
        <v>0</v>
      </c>
      <c r="CW9" s="98">
        <f>CQ9*0.995</f>
        <v>0</v>
      </c>
      <c r="CX9" s="98">
        <f>CR9*0.995</f>
        <v>0</v>
      </c>
      <c r="CY9" s="98">
        <f>CU9+CV9+CW9+CX9</f>
        <v>0</v>
      </c>
      <c r="CZ9" s="98"/>
      <c r="DA9" s="98">
        <f>CU9*0.995</f>
        <v>0</v>
      </c>
      <c r="DB9" s="98">
        <f>CV9*0.995</f>
        <v>0</v>
      </c>
      <c r="DC9" s="98">
        <f>CW9*0.995</f>
        <v>0</v>
      </c>
      <c r="DD9" s="98">
        <f>CX9*0.995</f>
        <v>0</v>
      </c>
      <c r="DE9" s="98">
        <f>DA9+DB9+DC9+DD9</f>
        <v>0</v>
      </c>
      <c r="DF9" s="98"/>
      <c r="DG9" s="98">
        <f>DA9*0.995</f>
        <v>0</v>
      </c>
      <c r="DH9" s="98">
        <f>DB9*0.995</f>
        <v>0</v>
      </c>
      <c r="DI9" s="98">
        <f>DC9*0.995</f>
        <v>0</v>
      </c>
      <c r="DJ9" s="98">
        <f>DD9*0.995</f>
        <v>0</v>
      </c>
      <c r="DK9" s="98">
        <f>DG9+DH9+DI9+DJ9</f>
        <v>0</v>
      </c>
    </row>
    <row r="10" spans="2:115" x14ac:dyDescent="0.3"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</row>
    <row r="11" spans="2:115" x14ac:dyDescent="0.3">
      <c r="B11" s="13" t="s">
        <v>185</v>
      </c>
      <c r="C11" s="3"/>
      <c r="D11" s="3"/>
      <c r="E11" s="3"/>
      <c r="F11" s="3"/>
      <c r="G11" s="3"/>
      <c r="H11" s="3"/>
      <c r="I11" s="352">
        <v>3461</v>
      </c>
      <c r="J11" s="352">
        <v>3498</v>
      </c>
      <c r="K11" s="352">
        <v>3657</v>
      </c>
      <c r="L11" s="352">
        <v>4341</v>
      </c>
      <c r="M11" s="352">
        <v>14957</v>
      </c>
      <c r="N11" s="3"/>
      <c r="O11" s="352">
        <v>4137</v>
      </c>
      <c r="P11" s="352">
        <v>3918</v>
      </c>
      <c r="Q11" s="352">
        <v>3758</v>
      </c>
      <c r="R11" s="352">
        <v>3658</v>
      </c>
      <c r="S11" s="352">
        <v>15471</v>
      </c>
      <c r="T11" s="3"/>
      <c r="U11" s="352">
        <v>3814</v>
      </c>
      <c r="V11" s="352">
        <v>4188</v>
      </c>
      <c r="W11" s="352">
        <v>4123.3843942499998</v>
      </c>
      <c r="X11" s="352">
        <v>3942.29984401</v>
      </c>
      <c r="Y11" s="352">
        <v>16088.295479999999</v>
      </c>
      <c r="Z11" s="3"/>
      <c r="AA11" s="352">
        <v>3769.5944000000004</v>
      </c>
      <c r="AB11" s="352">
        <v>3510.0430000000001</v>
      </c>
      <c r="AC11" s="352">
        <v>3682.9051170000002</v>
      </c>
      <c r="AD11" s="352">
        <v>3847.932650925</v>
      </c>
      <c r="AE11" s="352">
        <v>14810.576140000001</v>
      </c>
      <c r="AF11" s="3"/>
      <c r="AG11" s="352">
        <v>3847.0195683359993</v>
      </c>
      <c r="AH11" s="352">
        <v>3815.6457095050005</v>
      </c>
      <c r="AI11" s="352">
        <v>3915.0346172069999</v>
      </c>
      <c r="AJ11" s="352">
        <v>3791.9784655125</v>
      </c>
      <c r="AK11" s="352">
        <f>AG11+AH11+AI11+AJ11+1</f>
        <v>15370.6783605605</v>
      </c>
      <c r="AL11" s="3"/>
      <c r="AM11" s="352">
        <f>'US Metro PF'!V306*1.0002</f>
        <v>3541.1503184460003</v>
      </c>
      <c r="AN11" s="352">
        <f>'US Metro PF'!W306*1.0125</f>
        <v>4824.6334387109573</v>
      </c>
      <c r="AO11" s="352">
        <f>'US Metro PF'!X306*1.0115</f>
        <v>5107.5300618536812</v>
      </c>
      <c r="AP11" s="352">
        <f>'US Metro PF'!Y306*1.0134</f>
        <v>5082.1660480422806</v>
      </c>
      <c r="AQ11" s="352">
        <f>AM11+AN11+AO11+AP11</f>
        <v>18555.47986705292</v>
      </c>
      <c r="AR11" s="3"/>
      <c r="AS11" s="352">
        <f>'US Metro PF'!AB306*1.01075</f>
        <v>5073.7438984375003</v>
      </c>
      <c r="AT11" s="352">
        <f>'US Metro PF'!AC306*1.0062</f>
        <v>5270.4843539399999</v>
      </c>
      <c r="AU11" s="352">
        <f>'US Metro PF'!AD306*1.002</f>
        <v>5554.0885050000006</v>
      </c>
      <c r="AV11" s="352">
        <f>'US Metro PF'!AE306*0.998</f>
        <v>6509.9094692399995</v>
      </c>
      <c r="AW11" s="352">
        <f>AS11+AT11+AU11+AV11</f>
        <v>22408.226226617498</v>
      </c>
      <c r="AX11" s="3"/>
      <c r="AY11" s="352">
        <f>'US Metro PF'!AH306*1.0005</f>
        <v>6905.3370230399996</v>
      </c>
      <c r="AZ11" s="352">
        <f>'US Metro PF'!AI306*1.0051</f>
        <v>7442.7248694014652</v>
      </c>
      <c r="BA11" s="352">
        <f>'US Metro PF'!AJ306*1.0001</f>
        <v>7058.7782134057506</v>
      </c>
      <c r="BB11" s="352">
        <f>'US Metro PF'!AK306*0.99845</f>
        <v>7518.3911304681296</v>
      </c>
      <c r="BC11" s="352">
        <f>AY11+AZ11+BA11+BB11</f>
        <v>28925.231236315347</v>
      </c>
      <c r="BD11" s="3"/>
      <c r="BE11" s="352">
        <f>'US Metro PF'!AN306*1.0021</f>
        <v>7816.0673209491342</v>
      </c>
      <c r="BF11" s="352">
        <f>'US Metro PF'!AO306*1.0037</f>
        <v>8195.9723734891741</v>
      </c>
      <c r="BG11" s="352">
        <f>'US Metro PF'!AP306*1</f>
        <v>8281.1618346454579</v>
      </c>
      <c r="BH11" s="352">
        <f>'US Metro PF'!AQ306*1.0005</f>
        <v>9445.0719971794915</v>
      </c>
      <c r="BI11" s="352">
        <f>BE11+BF11+BG11+BH11</f>
        <v>33738.273526263256</v>
      </c>
      <c r="BJ11" s="3"/>
      <c r="BK11" s="352">
        <f>'US Metro PF'!AT306*0.9948</f>
        <v>8981.9688359992106</v>
      </c>
      <c r="BL11" s="352">
        <f>'US Metro PF'!AU306*0.9784</f>
        <v>9235.8022774327128</v>
      </c>
      <c r="BM11" s="352">
        <f>'US Metro PF'!AV306*0.9925</f>
        <v>8466.243944386264</v>
      </c>
      <c r="BN11" s="352">
        <f>'US Metro PF'!AW306*0.9907</f>
        <v>9052.0256980773156</v>
      </c>
      <c r="BO11" s="352">
        <f>BK11+BL11+BM11+BN11</f>
        <v>35736.040755895505</v>
      </c>
      <c r="BP11" s="3"/>
      <c r="BQ11" s="352">
        <f>'US Metro PF'!AZ306*0.9925</f>
        <v>8497.3094672923999</v>
      </c>
      <c r="BR11" s="352">
        <f>'US Metro PF'!BA306*0.9925</f>
        <v>8773.5841381424052</v>
      </c>
      <c r="BS11" s="352">
        <f>'US Metro PF'!BB306*0.995</f>
        <v>8691.4319759360023</v>
      </c>
      <c r="BT11" s="352">
        <f>'US Metro PF'!BC306*0.995</f>
        <v>9011.1947943402902</v>
      </c>
      <c r="BU11" s="352">
        <f>BQ11+BR11+BS11+BT11</f>
        <v>34973.520375711101</v>
      </c>
      <c r="BV11" s="3"/>
      <c r="BW11" s="352">
        <f>'US Metro PF'!BF306*0.995</f>
        <v>8869.5206665904752</v>
      </c>
      <c r="BX11" s="352">
        <f>'US Metro PF'!BG306*0.995</f>
        <v>9245.1122183185653</v>
      </c>
      <c r="BY11" s="352">
        <f>'US Metro PF'!BH306*0.995</f>
        <v>9110.200139035398</v>
      </c>
      <c r="BZ11" s="352">
        <f>'US Metro PF'!BI306*0.995</f>
        <v>9408.8360971828624</v>
      </c>
      <c r="CA11" s="352">
        <f>BW11+BX11+BY11+BZ11</f>
        <v>36633.669121127299</v>
      </c>
      <c r="CB11" s="3"/>
      <c r="CC11" s="352">
        <f>'US Metro PF'!BL306*1</f>
        <v>9411.2702307943455</v>
      </c>
      <c r="CD11" s="352">
        <f>'US Metro PF'!BM306*1</f>
        <v>9710.1754926824487</v>
      </c>
      <c r="CE11" s="352">
        <f>'US Metro PF'!BN306*1</f>
        <v>9563.6454104783352</v>
      </c>
      <c r="CF11" s="352">
        <f>'US Metro PF'!BO306*1</f>
        <v>9832.5964382195434</v>
      </c>
      <c r="CG11" s="352">
        <f>CC11+CD11+CE11+CF11</f>
        <v>38517.687572174676</v>
      </c>
      <c r="CH11" s="3"/>
      <c r="CI11" s="352">
        <f>'US Metro PF'!BR306*1</f>
        <v>9851.4931855817467</v>
      </c>
      <c r="CJ11" s="352">
        <f>'US Metro PF'!BS306*1</f>
        <v>10081.805007524463</v>
      </c>
      <c r="CK11" s="352">
        <f>'US Metro PF'!BT306*1</f>
        <v>9926.9272319600968</v>
      </c>
      <c r="CL11" s="352">
        <f>'US Metro PF'!BU306*1</f>
        <v>10154.822305257903</v>
      </c>
      <c r="CM11" s="352">
        <f>CI11+CJ11+CK11+CL11</f>
        <v>40015.047730324208</v>
      </c>
      <c r="CN11" s="3"/>
      <c r="CO11" s="352">
        <f>'US Metro PF'!BX306*1</f>
        <v>10240.843288933025</v>
      </c>
      <c r="CP11" s="352">
        <f>'US Metro PF'!BY306*1</f>
        <v>10400.968415194817</v>
      </c>
      <c r="CQ11" s="352">
        <f>'US Metro PF'!BZ306*1</f>
        <v>10239.876877898449</v>
      </c>
      <c r="CR11" s="352">
        <f>'US Metro PF'!CA306*1</f>
        <v>10465.086295593366</v>
      </c>
      <c r="CS11" s="352">
        <f>CO11+CP11+CQ11+CR11</f>
        <v>41346.774877619653</v>
      </c>
      <c r="CT11" s="3"/>
      <c r="CU11" s="352">
        <f>'US Metro PF'!CD306*1</f>
        <v>10579.663189316972</v>
      </c>
      <c r="CV11" s="352">
        <f>'US Metro PF'!CE306*1</f>
        <v>10691.438101705326</v>
      </c>
      <c r="CW11" s="352">
        <f>'US Metro PF'!CF306*1</f>
        <v>10528.036107829628</v>
      </c>
      <c r="CX11" s="352">
        <f>'US Metro PF'!CG306*1</f>
        <v>10744.168109960554</v>
      </c>
      <c r="CY11" s="352">
        <f>CU11+CV11+CW11+CX11</f>
        <v>42543.305508812482</v>
      </c>
      <c r="CZ11" s="3"/>
      <c r="DA11" s="352">
        <f>'US Metro PF'!CJ306*1</f>
        <v>10919.002275562871</v>
      </c>
      <c r="DB11" s="352">
        <f>'US Metro PF'!CK306*1</f>
        <v>10941.647980607639</v>
      </c>
      <c r="DC11" s="352">
        <f>'US Metro PF'!CL306*1</f>
        <v>10771.282890794684</v>
      </c>
      <c r="DD11" s="352">
        <f>'US Metro PF'!CM306*1</f>
        <v>10976.855579272198</v>
      </c>
      <c r="DE11" s="352">
        <f>DA11+DB11+DC11+DD11</f>
        <v>43608.788726237392</v>
      </c>
      <c r="DF11" s="3"/>
      <c r="DG11" s="352">
        <f>'US Metro PF'!CP306*1</f>
        <v>11148.160623274338</v>
      </c>
      <c r="DH11" s="352">
        <f>'US Metro PF'!CQ306*1</f>
        <v>11143.685836252409</v>
      </c>
      <c r="DI11" s="352">
        <f>'US Metro PF'!CR306*1</f>
        <v>10975.193678793194</v>
      </c>
      <c r="DJ11" s="352">
        <f>'US Metro PF'!CS306*1</f>
        <v>11182.912598508885</v>
      </c>
      <c r="DK11" s="352">
        <f>DG11+DH11+DI11+DJ11</f>
        <v>44449.952736828825</v>
      </c>
    </row>
    <row r="12" spans="2:115" x14ac:dyDescent="0.3"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</row>
    <row r="13" spans="2:115" x14ac:dyDescent="0.3">
      <c r="B13" s="1" t="s">
        <v>186</v>
      </c>
      <c r="I13" s="98">
        <f>I23-I6-I11-I15-I19-I21</f>
        <v>3608.5411258587328</v>
      </c>
      <c r="J13" s="98">
        <f>J23-J6-J11-J15-J19-J21</f>
        <v>3784.6353265204598</v>
      </c>
      <c r="K13" s="98">
        <f>K23-K6-K11-K15-K19-K21</f>
        <v>3905.0638304520121</v>
      </c>
      <c r="L13" s="98">
        <f>L23-L6-L11-L15-L19-L21</f>
        <v>3590.400225304058</v>
      </c>
      <c r="M13" s="98">
        <f>I13+J13+K13+L13</f>
        <v>14888.640508135262</v>
      </c>
      <c r="O13" s="98">
        <f>2436+1964</f>
        <v>4400</v>
      </c>
      <c r="P13" s="98">
        <v>5065</v>
      </c>
      <c r="Q13" s="98">
        <v>5124</v>
      </c>
      <c r="R13" s="98">
        <v>5035</v>
      </c>
      <c r="S13" s="98">
        <f>O13+P13+Q13+R13</f>
        <v>19624</v>
      </c>
      <c r="T13" s="98"/>
      <c r="U13" s="98">
        <v>4774</v>
      </c>
      <c r="V13" s="98">
        <v>4030</v>
      </c>
      <c r="W13" s="98">
        <v>4143</v>
      </c>
      <c r="X13" s="98">
        <v>3913</v>
      </c>
      <c r="Y13" s="98">
        <f>U13+V13+W13+X13</f>
        <v>16860</v>
      </c>
      <c r="Z13" s="98"/>
      <c r="AA13" s="98">
        <v>3672</v>
      </c>
      <c r="AB13" s="98">
        <v>3807</v>
      </c>
      <c r="AC13" s="98">
        <v>3873</v>
      </c>
      <c r="AD13" s="98">
        <v>3772</v>
      </c>
      <c r="AE13" s="98">
        <f>AA13+AB13+AC13+AD13</f>
        <v>15124</v>
      </c>
      <c r="AF13" s="98"/>
      <c r="AG13" s="98">
        <f>AG96</f>
        <v>3575</v>
      </c>
      <c r="AH13" s="98">
        <f>AH96</f>
        <v>3584</v>
      </c>
      <c r="AI13" s="98">
        <f>AI96</f>
        <v>3654</v>
      </c>
      <c r="AJ13" s="98">
        <f>AJ96</f>
        <v>3595</v>
      </c>
      <c r="AK13" s="98">
        <f>AG13+AH13+AI13+AJ13-2</f>
        <v>14406</v>
      </c>
      <c r="AL13" s="98"/>
      <c r="AM13" s="98">
        <f>AM96</f>
        <v>3343</v>
      </c>
      <c r="AN13" s="98">
        <f>AN96</f>
        <v>3435</v>
      </c>
      <c r="AO13" s="98">
        <f>AO96</f>
        <v>3440</v>
      </c>
      <c r="AP13" s="98">
        <f>AP96</f>
        <v>3486</v>
      </c>
      <c r="AQ13" s="98">
        <f>AM13+AN13+AO13+AP13</f>
        <v>13704</v>
      </c>
      <c r="AR13" s="98"/>
      <c r="AS13" s="98">
        <f>AS96</f>
        <v>3125</v>
      </c>
      <c r="AT13" s="98">
        <f>AT96</f>
        <v>3163</v>
      </c>
      <c r="AU13" s="98">
        <f>AU96</f>
        <v>3317</v>
      </c>
      <c r="AV13" s="98">
        <f>AV96</f>
        <v>3367</v>
      </c>
      <c r="AW13" s="98">
        <f>AS13+AT13+AU13+AV13</f>
        <v>12972</v>
      </c>
      <c r="AX13" s="98"/>
      <c r="AY13" s="98">
        <f>AY96</f>
        <v>3157</v>
      </c>
      <c r="AZ13" s="98">
        <f>AZ96</f>
        <v>3209</v>
      </c>
      <c r="BA13" s="98">
        <f>BA96</f>
        <v>3261</v>
      </c>
      <c r="BB13" s="98">
        <f>BB96</f>
        <v>3397</v>
      </c>
      <c r="BC13" s="98">
        <f>AY13+AZ13+BA13+BB13</f>
        <v>13024</v>
      </c>
      <c r="BD13" s="98"/>
      <c r="BE13" s="98">
        <f>BE96</f>
        <v>2763</v>
      </c>
      <c r="BF13" s="98">
        <f>BF96</f>
        <v>2794</v>
      </c>
      <c r="BG13" s="98">
        <f>BG96</f>
        <v>2900.3</v>
      </c>
      <c r="BH13" s="98">
        <f>BH96</f>
        <v>2996.3</v>
      </c>
      <c r="BI13" s="98">
        <f>BE13+BF13+BG13+BH13</f>
        <v>11453.599999999999</v>
      </c>
      <c r="BJ13" s="98"/>
      <c r="BK13" s="98">
        <f>BK96</f>
        <v>2781</v>
      </c>
      <c r="BL13" s="98">
        <f>BL96</f>
        <v>2860</v>
      </c>
      <c r="BM13" s="98">
        <f>BM96</f>
        <v>2945</v>
      </c>
      <c r="BN13" s="98">
        <f>BN96</f>
        <v>3002</v>
      </c>
      <c r="BO13" s="98">
        <f>BK13+BL13+BM13+BN13</f>
        <v>11588</v>
      </c>
      <c r="BP13" s="98"/>
      <c r="BQ13" s="98">
        <f>BQ96</f>
        <v>2777.805951919584</v>
      </c>
      <c r="BR13" s="98">
        <f>BR96</f>
        <v>2853.2933576674804</v>
      </c>
      <c r="BS13" s="98">
        <f>BS96</f>
        <v>2921.8017230090218</v>
      </c>
      <c r="BT13" s="98">
        <f>BT96</f>
        <v>3001.1035445049793</v>
      </c>
      <c r="BU13" s="98">
        <f>BQ13+BR13+BS13+BT13</f>
        <v>11554.004577101066</v>
      </c>
      <c r="BV13" s="98"/>
      <c r="BW13" s="98">
        <f>BW96</f>
        <v>2791.4657551950886</v>
      </c>
      <c r="BX13" s="98">
        <f>BX96</f>
        <v>2868.7670367249202</v>
      </c>
      <c r="BY13" s="98">
        <f>BY96</f>
        <v>2942.9026245817013</v>
      </c>
      <c r="BZ13" s="98">
        <f>BZ96</f>
        <v>3006.7925787654303</v>
      </c>
      <c r="CA13" s="98">
        <f>BW13+BX13+BY13+BZ13</f>
        <v>11609.927995267142</v>
      </c>
      <c r="CB13" s="98"/>
      <c r="CC13" s="98">
        <f>CC96</f>
        <v>2811.8729654117124</v>
      </c>
      <c r="CD13" s="98">
        <f>CD96</f>
        <v>2891.1577526557048</v>
      </c>
      <c r="CE13" s="98">
        <f>CE96</f>
        <v>2966.2929678719793</v>
      </c>
      <c r="CF13" s="98">
        <f>CF96</f>
        <v>3025.6168189698947</v>
      </c>
      <c r="CG13" s="98">
        <f>CC13+CD13+CE13+CF13</f>
        <v>11694.940504909291</v>
      </c>
      <c r="CH13" s="98"/>
      <c r="CI13" s="98">
        <f>CI96</f>
        <v>2831.3183096665025</v>
      </c>
      <c r="CJ13" s="98">
        <f>CJ96</f>
        <v>2912.0190367896039</v>
      </c>
      <c r="CK13" s="98">
        <f>CK96</f>
        <v>2988.9608325374102</v>
      </c>
      <c r="CL13" s="98">
        <f>CL96</f>
        <v>3047.1958336674111</v>
      </c>
      <c r="CM13" s="98">
        <f>CI13+CJ13+CK13+CL13</f>
        <v>11779.494012660927</v>
      </c>
      <c r="CN13" s="98"/>
      <c r="CO13" s="98">
        <f>CO96</f>
        <v>2850.9954522937251</v>
      </c>
      <c r="CP13" s="98">
        <f>CP96</f>
        <v>2932.5204921879313</v>
      </c>
      <c r="CQ13" s="98">
        <f>CQ96</f>
        <v>3011.2850893950758</v>
      </c>
      <c r="CR13" s="98">
        <f>CR96</f>
        <v>3070.5690441659426</v>
      </c>
      <c r="CS13" s="98">
        <f>CO13+CP13+CQ13+CR13</f>
        <v>11865.370078042675</v>
      </c>
      <c r="CT13" s="98"/>
      <c r="CU13" s="98">
        <f>CU96</f>
        <v>2873.76575811259</v>
      </c>
      <c r="CV13" s="98">
        <f>CV96</f>
        <v>2956.2549933089103</v>
      </c>
      <c r="CW13" s="98">
        <f>CW96</f>
        <v>3036.8798444266104</v>
      </c>
      <c r="CX13" s="98">
        <f>CX96</f>
        <v>3095.992227196693</v>
      </c>
      <c r="CY13" s="98">
        <f>CU13+CV13+CW13+CX13</f>
        <v>11962.892823044804</v>
      </c>
      <c r="CZ13" s="98"/>
      <c r="DA13" s="98">
        <f>DA96</f>
        <v>2897.8151569652928</v>
      </c>
      <c r="DB13" s="98">
        <f>DB96</f>
        <v>2981.2471871814114</v>
      </c>
      <c r="DC13" s="98">
        <f>DC96</f>
        <v>3063.7078843837862</v>
      </c>
      <c r="DD13" s="98">
        <f>DD96</f>
        <v>3122.7256760504315</v>
      </c>
      <c r="DE13" s="98">
        <f>DA13+DB13+DC13+DD13</f>
        <v>12065.495904580923</v>
      </c>
      <c r="DF13" s="98"/>
      <c r="DG13" s="98">
        <f>DG96</f>
        <v>2921.6628315469179</v>
      </c>
      <c r="DH13" s="98">
        <f>DH96</f>
        <v>3005.99658021906</v>
      </c>
      <c r="DI13" s="98">
        <f>DI96</f>
        <v>3090.1109005738745</v>
      </c>
      <c r="DJ13" s="98">
        <f>DJ96</f>
        <v>3149.1509913569612</v>
      </c>
      <c r="DK13" s="98">
        <f>DG13+DH13+DI13+DJ13</f>
        <v>12166.921303696814</v>
      </c>
    </row>
    <row r="14" spans="2:115" x14ac:dyDescent="0.3">
      <c r="AH14" s="455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</row>
    <row r="15" spans="2:115" x14ac:dyDescent="0.3">
      <c r="B15" s="1" t="s">
        <v>187</v>
      </c>
      <c r="I15" s="98">
        <f>'T-Systems'!I5</f>
        <v>2200.6269592476492</v>
      </c>
      <c r="J15" s="98">
        <f>'T-Systems'!J5</f>
        <v>2251.0330578512398</v>
      </c>
      <c r="K15" s="98">
        <f>'T-Systems'!K5</f>
        <v>2292.3408845738941</v>
      </c>
      <c r="L15" s="98">
        <f>'T-Systems'!L5</f>
        <v>2598.4766050054404</v>
      </c>
      <c r="M15" s="98">
        <f>I15+J15+K15+L15</f>
        <v>9342.477506678224</v>
      </c>
      <c r="N15" s="98"/>
      <c r="O15" s="98">
        <f>'T-Systems'!O5</f>
        <v>2106</v>
      </c>
      <c r="P15" s="98">
        <f>'T-Systems'!P5</f>
        <v>2179</v>
      </c>
      <c r="Q15" s="98">
        <f>'T-Systems'!Q5</f>
        <v>2125</v>
      </c>
      <c r="R15" s="98">
        <f>'T-Systems'!R5</f>
        <v>2388</v>
      </c>
      <c r="S15" s="98">
        <f>O15+P15+Q15+R15</f>
        <v>8798</v>
      </c>
      <c r="T15" s="98"/>
      <c r="U15" s="98">
        <f>'T-Systems'!U5</f>
        <v>2131</v>
      </c>
      <c r="V15" s="98">
        <f>'T-Systems'!V5</f>
        <v>2242</v>
      </c>
      <c r="W15" s="98">
        <f>'T-Systems'!W5</f>
        <v>2205</v>
      </c>
      <c r="X15" s="98">
        <f>'T-Systems'!X5</f>
        <v>2479</v>
      </c>
      <c r="Y15" s="98">
        <f>U15+V15+W15+X15</f>
        <v>9057</v>
      </c>
      <c r="Z15" s="98"/>
      <c r="AA15" s="98">
        <f>'T-Systems'!AA5</f>
        <v>2365</v>
      </c>
      <c r="AB15" s="98">
        <f>'T-Systems'!AB5</f>
        <v>2381</v>
      </c>
      <c r="AC15" s="98">
        <f>'T-Systems'!AC5</f>
        <v>2513</v>
      </c>
      <c r="AD15" s="98">
        <f>'T-Systems'!AD5</f>
        <v>2694</v>
      </c>
      <c r="AE15" s="98">
        <f>AA15+AB15+AC15+AD15</f>
        <v>9953</v>
      </c>
      <c r="AF15" s="98"/>
      <c r="AG15" s="98">
        <f>'T-Systems'!AG5</f>
        <v>2456</v>
      </c>
      <c r="AH15" s="98">
        <f>'T-Systems'!AH5</f>
        <v>2486</v>
      </c>
      <c r="AI15" s="98">
        <f>'T-Systems'!AI5</f>
        <v>2245</v>
      </c>
      <c r="AJ15" s="98">
        <f>'T-Systems'!AJ5</f>
        <v>2829</v>
      </c>
      <c r="AK15" s="98">
        <f>AG15+AH15+AI15+AJ15</f>
        <v>10016</v>
      </c>
      <c r="AL15" s="98"/>
      <c r="AM15" s="98">
        <f>'T-Systems'!AM5</f>
        <v>2226</v>
      </c>
      <c r="AN15" s="98">
        <f>'T-Systems'!AN5</f>
        <v>2170</v>
      </c>
      <c r="AO15" s="98">
        <f>'T-Systems'!AO5</f>
        <v>2174</v>
      </c>
      <c r="AP15" s="98">
        <f>'T-Systems'!AP5</f>
        <v>2468</v>
      </c>
      <c r="AQ15" s="98">
        <f>AM15+AN15+AO15+AP15</f>
        <v>9038</v>
      </c>
      <c r="AR15" s="98"/>
      <c r="AS15" s="98">
        <f>'T-Systems'!AS5</f>
        <v>2052</v>
      </c>
      <c r="AT15" s="98">
        <f>'T-Systems'!AT5</f>
        <v>2187</v>
      </c>
      <c r="AU15" s="98">
        <f>'T-Systems'!AU5</f>
        <v>2068</v>
      </c>
      <c r="AV15" s="98">
        <f>'T-Systems'!AV5</f>
        <v>2294</v>
      </c>
      <c r="AW15" s="98">
        <f>AS15+AT15+AU15+AV15</f>
        <v>8601</v>
      </c>
      <c r="AX15" s="98"/>
      <c r="AY15" s="98">
        <f>'T-Systems'!AY5</f>
        <v>1927</v>
      </c>
      <c r="AZ15" s="98">
        <f>'T-Systems'!AZ5</f>
        <v>2073</v>
      </c>
      <c r="BA15" s="98">
        <f>'T-Systems'!BA5</f>
        <v>2031</v>
      </c>
      <c r="BB15" s="98">
        <f>'T-Systems'!BB5</f>
        <v>2163</v>
      </c>
      <c r="BC15" s="98">
        <f>AY15+AZ15+BA15+BB15</f>
        <v>8194</v>
      </c>
      <c r="BD15" s="98"/>
      <c r="BE15" s="98">
        <f>'T-Systems'!BE5</f>
        <v>1859</v>
      </c>
      <c r="BF15" s="98">
        <f>'T-Systems'!BF5</f>
        <v>1719</v>
      </c>
      <c r="BG15" s="98">
        <f>'T-Systems'!BG5</f>
        <v>1674</v>
      </c>
      <c r="BH15" s="98">
        <f>'T-Systems'!BH5</f>
        <v>1741</v>
      </c>
      <c r="BI15" s="98">
        <f>BE15+BF15+BG15+BH15</f>
        <v>6993</v>
      </c>
      <c r="BJ15" s="98"/>
      <c r="BK15" s="98">
        <f>'T-Systems'!BK5</f>
        <v>1704</v>
      </c>
      <c r="BL15" s="98">
        <f>'T-Systems'!BL5</f>
        <v>1688</v>
      </c>
      <c r="BM15" s="98">
        <f>'T-Systems'!BM5</f>
        <v>1707</v>
      </c>
      <c r="BN15" s="98">
        <f>'T-Systems'!BN5</f>
        <v>1819</v>
      </c>
      <c r="BO15" s="98">
        <f>BK15+BL15+BM15+BN15</f>
        <v>6918</v>
      </c>
      <c r="BP15" s="98"/>
      <c r="BQ15" s="98">
        <f>'T-Systems'!BQ5</f>
        <v>1755.1200000000001</v>
      </c>
      <c r="BR15" s="98">
        <f>'T-Systems'!BR5</f>
        <v>1704.88</v>
      </c>
      <c r="BS15" s="98">
        <f>'T-Systems'!BS5</f>
        <v>1707</v>
      </c>
      <c r="BT15" s="98">
        <f>'T-Systems'!BT5</f>
        <v>1800.81</v>
      </c>
      <c r="BU15" s="98">
        <f>BQ15+BR15+BS15+BT15</f>
        <v>6967.8099999999995</v>
      </c>
      <c r="BV15" s="98"/>
      <c r="BW15" s="98">
        <f>'T-Systems'!BW5</f>
        <v>1720.0176000000001</v>
      </c>
      <c r="BX15" s="98">
        <f>'T-Systems'!BX5</f>
        <v>1653.7336</v>
      </c>
      <c r="BY15" s="98">
        <f>'T-Systems'!BY5</f>
        <v>1672.86</v>
      </c>
      <c r="BZ15" s="98">
        <f>'T-Systems'!BZ5</f>
        <v>1782.8018999999999</v>
      </c>
      <c r="CA15" s="98">
        <f>BW15+BX15+BY15+BZ15</f>
        <v>6829.4130999999998</v>
      </c>
      <c r="CB15" s="98"/>
      <c r="CC15" s="98">
        <f>'T-Systems'!CC5</f>
        <v>1720.0176000000001</v>
      </c>
      <c r="CD15" s="98">
        <f>'T-Systems'!CD5</f>
        <v>1653.7336</v>
      </c>
      <c r="CE15" s="98">
        <f>'T-Systems'!CE5</f>
        <v>1672.86</v>
      </c>
      <c r="CF15" s="98">
        <f>'T-Systems'!CF5</f>
        <v>1782.8018999999999</v>
      </c>
      <c r="CG15" s="98">
        <f>CC15+CD15+CE15+CF15</f>
        <v>6829.4130999999998</v>
      </c>
      <c r="CH15" s="98"/>
      <c r="CI15" s="98">
        <f>'T-Systems'!CI5</f>
        <v>1728.617688</v>
      </c>
      <c r="CJ15" s="98">
        <f>'T-Systems'!CJ5</f>
        <v>1662.002268</v>
      </c>
      <c r="CK15" s="98">
        <f>'T-Systems'!CK5</f>
        <v>1681.2242999999996</v>
      </c>
      <c r="CL15" s="98">
        <f>'T-Systems'!CL5</f>
        <v>1791.7159094999997</v>
      </c>
      <c r="CM15" s="98">
        <f>CI15+CJ15+CK15+CL15</f>
        <v>6863.5601654999991</v>
      </c>
      <c r="CN15" s="98"/>
      <c r="CO15" s="98">
        <f>'T-Systems'!CO5</f>
        <v>1737.26077644</v>
      </c>
      <c r="CP15" s="98">
        <f>'T-Systems'!CP5</f>
        <v>1670.3122793399998</v>
      </c>
      <c r="CQ15" s="98">
        <f>'T-Systems'!CQ5</f>
        <v>1689.6304214999996</v>
      </c>
      <c r="CR15" s="98">
        <f>'T-Systems'!CR5</f>
        <v>1800.6744890474995</v>
      </c>
      <c r="CS15" s="98">
        <f>CO15+CP15+CQ15+CR15</f>
        <v>6897.8779663274991</v>
      </c>
      <c r="CT15" s="98"/>
      <c r="CU15" s="98">
        <f>'T-Systems'!CU5</f>
        <v>1745.9470803221998</v>
      </c>
      <c r="CV15" s="98">
        <f>'T-Systems'!CV5</f>
        <v>1678.6638407366995</v>
      </c>
      <c r="CW15" s="98">
        <f>'T-Systems'!CW5</f>
        <v>1698.0785736074993</v>
      </c>
      <c r="CX15" s="98">
        <f>'T-Systems'!CX5</f>
        <v>1809.6778614927368</v>
      </c>
      <c r="CY15" s="98">
        <f>CU15+CV15+CW15+CX15</f>
        <v>6932.3673561591359</v>
      </c>
      <c r="CZ15" s="98"/>
      <c r="DA15" s="98">
        <f>'T-Systems'!DA5</f>
        <v>1754.6768157238107</v>
      </c>
      <c r="DB15" s="98">
        <f>'T-Systems'!DB5</f>
        <v>1687.0571599403829</v>
      </c>
      <c r="DC15" s="98">
        <f>'T-Systems'!DC5</f>
        <v>1706.5689664755366</v>
      </c>
      <c r="DD15" s="98">
        <f>'T-Systems'!DD5</f>
        <v>1818.7262508002004</v>
      </c>
      <c r="DE15" s="98">
        <f>DA15+DB15+DC15+DD15</f>
        <v>6967.0291929399309</v>
      </c>
      <c r="DF15" s="98"/>
      <c r="DG15" s="98">
        <f>'T-Systems'!DG5</f>
        <v>1763.4501998024296</v>
      </c>
      <c r="DH15" s="98">
        <f>'T-Systems'!DH5</f>
        <v>1695.4924457400846</v>
      </c>
      <c r="DI15" s="98">
        <f>'T-Systems'!DI5</f>
        <v>1715.1018113079142</v>
      </c>
      <c r="DJ15" s="98">
        <f>'T-Systems'!DJ5</f>
        <v>1827.8198820542013</v>
      </c>
      <c r="DK15" s="98">
        <f>DG15+DH15+DI15+DJ15</f>
        <v>7001.8643389046292</v>
      </c>
    </row>
    <row r="16" spans="2:115" x14ac:dyDescent="0.3"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</row>
    <row r="17" spans="1:116" x14ac:dyDescent="0.3">
      <c r="B17" s="1" t="s">
        <v>587</v>
      </c>
      <c r="I17" s="2">
        <v>0</v>
      </c>
      <c r="J17" s="2">
        <v>0</v>
      </c>
      <c r="K17" s="2">
        <v>0</v>
      </c>
      <c r="L17" s="2">
        <v>0</v>
      </c>
      <c r="M17" s="98">
        <f>I17+J17+K17+L17</f>
        <v>0</v>
      </c>
      <c r="O17" s="2">
        <v>0</v>
      </c>
      <c r="P17" s="2">
        <v>0</v>
      </c>
      <c r="Q17" s="2">
        <v>0</v>
      </c>
      <c r="R17" s="2">
        <v>0</v>
      </c>
      <c r="S17" s="98">
        <f>O17+P17+Q17+R17</f>
        <v>0</v>
      </c>
      <c r="U17" s="2">
        <v>0</v>
      </c>
      <c r="V17" s="2">
        <v>0</v>
      </c>
      <c r="W17" s="2">
        <v>0</v>
      </c>
      <c r="X17" s="2">
        <v>0</v>
      </c>
      <c r="Y17" s="98">
        <f>U17+V17+W17+X17</f>
        <v>0</v>
      </c>
      <c r="AA17" s="2">
        <v>0</v>
      </c>
      <c r="AB17" s="2">
        <v>0</v>
      </c>
      <c r="AC17" s="2">
        <v>0</v>
      </c>
      <c r="AD17" s="2">
        <v>0</v>
      </c>
      <c r="AE17" s="98">
        <f>AA17+AB17+AC17+AD17</f>
        <v>0</v>
      </c>
      <c r="AG17" s="2">
        <v>0</v>
      </c>
      <c r="AH17" s="2">
        <v>0</v>
      </c>
      <c r="AI17" s="2">
        <v>0</v>
      </c>
      <c r="AJ17" s="2">
        <v>0</v>
      </c>
      <c r="AK17" s="98">
        <f>AG17+AH17+AI17+AJ17</f>
        <v>0</v>
      </c>
      <c r="AM17" s="2">
        <v>0</v>
      </c>
      <c r="AN17" s="2">
        <v>0</v>
      </c>
      <c r="AO17" s="2">
        <v>0</v>
      </c>
      <c r="AP17" s="2">
        <v>0</v>
      </c>
      <c r="AQ17" s="98">
        <f>AM17+AN17+AO17+AP17</f>
        <v>0</v>
      </c>
      <c r="AS17" s="2">
        <v>0</v>
      </c>
      <c r="AT17" s="2">
        <v>0</v>
      </c>
      <c r="AU17" s="2">
        <v>0</v>
      </c>
      <c r="AV17" s="2">
        <v>0</v>
      </c>
      <c r="AW17" s="98">
        <f>AS17+AT17+AU17+AV17</f>
        <v>0</v>
      </c>
      <c r="AY17" s="2">
        <v>0</v>
      </c>
      <c r="AZ17" s="2">
        <v>0</v>
      </c>
      <c r="BA17" s="2">
        <v>0</v>
      </c>
      <c r="BB17" s="2">
        <v>0</v>
      </c>
      <c r="BC17" s="98">
        <f>AY17+AZ17+BA17+BB17</f>
        <v>0</v>
      </c>
      <c r="BE17" s="98">
        <f>BE178</f>
        <v>575</v>
      </c>
      <c r="BF17" s="98">
        <f>BF178</f>
        <v>573</v>
      </c>
      <c r="BG17" s="98">
        <f>BG178</f>
        <v>588.29999999999995</v>
      </c>
      <c r="BH17" s="98">
        <f>BH178</f>
        <v>610.29999999999995</v>
      </c>
      <c r="BI17" s="98">
        <f>BE17+BF17+BG17+BH17</f>
        <v>2346.6</v>
      </c>
      <c r="BK17" s="98">
        <f>BK178</f>
        <v>595</v>
      </c>
      <c r="BL17" s="98">
        <f>BL178</f>
        <v>562</v>
      </c>
      <c r="BM17" s="98">
        <f>BM178</f>
        <v>545</v>
      </c>
      <c r="BN17" s="98">
        <f>BN178</f>
        <v>561</v>
      </c>
      <c r="BO17" s="98">
        <f>BK17+BL17+BM17+BN17</f>
        <v>2263</v>
      </c>
      <c r="BQ17" s="98">
        <f>BQ178</f>
        <v>544.78129679955077</v>
      </c>
      <c r="BR17" s="98">
        <f>BR178</f>
        <v>550.79735831473954</v>
      </c>
      <c r="BS17" s="98">
        <f>BS178</f>
        <v>536.20588091530408</v>
      </c>
      <c r="BT17" s="98">
        <f>BT178</f>
        <v>558.82945977866939</v>
      </c>
      <c r="BU17" s="98">
        <f>BQ17+BR17+BS17+BT17</f>
        <v>2190.613995808264</v>
      </c>
      <c r="BW17" s="98">
        <f>BW178</f>
        <v>546.93994569822871</v>
      </c>
      <c r="BX17" s="98">
        <f>BX178</f>
        <v>554.04678776381411</v>
      </c>
      <c r="BY17" s="98">
        <f>BY178</f>
        <v>540.57615491446052</v>
      </c>
      <c r="BZ17" s="98">
        <f>BZ178</f>
        <v>563.15237608885582</v>
      </c>
      <c r="CA17" s="98">
        <f>BW17+BX17+BY17+BZ17</f>
        <v>2204.7152644653593</v>
      </c>
      <c r="CC17" s="98">
        <f>CC178</f>
        <v>552.21129323373543</v>
      </c>
      <c r="CD17" s="98">
        <f>CD178</f>
        <v>560.4141146327421</v>
      </c>
      <c r="CE17" s="98">
        <f>CE178</f>
        <v>547.41904318934371</v>
      </c>
      <c r="CF17" s="98">
        <f>CF178</f>
        <v>566.89115543898845</v>
      </c>
      <c r="CG17" s="98">
        <f>CC17+CD17+CE17+CF17</f>
        <v>2226.9356064948097</v>
      </c>
      <c r="CI17" s="98">
        <f>CI178</f>
        <v>562.10921585249321</v>
      </c>
      <c r="CJ17" s="98">
        <f>CJ178</f>
        <v>571.38260380756412</v>
      </c>
      <c r="CK17" s="98">
        <f>CK178</f>
        <v>558.73275289619892</v>
      </c>
      <c r="CL17" s="98">
        <f>CL178</f>
        <v>578.90489336519886</v>
      </c>
      <c r="CM17" s="98">
        <f>CI17+CJ17+CK17+CL17</f>
        <v>2271.1294659214554</v>
      </c>
      <c r="CO17" s="98">
        <f>CO178</f>
        <v>574.8137303523572</v>
      </c>
      <c r="CP17" s="98">
        <f>CP178</f>
        <v>585.14822713640569</v>
      </c>
      <c r="CQ17" s="98">
        <f>CQ178</f>
        <v>572.80608023496518</v>
      </c>
      <c r="CR17" s="98">
        <f>CR178</f>
        <v>593.65394370130832</v>
      </c>
      <c r="CS17" s="98">
        <f>CO17+CP17+CQ17+CR17</f>
        <v>2326.4219814250364</v>
      </c>
      <c r="CU17" s="98">
        <f>CU178</f>
        <v>590.85980298508002</v>
      </c>
      <c r="CV17" s="98">
        <f>CV178</f>
        <v>602.18748570414709</v>
      </c>
      <c r="CW17" s="98">
        <f>CW178</f>
        <v>590.13228661032394</v>
      </c>
      <c r="CX17" s="98">
        <f>CX178</f>
        <v>611.63939987806646</v>
      </c>
      <c r="CY17" s="98">
        <f>CU17+CV17+CW17+CX17</f>
        <v>2394.8189751776176</v>
      </c>
      <c r="CZ17" s="2"/>
      <c r="DA17" s="98">
        <f>DA178</f>
        <v>603.96247661465407</v>
      </c>
      <c r="DB17" s="98">
        <f>DB178</f>
        <v>616.21170732621476</v>
      </c>
      <c r="DC17" s="98">
        <f>DC178</f>
        <v>604.36908173228039</v>
      </c>
      <c r="DD17" s="98">
        <f>DD178</f>
        <v>626.4941334923883</v>
      </c>
      <c r="DE17" s="98">
        <f>DA17+DB17+DC17+DD17</f>
        <v>2451.0373991655374</v>
      </c>
      <c r="DF17" s="2"/>
      <c r="DG17" s="98">
        <f>DG178</f>
        <v>614.84939520358</v>
      </c>
      <c r="DH17" s="98">
        <f>DH178</f>
        <v>627.94443417253228</v>
      </c>
      <c r="DI17" s="98">
        <f>DI178</f>
        <v>616.25282565927432</v>
      </c>
      <c r="DJ17" s="98">
        <f>DJ178</f>
        <v>638.9616812660272</v>
      </c>
      <c r="DK17" s="98">
        <f>DG17+DH17+DI17+DJ17</f>
        <v>2498.0083363014137</v>
      </c>
    </row>
    <row r="18" spans="1:116" x14ac:dyDescent="0.3"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</row>
    <row r="19" spans="1:116" x14ac:dyDescent="0.3">
      <c r="B19" s="1" t="s">
        <v>181</v>
      </c>
      <c r="I19" s="98">
        <v>884</v>
      </c>
      <c r="J19" s="98">
        <v>915</v>
      </c>
      <c r="K19" s="98">
        <v>928</v>
      </c>
      <c r="L19" s="98">
        <v>846</v>
      </c>
      <c r="M19" s="98">
        <f>I19+J19+K19+L19</f>
        <v>3573</v>
      </c>
      <c r="N19" s="98"/>
      <c r="O19" s="98">
        <f>GHS!O5</f>
        <v>618</v>
      </c>
      <c r="P19" s="98">
        <f>GHS!P5</f>
        <v>612</v>
      </c>
      <c r="Q19" s="98">
        <f>GHS!Q5</f>
        <v>593</v>
      </c>
      <c r="R19" s="98">
        <f>GHS!R5</f>
        <v>587</v>
      </c>
      <c r="S19" s="98">
        <f>O19+P19+Q19+R19</f>
        <v>2410</v>
      </c>
      <c r="T19" s="98"/>
      <c r="U19" s="98">
        <f>GHS!U5</f>
        <v>565</v>
      </c>
      <c r="V19" s="98">
        <f>GHS!V5</f>
        <v>583</v>
      </c>
      <c r="W19" s="98">
        <f>GHS!W5</f>
        <v>567</v>
      </c>
      <c r="X19" s="98">
        <f>GHS!X5</f>
        <v>451</v>
      </c>
      <c r="Y19" s="98">
        <f>U19+V19+W19+X19</f>
        <v>2166</v>
      </c>
      <c r="Z19" s="98"/>
      <c r="AA19" s="98">
        <f>GHS!AA5</f>
        <v>735</v>
      </c>
      <c r="AB19" s="98">
        <f>GHS!AB5</f>
        <v>741</v>
      </c>
      <c r="AC19" s="98">
        <f>GHS!AC5</f>
        <v>743</v>
      </c>
      <c r="AD19" s="98">
        <f>GHS!AD5</f>
        <v>758</v>
      </c>
      <c r="AE19" s="98">
        <f>AA19+AB19+AC19+AD19</f>
        <v>2977</v>
      </c>
      <c r="AF19" s="98"/>
      <c r="AG19" s="98">
        <f>GHS!AG5</f>
        <v>675</v>
      </c>
      <c r="AH19" s="98">
        <f>GHS!AH5</f>
        <v>694</v>
      </c>
      <c r="AI19" s="98">
        <f>GHS!AI5</f>
        <v>691</v>
      </c>
      <c r="AJ19" s="98">
        <f>GHS!AJ5</f>
        <v>775</v>
      </c>
      <c r="AK19" s="98">
        <f>AG19+AH19+AI19+AJ19</f>
        <v>2835</v>
      </c>
      <c r="AL19" s="98"/>
      <c r="AM19" s="98">
        <f>GHS!AM5</f>
        <v>691</v>
      </c>
      <c r="AN19" s="98">
        <f>GHS!AN5</f>
        <v>761</v>
      </c>
      <c r="AO19" s="98">
        <f>GHS!AO5</f>
        <v>635</v>
      </c>
      <c r="AP19" s="98">
        <f>GHS!AP5</f>
        <v>792</v>
      </c>
      <c r="AQ19" s="98">
        <f>AM19+AN19+AO19+AP19</f>
        <v>2879</v>
      </c>
      <c r="AR19" s="98"/>
      <c r="AS19" s="98">
        <f>GHS!AS5</f>
        <v>622</v>
      </c>
      <c r="AT19" s="98">
        <f>GHS!AT5</f>
        <v>610</v>
      </c>
      <c r="AU19" s="98">
        <f>GHS!AU5</f>
        <v>596</v>
      </c>
      <c r="AV19" s="98">
        <f>GHS!AV5</f>
        <v>688</v>
      </c>
      <c r="AW19" s="98">
        <f>AS19+AT19+AU19+AV19</f>
        <v>2516</v>
      </c>
      <c r="AX19" s="98"/>
      <c r="AY19" s="98">
        <f>GHS!AY5</f>
        <v>565</v>
      </c>
      <c r="AZ19" s="98">
        <f>GHS!AZ5</f>
        <v>584</v>
      </c>
      <c r="BA19" s="98">
        <f>GHS!BA5</f>
        <v>555</v>
      </c>
      <c r="BB19" s="98">
        <f>GHS!BB5</f>
        <v>571</v>
      </c>
      <c r="BC19" s="98">
        <f>AY19+AZ19+BA19+BB19</f>
        <v>2275</v>
      </c>
      <c r="BD19" s="98"/>
      <c r="BE19" s="98">
        <f>GHS!BE5</f>
        <v>781</v>
      </c>
      <c r="BF19" s="98">
        <f>GHS!BF5</f>
        <v>910</v>
      </c>
      <c r="BG19" s="98">
        <f>GHS!BG5</f>
        <v>846.4</v>
      </c>
      <c r="BH19" s="98">
        <f>GHS!BH5</f>
        <v>929.4</v>
      </c>
      <c r="BI19" s="98">
        <f>BE19+BF19+BG19+BH19</f>
        <v>3466.8</v>
      </c>
      <c r="BJ19" s="98"/>
      <c r="BK19" s="98">
        <f>GHS!BK5</f>
        <v>737</v>
      </c>
      <c r="BL19" s="98">
        <f>GHS!BL5</f>
        <v>787</v>
      </c>
      <c r="BM19" s="98">
        <f>GHS!BM5</f>
        <v>743</v>
      </c>
      <c r="BN19" s="98">
        <f>GHS!BN5</f>
        <v>675</v>
      </c>
      <c r="BO19" s="98">
        <f>BK19+BL19+BM19+BN19</f>
        <v>2942</v>
      </c>
      <c r="BP19" s="98"/>
      <c r="BQ19" s="98">
        <f>GHS!BQ5</f>
        <v>663.30000000000007</v>
      </c>
      <c r="BR19" s="98">
        <f>GHS!BR5</f>
        <v>727.97500000000002</v>
      </c>
      <c r="BS19" s="98">
        <f>GHS!BS5</f>
        <v>705.85</v>
      </c>
      <c r="BT19" s="98">
        <f>GHS!BT5</f>
        <v>658.125</v>
      </c>
      <c r="BU19" s="98">
        <f>BQ19+BR19+BS19+BT19</f>
        <v>2755.25</v>
      </c>
      <c r="BV19" s="98"/>
      <c r="BW19" s="98">
        <f>GHS!BW5</f>
        <v>653.35050000000001</v>
      </c>
      <c r="BX19" s="98">
        <f>GHS!BX5</f>
        <v>718.87531250000006</v>
      </c>
      <c r="BY19" s="98">
        <f>GHS!BY5</f>
        <v>697.02687500000002</v>
      </c>
      <c r="BZ19" s="98">
        <f>GHS!BZ5</f>
        <v>651.54375000000005</v>
      </c>
      <c r="CA19" s="98">
        <f>BW19+BX19+BY19+BZ19</f>
        <v>2720.7964375000001</v>
      </c>
      <c r="CB19" s="98"/>
      <c r="CC19" s="98">
        <f>GHS!CC5</f>
        <v>646.81699500000002</v>
      </c>
      <c r="CD19" s="98">
        <f>GHS!CD5</f>
        <v>711.686559375</v>
      </c>
      <c r="CE19" s="98">
        <f>GHS!CE5</f>
        <v>690.05660624999996</v>
      </c>
      <c r="CF19" s="98">
        <f>GHS!CF5</f>
        <v>645.02831250000008</v>
      </c>
      <c r="CG19" s="98">
        <f>CC19+CD19+CE19+CF19</f>
        <v>2693.5884731250003</v>
      </c>
      <c r="CH19" s="98"/>
      <c r="CI19" s="98">
        <f>GHS!CI5</f>
        <v>640.34882504999996</v>
      </c>
      <c r="CJ19" s="98">
        <f>GHS!CJ5</f>
        <v>704.56969378124995</v>
      </c>
      <c r="CK19" s="98">
        <f>GHS!CK5</f>
        <v>683.15604018749991</v>
      </c>
      <c r="CL19" s="98">
        <f>GHS!CL5</f>
        <v>638.57802937500003</v>
      </c>
      <c r="CM19" s="98">
        <f>CI19+CJ19+CK19+CL19</f>
        <v>2666.6525883937497</v>
      </c>
      <c r="CN19" s="98"/>
      <c r="CO19" s="98">
        <f>GHS!CO5</f>
        <v>633.94533679949996</v>
      </c>
      <c r="CP19" s="98">
        <f>GHS!CP5</f>
        <v>697.52399684343743</v>
      </c>
      <c r="CQ19" s="98">
        <f>GHS!CQ5</f>
        <v>676.32447978562493</v>
      </c>
      <c r="CR19" s="98">
        <f>GHS!CR5</f>
        <v>632.19224908125</v>
      </c>
      <c r="CS19" s="98">
        <f>CO19+CP19+CQ19+CR19</f>
        <v>2639.9860625098122</v>
      </c>
      <c r="CT19" s="98"/>
      <c r="CU19" s="98">
        <f>GHS!CU5</f>
        <v>627.60588343150494</v>
      </c>
      <c r="CV19" s="98">
        <f>GHS!CV5</f>
        <v>690.54875687500305</v>
      </c>
      <c r="CW19" s="98">
        <f>GHS!CW5</f>
        <v>669.56123498776867</v>
      </c>
      <c r="CX19" s="98">
        <f>GHS!CX5</f>
        <v>625.87032659043746</v>
      </c>
      <c r="CY19" s="98">
        <f>CU19+CV19+CW19+CX19</f>
        <v>2613.5862018847142</v>
      </c>
      <c r="CZ19" s="98"/>
      <c r="DA19" s="98">
        <f>GHS!DA5</f>
        <v>621.32982459718983</v>
      </c>
      <c r="DB19" s="98">
        <f>GHS!DB5</f>
        <v>683.64326930625305</v>
      </c>
      <c r="DC19" s="98">
        <f>GHS!DC5</f>
        <v>662.86562263789097</v>
      </c>
      <c r="DD19" s="98">
        <f>GHS!DD5</f>
        <v>619.61162332453307</v>
      </c>
      <c r="DE19" s="98">
        <f>DA19+DB19+DC19+DD19</f>
        <v>2587.4503398658671</v>
      </c>
      <c r="DF19" s="98"/>
      <c r="DG19" s="98">
        <f>GHS!DG5</f>
        <v>615.11652635121789</v>
      </c>
      <c r="DH19" s="98">
        <f>GHS!DH5</f>
        <v>676.80683661319051</v>
      </c>
      <c r="DI19" s="98">
        <f>GHS!DI5</f>
        <v>656.23696641151207</v>
      </c>
      <c r="DJ19" s="98">
        <f>GHS!DJ5</f>
        <v>613.41550709128774</v>
      </c>
      <c r="DK19" s="98">
        <f>DG19+DH19+DI19+DJ19</f>
        <v>2561.5758364672083</v>
      </c>
    </row>
    <row r="20" spans="1:116" x14ac:dyDescent="0.3">
      <c r="AC20" s="36"/>
      <c r="AD20" s="36"/>
      <c r="AG20" s="36"/>
      <c r="AH20" s="36"/>
      <c r="AI20" s="36"/>
      <c r="AJ20" s="36"/>
      <c r="AK20" s="36"/>
      <c r="AM20" s="36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</row>
    <row r="21" spans="1:116" x14ac:dyDescent="0.3">
      <c r="B21" s="1" t="s">
        <v>188</v>
      </c>
      <c r="I21" s="98">
        <f>O21*1.03</f>
        <v>-1740.7</v>
      </c>
      <c r="J21" s="98">
        <f>P21*1.03</f>
        <v>-1808.68</v>
      </c>
      <c r="K21" s="98">
        <f>Q21*1.03</f>
        <v>-1863.27</v>
      </c>
      <c r="L21" s="98">
        <f>R21*1.03</f>
        <v>-1925.07</v>
      </c>
      <c r="M21" s="98">
        <f>I21+J21+K21+L21</f>
        <v>-7337.7199999999993</v>
      </c>
      <c r="O21" s="98">
        <v>-1690</v>
      </c>
      <c r="P21" s="98">
        <v>-1756</v>
      </c>
      <c r="Q21" s="98">
        <v>-1809</v>
      </c>
      <c r="R21" s="98">
        <v>-1869</v>
      </c>
      <c r="S21" s="98">
        <f>O21+P21+Q21+R21</f>
        <v>-7124</v>
      </c>
      <c r="U21" s="98">
        <v>-1661</v>
      </c>
      <c r="V21" s="98">
        <v>-1709</v>
      </c>
      <c r="W21" s="98">
        <v>-1754</v>
      </c>
      <c r="X21" s="98">
        <f>W21*0.998</f>
        <v>-1750.492</v>
      </c>
      <c r="Y21" s="98">
        <f>U21+V21+W21+X21</f>
        <v>-6874.4920000000002</v>
      </c>
      <c r="AA21" s="98">
        <f>-1634*1.0695</f>
        <v>-1747.5629999999999</v>
      </c>
      <c r="AB21" s="98">
        <f>-1634*1.0695</f>
        <v>-1747.5629999999999</v>
      </c>
      <c r="AC21" s="98">
        <v>-1952</v>
      </c>
      <c r="AD21" s="98">
        <v>-1971</v>
      </c>
      <c r="AE21" s="98">
        <f>AA21+AB21+AC21+AD21</f>
        <v>-7418.1260000000002</v>
      </c>
      <c r="AG21" s="98">
        <v>-1780</v>
      </c>
      <c r="AH21" s="98">
        <v>-1810</v>
      </c>
      <c r="AI21" s="98">
        <v>-1590</v>
      </c>
      <c r="AJ21" s="98">
        <v>-2015</v>
      </c>
      <c r="AK21" s="98">
        <f>AG21+AH21+AI21+AJ21</f>
        <v>-7195</v>
      </c>
      <c r="AM21" s="98">
        <v>-1582</v>
      </c>
      <c r="AN21" s="98">
        <v>-1599</v>
      </c>
      <c r="AO21" s="98">
        <v>-1502</v>
      </c>
      <c r="AP21" s="98">
        <v>-1797</v>
      </c>
      <c r="AQ21" s="98">
        <f>AM21+AN21+AO21+AP21</f>
        <v>-6480</v>
      </c>
      <c r="AS21" s="98">
        <v>-1462</v>
      </c>
      <c r="AT21" s="98">
        <v>-1580</v>
      </c>
      <c r="AU21" s="98">
        <v>-1474</v>
      </c>
      <c r="AV21" s="98">
        <f>AP21*0.879</f>
        <v>-1579.5630000000001</v>
      </c>
      <c r="AW21" s="98">
        <f>AS21+AT21+AU21+AV21</f>
        <v>-6095.5630000000001</v>
      </c>
      <c r="AY21" s="98">
        <v>-1301</v>
      </c>
      <c r="AZ21" s="98">
        <v>-1461</v>
      </c>
      <c r="BA21" s="98">
        <v>-1400</v>
      </c>
      <c r="BB21" s="98">
        <v>-1449</v>
      </c>
      <c r="BC21" s="98">
        <f>AY21+AZ21+BA21+BB21</f>
        <v>-5611</v>
      </c>
      <c r="BE21" s="98">
        <v>-1550</v>
      </c>
      <c r="BF21" s="98">
        <v>-1714</v>
      </c>
      <c r="BG21" s="98">
        <v>-1671</v>
      </c>
      <c r="BH21" s="98">
        <v>-1743</v>
      </c>
      <c r="BI21" s="98">
        <f>BE21+BF21+BG21+BH21</f>
        <v>-6678</v>
      </c>
      <c r="BK21" s="98">
        <v>-1550</v>
      </c>
      <c r="BL21" s="98">
        <v>-1614</v>
      </c>
      <c r="BM21" s="98">
        <v>-1643</v>
      </c>
      <c r="BN21" s="98">
        <v>-1625</v>
      </c>
      <c r="BO21" s="98">
        <f>BK21+BL21+BM21+BN21</f>
        <v>-6432</v>
      </c>
      <c r="BQ21" s="98">
        <f>BK21*0.96</f>
        <v>-1488</v>
      </c>
      <c r="BR21" s="98">
        <f>BL21*0.97</f>
        <v>-1565.58</v>
      </c>
      <c r="BS21" s="98">
        <f>BM21*0.98</f>
        <v>-1610.1399999999999</v>
      </c>
      <c r="BT21" s="98">
        <f>BN21*0.99</f>
        <v>-1608.75</v>
      </c>
      <c r="BU21" s="98">
        <f>BQ21+BR21+BS21+BT21</f>
        <v>-6272.4699999999993</v>
      </c>
      <c r="BW21" s="98">
        <f>BQ21*0.995</f>
        <v>-1480.56</v>
      </c>
      <c r="BX21" s="98">
        <f>BR21*0.995</f>
        <v>-1557.7520999999999</v>
      </c>
      <c r="BY21" s="98">
        <f>BS21*0.995</f>
        <v>-1602.0892999999999</v>
      </c>
      <c r="BZ21" s="98">
        <f>BT21*0.995</f>
        <v>-1600.70625</v>
      </c>
      <c r="CA21" s="98">
        <f>BW21+BX21+BY21+BZ21</f>
        <v>-6241.1076499999999</v>
      </c>
      <c r="CC21" s="98">
        <f>BW21</f>
        <v>-1480.56</v>
      </c>
      <c r="CD21" s="98">
        <f>BX21</f>
        <v>-1557.7520999999999</v>
      </c>
      <c r="CE21" s="98">
        <f>BY21</f>
        <v>-1602.0892999999999</v>
      </c>
      <c r="CF21" s="98">
        <f>BZ21</f>
        <v>-1600.70625</v>
      </c>
      <c r="CG21" s="98">
        <f>CC21+CD21+CE21+CF21</f>
        <v>-6241.1076499999999</v>
      </c>
      <c r="CI21" s="98">
        <f>CC21</f>
        <v>-1480.56</v>
      </c>
      <c r="CJ21" s="98">
        <f>CD21</f>
        <v>-1557.7520999999999</v>
      </c>
      <c r="CK21" s="98">
        <f>CE21</f>
        <v>-1602.0892999999999</v>
      </c>
      <c r="CL21" s="98">
        <f>CF21</f>
        <v>-1600.70625</v>
      </c>
      <c r="CM21" s="98">
        <f>CI21+CJ21+CK21+CL21</f>
        <v>-6241.1076499999999</v>
      </c>
      <c r="CO21" s="98">
        <f>CI21</f>
        <v>-1480.56</v>
      </c>
      <c r="CP21" s="98">
        <f>CJ21</f>
        <v>-1557.7520999999999</v>
      </c>
      <c r="CQ21" s="98">
        <f>CK21</f>
        <v>-1602.0892999999999</v>
      </c>
      <c r="CR21" s="98">
        <f>CL21</f>
        <v>-1600.70625</v>
      </c>
      <c r="CS21" s="98">
        <f>CO21+CP21+CQ21+CR21</f>
        <v>-6241.1076499999999</v>
      </c>
      <c r="CU21" s="98">
        <f>CO21</f>
        <v>-1480.56</v>
      </c>
      <c r="CV21" s="98">
        <f>CP21</f>
        <v>-1557.7520999999999</v>
      </c>
      <c r="CW21" s="98">
        <f>CQ21</f>
        <v>-1602.0892999999999</v>
      </c>
      <c r="CX21" s="98">
        <f>CR21</f>
        <v>-1600.70625</v>
      </c>
      <c r="CY21" s="98">
        <f>CU21+CV21+CW21+CX21</f>
        <v>-6241.1076499999999</v>
      </c>
      <c r="CZ21" s="2"/>
      <c r="DA21" s="98">
        <f>CU21</f>
        <v>-1480.56</v>
      </c>
      <c r="DB21" s="98">
        <f>CV21</f>
        <v>-1557.7520999999999</v>
      </c>
      <c r="DC21" s="98">
        <f>CW21</f>
        <v>-1602.0892999999999</v>
      </c>
      <c r="DD21" s="98">
        <f>CX21</f>
        <v>-1600.70625</v>
      </c>
      <c r="DE21" s="98">
        <f>DA21+DB21+DC21+DD21</f>
        <v>-6241.1076499999999</v>
      </c>
      <c r="DF21" s="2"/>
      <c r="DG21" s="98">
        <f>DA21</f>
        <v>-1480.56</v>
      </c>
      <c r="DH21" s="98">
        <f>DB21</f>
        <v>-1557.7520999999999</v>
      </c>
      <c r="DI21" s="98">
        <f>DC21</f>
        <v>-1602.0892999999999</v>
      </c>
      <c r="DJ21" s="98">
        <f>DD21</f>
        <v>-1600.70625</v>
      </c>
      <c r="DK21" s="98">
        <f>DG21+DH21+DI21+DJ21</f>
        <v>-6241.1076499999999</v>
      </c>
    </row>
    <row r="22" spans="1:116" x14ac:dyDescent="0.3">
      <c r="U22" s="36"/>
      <c r="V22" s="36"/>
      <c r="W22" s="36"/>
      <c r="X22" s="36"/>
      <c r="AA22" s="458"/>
      <c r="AB22" s="458"/>
      <c r="AC22" s="458"/>
      <c r="AD22" s="458"/>
      <c r="AE22" s="458"/>
      <c r="AG22" s="36"/>
      <c r="AH22" s="36"/>
      <c r="AI22" s="36"/>
      <c r="AJ22" s="36"/>
      <c r="AK22" s="36"/>
      <c r="AM22" s="36"/>
      <c r="AN22" s="36"/>
      <c r="AO22" s="36"/>
      <c r="AP22" s="36"/>
      <c r="AQ22" s="36"/>
      <c r="AS22" s="36"/>
      <c r="AT22" s="36"/>
      <c r="AU22" s="36"/>
      <c r="AV22" s="36"/>
      <c r="AY22" s="36"/>
      <c r="AZ22" s="36"/>
      <c r="BA22" s="36"/>
      <c r="BB22" s="36"/>
      <c r="BC22" s="36"/>
      <c r="BE22" s="36"/>
      <c r="BF22" s="36"/>
      <c r="BG22" s="36"/>
      <c r="BH22" s="36"/>
      <c r="BI22" s="36"/>
      <c r="BK22" s="36"/>
      <c r="BL22" s="36"/>
      <c r="BM22" s="36"/>
      <c r="BN22" s="36"/>
      <c r="BO22" s="36"/>
      <c r="BQ22" s="36"/>
      <c r="BR22" s="36"/>
      <c r="BS22" s="36"/>
      <c r="BT22" s="36"/>
      <c r="BU22" s="36"/>
      <c r="BW22" s="36"/>
      <c r="BX22" s="36"/>
      <c r="BY22" s="36"/>
      <c r="BZ22" s="36"/>
      <c r="CA22" s="36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</row>
    <row r="23" spans="1:116" ht="15.75" thickBot="1" x14ac:dyDescent="0.35">
      <c r="B23" s="353" t="s">
        <v>192</v>
      </c>
      <c r="C23" s="354">
        <f>C6+C11+C13+C15+C19+C21</f>
        <v>1951</v>
      </c>
      <c r="D23" s="354">
        <f>D6+D11+D13+D15+D19+D21</f>
        <v>2009</v>
      </c>
      <c r="E23" s="354">
        <f>E6+E11+E13+E15+E19+E21</f>
        <v>2059</v>
      </c>
      <c r="F23" s="354">
        <f>F6+F11+F13+F15+F19+F21</f>
        <v>1974</v>
      </c>
      <c r="G23" s="354">
        <f>C23+D23+E112+F23</f>
        <v>5934</v>
      </c>
      <c r="H23" s="355"/>
      <c r="I23" s="407">
        <v>14978</v>
      </c>
      <c r="J23" s="407">
        <v>15125</v>
      </c>
      <c r="K23" s="407">
        <v>15454</v>
      </c>
      <c r="L23" s="407">
        <v>16109</v>
      </c>
      <c r="M23" s="407">
        <f>I23+J23+K23+L23</f>
        <v>61666</v>
      </c>
      <c r="N23" s="408"/>
      <c r="O23" s="407">
        <f>O6+O11+O13+O15+O19+O21</f>
        <v>15902</v>
      </c>
      <c r="P23" s="407">
        <f>P6+P11+P13+P15+P19+P21</f>
        <v>16238</v>
      </c>
      <c r="Q23" s="407">
        <f>Q6+Q11+Q13+Q15+Q19+Q21</f>
        <v>16262</v>
      </c>
      <c r="R23" s="407">
        <f>R6+R11+R13+R15+R19+R21</f>
        <v>16237</v>
      </c>
      <c r="S23" s="407">
        <f>O23+P23+Q23+R23</f>
        <v>64639</v>
      </c>
      <c r="T23" s="408"/>
      <c r="U23" s="407">
        <f>U6+U11+U13+U15+U19+U21</f>
        <v>15812</v>
      </c>
      <c r="V23" s="407">
        <f>V6+V11+V13+V15+V19+V21</f>
        <v>15531</v>
      </c>
      <c r="W23" s="407">
        <f>W6+W11+W13+W15+W19+W21</f>
        <v>15601.384394249999</v>
      </c>
      <c r="X23" s="407">
        <f>X6+X11+X13+X15+X19+X21</f>
        <v>15476.807844009998</v>
      </c>
      <c r="Y23" s="407">
        <f>U23+V23+W23+X23</f>
        <v>62421.192238259995</v>
      </c>
      <c r="Z23" s="408"/>
      <c r="AA23" s="407">
        <f>AA6+AA11+AA13+AA15+AA19+AA21</f>
        <v>14589.431399999999</v>
      </c>
      <c r="AB23" s="407">
        <f>AB6+AB11+AB13+AB15+AB19+AB21</f>
        <v>14481.88</v>
      </c>
      <c r="AC23" s="407">
        <f>AC6+AC11+AC13+AC15+AC19+AC21</f>
        <v>14669.905117000002</v>
      </c>
      <c r="AD23" s="407">
        <f>AD6+AD11+AD13+AD15+AD19+AD21</f>
        <v>14910.932650925002</v>
      </c>
      <c r="AE23" s="407">
        <f>AA23+AB23+AC23+AD23+1</f>
        <v>58653.149167925003</v>
      </c>
      <c r="AF23" s="408"/>
      <c r="AG23" s="407">
        <f>AG6+AG11+AG13+AG15+AG19+AG21</f>
        <v>14432.019568336</v>
      </c>
      <c r="AH23" s="407">
        <f>AH6+AH11+AH13+AH15+AH19+AH21-1</f>
        <v>14378.645709505001</v>
      </c>
      <c r="AI23" s="407">
        <f>AI6+AI11+AI13+AI15+AI19+AI21</f>
        <v>14651.034617207</v>
      </c>
      <c r="AJ23" s="407">
        <f>AJ6+AJ11+AJ13+AJ15+AJ19+AJ21</f>
        <v>14706.9784655125</v>
      </c>
      <c r="AK23" s="407">
        <f>AG23+AH23+AI23+AJ23</f>
        <v>58168.678360560501</v>
      </c>
      <c r="AL23" s="408"/>
      <c r="AM23" s="407">
        <f>AM6+AM11+AM13+AM15+AM19+AM21</f>
        <v>13785.150318446</v>
      </c>
      <c r="AN23" s="407">
        <f>AN6+AN11+AN13+AN15+AN19+AN21</f>
        <v>15156.633438710956</v>
      </c>
      <c r="AO23" s="407">
        <f>AO6+AO11+AO13+AO15+AO19+AO21</f>
        <v>15524.530061853682</v>
      </c>
      <c r="AP23" s="407">
        <f>AP6+AP11+AP13+AP15+AP19+AP21</f>
        <v>15665.16604804228</v>
      </c>
      <c r="AQ23" s="407">
        <f>AM23+AN23+AO23+AP23+1</f>
        <v>60132.47986705292</v>
      </c>
      <c r="AR23" s="408"/>
      <c r="AS23" s="407">
        <f>AS6+AS11+AS13+AS15+AS19+AS21</f>
        <v>14893.7438984375</v>
      </c>
      <c r="AT23" s="407">
        <f>AT6+AT11+AT13+AT15+AT19+AT21</f>
        <v>15114.484353939999</v>
      </c>
      <c r="AU23" s="407">
        <f>AU6+AU11+AU13+AU15+AU19+AU21</f>
        <v>15648.088505</v>
      </c>
      <c r="AV23" s="407">
        <f>AV6+AV11+AV13+AV15+AV19+AV21</f>
        <v>17002.346469240001</v>
      </c>
      <c r="AW23" s="407">
        <f>AS23+AT23+AU23+AV23-1</f>
        <v>62657.6632266175</v>
      </c>
      <c r="AX23" s="408"/>
      <c r="AY23" s="407">
        <f>AY6+AY11+AY13+AY15+AY19+AY21</f>
        <v>16842.33702304</v>
      </c>
      <c r="AZ23" s="407">
        <f>AZ6+AZ11+AZ13+AZ15+AZ19+AZ21</f>
        <v>17427.724869401463</v>
      </c>
      <c r="BA23" s="407">
        <f>BA6+BA11+BA13+BA15+BA19+BA21</f>
        <v>17098.778213405749</v>
      </c>
      <c r="BB23" s="407">
        <f>BB6+BB11+BB13+BB15+BB19+BB21</f>
        <v>17859.391130468131</v>
      </c>
      <c r="BC23" s="407">
        <f>AY23+AZ23+BA23+BB23</f>
        <v>69228.231236315332</v>
      </c>
      <c r="BD23" s="408"/>
      <c r="BE23" s="407">
        <f>BE6+BE11+BE13+BE15+BE17+BE19+BE21+1</f>
        <v>17630.067320949136</v>
      </c>
      <c r="BF23" s="407">
        <f>BF6+BF11+BF13+BF15+BF17+BF19+BF21+1</f>
        <v>17816.972373489174</v>
      </c>
      <c r="BG23" s="407">
        <f>BG6+BG11+BG13+BG15+BG17+BG19+BG21+1</f>
        <v>18105.16183464546</v>
      </c>
      <c r="BH23" s="407">
        <f>BH6+BH11+BH13+BH15+BH17+BH19+BH21-1</f>
        <v>19543.071997179493</v>
      </c>
      <c r="BI23" s="407">
        <f>BE23+BF23+BG23+BH23</f>
        <v>73095.273526263263</v>
      </c>
      <c r="BJ23" s="408"/>
      <c r="BK23" s="407">
        <f>BK6+BK11+BK13+BK15+BK17+BK19+BK21</f>
        <v>18645.968835999211</v>
      </c>
      <c r="BL23" s="407">
        <f>BL6+BL11+BL13+BL15+BL17+BL19+BL21</f>
        <v>18889.802277432711</v>
      </c>
      <c r="BM23" s="407">
        <f>BM6+BM11+BM13+BM15+BM17+BM19+BM21</f>
        <v>18251.243944386264</v>
      </c>
      <c r="BN23" s="407">
        <f>BN6+BN11+BN13+BN15+BN17+BN19+BN21</f>
        <v>19160.025698077316</v>
      </c>
      <c r="BO23" s="407">
        <f>BK23+BL23+BM23+BN23</f>
        <v>74947.040755895505</v>
      </c>
      <c r="BP23" s="408"/>
      <c r="BQ23" s="407">
        <f>BQ6+BQ11+BQ13+BQ15+BQ17+BQ19+BQ21</f>
        <v>18222.014984134239</v>
      </c>
      <c r="BR23" s="407">
        <f>BR6+BR11+BR13+BR15+BR17+BR19+BR21</f>
        <v>18493.493747410168</v>
      </c>
      <c r="BS23" s="407">
        <f>BS6+BS11+BS13+BS15+BS17+BS19+BS21</f>
        <v>18520.033228364649</v>
      </c>
      <c r="BT23" s="407">
        <f ca="1">BT6+BT11+BT13+BT15+BT17+BT19+BT21</f>
        <v>19168.867233326288</v>
      </c>
      <c r="BU23" s="407">
        <f ca="1">BQ23+BR23+BS23+BT23</f>
        <v>74404.409193235348</v>
      </c>
      <c r="BV23" s="408"/>
      <c r="BW23" s="407">
        <f>BW6+BW11+BW13+BW15+BW17+BW19+BW21</f>
        <v>18664.055323759058</v>
      </c>
      <c r="BX23" s="407">
        <f>BX6+BX11+BX13+BX15+BX17+BX19+BX21</f>
        <v>19026.239035268271</v>
      </c>
      <c r="BY23" s="407">
        <f>BY6+BY11+BY13+BY15+BY17+BY19+BY21</f>
        <v>19024.695703295263</v>
      </c>
      <c r="BZ23" s="407">
        <f ca="1">BZ6+BZ11+BZ13+BZ15+BZ17+BZ19+BZ21</f>
        <v>19660.348788638148</v>
      </c>
      <c r="CA23" s="407">
        <f ca="1">BW23+BX23+BY23+BZ23</f>
        <v>76375.338850960747</v>
      </c>
      <c r="CB23" s="408"/>
      <c r="CC23" s="407">
        <f>CC6+CC11+CC13+CC15+CC17+CC19+CC21</f>
        <v>19316.018356505927</v>
      </c>
      <c r="CD23" s="407">
        <f>CD6+CD11+CD13+CD15+CD17+CD19+CD21</f>
        <v>19604.317558170627</v>
      </c>
      <c r="CE23" s="407">
        <f>CE6+CE11+CE13+CE15+CE17+CE19+CE21</f>
        <v>19599.591625640394</v>
      </c>
      <c r="CF23" s="407">
        <f ca="1">CF6+CF11+CF13+CF15+CF17+CF19+CF21</f>
        <v>20205.33730364851</v>
      </c>
      <c r="CG23" s="407">
        <f ca="1">CC23+CD23+CE23+CF23</f>
        <v>78725.264843965459</v>
      </c>
      <c r="CH23" s="408"/>
      <c r="CI23" s="407">
        <f>CI6+CI11+CI13+CI15+CI17+CI19+CI21</f>
        <v>19889.265169162329</v>
      </c>
      <c r="CJ23" s="407">
        <f>CJ6+CJ11+CJ13+CJ15+CJ17+CJ19+CJ21</f>
        <v>20109.147059233881</v>
      </c>
      <c r="CK23" s="407">
        <f>CK6+CK11+CK13+CK15+CK17+CK19+CK21</f>
        <v>20108.115456413201</v>
      </c>
      <c r="CL23" s="407">
        <f ca="1">CL6+CL11+CL13+CL15+CL17+CL19+CL21</f>
        <v>20678.224083948888</v>
      </c>
      <c r="CM23" s="407">
        <f ca="1">CI23+CJ23+CK23+CL23</f>
        <v>80784.751768758288</v>
      </c>
      <c r="CN23" s="408"/>
      <c r="CO23" s="407">
        <f>CO6+CO11+CO13+CO15+CO17+CO19+CO21</f>
        <v>20422.178422917124</v>
      </c>
      <c r="CP23" s="407">
        <f>CP6+CP11+CP13+CP15+CP17+CP19+CP21</f>
        <v>20574.95900038605</v>
      </c>
      <c r="CQ23" s="407">
        <f>CQ6+CQ11+CQ13+CQ15+CQ17+CQ19+CQ21</f>
        <v>20575.67975965271</v>
      </c>
      <c r="CR23" s="407">
        <f ca="1">CR6+CR11+CR13+CR15+CR17+CR19+CR21</f>
        <v>21146.86551121455</v>
      </c>
      <c r="CS23" s="407">
        <f ca="1">CO23+CP23+CQ23+CR23</f>
        <v>82719.682694170435</v>
      </c>
      <c r="CT23" s="408"/>
      <c r="CU23" s="407">
        <f>CU6+CU11+CU13+CU15+CU17+CU19+CU21</f>
        <v>20910.527894125233</v>
      </c>
      <c r="CV23" s="407">
        <f>CV6+CV11+CV13+CV15+CV17+CV19+CV21</f>
        <v>21016.795575855751</v>
      </c>
      <c r="CW23" s="407">
        <f>CW6+CW11+CW13+CW15+CW17+CW19+CW21</f>
        <v>21026.077425826683</v>
      </c>
      <c r="CX23" s="407">
        <f ca="1">CX6+CX11+CX13+CX15+CX17+CX19+CX21</f>
        <v>21584.751704131617</v>
      </c>
      <c r="CY23" s="407">
        <f ca="1">CU23+CV23+CW23+CX23</f>
        <v>84538.152599939291</v>
      </c>
      <c r="CZ23" s="408"/>
      <c r="DA23" s="407">
        <f>DA6+DA11+DA13+DA15+DA17+DA19+DA21</f>
        <v>21394.294001337948</v>
      </c>
      <c r="DB23" s="407">
        <f>DB6+DB11+DB13+DB15+DB17+DB19+DB21</f>
        <v>21412.902118133963</v>
      </c>
      <c r="DC23" s="407">
        <f>DC6+DC11+DC13+DC15+DC17+DC19+DC21</f>
        <v>21423.371153506927</v>
      </c>
      <c r="DD23" s="407">
        <f ca="1">DD6+DD11+DD13+DD15+DD17+DD19+DD21</f>
        <v>21985.557717808893</v>
      </c>
      <c r="DE23" s="407">
        <f ca="1">DA23+DB23+DC23+DD23</f>
        <v>86216.124990787735</v>
      </c>
      <c r="DF23" s="408"/>
      <c r="DG23" s="407">
        <f>DG6+DG11+DG13+DG15+DG17+DG19+DG21</f>
        <v>21770.793626087969</v>
      </c>
      <c r="DH23" s="407">
        <f>DH6+DH11+DH13+DH15+DH17+DH19+DH21</f>
        <v>21764.682999176766</v>
      </c>
      <c r="DI23" s="407">
        <f>DI6+DI11+DI13+DI15+DI17+DI19+DI21</f>
        <v>21787.108450594664</v>
      </c>
      <c r="DJ23" s="407">
        <f ca="1">DJ6+DJ11+DJ13+DJ15+DJ17+DJ19+DJ21</f>
        <v>22342.680684950505</v>
      </c>
      <c r="DK23" s="407">
        <f ca="1">DG23+DH23+DI23+DJ23</f>
        <v>87665.265760809911</v>
      </c>
    </row>
    <row r="24" spans="1:116" ht="15.75" thickTop="1" x14ac:dyDescent="0.3">
      <c r="M24" s="98">
        <f>M6-M31</f>
        <v>16890.601985186513</v>
      </c>
      <c r="S24" s="98">
        <f>S6-S31</f>
        <v>15853</v>
      </c>
      <c r="V24" s="98"/>
      <c r="W24" s="98">
        <f>W23-W11</f>
        <v>11478</v>
      </c>
      <c r="Y24" s="98">
        <f>Y6-Y31</f>
        <v>15527</v>
      </c>
      <c r="AB24" s="98"/>
      <c r="AC24" s="98"/>
      <c r="AE24" s="98">
        <f>AE6-AE31</f>
        <v>13653.089194515193</v>
      </c>
      <c r="AK24" s="98">
        <f>AK6-AK31</f>
        <v>13570.241425975291</v>
      </c>
      <c r="AQ24" s="98">
        <f>AQ6-AQ31</f>
        <v>13499.480268653593</v>
      </c>
      <c r="AW24" s="98"/>
      <c r="BK24" s="36">
        <f>(BE25+BF25+BG25+BH25+BK25+BL25)/6</f>
        <v>-4.3884393160249129E-3</v>
      </c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</row>
    <row r="25" spans="1:116" x14ac:dyDescent="0.3">
      <c r="AQ25" s="36">
        <f>AQ27/AK27-1</f>
        <v>-5.2144361401155193E-3</v>
      </c>
      <c r="AS25" s="36" t="s">
        <v>35</v>
      </c>
      <c r="AT25" s="36" t="s">
        <v>35</v>
      </c>
      <c r="AU25" s="36" t="s">
        <v>35</v>
      </c>
      <c r="AV25" s="36" t="s">
        <v>35</v>
      </c>
      <c r="AW25" s="36">
        <f>AW27/AQ27-1</f>
        <v>-3.9168782568770322E-3</v>
      </c>
      <c r="AY25" s="36">
        <f>AY27/AS27-1</f>
        <v>3.8422989661973883E-2</v>
      </c>
      <c r="AZ25" s="36">
        <f>AZ27/AT27-1</f>
        <v>4.6334619512339081E-2</v>
      </c>
      <c r="BA25" s="36">
        <f>BA27/AU27-1</f>
        <v>1.8709057817701158E-2</v>
      </c>
      <c r="BB25" s="36">
        <f>BB27/AV27-1</f>
        <v>-4.0241540005071297E-2</v>
      </c>
      <c r="BC25" s="36">
        <f>BC27/AW27-1</f>
        <v>1.3747391368076123E-2</v>
      </c>
      <c r="BE25" s="36">
        <f>BE27/AY27-1</f>
        <v>-1.347662065652111E-2</v>
      </c>
      <c r="BF25" s="36">
        <f>BF27/AZ27-1</f>
        <v>-2.8660641140212828E-2</v>
      </c>
      <c r="BG25" s="36">
        <f>BG27/BA27-1</f>
        <v>1.9938959059771388E-2</v>
      </c>
      <c r="BH25" s="36">
        <f>BH27/BB27-1</f>
        <v>-5.8695708708362826E-3</v>
      </c>
      <c r="BI25" s="36">
        <f>BI27/BC27-1</f>
        <v>-6.9995111625414941E-3</v>
      </c>
      <c r="BK25" s="36">
        <f>BK27/BE27-1</f>
        <v>-1.6448033177012267E-3</v>
      </c>
      <c r="BL25" s="36">
        <f>BL27/BF27-1</f>
        <v>3.3820410293505798E-3</v>
      </c>
      <c r="BM25" s="36">
        <f>BM27/BG27-1</f>
        <v>-2.7311985801664274E-2</v>
      </c>
      <c r="BN25" s="36">
        <f>BN27/BH27-1</f>
        <v>4.8851925825657005E-3</v>
      </c>
      <c r="BO25" s="36">
        <f>BO27/BI27-1</f>
        <v>-5.222999572473852E-3</v>
      </c>
      <c r="BQ25" s="36">
        <f>BQ27/BK27-1</f>
        <v>-1.1900873281425195E-3</v>
      </c>
      <c r="BR25" s="36">
        <f>BR27/BL27-1</f>
        <v>-1.6670289323976739E-3</v>
      </c>
      <c r="BS25" s="36">
        <f>BS27/BM27-1</f>
        <v>1.0445646630810046E-2</v>
      </c>
      <c r="BT25" s="36">
        <f ca="1">BT27/BN27-1</f>
        <v>1.0828011879742139E-3</v>
      </c>
      <c r="BU25" s="36">
        <f ca="1">BU27/BO27-1</f>
        <v>2.1461553461552541E-3</v>
      </c>
      <c r="BW25" s="36">
        <f>BW27/BQ27-1</f>
        <v>9.5640941030805671E-4</v>
      </c>
      <c r="BX25" s="36">
        <f>BX27/BR27-1</f>
        <v>1.7612007041034605E-3</v>
      </c>
      <c r="BY25" s="36">
        <f>BY27/BS27-1</f>
        <v>2.0152897723852981E-3</v>
      </c>
      <c r="BZ25" s="36">
        <f ca="1">BZ27/BT27-1</f>
        <v>2.0352985348897068E-3</v>
      </c>
      <c r="CA25" s="36">
        <f ca="1">CA27/BU27-1</f>
        <v>1.6983263652470271E-3</v>
      </c>
      <c r="CC25" s="36">
        <f>CC27/BW27-1</f>
        <v>7.2260898764380244E-3</v>
      </c>
      <c r="CD25" s="36">
        <f>CD27/BX27-1</f>
        <v>7.0819692835593084E-3</v>
      </c>
      <c r="CE25" s="36">
        <f>CE27/BY27-1</f>
        <v>7.9860035878867031E-3</v>
      </c>
      <c r="CF25" s="36">
        <f ca="1">CF27/BZ27-1</f>
        <v>7.380871650471299E-3</v>
      </c>
      <c r="CG25" s="36">
        <f ca="1">CG27/CA27-1</f>
        <v>7.419914796325644E-3</v>
      </c>
      <c r="CI25" s="36">
        <f>CI27/CC27-1</f>
        <v>1.0593508290174691E-2</v>
      </c>
      <c r="CJ25" s="36">
        <f>CJ27/CD27-1</f>
        <v>1.0980178962798792E-2</v>
      </c>
      <c r="CK25" s="36">
        <f>CK27/CE27-1</f>
        <v>1.2853375215633456E-2</v>
      </c>
      <c r="CL25" s="36">
        <f ca="1">CL27/CF27-1</f>
        <v>1.2413370497034171E-2</v>
      </c>
      <c r="CM25" s="36">
        <f ca="1">CM27/CG27-1</f>
        <v>1.1727616141655517E-2</v>
      </c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</row>
    <row r="26" spans="1:116" x14ac:dyDescent="0.3">
      <c r="A26" s="401"/>
      <c r="B26" s="401"/>
      <c r="C26" s="403"/>
      <c r="D26" s="403"/>
      <c r="E26" s="403"/>
      <c r="F26" s="403"/>
      <c r="G26" s="403"/>
      <c r="H26" s="403"/>
      <c r="I26" s="403"/>
      <c r="J26" s="403"/>
      <c r="K26" s="403"/>
      <c r="L26" s="403"/>
      <c r="M26" s="403"/>
      <c r="N26" s="403"/>
      <c r="O26" s="403"/>
      <c r="P26" s="403"/>
      <c r="Q26" s="403"/>
      <c r="R26" s="403"/>
      <c r="S26" s="403"/>
      <c r="T26" s="403"/>
      <c r="U26" s="403"/>
      <c r="V26" s="403"/>
      <c r="W26" s="403"/>
      <c r="X26" s="403"/>
      <c r="Y26" s="403"/>
      <c r="Z26" s="403"/>
      <c r="AA26" s="403"/>
      <c r="AB26" s="403"/>
      <c r="AC26" s="403"/>
      <c r="AD26" s="403"/>
      <c r="AE26" s="403"/>
      <c r="AF26" s="403"/>
      <c r="AG26" s="403"/>
      <c r="AH26" s="403"/>
      <c r="AI26" s="403"/>
      <c r="AJ26" s="403"/>
      <c r="AK26" s="403"/>
      <c r="AL26" s="403"/>
      <c r="AM26" s="403"/>
      <c r="AN26" s="403"/>
      <c r="AO26" s="403"/>
      <c r="AP26" s="403"/>
      <c r="AQ26" s="403"/>
      <c r="AR26" s="403"/>
      <c r="AS26" s="403"/>
      <c r="AT26" s="403"/>
      <c r="AU26" s="403"/>
      <c r="AV26" s="403"/>
      <c r="AW26" s="403"/>
      <c r="AX26" s="403"/>
      <c r="AY26" s="403"/>
      <c r="AZ26" s="403"/>
      <c r="BA26" s="403"/>
      <c r="BB26" s="403"/>
      <c r="BC26" s="403"/>
      <c r="BD26" s="403"/>
      <c r="BE26" s="403"/>
      <c r="BF26" s="403"/>
      <c r="BG26" s="403"/>
      <c r="BH26" s="403"/>
      <c r="BI26" s="403"/>
      <c r="BJ26" s="403"/>
      <c r="BK26" s="403"/>
      <c r="BL26" s="403"/>
      <c r="BM26" s="403"/>
      <c r="BN26" s="403"/>
      <c r="BO26" s="403"/>
      <c r="BP26" s="403"/>
      <c r="BQ26" s="403"/>
      <c r="BR26" s="403"/>
      <c r="BS26" s="403"/>
      <c r="BT26" s="403"/>
      <c r="BU26" s="403"/>
      <c r="BV26" s="403"/>
      <c r="BW26" s="403"/>
      <c r="BX26" s="403"/>
      <c r="BY26" s="403"/>
      <c r="BZ26" s="403"/>
      <c r="CA26" s="403"/>
      <c r="CB26" s="403"/>
      <c r="CC26" s="403"/>
      <c r="CD26" s="403"/>
      <c r="CE26" s="403"/>
      <c r="CF26" s="403"/>
      <c r="CG26" s="403"/>
      <c r="CH26" s="403"/>
      <c r="CI26" s="403"/>
      <c r="CJ26" s="403"/>
      <c r="CK26" s="403"/>
      <c r="CL26" s="403"/>
      <c r="CM26" s="403"/>
      <c r="CN26" s="403"/>
      <c r="CO26" s="403"/>
      <c r="CP26" s="403"/>
      <c r="CQ26" s="403"/>
      <c r="CR26" s="403"/>
      <c r="CS26" s="403"/>
      <c r="CT26" s="403"/>
      <c r="CU26" s="403"/>
      <c r="CV26" s="403"/>
      <c r="CW26" s="403"/>
      <c r="CX26" s="403"/>
      <c r="CY26" s="403"/>
      <c r="CZ26" s="403"/>
      <c r="DA26" s="403"/>
      <c r="DB26" s="403"/>
      <c r="DC26" s="403"/>
      <c r="DD26" s="403"/>
      <c r="DE26" s="403"/>
      <c r="DF26" s="403"/>
      <c r="DG26" s="403"/>
      <c r="DH26" s="403"/>
      <c r="DI26" s="403"/>
      <c r="DJ26" s="403"/>
      <c r="DK26" s="403"/>
    </row>
    <row r="27" spans="1:116" ht="15.75" thickBot="1" x14ac:dyDescent="0.35">
      <c r="M27" s="98">
        <f>M6-M31</f>
        <v>16890.601985186513</v>
      </c>
      <c r="S27" s="98">
        <f>S6-S31</f>
        <v>15853</v>
      </c>
      <c r="Y27" s="98">
        <f>Y6-Y31</f>
        <v>15527</v>
      </c>
      <c r="AE27" s="98">
        <f>AE6-AE31</f>
        <v>13653.089194515193</v>
      </c>
      <c r="AK27" s="98">
        <f>AK6-AK31</f>
        <v>13570.241425975291</v>
      </c>
      <c r="AL27" s="98">
        <f>AK27-M27</f>
        <v>-3320.3605592112217</v>
      </c>
      <c r="AN27" s="357"/>
      <c r="AQ27" s="98">
        <f>AQ6-AQ31</f>
        <v>13499.480268653593</v>
      </c>
      <c r="AS27" s="98">
        <f>AS6-AS31</f>
        <v>3253.2197954180915</v>
      </c>
      <c r="AT27" s="98">
        <f>AT6-AT31</f>
        <v>3207.6021274049749</v>
      </c>
      <c r="AU27" s="98">
        <f>AU6-AU31</f>
        <v>3262.9512385553758</v>
      </c>
      <c r="AV27" s="98">
        <f>AV6-AV31</f>
        <v>3722.8312865317221</v>
      </c>
      <c r="AW27" s="98">
        <f>AW6-AW31</f>
        <v>13446.604447910164</v>
      </c>
      <c r="AY27" s="98">
        <f>AY6-AY31</f>
        <v>3378.2182259855699</v>
      </c>
      <c r="AZ27" s="98">
        <f>AZ6-AZ31</f>
        <v>3356.2251515252538</v>
      </c>
      <c r="BA27" s="98">
        <f>BA6-BA31</f>
        <v>3323.9979819338478</v>
      </c>
      <c r="BB27" s="98">
        <f>BB6-BB31</f>
        <v>3573.0188223826249</v>
      </c>
      <c r="BC27" s="98">
        <f>BC6-BC31</f>
        <v>13631.460181827297</v>
      </c>
      <c r="BD27" s="36"/>
      <c r="BE27" s="98">
        <f>BE6-BE31</f>
        <v>3332.6912604590166</v>
      </c>
      <c r="BF27" s="98">
        <f>BF6-BF31</f>
        <v>3260.033586871632</v>
      </c>
      <c r="BG27" s="98">
        <f>BG6-BG31</f>
        <v>3390.2750416103895</v>
      </c>
      <c r="BH27" s="98">
        <f>BH6-BH31</f>
        <v>3552.0467351818179</v>
      </c>
      <c r="BI27" s="98">
        <f>BI6-BI31</f>
        <v>13536.046624122857</v>
      </c>
      <c r="BK27" s="98">
        <f>BK6-BK31</f>
        <v>3327.2096388169398</v>
      </c>
      <c r="BL27" s="98">
        <f>BL6-BL31</f>
        <v>3271.0591542194925</v>
      </c>
      <c r="BM27" s="98">
        <f>BM6-BM31</f>
        <v>3297.6798978101897</v>
      </c>
      <c r="BN27" s="98">
        <f>BN6-BN31</f>
        <v>3569.3991675454545</v>
      </c>
      <c r="BO27" s="98">
        <f>BO6-BO31</f>
        <v>13465.347858392077</v>
      </c>
      <c r="BQ27" s="98">
        <f>BQ6-BQ31</f>
        <v>3323.2499687877103</v>
      </c>
      <c r="BR27" s="98">
        <f>BR6-BR31</f>
        <v>3265.6062039698245</v>
      </c>
      <c r="BS27" s="98">
        <f>BS6-BS31</f>
        <v>3332.1262967242405</v>
      </c>
      <c r="BT27" s="98">
        <f ca="1">BT6-BT31</f>
        <v>3573.2641172044268</v>
      </c>
      <c r="BU27" s="98">
        <f ca="1">BU6-BU31</f>
        <v>13494.246586686204</v>
      </c>
      <c r="BW27" s="98">
        <f>BW6-BW31</f>
        <v>3326.4283563306649</v>
      </c>
      <c r="BX27" s="98">
        <f>BX6-BX31</f>
        <v>3271.357591915581</v>
      </c>
      <c r="BY27" s="98">
        <f>BY6-BY31</f>
        <v>3338.8414967703252</v>
      </c>
      <c r="BZ27" s="98">
        <f ca="1">BZ6-BZ31</f>
        <v>3580.5367764269472</v>
      </c>
      <c r="CA27" s="98">
        <f ca="1">CA6-CA31</f>
        <v>13517.164221443518</v>
      </c>
      <c r="CC27" s="98">
        <f>CC6-CC31</f>
        <v>3350.4654266010421</v>
      </c>
      <c r="CD27" s="98">
        <f>CD6-CD31</f>
        <v>3294.5252458970654</v>
      </c>
      <c r="CE27" s="98">
        <f>CE6-CE31</f>
        <v>3365.5054969429179</v>
      </c>
      <c r="CF27" s="98">
        <f ca="1">CF6-CF31</f>
        <v>3606.9642588135466</v>
      </c>
      <c r="CG27" s="98">
        <f ca="1">CG6-CG31</f>
        <v>13617.460428254572</v>
      </c>
      <c r="CI27" s="98">
        <f>CI6-CI31</f>
        <v>3385.9586098736836</v>
      </c>
      <c r="CJ27" s="98">
        <f>CJ6-CJ31</f>
        <v>3330.6997226944741</v>
      </c>
      <c r="CK27" s="98">
        <f>CK6-CK31</f>
        <v>3408.7636018854023</v>
      </c>
      <c r="CL27" s="98">
        <f ca="1">CL6-CL31</f>
        <v>3651.7388425277595</v>
      </c>
      <c r="CM27" s="98">
        <f ca="1">CM6-CM31</f>
        <v>13777.160776981324</v>
      </c>
      <c r="CN27" s="2">
        <f ca="1">CM31/9162</f>
        <v>1.053570691876953</v>
      </c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</row>
    <row r="28" spans="1:116" x14ac:dyDescent="0.3">
      <c r="I28" s="709">
        <v>2008</v>
      </c>
      <c r="J28" s="710"/>
      <c r="K28" s="710"/>
      <c r="L28" s="710"/>
      <c r="M28" s="711"/>
      <c r="N28" s="3"/>
      <c r="O28" s="709">
        <v>2009</v>
      </c>
      <c r="P28" s="710"/>
      <c r="Q28" s="710"/>
      <c r="R28" s="710"/>
      <c r="S28" s="711"/>
      <c r="T28" s="3"/>
      <c r="U28" s="709">
        <v>2010</v>
      </c>
      <c r="V28" s="710"/>
      <c r="W28" s="710"/>
      <c r="X28" s="710"/>
      <c r="Y28" s="711"/>
      <c r="AA28" s="709">
        <v>2011</v>
      </c>
      <c r="AB28" s="710"/>
      <c r="AC28" s="710"/>
      <c r="AD28" s="710"/>
      <c r="AE28" s="711"/>
      <c r="AG28" s="709">
        <v>2012</v>
      </c>
      <c r="AH28" s="710"/>
      <c r="AI28" s="710"/>
      <c r="AJ28" s="710"/>
      <c r="AK28" s="711"/>
      <c r="AM28" s="709">
        <v>2013</v>
      </c>
      <c r="AN28" s="710"/>
      <c r="AO28" s="710"/>
      <c r="AP28" s="710"/>
      <c r="AQ28" s="711"/>
      <c r="AS28" s="709">
        <v>2014</v>
      </c>
      <c r="AT28" s="710"/>
      <c r="AU28" s="710"/>
      <c r="AV28" s="710"/>
      <c r="AW28" s="711"/>
      <c r="AY28" s="709">
        <v>2015</v>
      </c>
      <c r="AZ28" s="710"/>
      <c r="BA28" s="710"/>
      <c r="BB28" s="710"/>
      <c r="BC28" s="711"/>
      <c r="BE28" s="709">
        <v>2016</v>
      </c>
      <c r="BF28" s="710"/>
      <c r="BG28" s="710"/>
      <c r="BH28" s="710"/>
      <c r="BI28" s="711"/>
      <c r="BK28" s="709">
        <v>2017</v>
      </c>
      <c r="BL28" s="710"/>
      <c r="BM28" s="710"/>
      <c r="BN28" s="710"/>
      <c r="BO28" s="711"/>
      <c r="BQ28" s="709">
        <v>2018</v>
      </c>
      <c r="BR28" s="710"/>
      <c r="BS28" s="710"/>
      <c r="BT28" s="710"/>
      <c r="BU28" s="711"/>
      <c r="BW28" s="709">
        <v>2019</v>
      </c>
      <c r="BX28" s="710"/>
      <c r="BY28" s="710"/>
      <c r="BZ28" s="710"/>
      <c r="CA28" s="711"/>
      <c r="CC28" s="709">
        <v>2020</v>
      </c>
      <c r="CD28" s="710"/>
      <c r="CE28" s="710"/>
      <c r="CF28" s="710"/>
      <c r="CG28" s="711"/>
      <c r="CI28" s="709">
        <v>2021</v>
      </c>
      <c r="CJ28" s="710"/>
      <c r="CK28" s="710"/>
      <c r="CL28" s="710"/>
      <c r="CM28" s="711"/>
      <c r="CO28" s="709">
        <v>2022</v>
      </c>
      <c r="CP28" s="710"/>
      <c r="CQ28" s="710"/>
      <c r="CR28" s="710"/>
      <c r="CS28" s="711"/>
      <c r="CU28" s="709">
        <v>2023</v>
      </c>
      <c r="CV28" s="710"/>
      <c r="CW28" s="710"/>
      <c r="CX28" s="710"/>
      <c r="CY28" s="711"/>
      <c r="CZ28" s="2"/>
      <c r="DA28" s="709">
        <v>2024</v>
      </c>
      <c r="DB28" s="710"/>
      <c r="DC28" s="710"/>
      <c r="DD28" s="710"/>
      <c r="DE28" s="711"/>
      <c r="DF28" s="2"/>
      <c r="DG28" s="709">
        <v>2025</v>
      </c>
      <c r="DH28" s="710"/>
      <c r="DI28" s="710"/>
      <c r="DJ28" s="710"/>
      <c r="DK28" s="711"/>
    </row>
    <row r="29" spans="1:116" ht="15.75" thickBot="1" x14ac:dyDescent="0.35">
      <c r="B29" s="351" t="s">
        <v>82</v>
      </c>
      <c r="I29" s="51" t="s">
        <v>20</v>
      </c>
      <c r="J29" s="43" t="s">
        <v>19</v>
      </c>
      <c r="K29" s="43" t="s">
        <v>22</v>
      </c>
      <c r="L29" s="43" t="s">
        <v>21</v>
      </c>
      <c r="M29" s="95" t="s">
        <v>39</v>
      </c>
      <c r="N29" s="3"/>
      <c r="O29" s="51" t="s">
        <v>20</v>
      </c>
      <c r="P29" s="43" t="s">
        <v>19</v>
      </c>
      <c r="Q29" s="43" t="s">
        <v>22</v>
      </c>
      <c r="R29" s="43" t="s">
        <v>21</v>
      </c>
      <c r="S29" s="95" t="s">
        <v>39</v>
      </c>
      <c r="T29" s="3"/>
      <c r="U29" s="51" t="s">
        <v>20</v>
      </c>
      <c r="V29" s="43" t="s">
        <v>19</v>
      </c>
      <c r="W29" s="43" t="s">
        <v>22</v>
      </c>
      <c r="X29" s="43" t="s">
        <v>21</v>
      </c>
      <c r="Y29" s="95" t="s">
        <v>39</v>
      </c>
      <c r="AA29" s="51" t="s">
        <v>20</v>
      </c>
      <c r="AB29" s="43" t="s">
        <v>19</v>
      </c>
      <c r="AC29" s="43" t="s">
        <v>22</v>
      </c>
      <c r="AD29" s="43" t="s">
        <v>21</v>
      </c>
      <c r="AE29" s="95" t="s">
        <v>39</v>
      </c>
      <c r="AG29" s="51" t="s">
        <v>20</v>
      </c>
      <c r="AH29" s="43" t="s">
        <v>19</v>
      </c>
      <c r="AI29" s="43" t="s">
        <v>22</v>
      </c>
      <c r="AJ29" s="43" t="s">
        <v>21</v>
      </c>
      <c r="AK29" s="95" t="s">
        <v>39</v>
      </c>
      <c r="AM29" s="51" t="s">
        <v>20</v>
      </c>
      <c r="AN29" s="43" t="s">
        <v>19</v>
      </c>
      <c r="AO29" s="43" t="s">
        <v>22</v>
      </c>
      <c r="AP29" s="43" t="s">
        <v>21</v>
      </c>
      <c r="AQ29" s="95" t="s">
        <v>39</v>
      </c>
      <c r="AS29" s="51" t="s">
        <v>20</v>
      </c>
      <c r="AT29" s="43" t="s">
        <v>19</v>
      </c>
      <c r="AU29" s="43" t="s">
        <v>22</v>
      </c>
      <c r="AV29" s="43" t="s">
        <v>21</v>
      </c>
      <c r="AW29" s="95" t="s">
        <v>39</v>
      </c>
      <c r="AY29" s="51" t="s">
        <v>20</v>
      </c>
      <c r="AZ29" s="43" t="s">
        <v>19</v>
      </c>
      <c r="BA29" s="43" t="s">
        <v>22</v>
      </c>
      <c r="BB29" s="43" t="s">
        <v>21</v>
      </c>
      <c r="BC29" s="95" t="s">
        <v>39</v>
      </c>
      <c r="BE29" s="51" t="s">
        <v>20</v>
      </c>
      <c r="BF29" s="43" t="s">
        <v>19</v>
      </c>
      <c r="BG29" s="43" t="s">
        <v>22</v>
      </c>
      <c r="BH29" s="43" t="s">
        <v>21</v>
      </c>
      <c r="BI29" s="95" t="s">
        <v>39</v>
      </c>
      <c r="BK29" s="51" t="s">
        <v>20</v>
      </c>
      <c r="BL29" s="43" t="s">
        <v>19</v>
      </c>
      <c r="BM29" s="43" t="s">
        <v>22</v>
      </c>
      <c r="BN29" s="43" t="s">
        <v>21</v>
      </c>
      <c r="BO29" s="95" t="s">
        <v>39</v>
      </c>
      <c r="BQ29" s="51" t="s">
        <v>20</v>
      </c>
      <c r="BR29" s="43" t="s">
        <v>19</v>
      </c>
      <c r="BS29" s="43" t="s">
        <v>22</v>
      </c>
      <c r="BT29" s="43" t="s">
        <v>21</v>
      </c>
      <c r="BU29" s="95" t="s">
        <v>39</v>
      </c>
      <c r="BW29" s="51" t="s">
        <v>20</v>
      </c>
      <c r="BX29" s="467" t="s">
        <v>19</v>
      </c>
      <c r="BY29" s="467" t="s">
        <v>22</v>
      </c>
      <c r="BZ29" s="467" t="s">
        <v>21</v>
      </c>
      <c r="CA29" s="95" t="s">
        <v>39</v>
      </c>
      <c r="CC29" s="51" t="s">
        <v>20</v>
      </c>
      <c r="CD29" s="467" t="s">
        <v>19</v>
      </c>
      <c r="CE29" s="467" t="s">
        <v>22</v>
      </c>
      <c r="CF29" s="467" t="s">
        <v>21</v>
      </c>
      <c r="CG29" s="95" t="s">
        <v>39</v>
      </c>
      <c r="CI29" s="51" t="s">
        <v>20</v>
      </c>
      <c r="CJ29" s="467" t="s">
        <v>19</v>
      </c>
      <c r="CK29" s="467" t="s">
        <v>22</v>
      </c>
      <c r="CL29" s="467" t="s">
        <v>21</v>
      </c>
      <c r="CM29" s="95" t="s">
        <v>39</v>
      </c>
      <c r="CO29" s="51" t="s">
        <v>20</v>
      </c>
      <c r="CP29" s="467" t="s">
        <v>19</v>
      </c>
      <c r="CQ29" s="467" t="s">
        <v>22</v>
      </c>
      <c r="CR29" s="467" t="s">
        <v>21</v>
      </c>
      <c r="CS29" s="95" t="s">
        <v>39</v>
      </c>
      <c r="CU29" s="51" t="s">
        <v>20</v>
      </c>
      <c r="CV29" s="467" t="s">
        <v>19</v>
      </c>
      <c r="CW29" s="467" t="s">
        <v>22</v>
      </c>
      <c r="CX29" s="467" t="s">
        <v>21</v>
      </c>
      <c r="CY29" s="95" t="s">
        <v>39</v>
      </c>
      <c r="CZ29" s="2"/>
      <c r="DA29" s="51" t="s">
        <v>20</v>
      </c>
      <c r="DB29" s="570" t="s">
        <v>19</v>
      </c>
      <c r="DC29" s="570" t="s">
        <v>22</v>
      </c>
      <c r="DD29" s="570" t="s">
        <v>21</v>
      </c>
      <c r="DE29" s="95" t="s">
        <v>39</v>
      </c>
      <c r="DF29" s="2"/>
      <c r="DG29" s="51" t="s">
        <v>20</v>
      </c>
      <c r="DH29" s="570" t="s">
        <v>19</v>
      </c>
      <c r="DI29" s="570" t="s">
        <v>22</v>
      </c>
      <c r="DJ29" s="570" t="s">
        <v>21</v>
      </c>
      <c r="DK29" s="95" t="s">
        <v>39</v>
      </c>
    </row>
    <row r="30" spans="1:116" x14ac:dyDescent="0.3">
      <c r="M30" s="36"/>
      <c r="O30" s="36"/>
      <c r="P30" s="36"/>
      <c r="Q30" s="36"/>
      <c r="R30" s="36"/>
      <c r="S30" s="36"/>
      <c r="U30" s="36">
        <f>U31/O31-1</f>
        <v>-2.7084214980956367E-2</v>
      </c>
      <c r="V30" s="36">
        <f>V31/P31-1</f>
        <v>2.3939521209575876E-2</v>
      </c>
      <c r="W30" s="36">
        <f>W31/Q31-1</f>
        <v>0</v>
      </c>
      <c r="X30" s="36">
        <f>X31/R31-1</f>
        <v>7.692307692307665E-3</v>
      </c>
      <c r="Y30" s="36">
        <f>Y31/S31-1</f>
        <v>1.1449984386384671E-3</v>
      </c>
      <c r="AA30" s="36">
        <v>3.6877432368402241E-2</v>
      </c>
      <c r="AB30" s="36">
        <v>3.4082679702351903E-4</v>
      </c>
      <c r="AC30" s="36">
        <v>-1.3167703702102629E-2</v>
      </c>
      <c r="AD30" s="36">
        <v>-3.0664278648478982E-2</v>
      </c>
      <c r="AE30" s="36">
        <v>-2.0707353657122285E-3</v>
      </c>
      <c r="AG30" s="36">
        <v>-0.02</v>
      </c>
      <c r="AH30" s="36">
        <v>-2.1999999999999999E-2</v>
      </c>
      <c r="AI30" s="36">
        <v>-2.5000000000000001E-2</v>
      </c>
      <c r="AJ30" s="36">
        <f>AJ31/AD31-1</f>
        <v>-9.5897503002493556E-2</v>
      </c>
      <c r="AK30" s="36">
        <f>AK31/AE31-1</f>
        <v>-4.0507060177926157E-2</v>
      </c>
      <c r="AM30" s="36">
        <f>AM31/AG31-1</f>
        <v>-3.737858285819462E-2</v>
      </c>
      <c r="AN30" s="36">
        <f>AN31/AH31-1</f>
        <v>-2.9672894272994133E-2</v>
      </c>
      <c r="AO30" s="36">
        <f>AO31/AI31-1</f>
        <v>-1.0883364970214027E-2</v>
      </c>
      <c r="AP30" s="36">
        <f>AP31/AJ31-1</f>
        <v>-2.2593615577532367E-2</v>
      </c>
      <c r="AQ30" s="36">
        <f>AQ31/AK31-1</f>
        <v>-2.5119453105691303E-2</v>
      </c>
      <c r="AS30" s="36">
        <f>AS31/AM31-1</f>
        <v>-1.1395786719477274E-2</v>
      </c>
      <c r="AT30" s="36">
        <f>AT31/AN31-1</f>
        <v>-9.6587643093010156E-3</v>
      </c>
      <c r="AU30" s="36">
        <f>AU31/AO31-1</f>
        <v>-2.130499465921798E-2</v>
      </c>
      <c r="AV30" s="36">
        <f>AV31/AP31-1</f>
        <v>-1.3232861716124256E-2</v>
      </c>
      <c r="AW30" s="36">
        <f>AW31/AQ31-1</f>
        <v>-1.4003010794954251E-2</v>
      </c>
      <c r="AY30" s="36">
        <f>AY31/AS31-1</f>
        <v>-8.5203153783673935E-3</v>
      </c>
      <c r="AZ30" s="36">
        <f>AZ31/AT31-1</f>
        <v>-1.4458010493849649E-2</v>
      </c>
      <c r="BA30" s="36">
        <f>BA31/AU31-1</f>
        <v>-2.3685709306828451E-2</v>
      </c>
      <c r="BB30" s="36">
        <f>BB31/AV31-1</f>
        <v>4.290261295023412E-2</v>
      </c>
      <c r="BC30" s="36">
        <f>BC31/AW31-1</f>
        <v>-2.3671733912317139E-3</v>
      </c>
      <c r="BE30" s="36">
        <v>-1.3703235748578457E-2</v>
      </c>
      <c r="BF30" s="36">
        <v>6.3486060169704039E-4</v>
      </c>
      <c r="BG30" s="36">
        <v>-8.3981668940636967E-3</v>
      </c>
      <c r="BH30" s="36">
        <v>2.8488120379724702E-2</v>
      </c>
      <c r="BI30" s="36">
        <v>1.3069112496342239E-3</v>
      </c>
      <c r="BK30" s="36">
        <f>BK31/BE31-1</f>
        <v>8.5180271882419056E-3</v>
      </c>
      <c r="BL30" s="36">
        <f>BL31/BF31-1</f>
        <v>1.0574970082917412E-2</v>
      </c>
      <c r="BM30" s="36">
        <f>BM31/BG31-1</f>
        <v>4.5636131568171034E-2</v>
      </c>
      <c r="BN30" s="36">
        <f>BN31/BH31-1</f>
        <v>4.6522474849818307E-2</v>
      </c>
      <c r="BO30" s="36">
        <f>BO31/BI31-1</f>
        <v>2.7761599913938451E-2</v>
      </c>
      <c r="BQ30" s="36">
        <f>BQ31/BK31-1</f>
        <v>3.8002852669085208E-2</v>
      </c>
      <c r="BR30" s="36">
        <f>BR31/BL31-1</f>
        <v>3.9523419767740764E-2</v>
      </c>
      <c r="BS30" s="36">
        <f>BS31/BM31-1</f>
        <v>2.0744570414546359E-2</v>
      </c>
      <c r="BT30" s="36">
        <f ca="1">BT31/BN31-1</f>
        <v>3.2132088813667581E-2</v>
      </c>
      <c r="BU30" s="36">
        <f ca="1">BU31/BO31-1</f>
        <v>3.2454565479361319E-2</v>
      </c>
      <c r="BW30" s="36">
        <f>BW31/BQ31-1</f>
        <v>4.1166548265082703E-2</v>
      </c>
      <c r="BX30" s="36">
        <f>BX31/BR31-1</f>
        <v>4.0844454317716217E-2</v>
      </c>
      <c r="BY30" s="36">
        <f>BY31/BS31-1</f>
        <v>3.9637736690316228E-2</v>
      </c>
      <c r="BZ30" s="36">
        <f ca="1">BZ31/BT31-1</f>
        <v>4.2819140538356004E-2</v>
      </c>
      <c r="CA30" s="36">
        <f ca="1">CA31/BU31-1</f>
        <v>4.1106152296058962E-2</v>
      </c>
      <c r="CC30" s="36">
        <f>CC31/BW31-1</f>
        <v>2.996627934607865E-2</v>
      </c>
      <c r="CD30" s="36">
        <f>CD31/BX31-1</f>
        <v>3.005076682918717E-2</v>
      </c>
      <c r="CE30" s="36">
        <f>CE31/BY31-1</f>
        <v>3.0771112420591828E-2</v>
      </c>
      <c r="CF30" s="36">
        <f ca="1">CF31/BZ31-1</f>
        <v>3.4732911119436993E-2</v>
      </c>
      <c r="CG30" s="36">
        <f ca="1">CG31/CA31-1</f>
        <v>3.1380504102557216E-2</v>
      </c>
      <c r="CI30" s="36">
        <f>CI31/CC31-1</f>
        <v>2.8670865056081629E-2</v>
      </c>
      <c r="CJ30" s="36">
        <f>CJ31/CD31-1</f>
        <v>2.7364794919309876E-2</v>
      </c>
      <c r="CK30" s="36">
        <f>CK31/CE31-1</f>
        <v>2.7771842369458177E-2</v>
      </c>
      <c r="CL30" s="36">
        <f ca="1">CL31/CF31-1</f>
        <v>2.9763659270769516E-2</v>
      </c>
      <c r="CM30" s="36">
        <f ca="1">CM31/CG31-1</f>
        <v>2.8388879655908861E-2</v>
      </c>
      <c r="CO30" s="36">
        <f>CO31/CI31-1</f>
        <v>2.380830651532384E-2</v>
      </c>
      <c r="CP30" s="36">
        <f>CP31/CJ31-1</f>
        <v>2.4255578016083135E-2</v>
      </c>
      <c r="CQ30" s="36">
        <f>CQ31/CK31-1</f>
        <v>2.5775253361702388E-2</v>
      </c>
      <c r="CR30" s="36">
        <f ca="1">CR31/CL31-1</f>
        <v>2.6724522994426403E-2</v>
      </c>
      <c r="CS30" s="36">
        <f ca="1">CS31/CM31-1</f>
        <v>2.515137821391078E-2</v>
      </c>
      <c r="CU30" s="36">
        <f>CU31/CO31-1</f>
        <v>2.2376164097377416E-2</v>
      </c>
      <c r="CV30" s="36">
        <f>CV31/CP31-1</f>
        <v>2.2445849833711451E-2</v>
      </c>
      <c r="CW30" s="36">
        <f>CW31/CQ31-1</f>
        <v>2.3603424158927355E-2</v>
      </c>
      <c r="CX30" s="36">
        <f ca="1">CX31/CR31-1</f>
        <v>2.323612256582841E-2</v>
      </c>
      <c r="CY30" s="36">
        <f ca="1">CY31/CS31-1</f>
        <v>2.2922339174146655E-2</v>
      </c>
      <c r="CZ30" s="2"/>
      <c r="DA30" s="36">
        <f>DA31/CU31-1</f>
        <v>2.2231779938154839E-2</v>
      </c>
      <c r="DB30" s="36">
        <f>DB31/CV31-1</f>
        <v>2.2133522321474253E-2</v>
      </c>
      <c r="DC30" s="36">
        <f>DC31/CW31-1</f>
        <v>2.2976663290061428E-2</v>
      </c>
      <c r="DD30" s="36">
        <f ca="1">DD31/CX31-1</f>
        <v>2.3068476581564079E-2</v>
      </c>
      <c r="DE30" s="36">
        <f ca="1">DE31/CY31-1</f>
        <v>2.2607400260784782E-2</v>
      </c>
      <c r="DF30" s="2"/>
      <c r="DG30" s="36">
        <f>DG31/DA31-1</f>
        <v>2.1962068604884699E-2</v>
      </c>
      <c r="DH30" s="36">
        <f>DH31/DB31-1</f>
        <v>2.2073672980224002E-2</v>
      </c>
      <c r="DI30" s="36">
        <f>DI31/DC31-1</f>
        <v>2.3051362138785558E-2</v>
      </c>
      <c r="DJ30" s="36">
        <f ca="1">DJ31/DD31-1</f>
        <v>2.2570742729509874E-2</v>
      </c>
      <c r="DK30" s="36">
        <f ca="1">DK31/DE31-1</f>
        <v>2.2420844983823018E-2</v>
      </c>
    </row>
    <row r="31" spans="1:116" x14ac:dyDescent="0.3">
      <c r="B31" s="13" t="s">
        <v>184</v>
      </c>
      <c r="C31" s="3"/>
      <c r="D31" s="3"/>
      <c r="E31" s="3"/>
      <c r="F31" s="3"/>
      <c r="G31" s="3"/>
      <c r="H31" s="3"/>
      <c r="I31" s="352">
        <f>I32+I33+I34</f>
        <v>2256</v>
      </c>
      <c r="J31" s="352">
        <f>J32+J33+J34</f>
        <v>2416</v>
      </c>
      <c r="K31" s="352">
        <f>K32+K33+K34</f>
        <v>2417</v>
      </c>
      <c r="L31" s="352">
        <f>L32+L33+L34</f>
        <v>2263</v>
      </c>
      <c r="M31" s="352">
        <f>I31+J31+K31+L31</f>
        <v>9352</v>
      </c>
      <c r="N31" s="3"/>
      <c r="O31" s="352">
        <f>O32+O33+O34</f>
        <v>2363</v>
      </c>
      <c r="P31" s="352">
        <f>P32+P33+P34</f>
        <v>2381</v>
      </c>
      <c r="Q31" s="352">
        <f>Q32+Q33+Q34</f>
        <v>2523</v>
      </c>
      <c r="R31" s="352">
        <f>R32+R33+R34</f>
        <v>2340</v>
      </c>
      <c r="S31" s="352">
        <f>O31+P31+Q31+R31</f>
        <v>9607</v>
      </c>
      <c r="T31" s="3"/>
      <c r="U31" s="352">
        <f>U32+U33+U34</f>
        <v>2299</v>
      </c>
      <c r="V31" s="352">
        <f>V32+V33+V34</f>
        <v>2438</v>
      </c>
      <c r="W31" s="352">
        <f>W32+W33+W34</f>
        <v>2523</v>
      </c>
      <c r="X31" s="352">
        <f>X32+X33+X34</f>
        <v>2358</v>
      </c>
      <c r="Y31" s="352">
        <f>U31+V31+W31+X31</f>
        <v>9618</v>
      </c>
      <c r="Z31" s="352"/>
      <c r="AA31" s="352">
        <f>AA32+AA33+AA34</f>
        <v>2367.3043326062902</v>
      </c>
      <c r="AB31" s="352">
        <f>AB32+AB33+AB34-1</f>
        <v>2428.6699147197519</v>
      </c>
      <c r="AC31" s="352">
        <f>AC32+AC33+AC34</f>
        <v>2462.9177386773263</v>
      </c>
      <c r="AD31" s="352">
        <f>AD32+AD33+AD34+1</f>
        <v>2293.8188194814393</v>
      </c>
      <c r="AE31" s="352">
        <f>AA31+AB31+AC31+AD31</f>
        <v>9552.7108054848068</v>
      </c>
      <c r="AF31" s="86">
        <f>AE31/AE6</f>
        <v>0.41165186313269991</v>
      </c>
      <c r="AG31" s="352">
        <f>AG32+AG33+AG34</f>
        <v>2343.0636073853211</v>
      </c>
      <c r="AH31" s="352">
        <f>AH32+AH33+AH34</f>
        <v>2348.0787362061756</v>
      </c>
      <c r="AI31" s="352">
        <f>AI32+AI33+AI34-1</f>
        <v>2400.7689080801706</v>
      </c>
      <c r="AJ31" s="352">
        <f>AJ32+AJ33+AJ34</f>
        <v>2073.8473223530418</v>
      </c>
      <c r="AK31" s="352">
        <f>AG31+AH31+AI31+AJ31</f>
        <v>9165.7585740247087</v>
      </c>
      <c r="AL31" s="86">
        <f>AK31/AK6</f>
        <v>0.40313857204542175</v>
      </c>
      <c r="AM31" s="352">
        <f>AM32+AM33+AM34</f>
        <v>2255.4832101946486</v>
      </c>
      <c r="AN31" s="352">
        <f>AN32+AN33+AN34</f>
        <v>2278.404444122064</v>
      </c>
      <c r="AO31" s="352">
        <f>AO32+AO33+AO34</f>
        <v>2374.6404638443919</v>
      </c>
      <c r="AP31" s="352">
        <f>AP32+AP33+AP34</f>
        <v>2026.9916131853024</v>
      </c>
      <c r="AQ31" s="352">
        <f>AM31+AN31+AO31+AP31</f>
        <v>8935.5197313464068</v>
      </c>
      <c r="AR31" s="86">
        <f>AQ31/AQ6</f>
        <v>0.39828481084673084</v>
      </c>
      <c r="AS31" s="352">
        <f>AS32+AS33+AS34</f>
        <v>2229.7802045819085</v>
      </c>
      <c r="AT31" s="352">
        <f>AT32+AT33+AT34</f>
        <v>2256.3978725950251</v>
      </c>
      <c r="AU31" s="352">
        <f>AU32+AU33+AU34</f>
        <v>2324.0487614446242</v>
      </c>
      <c r="AV31" s="352">
        <f>AV32+AV33+AV34</f>
        <v>2000.1687134682777</v>
      </c>
      <c r="AW31" s="352">
        <f>AS31+AT31+AU31+AV31</f>
        <v>8810.3955520898362</v>
      </c>
      <c r="AX31" s="86">
        <f>AW31/AW6</f>
        <v>0.39584829725883258</v>
      </c>
      <c r="AY31" s="352">
        <f>AY32+AY33+AY34</f>
        <v>2210.7817740144301</v>
      </c>
      <c r="AZ31" s="352">
        <f>AZ32+AZ33+AZ34</f>
        <v>2223.7748484747462</v>
      </c>
      <c r="BA31" s="352">
        <f>BA32+BA33+BA34</f>
        <v>2269.0020180661522</v>
      </c>
      <c r="BB31" s="352">
        <f>BB32+BB33+BB34</f>
        <v>2085.9811776173751</v>
      </c>
      <c r="BC31" s="352">
        <f>AY31+AZ31+BA31+BB31</f>
        <v>8789.5398181727032</v>
      </c>
      <c r="BD31" s="86">
        <f>BC31/BC6</f>
        <v>0.39202264922049435</v>
      </c>
      <c r="BE31" s="352">
        <f>BE32+BE33+BE34</f>
        <v>2052.3087395409834</v>
      </c>
      <c r="BF31" s="352">
        <f>BF32+BF33+BF34</f>
        <v>2077.966413128368</v>
      </c>
      <c r="BG31" s="352">
        <f>BG32+BG33+BG34</f>
        <v>2094.7249583896105</v>
      </c>
      <c r="BH31" s="352">
        <f>BH32+BH33+BH34</f>
        <v>2012.9532648181819</v>
      </c>
      <c r="BI31" s="352">
        <f>BE31+BF31+BG31+BH31</f>
        <v>8237.9533758771431</v>
      </c>
      <c r="BJ31" s="86">
        <f>BI31/(BI6-35%*BI36)</f>
        <v>0.43870483655047648</v>
      </c>
      <c r="BK31" s="352">
        <f>BK32+BK33+BK34</f>
        <v>2069.7903611830602</v>
      </c>
      <c r="BL31" s="352">
        <f>BL32+BL33+BL34</f>
        <v>2099.9408457805075</v>
      </c>
      <c r="BM31" s="352">
        <f>BM32+BM33+BM34</f>
        <v>2190.3201021898103</v>
      </c>
      <c r="BN31" s="352">
        <f>BN32+BN33+BN34</f>
        <v>2106.6008324545455</v>
      </c>
      <c r="BO31" s="352">
        <f>BK31+BL31+BM31+BN31</f>
        <v>8466.6521416079231</v>
      </c>
      <c r="BP31" s="86">
        <f>BO31/BO6</f>
        <v>0.38604104238591663</v>
      </c>
      <c r="BQ31" s="352">
        <f>BQ32+BQ33+BQ34</f>
        <v>2148.4482993349925</v>
      </c>
      <c r="BR31" s="352">
        <f>BR32+BR33+BR34</f>
        <v>2182.937689315715</v>
      </c>
      <c r="BS31" s="352">
        <f>BS32+BS33+BS34</f>
        <v>2235.7573517800834</v>
      </c>
      <c r="BT31" s="352">
        <f ca="1">BT32+BT33+BT34</f>
        <v>2174.290317497921</v>
      </c>
      <c r="BU31" s="352">
        <f ca="1">BQ31+BR31+BS31+BT31</f>
        <v>8741.4336579287119</v>
      </c>
      <c r="BV31" s="86">
        <f ca="1">BU31/BU6</f>
        <v>0.39312643291161425</v>
      </c>
      <c r="BW31" s="352">
        <f>BW32+BW33+BW34</f>
        <v>2236.8924999446012</v>
      </c>
      <c r="BX31" s="352">
        <f>BX32+BX33+BX34</f>
        <v>2272.0985880453918</v>
      </c>
      <c r="BY31" s="352">
        <f>BY32+BY33+BY34</f>
        <v>2324.377712993381</v>
      </c>
      <c r="BZ31" s="352">
        <f ca="1">BZ32+BZ33+BZ34</f>
        <v>2267.3915601740514</v>
      </c>
      <c r="CA31" s="352">
        <f ca="1">BW31+BX31+BY31+BZ31</f>
        <v>9100.760361157425</v>
      </c>
      <c r="CB31" s="86">
        <f ca="1">CA31/CA6</f>
        <v>0.40236938309354309</v>
      </c>
      <c r="CC31" s="352">
        <f>CC32+CC33+CC34</f>
        <v>2303.9238454650895</v>
      </c>
      <c r="CD31" s="352">
        <f>CD32+CD33+CD34</f>
        <v>2340.3768929276694</v>
      </c>
      <c r="CE31" s="352">
        <f>CE32+CE33+CE34</f>
        <v>2395.9014009078187</v>
      </c>
      <c r="CF31" s="352">
        <f ca="1">CF32+CF33+CF34</f>
        <v>2346.1446697065385</v>
      </c>
      <c r="CG31" s="352">
        <f ca="1">CC31+CD31+CE31+CF31</f>
        <v>9386.3468090071165</v>
      </c>
      <c r="CH31" s="86">
        <f ca="1">CG31/CG6</f>
        <v>0.40803449238624562</v>
      </c>
      <c r="CI31" s="352">
        <f>CI32+CI33+CI34</f>
        <v>2369.9793351379076</v>
      </c>
      <c r="CJ31" s="352">
        <f>CJ32+CJ33+CJ34</f>
        <v>2404.4208266365267</v>
      </c>
      <c r="CK31" s="352">
        <f>CK32+CK33+CK34</f>
        <v>2462.4399969465944</v>
      </c>
      <c r="CL31" s="352">
        <f ca="1">CL32+CL33+CL34</f>
        <v>2415.974520255616</v>
      </c>
      <c r="CM31" s="352">
        <f ca="1">CI31+CJ31+CK31+CL31</f>
        <v>9652.8146789766433</v>
      </c>
      <c r="CN31" s="86">
        <f ca="1">CM31/CM6</f>
        <v>0.41198569316136635</v>
      </c>
      <c r="CO31" s="352">
        <f>CO32+CO33+CO34</f>
        <v>2426.4045295838541</v>
      </c>
      <c r="CP31" s="352">
        <f>CP32+CP33+CP34</f>
        <v>2462.741443580504</v>
      </c>
      <c r="CQ31" s="352">
        <f>CQ32+CQ33+CQ34</f>
        <v>2525.9100117558828</v>
      </c>
      <c r="CR31" s="352">
        <f ca="1">CR32+CR33+CR34</f>
        <v>2480.5402868761353</v>
      </c>
      <c r="CS31" s="352">
        <f ca="1">CO31+CP31+CQ31+CR31</f>
        <v>9895.5962717963757</v>
      </c>
      <c r="CT31" s="86">
        <f ca="1">CS31/CS6</f>
        <v>0.41431281932599956</v>
      </c>
      <c r="CU31" s="352">
        <f>CU32+CU33+CU34</f>
        <v>2480.6981555044422</v>
      </c>
      <c r="CV31" s="352">
        <f>CV32+CV33+CV34</f>
        <v>2518.01976820237</v>
      </c>
      <c r="CW31" s="352">
        <f>CW32+CW33+CW34</f>
        <v>2585.530137150638</v>
      </c>
      <c r="CX31" s="352">
        <f ca="1">CX32+CX33+CX34</f>
        <v>2538.1784250114642</v>
      </c>
      <c r="CY31" s="352">
        <f ca="1">CU31+CV31+CW31+CX31</f>
        <v>10122.426485868913</v>
      </c>
      <c r="CZ31" s="86">
        <f ca="1">CY31/CY6</f>
        <v>0.41600797712717702</v>
      </c>
      <c r="DA31" s="352">
        <f>DA32+DA33+DA34</f>
        <v>2535.8484909906038</v>
      </c>
      <c r="DB31" s="352">
        <f>DB32+DB33+DB34</f>
        <v>2573.7524149477904</v>
      </c>
      <c r="DC31" s="352">
        <f>DC32+DC33+DC34</f>
        <v>2644.9369925382543</v>
      </c>
      <c r="DD31" s="352">
        <f ca="1">DD32+DD33+DD34</f>
        <v>2596.7303345686723</v>
      </c>
      <c r="DE31" s="352">
        <f ca="1">DA31+DB31+DC31+DD31</f>
        <v>10351.268233045321</v>
      </c>
      <c r="DF31" s="86">
        <f ca="1">DE31/DE6</f>
        <v>0.41777003436958676</v>
      </c>
      <c r="DG31" s="352">
        <f>DG32+DG33+DG34</f>
        <v>2591.540969521333</v>
      </c>
      <c r="DH31" s="352">
        <f>DH32+DH33+DH34</f>
        <v>2630.5645840874099</v>
      </c>
      <c r="DI31" s="352">
        <f>DI32+DI33+DI34</f>
        <v>2705.9063929875238</v>
      </c>
      <c r="DJ31" s="352">
        <f ca="1">DJ32+DJ33+DJ34</f>
        <v>2655.3404668881358</v>
      </c>
      <c r="DK31" s="352">
        <f ca="1">DG31+DH31+DI31+DJ31</f>
        <v>10583.352413484401</v>
      </c>
      <c r="DL31" s="86">
        <f ca="1">DK31/DK6</f>
        <v>0.41950733621071723</v>
      </c>
    </row>
    <row r="32" spans="1:116" x14ac:dyDescent="0.3">
      <c r="B32" s="1" t="s">
        <v>189</v>
      </c>
      <c r="I32" s="98">
        <f>'T-Home Germany'!I187</f>
        <v>1566</v>
      </c>
      <c r="J32" s="98">
        <f>'T-Home Germany'!J187</f>
        <v>1645</v>
      </c>
      <c r="K32" s="98">
        <f>'T-Home Germany'!K187</f>
        <v>1647</v>
      </c>
      <c r="L32" s="98">
        <f>'T-Home Germany'!L187</f>
        <v>1499</v>
      </c>
      <c r="M32" s="98">
        <f>I32+J32+K32+L32</f>
        <v>6357</v>
      </c>
      <c r="O32" s="98">
        <f>'T-Home Germany'!O187</f>
        <v>1609</v>
      </c>
      <c r="P32" s="98">
        <f>'T-Home Germany'!P187</f>
        <v>1582</v>
      </c>
      <c r="Q32" s="98">
        <f>'T-Home Germany'!Q187</f>
        <v>1604</v>
      </c>
      <c r="R32" s="98">
        <f>'T-Home Germany'!R187</f>
        <v>1452</v>
      </c>
      <c r="S32" s="98">
        <f>O32+P32+Q32+R32</f>
        <v>6247</v>
      </c>
      <c r="U32" s="98">
        <f>'T-Home Germany'!U187</f>
        <v>1537</v>
      </c>
      <c r="V32" s="98">
        <f>'T-Home Germany'!V187</f>
        <v>1530</v>
      </c>
      <c r="W32" s="98">
        <f>'T-Home Germany'!W187</f>
        <v>1595</v>
      </c>
      <c r="X32" s="98">
        <f>'T-Home Germany'!X187</f>
        <v>1468</v>
      </c>
      <c r="Y32" s="98">
        <f>U32+V32+W32+X32</f>
        <v>6130</v>
      </c>
      <c r="AA32" s="98">
        <f>'T-Home Germany'!AA187</f>
        <v>1535.8386929341591</v>
      </c>
      <c r="AB32" s="98">
        <f>'T-Home Germany'!AB187</f>
        <v>1537.7494572490705</v>
      </c>
      <c r="AC32" s="98">
        <f>'T-Home Germany'!AC187</f>
        <v>1560.0695624565474</v>
      </c>
      <c r="AD32" s="98">
        <f>'T-Home Germany'!AD187</f>
        <v>1413.0497400268937</v>
      </c>
      <c r="AE32" s="98">
        <f>AA32+AB32+AC32+AD32</f>
        <v>6046.7074526666711</v>
      </c>
      <c r="AG32" s="98">
        <f>'T-Home Germany'!AG187</f>
        <v>1522.7154587978894</v>
      </c>
      <c r="AH32" s="98">
        <f>'T-Home Germany'!AH187</f>
        <v>1471.1941338289962</v>
      </c>
      <c r="AI32" s="98">
        <f>'T-Home Germany'!AI187</f>
        <v>1528.3550968713794</v>
      </c>
      <c r="AJ32" s="98">
        <f>'T-Home Germany'!AJ187</f>
        <v>1377.7936781712237</v>
      </c>
      <c r="AK32" s="98">
        <f>AG32+AH32+AI32+AJ32</f>
        <v>5900.0583676694878</v>
      </c>
      <c r="AM32" s="98">
        <f>'T-Home Germany'!AM187</f>
        <v>1492.5933817848127</v>
      </c>
      <c r="AN32" s="98">
        <f>'T-Home Germany'!AN187</f>
        <v>1424.9991078066914</v>
      </c>
      <c r="AO32" s="98">
        <f>'T-Home Germany'!AO187</f>
        <v>1501.6566470451912</v>
      </c>
      <c r="AP32" s="98">
        <f>'T-Home Germany'!AP187</f>
        <v>1246.5046481398476</v>
      </c>
      <c r="AQ32" s="98">
        <f>AM32+AN32+AO32+AP32</f>
        <v>5665.7537847765434</v>
      </c>
      <c r="AS32" s="98">
        <f>'T-Home Germany'!AS187</f>
        <v>1460.3453552649685</v>
      </c>
      <c r="AT32" s="98">
        <f>'T-Home Germany'!AT187</f>
        <v>1407.7007613382898</v>
      </c>
      <c r="AU32" s="98">
        <f>'T-Home Germany'!AU187</f>
        <v>1438.0966116454233</v>
      </c>
      <c r="AV32" s="98">
        <f>'T-Home Germany'!AV187</f>
        <v>1201.6891248319139</v>
      </c>
      <c r="AW32" s="98">
        <f>AS32+AT32+AU32+AV32</f>
        <v>5507.8318530805955</v>
      </c>
      <c r="AY32" s="98">
        <f>'T-Home Germany'!AY187</f>
        <v>1406.9798353750857</v>
      </c>
      <c r="AZ32" s="98">
        <f>'T-Home Germany'!AZ187</f>
        <v>1368.6250977695167</v>
      </c>
      <c r="BA32" s="98">
        <f>'T-Home Germany'!BA187</f>
        <v>1384.7492472769413</v>
      </c>
      <c r="BB32" s="98">
        <f>'T-Home Germany'!BB187</f>
        <v>1254.3755077991932</v>
      </c>
      <c r="BC32" s="98">
        <f>AY32+AZ32+BA32+BB32</f>
        <v>5414.7296882207374</v>
      </c>
      <c r="BE32" s="98">
        <f>'T-Home Germany'!BE187</f>
        <v>1265</v>
      </c>
      <c r="BF32" s="98">
        <f>'T-Home Germany'!BF187</f>
        <v>1230</v>
      </c>
      <c r="BG32" s="98">
        <f>'T-Home Germany'!BG187</f>
        <v>1241</v>
      </c>
      <c r="BH32" s="98">
        <f>'T-Home Germany'!BH187</f>
        <v>1173</v>
      </c>
      <c r="BI32" s="98">
        <f>BE32+BF32+BG32+BH32</f>
        <v>4909</v>
      </c>
      <c r="BK32" s="98">
        <f>'T-Home Germany'!BK187</f>
        <v>1266</v>
      </c>
      <c r="BL32" s="98">
        <f>'T-Home Germany'!BL187</f>
        <v>1222</v>
      </c>
      <c r="BM32" s="98">
        <f>'T-Home Germany'!BM187</f>
        <v>1307</v>
      </c>
      <c r="BN32" s="98">
        <f>'T-Home Germany'!BN187</f>
        <v>1219</v>
      </c>
      <c r="BO32" s="98">
        <f>BK32+BL32+BM32+BN32</f>
        <v>5014</v>
      </c>
      <c r="BQ32" s="98">
        <f>'T-Home Germany'!BQ187</f>
        <v>1316.511869264823</v>
      </c>
      <c r="BR32" s="98">
        <f>'T-Home Germany'!BR187</f>
        <v>1274.9928941770368</v>
      </c>
      <c r="BS32" s="98">
        <f>'T-Home Germany'!BS187</f>
        <v>1326.3825344471038</v>
      </c>
      <c r="BT32" s="98">
        <f ca="1">'T-Home Germany'!BT187</f>
        <v>1237.2473532646136</v>
      </c>
      <c r="BU32" s="98">
        <f ca="1">BQ32+BR32+BS32+BT32</f>
        <v>5155.1346511535776</v>
      </c>
      <c r="BV32" s="2">
        <f ca="1">BU31/8810</f>
        <v>0.99221721429383791</v>
      </c>
      <c r="BW32" s="98">
        <f>'T-Home Germany'!BW187</f>
        <v>1379.9500782766695</v>
      </c>
      <c r="BX32" s="98">
        <f>'T-Home Germany'!BX187</f>
        <v>1338.9046296056708</v>
      </c>
      <c r="BY32" s="98">
        <f>'T-Home Germany'!BY187</f>
        <v>1390.3204849168633</v>
      </c>
      <c r="BZ32" s="98">
        <f ca="1">'T-Home Germany'!BZ187</f>
        <v>1299.4867270644077</v>
      </c>
      <c r="CA32" s="98">
        <f ca="1">BW32+BX32+BY32+BZ32</f>
        <v>5408.6619198636108</v>
      </c>
      <c r="CC32" s="98">
        <f>'T-Home Germany'!CC187</f>
        <v>1427.700802363659</v>
      </c>
      <c r="CD32" s="98">
        <f>'T-Home Germany'!CD187</f>
        <v>1386.2578442672016</v>
      </c>
      <c r="CE32" s="98">
        <f>'T-Home Germany'!CE187</f>
        <v>1439.1353391579755</v>
      </c>
      <c r="CF32" s="98">
        <f ca="1">'T-Home Germany'!CF187</f>
        <v>1347.038213133334</v>
      </c>
      <c r="CG32" s="98">
        <f ca="1">CC32+CD32+CE32+CF32</f>
        <v>5600.1321989221706</v>
      </c>
      <c r="CI32" s="98">
        <f>'T-Home Germany'!CI187</f>
        <v>1471.3392325473492</v>
      </c>
      <c r="CJ32" s="98">
        <f>'T-Home Germany'!CJ187</f>
        <v>1429.4241647034701</v>
      </c>
      <c r="CK32" s="98">
        <f>'T-Home Germany'!CK187</f>
        <v>1483.5864087178379</v>
      </c>
      <c r="CL32" s="98">
        <f ca="1">'T-Home Germany'!CL187</f>
        <v>1389.5328524743327</v>
      </c>
      <c r="CM32" s="98">
        <f ca="1">CI32+CJ32+CK32+CL32</f>
        <v>5773.8826584429899</v>
      </c>
      <c r="CO32" s="98">
        <f>'T-Home Germany'!CO187</f>
        <v>1509.7313331283044</v>
      </c>
      <c r="CP32" s="98">
        <f>'T-Home Germany'!CP187</f>
        <v>1467.1589019548114</v>
      </c>
      <c r="CQ32" s="98">
        <f>'T-Home Germany'!CQ187</f>
        <v>1522.5995063236883</v>
      </c>
      <c r="CR32" s="98">
        <f ca="1">'T-Home Germany'!CR187</f>
        <v>1426.0816932702696</v>
      </c>
      <c r="CS32" s="98">
        <f ca="1">CO32+CP32+CQ32+CR32</f>
        <v>5925.5714346770728</v>
      </c>
      <c r="CU32" s="98">
        <f>'T-Home Germany'!CU187</f>
        <v>1549.1498546368484</v>
      </c>
      <c r="CV32" s="98">
        <f>'T-Home Germany'!CV187</f>
        <v>1505.419345601561</v>
      </c>
      <c r="CW32" s="98">
        <f>'T-Home Germany'!CW187</f>
        <v>1561.8475465529186</v>
      </c>
      <c r="CX32" s="98">
        <f ca="1">'T-Home Germany'!CX187</f>
        <v>1462.2969164816491</v>
      </c>
      <c r="CY32" s="98">
        <f ca="1">CU32+CV32+CW32+CX32</f>
        <v>6078.713663272978</v>
      </c>
      <c r="CZ32" s="2"/>
      <c r="DA32" s="98">
        <f>'T-Home Germany'!DA187</f>
        <v>1589.4627209443875</v>
      </c>
      <c r="DB32" s="98">
        <f>'T-Home Germany'!DB187</f>
        <v>1544.666025651904</v>
      </c>
      <c r="DC32" s="98">
        <f>'T-Home Germany'!DC187</f>
        <v>1602.1371563000725</v>
      </c>
      <c r="DD32" s="98">
        <f ca="1">'T-Home Germany'!DD187</f>
        <v>1499.606025053517</v>
      </c>
      <c r="DE32" s="98">
        <f ca="1">DA32+DB32+DC32+DD32</f>
        <v>6235.8719279498819</v>
      </c>
      <c r="DF32" s="2"/>
      <c r="DG32" s="98">
        <f>'T-Home Germany'!DG187</f>
        <v>1631.145941861851</v>
      </c>
      <c r="DH32" s="98">
        <f>'T-Home Germany'!DH187</f>
        <v>1585.5681993759945</v>
      </c>
      <c r="DI32" s="98">
        <f>'T-Home Germany'!DI187</f>
        <v>1644.4543584729886</v>
      </c>
      <c r="DJ32" s="98">
        <f ca="1">'T-Home Germany'!DJ187</f>
        <v>1539.1976181137984</v>
      </c>
      <c r="DK32" s="98">
        <f ca="1">DG32+DH32+DI32+DJ32</f>
        <v>6400.366117824633</v>
      </c>
    </row>
    <row r="33" spans="2:115" x14ac:dyDescent="0.3">
      <c r="B33" s="1" t="s">
        <v>190</v>
      </c>
      <c r="I33" s="98">
        <f>'TMO Germany'!I46</f>
        <v>692</v>
      </c>
      <c r="J33" s="98">
        <f>'TMO Germany'!J46</f>
        <v>773</v>
      </c>
      <c r="K33" s="98">
        <f>'TMO Germany'!K46</f>
        <v>772</v>
      </c>
      <c r="L33" s="98">
        <f>'TMO Germany'!L46</f>
        <v>766</v>
      </c>
      <c r="M33" s="98">
        <f>I33+J33+K33+L33</f>
        <v>3003</v>
      </c>
      <c r="O33" s="98">
        <f>'TMO Germany'!O46</f>
        <v>761</v>
      </c>
      <c r="P33" s="98">
        <f>'TMO Germany'!P46</f>
        <v>798</v>
      </c>
      <c r="Q33" s="98">
        <f>'TMO Germany'!Q46</f>
        <v>920</v>
      </c>
      <c r="R33" s="98">
        <f>'TMO Germany'!R46</f>
        <v>894</v>
      </c>
      <c r="S33" s="98">
        <f>O33+P33+Q33+R33</f>
        <v>3373</v>
      </c>
      <c r="U33" s="98">
        <f>'TMO Germany'!U46</f>
        <v>828</v>
      </c>
      <c r="V33" s="98">
        <f>'TMO Germany'!V46</f>
        <v>912</v>
      </c>
      <c r="W33" s="98">
        <f>'TMO Germany'!W46</f>
        <v>928</v>
      </c>
      <c r="X33" s="98">
        <f>'TMO Germany'!X46</f>
        <v>891</v>
      </c>
      <c r="Y33" s="98">
        <f>U33+V33+W33+X33</f>
        <v>3559</v>
      </c>
      <c r="AA33" s="98">
        <f>'TMO Germany'!AA46</f>
        <v>831.46563967213126</v>
      </c>
      <c r="AB33" s="98">
        <f>'TMO Germany'!AB46</f>
        <v>891.92045747068153</v>
      </c>
      <c r="AC33" s="98">
        <f>'TMO Germany'!AC46</f>
        <v>902.84817622077912</v>
      </c>
      <c r="AD33" s="98">
        <f>'TMO Germany'!AD46</f>
        <v>879.76907945454559</v>
      </c>
      <c r="AE33" s="98">
        <f>AA33+AB33+AC33+AD33</f>
        <v>3506.0033528181375</v>
      </c>
      <c r="AG33" s="98">
        <f>'TMO Germany'!AG46</f>
        <v>820.34814858743164</v>
      </c>
      <c r="AH33" s="98">
        <f>'TMO Germany'!AH46</f>
        <v>876.88460237717914</v>
      </c>
      <c r="AI33" s="98">
        <f>'TMO Germany'!AI46</f>
        <v>873.41381120879112</v>
      </c>
      <c r="AJ33" s="98">
        <f>'TMO Germany'!AJ46</f>
        <v>696.0536441818183</v>
      </c>
      <c r="AK33" s="98">
        <f>AG33+AH33+AI33+AJ33</f>
        <v>3266.70020635522</v>
      </c>
      <c r="AM33" s="98">
        <f>'TMO Germany'!AM46</f>
        <v>762.88982840983601</v>
      </c>
      <c r="AN33" s="98">
        <f>'TMO Germany'!AN46</f>
        <v>853.40533631537244</v>
      </c>
      <c r="AO33" s="98">
        <f>'TMO Germany'!AO46</f>
        <v>872.98381679920067</v>
      </c>
      <c r="AP33" s="98">
        <f>'TMO Germany'!AP46</f>
        <v>780.48696504545478</v>
      </c>
      <c r="AQ33" s="98">
        <f>AM33+AN33+AO33+AP33</f>
        <v>3269.7659465698639</v>
      </c>
      <c r="AS33" s="98">
        <f>'TMO Germany'!AS46</f>
        <v>769.43484931694002</v>
      </c>
      <c r="AT33" s="98">
        <f>'TMO Germany'!AT46</f>
        <v>848.69711125673541</v>
      </c>
      <c r="AU33" s="98">
        <f>'TMO Germany'!AU46</f>
        <v>885.95214979920081</v>
      </c>
      <c r="AV33" s="98">
        <f>'TMO Germany'!AV46</f>
        <v>798.47958863636381</v>
      </c>
      <c r="AW33" s="98">
        <f>AS33+AT33+AU33+AV33</f>
        <v>3302.5636990092398</v>
      </c>
      <c r="AY33" s="98">
        <f>'TMO Germany'!AY46</f>
        <v>803.80193863934414</v>
      </c>
      <c r="AZ33" s="98">
        <f>'TMO Germany'!AZ46</f>
        <v>855.14975070522974</v>
      </c>
      <c r="BA33" s="98">
        <f>'TMO Germany'!BA46</f>
        <v>884.25277078921067</v>
      </c>
      <c r="BB33" s="98">
        <f>'TMO Germany'!BB46</f>
        <v>831.60566981818192</v>
      </c>
      <c r="BC33" s="98">
        <f>AY33+AZ33+BA33+BB33</f>
        <v>3374.8101299519667</v>
      </c>
      <c r="BE33" s="98">
        <f>'TMO Germany'!BE46</f>
        <v>787.30873954098354</v>
      </c>
      <c r="BF33" s="98">
        <f>'TMO Germany'!BF46</f>
        <v>847.96641312836778</v>
      </c>
      <c r="BG33" s="98">
        <f>'TMO Germany'!BG46</f>
        <v>853.72495838961049</v>
      </c>
      <c r="BH33" s="98">
        <f>'TMO Germany'!BH46</f>
        <v>839.95326481818188</v>
      </c>
      <c r="BI33" s="98">
        <f>BE33+BF33+BG33+BH33</f>
        <v>3328.953375877144</v>
      </c>
      <c r="BK33" s="98">
        <f>'TMO Germany'!BK46</f>
        <v>803.79036118306033</v>
      </c>
      <c r="BL33" s="98">
        <f>'TMO Germany'!BL46</f>
        <v>877.94084578050729</v>
      </c>
      <c r="BM33" s="98">
        <f>'TMO Germany'!BM46</f>
        <v>883.32010218981031</v>
      </c>
      <c r="BN33" s="98">
        <f>'TMO Germany'!BN46</f>
        <v>887.60083245454575</v>
      </c>
      <c r="BO33" s="98">
        <f>BK33+BL33+BM33+BN33</f>
        <v>3452.652141607924</v>
      </c>
      <c r="BQ33" s="98">
        <f>'TMO Germany'!BQ46</f>
        <v>831.93643007016965</v>
      </c>
      <c r="BR33" s="98">
        <f>'TMO Germany'!BR46</f>
        <v>907.94479513867816</v>
      </c>
      <c r="BS33" s="98">
        <f>'TMO Germany'!BS46</f>
        <v>909.37481733297966</v>
      </c>
      <c r="BT33" s="98">
        <f>'TMO Germany'!BT46</f>
        <v>937.04296423330743</v>
      </c>
      <c r="BU33" s="98">
        <f>BQ33+BR33+BS33+BT33</f>
        <v>3586.2990067751348</v>
      </c>
      <c r="BW33" s="98">
        <f>'TMO Germany'!BW46</f>
        <v>856.94242166793174</v>
      </c>
      <c r="BX33" s="98">
        <f>'TMO Germany'!BX46</f>
        <v>933.19395843972075</v>
      </c>
      <c r="BY33" s="98">
        <f>'TMO Germany'!BY46</f>
        <v>934.05722807651762</v>
      </c>
      <c r="BZ33" s="98">
        <f>'TMO Germany'!BZ46</f>
        <v>967.90483310964373</v>
      </c>
      <c r="CA33" s="98">
        <f>BW33+BX33+BY33+BZ33</f>
        <v>3692.0984412938137</v>
      </c>
      <c r="CC33" s="98">
        <f>'TMO Germany'!CC46</f>
        <v>876.22304310143068</v>
      </c>
      <c r="CD33" s="98">
        <f>'TMO Germany'!CD46</f>
        <v>954.11904866046791</v>
      </c>
      <c r="CE33" s="98">
        <f>'TMO Germany'!CE46</f>
        <v>956.76606174984317</v>
      </c>
      <c r="CF33" s="98">
        <f>'TMO Germany'!CF46</f>
        <v>999.10645657320424</v>
      </c>
      <c r="CG33" s="98">
        <f>CC33+CD33+CE33+CF33</f>
        <v>3786.2146100849459</v>
      </c>
      <c r="CI33" s="98">
        <f>'TMO Germany'!CI46</f>
        <v>898.6401025905584</v>
      </c>
      <c r="CJ33" s="98">
        <f>'TMO Germany'!CJ46</f>
        <v>974.99666193305677</v>
      </c>
      <c r="CK33" s="98">
        <f>'TMO Germany'!CK46</f>
        <v>978.85358822875651</v>
      </c>
      <c r="CL33" s="98">
        <f>'TMO Germany'!CL46</f>
        <v>1026.4416677812835</v>
      </c>
      <c r="CM33" s="98">
        <f>CI33+CJ33+CK33+CL33</f>
        <v>3878.9320205336553</v>
      </c>
      <c r="CO33" s="98">
        <f>'TMO Germany'!CO46</f>
        <v>916.67319645554971</v>
      </c>
      <c r="CP33" s="98">
        <f>'TMO Germany'!CP46</f>
        <v>995.58254162569233</v>
      </c>
      <c r="CQ33" s="98">
        <f>'TMO Germany'!CQ46</f>
        <v>1003.3105054321943</v>
      </c>
      <c r="CR33" s="98">
        <f>'TMO Germany'!CR46</f>
        <v>1054.4585936058656</v>
      </c>
      <c r="CS33" s="98">
        <f>CO33+CP33+CQ33+CR33</f>
        <v>3970.024837119302</v>
      </c>
      <c r="CU33" s="98">
        <f>'TMO Germany'!CU46</f>
        <v>931.54830086759398</v>
      </c>
      <c r="CV33" s="98">
        <f>'TMO Germany'!CV46</f>
        <v>1012.6004226008088</v>
      </c>
      <c r="CW33" s="98">
        <f>'TMO Germany'!CW46</f>
        <v>1023.6825905977194</v>
      </c>
      <c r="CX33" s="98">
        <f>'TMO Germany'!CX46</f>
        <v>1075.8815085298152</v>
      </c>
      <c r="CY33" s="98">
        <f>CU33+CV33+CW33+CX33</f>
        <v>4043.7128225959373</v>
      </c>
      <c r="CZ33" s="2"/>
      <c r="DA33" s="98">
        <f>'TMO Germany'!DA46</f>
        <v>946.38577004621629</v>
      </c>
      <c r="DB33" s="98">
        <f>'TMO Germany'!DB46</f>
        <v>1029.0863892958864</v>
      </c>
      <c r="DC33" s="98">
        <f>'TMO Germany'!DC46</f>
        <v>1042.7998362381816</v>
      </c>
      <c r="DD33" s="98">
        <f>'TMO Germany'!DD46</f>
        <v>1097.1243095151551</v>
      </c>
      <c r="DE33" s="98">
        <f>DA33+DB33+DC33+DD33</f>
        <v>4115.3963050954389</v>
      </c>
      <c r="DF33" s="2"/>
      <c r="DG33" s="98">
        <f>'TMO Germany'!DG46</f>
        <v>960.39502765948214</v>
      </c>
      <c r="DH33" s="98">
        <f>'TMO Germany'!DH46</f>
        <v>1044.9963847114154</v>
      </c>
      <c r="DI33" s="98">
        <f>'TMO Germany'!DI46</f>
        <v>1061.4520345145354</v>
      </c>
      <c r="DJ33" s="98">
        <f>'TMO Germany'!DJ46</f>
        <v>1116.1428487743372</v>
      </c>
      <c r="DK33" s="98">
        <f>DG33+DH33+DI33+DJ33</f>
        <v>4182.9862956597699</v>
      </c>
    </row>
    <row r="34" spans="2:115" x14ac:dyDescent="0.3">
      <c r="B34" s="1" t="s">
        <v>191</v>
      </c>
      <c r="I34" s="2">
        <v>-2</v>
      </c>
      <c r="J34" s="2">
        <v>-2</v>
      </c>
      <c r="K34" s="2">
        <v>-2</v>
      </c>
      <c r="L34" s="2">
        <v>-2</v>
      </c>
      <c r="M34" s="98">
        <f>I34+J34+K34+L34</f>
        <v>-8</v>
      </c>
      <c r="O34" s="2">
        <v>-7</v>
      </c>
      <c r="P34" s="2">
        <v>1</v>
      </c>
      <c r="Q34" s="2">
        <v>-1</v>
      </c>
      <c r="R34" s="2">
        <v>-6</v>
      </c>
      <c r="S34" s="98">
        <f>O34+P34+Q34+R34</f>
        <v>-13</v>
      </c>
      <c r="U34" s="2">
        <v>-66</v>
      </c>
      <c r="V34" s="2">
        <v>-4</v>
      </c>
      <c r="W34" s="2">
        <v>0</v>
      </c>
      <c r="X34" s="2">
        <v>-1</v>
      </c>
      <c r="Y34" s="98">
        <f>U34+V34+W34+X34</f>
        <v>-71</v>
      </c>
      <c r="AA34" s="2">
        <v>0</v>
      </c>
      <c r="AB34" s="2">
        <v>0</v>
      </c>
      <c r="AC34" s="2">
        <v>0</v>
      </c>
      <c r="AD34" s="2">
        <v>0</v>
      </c>
      <c r="AE34" s="98">
        <f>AA34+AB34+AC34+AD34</f>
        <v>0</v>
      </c>
      <c r="AF34" s="503"/>
      <c r="AG34" s="2">
        <v>0</v>
      </c>
      <c r="AH34" s="2">
        <v>0</v>
      </c>
      <c r="AI34" s="2">
        <v>0</v>
      </c>
      <c r="AJ34" s="2">
        <v>0</v>
      </c>
      <c r="AK34" s="98">
        <f>AG34+AH34+AI34+AJ34</f>
        <v>0</v>
      </c>
      <c r="AL34" s="98"/>
      <c r="AM34" s="2">
        <v>0</v>
      </c>
      <c r="AN34" s="2">
        <v>0</v>
      </c>
      <c r="AO34" s="2">
        <v>0</v>
      </c>
      <c r="AP34" s="2">
        <v>0</v>
      </c>
      <c r="AQ34" s="98">
        <f>AM34+AN34+AO34+AP34</f>
        <v>0</v>
      </c>
      <c r="AR34" s="98"/>
      <c r="AS34" s="2">
        <v>0</v>
      </c>
      <c r="AT34" s="2">
        <v>0</v>
      </c>
      <c r="AU34" s="2">
        <v>0</v>
      </c>
      <c r="AV34" s="2">
        <v>0</v>
      </c>
      <c r="AW34" s="98">
        <f>AS34+AT34+AU34+AV34</f>
        <v>0</v>
      </c>
      <c r="AX34" s="98"/>
      <c r="AY34" s="2">
        <v>0</v>
      </c>
      <c r="AZ34" s="2">
        <v>0</v>
      </c>
      <c r="BA34" s="2">
        <v>0</v>
      </c>
      <c r="BB34" s="2">
        <v>0</v>
      </c>
      <c r="BC34" s="98">
        <f>AY34+AZ34+BA34+BB34</f>
        <v>0</v>
      </c>
      <c r="BD34" s="503"/>
      <c r="BE34" s="2">
        <v>0</v>
      </c>
      <c r="BF34" s="2">
        <v>0</v>
      </c>
      <c r="BG34" s="2">
        <v>0</v>
      </c>
      <c r="BH34" s="2">
        <v>0</v>
      </c>
      <c r="BI34" s="98">
        <f>BE34+BF34+BG34+BH34</f>
        <v>0</v>
      </c>
      <c r="BK34" s="2">
        <v>0</v>
      </c>
      <c r="BL34" s="2">
        <v>0</v>
      </c>
      <c r="BM34" s="2">
        <v>0</v>
      </c>
      <c r="BN34" s="2">
        <v>0</v>
      </c>
      <c r="BO34" s="98">
        <f>BK34+BL34+BM34+BN34</f>
        <v>0</v>
      </c>
      <c r="BQ34" s="2">
        <v>0</v>
      </c>
      <c r="BR34" s="2">
        <v>0</v>
      </c>
      <c r="BS34" s="2">
        <v>0</v>
      </c>
      <c r="BT34" s="2">
        <v>0</v>
      </c>
      <c r="BU34" s="98">
        <f>BQ34+BR34+BS34+BT34</f>
        <v>0</v>
      </c>
      <c r="BW34" s="2">
        <v>0</v>
      </c>
      <c r="BX34" s="2">
        <v>0</v>
      </c>
      <c r="BY34" s="2">
        <v>0</v>
      </c>
      <c r="BZ34" s="2">
        <v>0</v>
      </c>
      <c r="CA34" s="98">
        <f>BW34+BX34+BY34+BZ34</f>
        <v>0</v>
      </c>
      <c r="CC34" s="2">
        <v>0</v>
      </c>
      <c r="CD34" s="2">
        <v>0</v>
      </c>
      <c r="CE34" s="2">
        <v>0</v>
      </c>
      <c r="CF34" s="2">
        <v>0</v>
      </c>
      <c r="CG34" s="98">
        <f>CC34+CD34+CE34+CF34</f>
        <v>0</v>
      </c>
      <c r="CI34" s="2">
        <v>0</v>
      </c>
      <c r="CJ34" s="2">
        <v>0</v>
      </c>
      <c r="CK34" s="2">
        <v>0</v>
      </c>
      <c r="CL34" s="2">
        <v>0</v>
      </c>
      <c r="CM34" s="98">
        <f>CI34+CJ34+CK34+CL34</f>
        <v>0</v>
      </c>
      <c r="CO34" s="2">
        <v>0</v>
      </c>
      <c r="CP34" s="2">
        <v>0</v>
      </c>
      <c r="CQ34" s="2">
        <v>0</v>
      </c>
      <c r="CR34" s="2">
        <v>0</v>
      </c>
      <c r="CS34" s="98">
        <f>CO34+CP34+CQ34+CR34</f>
        <v>0</v>
      </c>
      <c r="CU34" s="2">
        <v>0</v>
      </c>
      <c r="CV34" s="2">
        <v>0</v>
      </c>
      <c r="CW34" s="2">
        <v>0</v>
      </c>
      <c r="CX34" s="2">
        <v>0</v>
      </c>
      <c r="CY34" s="98">
        <f>CU34+CV34+CW34+CX34</f>
        <v>0</v>
      </c>
      <c r="CZ34" s="2"/>
      <c r="DA34" s="2">
        <v>0</v>
      </c>
      <c r="DB34" s="2">
        <v>0</v>
      </c>
      <c r="DC34" s="2">
        <v>0</v>
      </c>
      <c r="DD34" s="2">
        <v>0</v>
      </c>
      <c r="DE34" s="98">
        <f>DA34+DB34+DC34+DD34</f>
        <v>0</v>
      </c>
      <c r="DF34" s="2"/>
      <c r="DG34" s="2">
        <v>0</v>
      </c>
      <c r="DH34" s="2">
        <v>0</v>
      </c>
      <c r="DI34" s="2">
        <v>0</v>
      </c>
      <c r="DJ34" s="2">
        <v>0</v>
      </c>
      <c r="DK34" s="98">
        <f>DG34+DH34+DI34+DJ34</f>
        <v>0</v>
      </c>
    </row>
    <row r="35" spans="2:115" x14ac:dyDescent="0.3">
      <c r="O35" s="98"/>
      <c r="P35" s="98"/>
      <c r="Q35" s="98"/>
      <c r="R35" s="98"/>
      <c r="U35" s="98"/>
      <c r="V35" s="98"/>
      <c r="W35" s="98"/>
      <c r="X35" s="98"/>
      <c r="AA35" s="98"/>
      <c r="AB35" s="98"/>
      <c r="AG35" s="98"/>
      <c r="AH35" s="98"/>
      <c r="AI35" s="98"/>
      <c r="AJ35" s="98"/>
      <c r="AM35" s="98"/>
      <c r="AN35" s="98"/>
      <c r="AO35" s="98"/>
      <c r="AP35" s="98"/>
      <c r="AQ35" s="98"/>
      <c r="AW35" s="98">
        <f>AW36-AQ36</f>
        <v>422.58658313294609</v>
      </c>
      <c r="BC35" s="98"/>
      <c r="BG35" s="356"/>
      <c r="BI35" s="98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</row>
    <row r="36" spans="2:115" x14ac:dyDescent="0.3">
      <c r="B36" s="13" t="s">
        <v>185</v>
      </c>
      <c r="C36" s="3"/>
      <c r="D36" s="3"/>
      <c r="E36" s="3"/>
      <c r="F36" s="3"/>
      <c r="G36" s="3"/>
      <c r="H36" s="3"/>
      <c r="I36" s="352">
        <v>966</v>
      </c>
      <c r="J36" s="352">
        <v>1030</v>
      </c>
      <c r="K36" s="352">
        <v>1038</v>
      </c>
      <c r="L36" s="352">
        <v>1206</v>
      </c>
      <c r="M36" s="352">
        <f>I36+J36+K36+L36</f>
        <v>4240</v>
      </c>
      <c r="N36" s="3"/>
      <c r="O36" s="352">
        <v>1061</v>
      </c>
      <c r="P36" s="352">
        <v>1176</v>
      </c>
      <c r="Q36" s="352">
        <v>1089</v>
      </c>
      <c r="R36" s="352">
        <v>935</v>
      </c>
      <c r="S36" s="352">
        <f>O36+P36+Q36+R36</f>
        <v>4261</v>
      </c>
      <c r="T36" s="3"/>
      <c r="U36" s="352">
        <v>1008</v>
      </c>
      <c r="V36" s="352">
        <v>1120</v>
      </c>
      <c r="W36" s="352">
        <v>1028.37694932</v>
      </c>
      <c r="X36" s="352">
        <v>999.57140832999994</v>
      </c>
      <c r="Y36" s="352">
        <f>U36+V36+W36+X36</f>
        <v>4155.9483576499997</v>
      </c>
      <c r="Z36" s="3"/>
      <c r="AA36" s="352">
        <v>871.18606080000006</v>
      </c>
      <c r="AB36" s="352">
        <v>891.7729010999999</v>
      </c>
      <c r="AC36" s="352">
        <v>1025.4045124999998</v>
      </c>
      <c r="AD36" s="352">
        <v>1042.520094</v>
      </c>
      <c r="AE36" s="352">
        <f>AA36+AB36+AC36+AD36</f>
        <v>3830.8835683999996</v>
      </c>
      <c r="AF36" s="3"/>
      <c r="AG36" s="352">
        <v>983.3657433599999</v>
      </c>
      <c r="AH36" s="352">
        <v>1058.3112636599999</v>
      </c>
      <c r="AI36" s="352">
        <v>993.99663948</v>
      </c>
      <c r="AJ36" s="352">
        <v>805.28743392000001</v>
      </c>
      <c r="AK36" s="352">
        <f>AG36+AH36+AI36+AJ36-1</f>
        <v>3839.9610804200001</v>
      </c>
      <c r="AL36" s="3"/>
      <c r="AM36" s="352">
        <f>'US Metro PF'!V309*0.996</f>
        <v>888.16728311999998</v>
      </c>
      <c r="AN36" s="352">
        <f>'US Metro PF'!W309*1.065</f>
        <v>929.82338841919659</v>
      </c>
      <c r="AO36" s="352">
        <f>'US Metro PF'!X309*1.0665</f>
        <v>1082.311654446577</v>
      </c>
      <c r="AP36" s="352">
        <f>'US Metro PF'!Y309*1.07</f>
        <v>974.05109628628031</v>
      </c>
      <c r="AQ36" s="352">
        <f>AM36+AN36+AO36+AP36</f>
        <v>3874.3534222720541</v>
      </c>
      <c r="AR36" s="3"/>
      <c r="AS36" s="352">
        <f>'US Metro PF'!AB309*1.063</f>
        <v>844.45060159999991</v>
      </c>
      <c r="AT36" s="352">
        <f>'US Metro PF'!AC309*1.024</f>
        <v>1083.19541248</v>
      </c>
      <c r="AU36" s="352">
        <f>'US Metro PF'!AD309*0.999</f>
        <v>1014.0708141</v>
      </c>
      <c r="AV36" s="352">
        <f>'US Metro PF'!AE309*0.9675</f>
        <v>1355.2231772249997</v>
      </c>
      <c r="AW36" s="352">
        <f>AS36+AT36+AU36+AV36</f>
        <v>4296.9400054050002</v>
      </c>
      <c r="AX36" s="3"/>
      <c r="AY36" s="352">
        <f>'US Metro PF'!AH309*0.995</f>
        <v>1225.4974016000001</v>
      </c>
      <c r="AZ36" s="352">
        <f>'US Metro PF'!AI309*1.004</f>
        <v>1651.6237675753489</v>
      </c>
      <c r="BA36" s="352">
        <f>'US Metro PF'!AJ309*0.992</f>
        <v>1702.0088844127115</v>
      </c>
      <c r="BB36" s="352">
        <f>'US Metro PF'!AK309*0.9967</f>
        <v>2074.9226175801905</v>
      </c>
      <c r="BC36" s="352">
        <f>AY36+AZ36+BA36+BB36</f>
        <v>6654.0526711682505</v>
      </c>
      <c r="BD36" s="3"/>
      <c r="BE36" s="352">
        <f>'US Metro PF'!AN309*0.765</f>
        <v>1907.5039910021044</v>
      </c>
      <c r="BF36" s="352">
        <f>'US Metro PF'!AO309*0.9955</f>
        <v>2171.9679461637229</v>
      </c>
      <c r="BG36" s="352">
        <f>'US Metro PF'!AP309*0.9152</f>
        <v>2155.8033515149887</v>
      </c>
      <c r="BH36" s="352">
        <f>'US Metro PF'!AQ309*0.9835</f>
        <v>2325.0245866656769</v>
      </c>
      <c r="BI36" s="352">
        <f>BE36+BF36+BG36+BH36</f>
        <v>8560.2998753464926</v>
      </c>
      <c r="BJ36" s="86">
        <f>BI36/BI48*'Sum of parts'!D11</f>
        <v>0.26895488809307549</v>
      </c>
      <c r="BK36" s="352">
        <f>'US Metro PF'!AT309*0.952</f>
        <v>2385.6108350787554</v>
      </c>
      <c r="BL36" s="352">
        <f>'US Metro PF'!AU309*0.94825</f>
        <v>2639.8707852706302</v>
      </c>
      <c r="BM36" s="352">
        <f>'US Metro PF'!AV309*0.9521</f>
        <v>2287.5756259950786</v>
      </c>
      <c r="BN36" s="352">
        <f>'US Metro PF'!AW309*0.87</f>
        <v>2002.9978259392624</v>
      </c>
      <c r="BO36" s="352">
        <f>BK36+BL36+BM36+BN36</f>
        <v>9316.055072283727</v>
      </c>
      <c r="BP36" s="3"/>
      <c r="BQ36" s="352">
        <f>'US Metro PF'!AZ309*0.96</f>
        <v>2306.2489573328307</v>
      </c>
      <c r="BR36" s="352">
        <f>'US Metro PF'!BA309*0.965</f>
        <v>2557.5734830424949</v>
      </c>
      <c r="BS36" s="352">
        <f>'US Metro PF'!BB309*0.965</f>
        <v>2393.2179094304847</v>
      </c>
      <c r="BT36" s="352">
        <f>'US Metro PF'!BC309*0.97</f>
        <v>2178.8258815827539</v>
      </c>
      <c r="BU36" s="352">
        <f>BQ36+BR36+BS36+BT36</f>
        <v>9435.8662313885652</v>
      </c>
      <c r="BV36" s="3"/>
      <c r="BW36" s="352">
        <f>'US Metro PF'!BF309*0.975</f>
        <v>2433.4597040690173</v>
      </c>
      <c r="BX36" s="352">
        <f>'US Metro PF'!BG309*0.975</f>
        <v>2719.6984563262836</v>
      </c>
      <c r="BY36" s="352">
        <f>'US Metro PF'!BH309*0.98</f>
        <v>2566.9721838755563</v>
      </c>
      <c r="BZ36" s="352">
        <f>'US Metro PF'!BI309*0.98</f>
        <v>2334.3897222900778</v>
      </c>
      <c r="CA36" s="352">
        <f>BW36+BX36+BY36+BZ36</f>
        <v>10054.520066560935</v>
      </c>
      <c r="CB36" s="3"/>
      <c r="CC36" s="352">
        <f>'US Metro PF'!BL309*0.985</f>
        <v>2597.6939463962544</v>
      </c>
      <c r="CD36" s="352">
        <f>'US Metro PF'!BM309*0.985</f>
        <v>2905.4653341436683</v>
      </c>
      <c r="CE36" s="352">
        <f>'US Metro PF'!BN309*0.985</f>
        <v>2731.5644337239592</v>
      </c>
      <c r="CF36" s="352">
        <f>'US Metro PF'!BO309*0.985</f>
        <v>2492.9124308460514</v>
      </c>
      <c r="CG36" s="352">
        <f>CC36+CD36+CE36+CF36</f>
        <v>10727.636145109933</v>
      </c>
      <c r="CH36" s="3"/>
      <c r="CI36" s="352">
        <f>'US Metro PF'!BR309*0.99</f>
        <v>2749.4426516379235</v>
      </c>
      <c r="CJ36" s="352">
        <f>'US Metro PF'!BS309*0.99</f>
        <v>3075.7459459622437</v>
      </c>
      <c r="CK36" s="352">
        <f>'US Metro PF'!BT309*0.99</f>
        <v>2895.8388847166329</v>
      </c>
      <c r="CL36" s="352">
        <f>'US Metro PF'!BU309*0.99</f>
        <v>2655.0907142708661</v>
      </c>
      <c r="CM36" s="352">
        <f>CI36+CJ36+CK36+CL36</f>
        <v>11376.118196587666</v>
      </c>
      <c r="CN36" s="3"/>
      <c r="CO36" s="352">
        <f>'US Metro PF'!BX309*0.995</f>
        <v>2888.7429149878408</v>
      </c>
      <c r="CP36" s="352">
        <f>'US Metro PF'!BY309*0.995</f>
        <v>3232.0835944484043</v>
      </c>
      <c r="CQ36" s="352">
        <f>'US Metro PF'!BZ309*0.995</f>
        <v>3048.2660284556014</v>
      </c>
      <c r="CR36" s="352">
        <f>'US Metro PF'!CA309*0.995</f>
        <v>2799.2755045300642</v>
      </c>
      <c r="CS36" s="352">
        <f>CO36+CP36+CQ36+CR36</f>
        <v>11968.368042421911</v>
      </c>
      <c r="CT36" s="3"/>
      <c r="CU36" s="352">
        <f>'US Metro PF'!CD309*0.995</f>
        <v>3003.2032076787577</v>
      </c>
      <c r="CV36" s="352">
        <f>'US Metro PF'!CE309*0.995</f>
        <v>3359.2573198626201</v>
      </c>
      <c r="CW36" s="352">
        <f>'US Metro PF'!CF309*0.995</f>
        <v>3173.2672472547661</v>
      </c>
      <c r="CX36" s="352">
        <f>'US Metro PF'!CG309*0.995</f>
        <v>2920.6585246364903</v>
      </c>
      <c r="CY36" s="352">
        <f>CU36+CV36+CW36+CX36</f>
        <v>12456.386299432634</v>
      </c>
      <c r="CZ36" s="3"/>
      <c r="DA36" s="352">
        <f>'US Metro PF'!CJ309*0.995</f>
        <v>3126.4066010601055</v>
      </c>
      <c r="DB36" s="352">
        <f>'US Metro PF'!CK309*0.995</f>
        <v>3495.4932864171828</v>
      </c>
      <c r="DC36" s="352">
        <f>'US Metro PF'!CL309*0.995</f>
        <v>3309.1682199264137</v>
      </c>
      <c r="DD36" s="352">
        <f>'US Metro PF'!CM309*0.995</f>
        <v>3049.5980860510863</v>
      </c>
      <c r="DE36" s="352">
        <f>DA36+DB36+DC36+DD36</f>
        <v>12980.666193454788</v>
      </c>
      <c r="DF36" s="3"/>
      <c r="DG36" s="352">
        <f>'US Metro PF'!CP309*0.995</f>
        <v>3214.5985180823504</v>
      </c>
      <c r="DH36" s="352">
        <f>'US Metro PF'!CQ309*0.995</f>
        <v>3591.5566360556904</v>
      </c>
      <c r="DI36" s="352">
        <f>'US Metro PF'!CR309*0.995</f>
        <v>3404.62094770983</v>
      </c>
      <c r="DJ36" s="352">
        <f>'US Metro PF'!CS309*0.995</f>
        <v>3141.4072777990477</v>
      </c>
      <c r="DK36" s="352">
        <f>DG36+DH36+DI36+DJ36</f>
        <v>13352.183379646918</v>
      </c>
    </row>
    <row r="37" spans="2:115" x14ac:dyDescent="0.3">
      <c r="BU37" s="2">
        <f>BU36*0.33</f>
        <v>3113.8358563582265</v>
      </c>
      <c r="BV37" s="2">
        <f ca="1">BU31/(BU48-BU37)</f>
        <v>0.45001681191465448</v>
      </c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</row>
    <row r="38" spans="2:115" x14ac:dyDescent="0.3">
      <c r="B38" s="1" t="s">
        <v>186</v>
      </c>
      <c r="I38" s="98">
        <f>I48-I31-I36-I40-I44-I46</f>
        <v>1347.9381044487427</v>
      </c>
      <c r="J38" s="98">
        <f>J48-J31-J36-J40-J44-J46</f>
        <v>1432.0423108218063</v>
      </c>
      <c r="K38" s="98">
        <f>K48-K31-K36-K40-K44-K46</f>
        <v>1755.0123022847099</v>
      </c>
      <c r="L38" s="98">
        <f>L48-L31-L36-L40-L44-L46</f>
        <v>1018.9463955637708</v>
      </c>
      <c r="M38" s="98">
        <f>I38+J38+K38+L38</f>
        <v>5553.9391131190305</v>
      </c>
      <c r="O38" s="98">
        <f>S38-P38-Q38-R38</f>
        <v>1265</v>
      </c>
      <c r="P38" s="98">
        <v>1686</v>
      </c>
      <c r="Q38" s="98">
        <v>1844</v>
      </c>
      <c r="R38" s="98">
        <v>1595</v>
      </c>
      <c r="S38" s="98">
        <v>6390</v>
      </c>
      <c r="T38" s="98"/>
      <c r="U38" s="98">
        <v>1587</v>
      </c>
      <c r="V38" s="98">
        <v>1431</v>
      </c>
      <c r="W38" s="98">
        <v>1465</v>
      </c>
      <c r="X38" s="98">
        <f>X118</f>
        <v>1264.6167499999999</v>
      </c>
      <c r="Y38" s="98">
        <f>U38+V38+W38+X38</f>
        <v>5747.6167500000001</v>
      </c>
      <c r="Z38" s="98"/>
      <c r="AA38" s="98">
        <v>1226</v>
      </c>
      <c r="AB38" s="98">
        <v>1316</v>
      </c>
      <c r="AC38" s="98">
        <v>1388</v>
      </c>
      <c r="AD38" s="98">
        <v>1311</v>
      </c>
      <c r="AE38" s="98">
        <f>AA38+AB38+AC38+AD38</f>
        <v>5241</v>
      </c>
      <c r="AF38" s="98"/>
      <c r="AG38" s="98">
        <f>AG118</f>
        <v>1192</v>
      </c>
      <c r="AH38" s="98">
        <f>AH118</f>
        <v>1195</v>
      </c>
      <c r="AI38" s="98">
        <f>AI118</f>
        <v>1345</v>
      </c>
      <c r="AJ38" s="98">
        <f>AJ118</f>
        <v>1204</v>
      </c>
      <c r="AK38" s="98">
        <f>AG38+AH38+AI38+AJ38</f>
        <v>4936</v>
      </c>
      <c r="AL38" s="98"/>
      <c r="AM38" s="98">
        <f>AM118</f>
        <v>1097</v>
      </c>
      <c r="AN38" s="98">
        <f>AN118</f>
        <v>1117</v>
      </c>
      <c r="AO38" s="98">
        <f>AO118</f>
        <v>1169</v>
      </c>
      <c r="AP38" s="98">
        <f>AP118</f>
        <v>1167</v>
      </c>
      <c r="AQ38" s="98">
        <f>AM38+AN38+AO38+AP38</f>
        <v>4550</v>
      </c>
      <c r="AR38" s="98"/>
      <c r="AS38" s="98">
        <f>AS118</f>
        <v>1027</v>
      </c>
      <c r="AT38" s="98">
        <f>AT118</f>
        <v>1098</v>
      </c>
      <c r="AU38" s="98">
        <f>AU118</f>
        <v>1184</v>
      </c>
      <c r="AV38" s="98">
        <f>AV118</f>
        <v>1123</v>
      </c>
      <c r="AW38" s="98">
        <f>AS38+AT38+AU38+AV38</f>
        <v>4432</v>
      </c>
      <c r="AX38" s="98"/>
      <c r="AY38" s="98">
        <f>AY118</f>
        <v>1016</v>
      </c>
      <c r="AZ38" s="98">
        <f>AZ118</f>
        <v>1081</v>
      </c>
      <c r="BA38" s="98">
        <f>BA118</f>
        <v>1157</v>
      </c>
      <c r="BB38" s="98">
        <f>BB118</f>
        <v>1075</v>
      </c>
      <c r="BC38" s="98">
        <f>AY38+AZ38+BA38+BB38</f>
        <v>4329</v>
      </c>
      <c r="BD38" s="98"/>
      <c r="BE38" s="98">
        <f>BE118</f>
        <v>931</v>
      </c>
      <c r="BF38" s="98">
        <f>BF118</f>
        <v>968</v>
      </c>
      <c r="BG38" s="98">
        <f>BG118</f>
        <v>1037</v>
      </c>
      <c r="BH38" s="98">
        <f>BH118</f>
        <v>930</v>
      </c>
      <c r="BI38" s="98">
        <f>BE38+BF38+BG38+BH38</f>
        <v>3866</v>
      </c>
      <c r="BJ38" s="98"/>
      <c r="BK38" s="98">
        <f>BK118</f>
        <v>889</v>
      </c>
      <c r="BL38" s="98">
        <f>BL118</f>
        <v>947</v>
      </c>
      <c r="BM38" s="98">
        <f>BM118</f>
        <v>1007</v>
      </c>
      <c r="BN38" s="98">
        <f>BN118</f>
        <v>906</v>
      </c>
      <c r="BO38" s="98">
        <f>BK38+BL38+BM38+BN38</f>
        <v>3749</v>
      </c>
      <c r="BP38" s="98"/>
      <c r="BQ38" s="98">
        <f>BQ118</f>
        <v>874.39143921799734</v>
      </c>
      <c r="BR38" s="98">
        <f>BR118</f>
        <v>941.54834923803332</v>
      </c>
      <c r="BS38" s="98">
        <f>BS118</f>
        <v>1002.7770526228419</v>
      </c>
      <c r="BT38" s="98">
        <f ca="1">BT118</f>
        <v>901.80012708251093</v>
      </c>
      <c r="BU38" s="98">
        <f ca="1">BQ38+BR38+BS38+BT38</f>
        <v>3720.5169681613834</v>
      </c>
      <c r="BV38" s="98"/>
      <c r="BW38" s="98">
        <f>BW118</f>
        <v>871.97460709970301</v>
      </c>
      <c r="BX38" s="98">
        <f>BX118</f>
        <v>942.17362035358678</v>
      </c>
      <c r="BY38" s="98">
        <f>BY118</f>
        <v>1005.4004269999111</v>
      </c>
      <c r="BZ38" s="98">
        <f ca="1">BZ118</f>
        <v>899.27689044764099</v>
      </c>
      <c r="CA38" s="98">
        <f ca="1">BW38+BX38+BY38+BZ38</f>
        <v>3718.825544900842</v>
      </c>
      <c r="CB38" s="98"/>
      <c r="CC38" s="98">
        <f>CC118</f>
        <v>876.48826553656204</v>
      </c>
      <c r="CD38" s="98">
        <f>CD118</f>
        <v>947.56287640200583</v>
      </c>
      <c r="CE38" s="98">
        <f>CE118</f>
        <v>1011.0448633416637</v>
      </c>
      <c r="CF38" s="98">
        <f ca="1">CF118</f>
        <v>902.9949998836446</v>
      </c>
      <c r="CG38" s="98">
        <f ca="1">CC38+CD38+CE38+CF38</f>
        <v>3738.0910051638762</v>
      </c>
      <c r="CH38" s="98"/>
      <c r="CI38" s="98">
        <f>CI118</f>
        <v>881.40467168939222</v>
      </c>
      <c r="CJ38" s="98">
        <f>CJ118</f>
        <v>953.25517609329302</v>
      </c>
      <c r="CK38" s="98">
        <f>CK118</f>
        <v>1017.3541149367569</v>
      </c>
      <c r="CL38" s="98">
        <f ca="1">CL118</f>
        <v>908.14179238657198</v>
      </c>
      <c r="CM38" s="98">
        <f ca="1">CI38+CJ38+CK38+CL38</f>
        <v>3760.1557551060141</v>
      </c>
      <c r="CN38" s="98"/>
      <c r="CO38" s="98">
        <f>CO118</f>
        <v>886.04345672996192</v>
      </c>
      <c r="CP38" s="98">
        <f>CP118</f>
        <v>958.73444872655909</v>
      </c>
      <c r="CQ38" s="98">
        <f>CQ118</f>
        <v>1023.368196993531</v>
      </c>
      <c r="CR38" s="98">
        <f ca="1">CR118</f>
        <v>913.69124619366539</v>
      </c>
      <c r="CS38" s="98">
        <f ca="1">CO38+CP38+CQ38+CR38</f>
        <v>3781.8373486437176</v>
      </c>
      <c r="CT38" s="98"/>
      <c r="CU38" s="98">
        <f>CU118</f>
        <v>891.59310199643198</v>
      </c>
      <c r="CV38" s="98">
        <f>CV118</f>
        <v>965.33789631976947</v>
      </c>
      <c r="CW38" s="98">
        <f>CW118</f>
        <v>1030.3374352657163</v>
      </c>
      <c r="CX38" s="98">
        <f ca="1">CX118</f>
        <v>919.75719775913581</v>
      </c>
      <c r="CY38" s="98">
        <f ca="1">CU38+CV38+CW38+CX38</f>
        <v>3807.0256313410537</v>
      </c>
      <c r="CZ38" s="98"/>
      <c r="DA38" s="98">
        <f>DA118</f>
        <v>897.56841734366253</v>
      </c>
      <c r="DB38" s="98">
        <f>DB118</f>
        <v>972.41267461306165</v>
      </c>
      <c r="DC38" s="98">
        <f>DC118</f>
        <v>1037.7317476321848</v>
      </c>
      <c r="DD38" s="98">
        <f ca="1">DD118</f>
        <v>926.20640815045726</v>
      </c>
      <c r="DE38" s="98">
        <f ca="1">DA38+DB38+DC38+DD38</f>
        <v>3833.9192477393663</v>
      </c>
      <c r="DF38" s="98"/>
      <c r="DG38" s="98">
        <f>DG118</f>
        <v>903.40925255832303</v>
      </c>
      <c r="DH38" s="98">
        <f>DH118</f>
        <v>979.36444856769822</v>
      </c>
      <c r="DI38" s="98">
        <f>DI118</f>
        <v>1044.8797529601998</v>
      </c>
      <c r="DJ38" s="98">
        <f ca="1">DJ118</f>
        <v>932.58478873015315</v>
      </c>
      <c r="DK38" s="98">
        <f ca="1">DG38+DH38+DI38+DJ38</f>
        <v>3860.2382428163746</v>
      </c>
    </row>
    <row r="39" spans="2:115" x14ac:dyDescent="0.3"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</row>
    <row r="40" spans="2:115" x14ac:dyDescent="0.3">
      <c r="B40" s="1" t="s">
        <v>187</v>
      </c>
      <c r="I40" s="356">
        <f>'T-Systems'!I8</f>
        <v>204.06189555125724</v>
      </c>
      <c r="J40" s="356">
        <f>'T-Systems'!J8</f>
        <v>187.95768917819365</v>
      </c>
      <c r="K40" s="356">
        <f>'T-Systems'!K8</f>
        <v>202.98769771529001</v>
      </c>
      <c r="L40" s="356">
        <f>'T-Systems'!L8</f>
        <v>231.05360443622919</v>
      </c>
      <c r="M40" s="98">
        <f>I40+J40+K40+L40</f>
        <v>826.06088688097009</v>
      </c>
      <c r="O40" s="356">
        <f>'T-Systems'!O8</f>
        <v>211</v>
      </c>
      <c r="P40" s="356">
        <f>'T-Systems'!P8</f>
        <v>231</v>
      </c>
      <c r="Q40" s="356">
        <f>'T-Systems'!Q8</f>
        <v>231</v>
      </c>
      <c r="R40" s="356">
        <f>'T-Systems'!R8</f>
        <v>250</v>
      </c>
      <c r="S40" s="98">
        <f>O40+P40+Q40+R40</f>
        <v>923</v>
      </c>
      <c r="U40" s="356">
        <f>'T-Systems'!U8</f>
        <v>196</v>
      </c>
      <c r="V40" s="356">
        <f>'T-Systems'!V8</f>
        <v>231</v>
      </c>
      <c r="W40" s="356">
        <f>'T-Systems'!W8</f>
        <v>222</v>
      </c>
      <c r="X40" s="356">
        <f>'T-Systems'!X8</f>
        <v>299</v>
      </c>
      <c r="Y40" s="98">
        <f>U40+V40+W40+X40</f>
        <v>948</v>
      </c>
      <c r="AA40" s="356">
        <f>'T-Systems'!AA8</f>
        <v>144</v>
      </c>
      <c r="AB40" s="356">
        <f>'T-Systems'!AB8</f>
        <v>153</v>
      </c>
      <c r="AC40" s="356">
        <f>'T-Systems'!AC8</f>
        <v>155</v>
      </c>
      <c r="AD40" s="356">
        <f>'T-Systems'!AD8</f>
        <v>220</v>
      </c>
      <c r="AE40" s="98">
        <f>AA40+AB40+AC40+AD40</f>
        <v>672</v>
      </c>
      <c r="AG40" s="356">
        <f>'T-Systems'!AG8</f>
        <v>142</v>
      </c>
      <c r="AH40" s="356">
        <f>'T-Systems'!AH8</f>
        <v>179</v>
      </c>
      <c r="AI40" s="356">
        <f>'T-Systems'!AI8</f>
        <v>186</v>
      </c>
      <c r="AJ40" s="356">
        <f>'T-Systems'!AJ8</f>
        <v>240</v>
      </c>
      <c r="AK40" s="98">
        <f>AG40+AH40+AI40+AJ40</f>
        <v>747</v>
      </c>
      <c r="AM40" s="356">
        <f>'T-Systems'!AM8</f>
        <v>168</v>
      </c>
      <c r="AN40" s="356">
        <f>'T-Systems'!AN8</f>
        <v>210</v>
      </c>
      <c r="AO40" s="356">
        <f>'T-Systems'!AO8</f>
        <v>197</v>
      </c>
      <c r="AP40" s="356">
        <f>'T-Systems'!AP8</f>
        <v>199</v>
      </c>
      <c r="AQ40" s="98">
        <f>AM40+AN40+AO40+AP40</f>
        <v>774</v>
      </c>
      <c r="AS40" s="356">
        <f>'T-Systems'!AS8</f>
        <v>138</v>
      </c>
      <c r="AT40" s="356">
        <f>'T-Systems'!AT8</f>
        <v>288</v>
      </c>
      <c r="AU40" s="356">
        <f>'T-Systems'!AU8</f>
        <v>197</v>
      </c>
      <c r="AV40" s="356">
        <f>'T-Systems'!AV8</f>
        <v>212</v>
      </c>
      <c r="AW40" s="98">
        <f>AS40+AT40+AU40+AV40</f>
        <v>835</v>
      </c>
      <c r="AY40" s="356">
        <f>'T-Systems'!AY8</f>
        <v>145</v>
      </c>
      <c r="AZ40" s="356">
        <f>'T-Systems'!AZ8</f>
        <v>203</v>
      </c>
      <c r="BA40" s="356">
        <f>'T-Systems'!BA8</f>
        <v>176</v>
      </c>
      <c r="BB40" s="356">
        <f>'T-Systems'!BB8</f>
        <v>216</v>
      </c>
      <c r="BC40" s="98">
        <f>AY40+AZ40+BA40+BB40</f>
        <v>740</v>
      </c>
      <c r="BE40" s="356">
        <f>'T-Systems'!BE8</f>
        <v>196</v>
      </c>
      <c r="BF40" s="356">
        <f>'T-Systems'!BF8</f>
        <v>111</v>
      </c>
      <c r="BG40" s="356">
        <f>'T-Systems'!BG8</f>
        <v>139</v>
      </c>
      <c r="BH40" s="356">
        <f>'T-Systems'!BH8</f>
        <v>84</v>
      </c>
      <c r="BI40" s="98">
        <f>BE40+BF40+BG40+BH40</f>
        <v>530</v>
      </c>
      <c r="BK40" s="356">
        <f>'T-Systems'!BK8</f>
        <v>96</v>
      </c>
      <c r="BL40" s="356">
        <f>'T-Systems'!BL8</f>
        <v>136</v>
      </c>
      <c r="BM40" s="356">
        <f>'T-Systems'!BM8</f>
        <v>131</v>
      </c>
      <c r="BN40" s="356">
        <f>'T-Systems'!BN8</f>
        <v>147</v>
      </c>
      <c r="BO40" s="98">
        <f>BK40+BL40+BM40+BN40</f>
        <v>510</v>
      </c>
      <c r="BP40" s="2">
        <f>BO40/Y40-1</f>
        <v>-0.46202531645569622</v>
      </c>
      <c r="BQ40" s="356">
        <f>'T-Systems'!BQ8</f>
        <v>94.492200000000011</v>
      </c>
      <c r="BR40" s="356">
        <f>'T-Systems'!BR8</f>
        <v>128.8356</v>
      </c>
      <c r="BS40" s="356">
        <f>'T-Systems'!BS8</f>
        <v>118.19749999999999</v>
      </c>
      <c r="BT40" s="356">
        <f>'T-Systems'!BT8</f>
        <v>91.50569999999999</v>
      </c>
      <c r="BU40" s="98">
        <f>BQ40+BR40+BS40+BT40</f>
        <v>433.03100000000001</v>
      </c>
      <c r="BW40" s="356">
        <f>'T-Systems'!BW8</f>
        <v>96.902400000000014</v>
      </c>
      <c r="BX40" s="356">
        <f>'T-Systems'!BX8</f>
        <v>129.10486599999999</v>
      </c>
      <c r="BY40" s="356">
        <f>'T-Systems'!BY8</f>
        <v>120.01569999999998</v>
      </c>
      <c r="BZ40" s="356">
        <f>'T-Systems'!BZ8</f>
        <v>95.047647749999996</v>
      </c>
      <c r="CA40" s="98">
        <f>BW40+BX40+BY40+BZ40</f>
        <v>441.07061375000001</v>
      </c>
      <c r="CC40" s="356">
        <f>'T-Systems'!CC8</f>
        <v>98.622417600000006</v>
      </c>
      <c r="CD40" s="356">
        <f>'T-Systems'!CD8</f>
        <v>130.7585996</v>
      </c>
      <c r="CE40" s="356">
        <f>'T-Systems'!CE8</f>
        <v>121.68856</v>
      </c>
      <c r="CF40" s="356">
        <f>'T-Systems'!CF8</f>
        <v>96.830449650000006</v>
      </c>
      <c r="CG40" s="98">
        <f>CC40+CD40+CE40+CF40</f>
        <v>447.90002685000002</v>
      </c>
      <c r="CI40" s="356">
        <f>'T-Systems'!CI8</f>
        <v>100.84414737600001</v>
      </c>
      <c r="CJ40" s="356">
        <f>'T-Systems'!CJ8</f>
        <v>133.07439486600001</v>
      </c>
      <c r="CK40" s="356">
        <f>'T-Systems'!CK8</f>
        <v>123.97822709999997</v>
      </c>
      <c r="CL40" s="356">
        <f>'T-Systems'!CL8</f>
        <v>99.106317807749988</v>
      </c>
      <c r="CM40" s="98">
        <f>CI40+CJ40+CK40+CL40</f>
        <v>457.00308714974994</v>
      </c>
      <c r="CO40" s="356">
        <f>'T-Systems'!CO8</f>
        <v>103.08562888932001</v>
      </c>
      <c r="CP40" s="356">
        <f>'T-Systems'!CP8</f>
        <v>135.41007911966997</v>
      </c>
      <c r="CQ40" s="356">
        <f>'T-Systems'!CQ8</f>
        <v>126.28774865699997</v>
      </c>
      <c r="CR40" s="356">
        <f>'T-Systems'!CR8</f>
        <v>101.40252388583623</v>
      </c>
      <c r="CS40" s="98">
        <f>CO40+CP40+CQ40+CR40</f>
        <v>466.18598055182616</v>
      </c>
      <c r="CU40" s="356">
        <f>'T-Systems'!CU8</f>
        <v>105.34700411408879</v>
      </c>
      <c r="CV40" s="356">
        <f>'T-Systems'!CV8</f>
        <v>137.76579335600502</v>
      </c>
      <c r="CW40" s="356">
        <f>'T-Systems'!CW8</f>
        <v>128.61726597389244</v>
      </c>
      <c r="CX40" s="356">
        <f>'T-Systems'!CX8</f>
        <v>103.71921436675814</v>
      </c>
      <c r="CY40" s="98">
        <f>CU40+CV40+CW40+CX40</f>
        <v>475.44927781074443</v>
      </c>
      <c r="CZ40" s="2"/>
      <c r="DA40" s="356">
        <f>'T-Systems'!DA8</f>
        <v>105.87373913465923</v>
      </c>
      <c r="DB40" s="356">
        <f>'T-Systems'!DB8</f>
        <v>138.45462232278504</v>
      </c>
      <c r="DC40" s="356">
        <f>'T-Systems'!DC8</f>
        <v>129.26035230376189</v>
      </c>
      <c r="DD40" s="356">
        <f>'T-Systems'!DD8</f>
        <v>104.23781043859192</v>
      </c>
      <c r="DE40" s="98">
        <f>DA40+DB40+DC40+DD40</f>
        <v>477.82652419979803</v>
      </c>
      <c r="DF40" s="2"/>
      <c r="DG40" s="356">
        <f>'T-Systems'!DG8</f>
        <v>106.40310783033252</v>
      </c>
      <c r="DH40" s="356">
        <f>'T-Systems'!DH8</f>
        <v>139.14689543439894</v>
      </c>
      <c r="DI40" s="356">
        <f>'T-Systems'!DI8</f>
        <v>129.90665406528069</v>
      </c>
      <c r="DJ40" s="356">
        <f>'T-Systems'!DJ8</f>
        <v>104.75899949078487</v>
      </c>
      <c r="DK40" s="98">
        <f>DG40+DH40+DI40+DJ40</f>
        <v>480.21565682079699</v>
      </c>
    </row>
    <row r="41" spans="2:115" x14ac:dyDescent="0.3"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</row>
    <row r="42" spans="2:115" x14ac:dyDescent="0.3">
      <c r="B42" s="1" t="s">
        <v>587</v>
      </c>
      <c r="I42" s="2">
        <v>0</v>
      </c>
      <c r="J42" s="2">
        <v>0</v>
      </c>
      <c r="K42" s="2">
        <v>0</v>
      </c>
      <c r="L42" s="2">
        <v>0</v>
      </c>
      <c r="M42" s="98">
        <f>I42+J42+K42+L42</f>
        <v>0</v>
      </c>
      <c r="O42" s="2">
        <v>0</v>
      </c>
      <c r="P42" s="2">
        <v>0</v>
      </c>
      <c r="Q42" s="2">
        <v>0</v>
      </c>
      <c r="R42" s="2">
        <v>0</v>
      </c>
      <c r="S42" s="98">
        <f>O42+P42+Q42+R42</f>
        <v>0</v>
      </c>
      <c r="U42" s="2">
        <v>0</v>
      </c>
      <c r="V42" s="2">
        <v>0</v>
      </c>
      <c r="W42" s="2">
        <v>0</v>
      </c>
      <c r="X42" s="2">
        <v>0</v>
      </c>
      <c r="Y42" s="98">
        <f>U42+V42+W42+X42</f>
        <v>0</v>
      </c>
      <c r="AA42" s="2">
        <v>0</v>
      </c>
      <c r="AB42" s="2">
        <v>0</v>
      </c>
      <c r="AC42" s="2">
        <v>0</v>
      </c>
      <c r="AD42" s="2">
        <v>0</v>
      </c>
      <c r="AE42" s="98">
        <f>AA42+AB42+AC42+AD42</f>
        <v>0</v>
      </c>
      <c r="AG42" s="2">
        <v>0</v>
      </c>
      <c r="AH42" s="2">
        <v>0</v>
      </c>
      <c r="AI42" s="2">
        <v>0</v>
      </c>
      <c r="AJ42" s="2">
        <v>0</v>
      </c>
      <c r="AK42" s="98">
        <f>AG42+AH42+AI42+AJ42</f>
        <v>0</v>
      </c>
      <c r="AM42" s="2">
        <v>0</v>
      </c>
      <c r="AN42" s="2">
        <v>0</v>
      </c>
      <c r="AO42" s="2">
        <v>0</v>
      </c>
      <c r="AP42" s="2">
        <v>0</v>
      </c>
      <c r="AQ42" s="98">
        <f>AM42+AN42+AO42+AP42</f>
        <v>0</v>
      </c>
      <c r="AS42" s="2">
        <v>0</v>
      </c>
      <c r="AT42" s="2">
        <v>0</v>
      </c>
      <c r="AU42" s="2">
        <v>0</v>
      </c>
      <c r="AV42" s="2">
        <v>0</v>
      </c>
      <c r="AW42" s="98">
        <f>AS42+AT42+AU42+AV42</f>
        <v>0</v>
      </c>
      <c r="AY42" s="2">
        <v>0</v>
      </c>
      <c r="AZ42" s="2">
        <v>0</v>
      </c>
      <c r="BA42" s="2">
        <v>0</v>
      </c>
      <c r="BB42" s="2">
        <v>0</v>
      </c>
      <c r="BC42" s="98">
        <f>AY42+AZ42+BA42+BB42</f>
        <v>0</v>
      </c>
      <c r="BE42" s="98">
        <f>BE191</f>
        <v>223</v>
      </c>
      <c r="BF42" s="98">
        <f>BF191</f>
        <v>256</v>
      </c>
      <c r="BG42" s="98">
        <f>BG191</f>
        <v>251</v>
      </c>
      <c r="BH42" s="98">
        <f>BH191</f>
        <v>213</v>
      </c>
      <c r="BI42" s="98">
        <f>BE42+BF42+BG42+BH42</f>
        <v>943</v>
      </c>
      <c r="BK42" s="98">
        <f>BK191</f>
        <v>238</v>
      </c>
      <c r="BL42" s="98">
        <f>BL191</f>
        <v>236</v>
      </c>
      <c r="BM42" s="98">
        <f>BM191</f>
        <v>220</v>
      </c>
      <c r="BN42" s="98">
        <f>BN191</f>
        <v>220</v>
      </c>
      <c r="BO42" s="98">
        <f>BK42+BL42+BM42+BN42</f>
        <v>914</v>
      </c>
      <c r="BQ42" s="98">
        <f>BQ191</f>
        <v>221.07887318151819</v>
      </c>
      <c r="BR42" s="98">
        <f>BR191</f>
        <v>237.7383319542642</v>
      </c>
      <c r="BS42" s="98">
        <f>BS191</f>
        <v>221.56537995113086</v>
      </c>
      <c r="BT42" s="98">
        <f>BT191</f>
        <v>217.38784007169971</v>
      </c>
      <c r="BU42" s="98">
        <f>BQ42+BR42+BS42+BT42</f>
        <v>897.77042515861285</v>
      </c>
      <c r="BW42" s="98">
        <f>BW191</f>
        <v>222.80673806332931</v>
      </c>
      <c r="BX42" s="98">
        <f>BX191</f>
        <v>239.74859369382449</v>
      </c>
      <c r="BY42" s="98">
        <f>BY191</f>
        <v>224.10012471044462</v>
      </c>
      <c r="BZ42" s="98">
        <f>BZ191</f>
        <v>220.31014106935982</v>
      </c>
      <c r="CA42" s="98">
        <f>BW42+BX42+BY42+BZ42</f>
        <v>906.96559753695828</v>
      </c>
      <c r="CC42" s="98">
        <f>CC191</f>
        <v>227.1729967354965</v>
      </c>
      <c r="CD42" s="98">
        <f>CD191</f>
        <v>244.47661771383855</v>
      </c>
      <c r="CE42" s="98">
        <f>CE191</f>
        <v>228.93829203323384</v>
      </c>
      <c r="CF42" s="98">
        <f>CF191</f>
        <v>224.52386864188574</v>
      </c>
      <c r="CG42" s="98">
        <f>CC42+CD42+CE42+CF42</f>
        <v>925.11177512445465</v>
      </c>
      <c r="CI42" s="98">
        <f>CI191</f>
        <v>233.70020742395701</v>
      </c>
      <c r="CJ42" s="98">
        <f>CJ191</f>
        <v>251.46590440156075</v>
      </c>
      <c r="CK42" s="98">
        <f>CK191</f>
        <v>235.92397638938158</v>
      </c>
      <c r="CL42" s="98">
        <f>CL191</f>
        <v>231.60572446457783</v>
      </c>
      <c r="CM42" s="98">
        <f>CI42+CJ42+CK42+CL42</f>
        <v>952.69581267947717</v>
      </c>
      <c r="CO42" s="98">
        <f>CO191</f>
        <v>241.57287469459615</v>
      </c>
      <c r="CP42" s="98">
        <f>CP191</f>
        <v>259.86488829110226</v>
      </c>
      <c r="CQ42" s="98">
        <f>CQ191</f>
        <v>244.26398478118415</v>
      </c>
      <c r="CR42" s="98">
        <f>CR191</f>
        <v>240.02234622089105</v>
      </c>
      <c r="CS42" s="98">
        <f>CO42+CP42+CQ42+CR42</f>
        <v>985.72409398777359</v>
      </c>
      <c r="CU42" s="98">
        <f>CU191</f>
        <v>251.35430643911042</v>
      </c>
      <c r="CV42" s="98">
        <f>CV191</f>
        <v>270.17148430962857</v>
      </c>
      <c r="CW42" s="98">
        <f>CW191</f>
        <v>254.49656202614969</v>
      </c>
      <c r="CX42" s="98">
        <f>CX191</f>
        <v>250.33726329148854</v>
      </c>
      <c r="CY42" s="98">
        <f>CU42+CV42+CW42+CX42</f>
        <v>1026.3596160663772</v>
      </c>
      <c r="CZ42" s="2"/>
      <c r="DA42" s="98">
        <f>DA191</f>
        <v>259.39060461151888</v>
      </c>
      <c r="DB42" s="98">
        <f>DB191</f>
        <v>278.7310225925159</v>
      </c>
      <c r="DC42" s="98">
        <f>DC191</f>
        <v>262.94299130393489</v>
      </c>
      <c r="DD42" s="98">
        <f>DD191</f>
        <v>258.82837295441084</v>
      </c>
      <c r="DE42" s="98">
        <f>DA42+DB42+DC42+DD42</f>
        <v>1059.8929914623805</v>
      </c>
      <c r="DF42" s="2"/>
      <c r="DG42" s="98">
        <f>DG191</f>
        <v>266.1376063768223</v>
      </c>
      <c r="DH42" s="98">
        <f>DH191</f>
        <v>285.98721621618711</v>
      </c>
      <c r="DI42" s="98">
        <f>DI191</f>
        <v>270.05905325678873</v>
      </c>
      <c r="DJ42" s="98">
        <f>DJ191</f>
        <v>265.96162424785308</v>
      </c>
      <c r="DK42" s="98">
        <f>DG42+DH42+DI42+DJ42</f>
        <v>1088.1455000976512</v>
      </c>
    </row>
    <row r="43" spans="2:115" x14ac:dyDescent="0.3"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</row>
    <row r="44" spans="2:115" x14ac:dyDescent="0.3">
      <c r="B44" s="1" t="s">
        <v>181</v>
      </c>
      <c r="I44" s="98">
        <f>O44</f>
        <v>-50</v>
      </c>
      <c r="J44" s="98">
        <f>P44</f>
        <v>-142</v>
      </c>
      <c r="K44" s="98">
        <f>Q44</f>
        <v>-112</v>
      </c>
      <c r="L44" s="98">
        <f>R44</f>
        <v>-11</v>
      </c>
      <c r="M44" s="98">
        <f>I44+J44+K44+L44</f>
        <v>-315</v>
      </c>
      <c r="O44" s="98">
        <f>GHS!O14</f>
        <v>-50</v>
      </c>
      <c r="P44" s="98">
        <f>GHS!P14</f>
        <v>-142</v>
      </c>
      <c r="Q44" s="98">
        <f>GHS!Q14</f>
        <v>-112</v>
      </c>
      <c r="R44" s="98">
        <f>GHS!R14</f>
        <v>-11</v>
      </c>
      <c r="S44" s="98">
        <f>O44+P44+Q44+R44</f>
        <v>-315</v>
      </c>
      <c r="U44" s="98">
        <f>GHS!U14</f>
        <v>-172</v>
      </c>
      <c r="V44" s="98">
        <f>GHS!V14</f>
        <v>-182</v>
      </c>
      <c r="W44" s="98">
        <f>GHS!W14</f>
        <v>-192</v>
      </c>
      <c r="X44" s="98">
        <f>GHS!X14</f>
        <v>-324</v>
      </c>
      <c r="Y44" s="98">
        <f>U44+V44+W44+X44</f>
        <v>-870</v>
      </c>
      <c r="AA44" s="98">
        <f>GHS!AA14</f>
        <v>-129</v>
      </c>
      <c r="AB44" s="98">
        <f>GHS!AB14</f>
        <v>-108</v>
      </c>
      <c r="AC44" s="98">
        <f>GHS!AC14</f>
        <v>-111</v>
      </c>
      <c r="AD44" s="98">
        <f>GHS!AD14</f>
        <v>-269</v>
      </c>
      <c r="AE44" s="98">
        <f>AA44+AB44+AC44+AD44</f>
        <v>-617</v>
      </c>
      <c r="AG44" s="98">
        <f>GHS!AG14</f>
        <v>-163</v>
      </c>
      <c r="AH44" s="98">
        <f>GHS!AH14</f>
        <v>-78</v>
      </c>
      <c r="AI44" s="98">
        <f>GHS!AI14</f>
        <v>-154</v>
      </c>
      <c r="AJ44" s="98">
        <f>GHS!AJ14</f>
        <v>-320</v>
      </c>
      <c r="AK44" s="98">
        <f>AG44+AH44+AI44+AJ44</f>
        <v>-715</v>
      </c>
      <c r="AM44" s="98">
        <f>GHS!AM14</f>
        <v>-99</v>
      </c>
      <c r="AN44" s="98">
        <f>GHS!AN14</f>
        <v>-111</v>
      </c>
      <c r="AO44" s="98">
        <f>GHS!AO14</f>
        <v>-155</v>
      </c>
      <c r="AP44" s="98">
        <f>GHS!AP14</f>
        <v>-290</v>
      </c>
      <c r="AQ44" s="98">
        <f>AM44+AN44+AO44+AP44</f>
        <v>-655</v>
      </c>
      <c r="AS44" s="98">
        <f>GHS!AS14</f>
        <v>-118</v>
      </c>
      <c r="AT44" s="98">
        <f>GHS!AT14</f>
        <v>-160</v>
      </c>
      <c r="AU44" s="98">
        <f>GHS!AU14</f>
        <v>-145</v>
      </c>
      <c r="AV44" s="98">
        <f>GHS!AV14</f>
        <v>-244</v>
      </c>
      <c r="AW44" s="98">
        <f>AS44+AT44+AU44+AV44</f>
        <v>-667</v>
      </c>
      <c r="AY44" s="98">
        <f>GHS!AY14+175</f>
        <v>-22</v>
      </c>
      <c r="AZ44" s="98">
        <f>GHS!AZ14</f>
        <v>-76</v>
      </c>
      <c r="BA44" s="98">
        <f>GHS!BA14</f>
        <v>-133</v>
      </c>
      <c r="BB44" s="98">
        <f>GHS!BB14</f>
        <v>-321</v>
      </c>
      <c r="BC44" s="98">
        <f>AY44+AZ44+BA44+BB44</f>
        <v>-552</v>
      </c>
      <c r="BE44" s="98">
        <f>GHS!BE14</f>
        <v>-147</v>
      </c>
      <c r="BF44" s="98">
        <f>GHS!BF14</f>
        <v>-89</v>
      </c>
      <c r="BG44" s="98">
        <f>GHS!BG14</f>
        <v>-141</v>
      </c>
      <c r="BH44" s="98">
        <f>GHS!BH14</f>
        <v>-293</v>
      </c>
      <c r="BI44" s="98">
        <f>BE44+BF44+BG44+BH44</f>
        <v>-670</v>
      </c>
      <c r="BK44" s="98">
        <f>GHS!BK14</f>
        <v>-128</v>
      </c>
      <c r="BL44" s="98">
        <f>GHS!BL14</f>
        <v>-90</v>
      </c>
      <c r="BM44" s="98">
        <f>GHS!BM14</f>
        <v>-115</v>
      </c>
      <c r="BN44" s="98">
        <f>GHS!BN14</f>
        <v>-383</v>
      </c>
      <c r="BO44" s="98">
        <f>BK44+BL44+BM44+BN44</f>
        <v>-716</v>
      </c>
      <c r="BQ44" s="98">
        <f>GHS!BQ14</f>
        <v>-123.84999999999991</v>
      </c>
      <c r="BR44" s="98">
        <f>GHS!BR14</f>
        <v>-78.865000000000009</v>
      </c>
      <c r="BS44" s="98">
        <f>GHS!BS14</f>
        <v>-100.66999999999996</v>
      </c>
      <c r="BT44" s="98">
        <f>GHS!BT14</f>
        <v>-378.71499999999992</v>
      </c>
      <c r="BU44" s="98">
        <f>BQ44+BR44+BS44+BT44</f>
        <v>-682.0999999999998</v>
      </c>
      <c r="BW44" s="98">
        <f>GHS!BW14</f>
        <v>-121.99225000000001</v>
      </c>
      <c r="BX44" s="98">
        <f>GHS!BX14</f>
        <v>-75.862087499999916</v>
      </c>
      <c r="BY44" s="98">
        <f>GHS!BY14</f>
        <v>-97.395324999999957</v>
      </c>
      <c r="BZ44" s="98">
        <f>GHS!BZ14</f>
        <v>-369.74364999999989</v>
      </c>
      <c r="CA44" s="98">
        <f>BW44+BX44+BY44+BZ44</f>
        <v>-664.99331249999977</v>
      </c>
      <c r="CC44" s="98">
        <f>GHS!CC14</f>
        <v>-116.89561374999994</v>
      </c>
      <c r="CD44" s="98">
        <f>GHS!CD14</f>
        <v>-71.129779624999969</v>
      </c>
      <c r="CE44" s="98">
        <f>GHS!CE14</f>
        <v>-92.449260750000008</v>
      </c>
      <c r="CF44" s="98">
        <f>GHS!CF14</f>
        <v>-360.93977649999988</v>
      </c>
      <c r="CG44" s="98">
        <f>CC44+CD44+CE44+CF44</f>
        <v>-641.4144306249998</v>
      </c>
      <c r="CI44" s="98">
        <f>GHS!CI14</f>
        <v>-111.90809456875002</v>
      </c>
      <c r="CJ44" s="98">
        <f>GHS!CJ14</f>
        <v>-66.504400133749982</v>
      </c>
      <c r="CK44" s="98">
        <f>GHS!CK14</f>
        <v>-87.612238807500034</v>
      </c>
      <c r="CL44" s="98">
        <f>GHS!CL14</f>
        <v>-352.30053828999996</v>
      </c>
      <c r="CM44" s="98">
        <f>CI44+CJ44+CK44+CL44</f>
        <v>-618.3252718</v>
      </c>
      <c r="CO44" s="98">
        <f>GHS!CO14</f>
        <v>-107.02772902496872</v>
      </c>
      <c r="CP44" s="98">
        <f>GHS!CP14</f>
        <v>-61.98398566283754</v>
      </c>
      <c r="CQ44" s="98">
        <f>GHS!CQ14</f>
        <v>-82.882275024449996</v>
      </c>
      <c r="CR44" s="98">
        <f>GHS!CR14</f>
        <v>-343.82314006877493</v>
      </c>
      <c r="CS44" s="98">
        <f>CO44+CP44+CQ44+CR44</f>
        <v>-595.71712978103119</v>
      </c>
      <c r="CU44" s="98">
        <f>GHS!CU14</f>
        <v>-104.10501907015794</v>
      </c>
      <c r="CV44" s="98">
        <f>GHS!CV14</f>
        <v>-59.465375849943484</v>
      </c>
      <c r="CW44" s="98">
        <f>GHS!CW14</f>
        <v>-80.155435387180319</v>
      </c>
      <c r="CX44" s="98">
        <f>GHS!CX14</f>
        <v>-337.94487019521216</v>
      </c>
      <c r="CY44" s="98">
        <f>CU44+CV44+CW44+CX44</f>
        <v>-581.6707005024939</v>
      </c>
      <c r="CZ44" s="2"/>
      <c r="DA44" s="98">
        <f>GHS!DA14</f>
        <v>-101.23469162320225</v>
      </c>
      <c r="DB44" s="98">
        <f>GHS!DB14</f>
        <v>-56.995686759631667</v>
      </c>
      <c r="DC44" s="98">
        <f>GHS!DC14</f>
        <v>-77.479589357371196</v>
      </c>
      <c r="DD44" s="98">
        <f>GHS!DD14</f>
        <v>-332.15588350129599</v>
      </c>
      <c r="DE44" s="98">
        <f>DA44+DB44+DC44+DD44</f>
        <v>-567.8658512415011</v>
      </c>
      <c r="DF44" s="2"/>
      <c r="DG44" s="98">
        <f>GHS!DG14</f>
        <v>-98.415933416419307</v>
      </c>
      <c r="DH44" s="98">
        <f>GHS!DH14</f>
        <v>-54.574132501870622</v>
      </c>
      <c r="DI44" s="98">
        <f>GHS!DI14</f>
        <v>-74.853930433809296</v>
      </c>
      <c r="DJ44" s="98">
        <f>GHS!DJ14</f>
        <v>-326.45490589921849</v>
      </c>
      <c r="DK44" s="98">
        <f>DG44+DH44+DI44+DJ44</f>
        <v>-554.29890225131771</v>
      </c>
    </row>
    <row r="45" spans="2:115" x14ac:dyDescent="0.3">
      <c r="AA45" s="36"/>
      <c r="AB45" s="36"/>
      <c r="AC45" s="36"/>
      <c r="AD45" s="36"/>
      <c r="AG45" s="36"/>
      <c r="AH45" s="36"/>
      <c r="AI45" s="36"/>
      <c r="AJ45" s="36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</row>
    <row r="46" spans="2:115" x14ac:dyDescent="0.3">
      <c r="B46" s="1" t="s">
        <v>188</v>
      </c>
      <c r="I46" s="2">
        <f>O46</f>
        <v>-38</v>
      </c>
      <c r="J46" s="2">
        <f>P46</f>
        <v>-74</v>
      </c>
      <c r="K46" s="2">
        <f>Q46</f>
        <v>-47</v>
      </c>
      <c r="L46" s="2">
        <f>R46</f>
        <v>-39</v>
      </c>
      <c r="M46" s="98">
        <f>I46+J46+K46+L46</f>
        <v>-198</v>
      </c>
      <c r="O46" s="2">
        <v>-38</v>
      </c>
      <c r="P46" s="2">
        <v>-74</v>
      </c>
      <c r="Q46" s="2">
        <v>-47</v>
      </c>
      <c r="R46" s="2">
        <v>-39</v>
      </c>
      <c r="S46" s="98">
        <f>O46+P46+Q46+R46</f>
        <v>-198</v>
      </c>
      <c r="U46" s="2">
        <v>-28</v>
      </c>
      <c r="V46" s="2">
        <v>-26</v>
      </c>
      <c r="W46" s="2">
        <v>-25</v>
      </c>
      <c r="X46" s="2">
        <v>-48</v>
      </c>
      <c r="Y46" s="98">
        <f>U46+V46+W46+X46</f>
        <v>-127</v>
      </c>
      <c r="AA46" s="2">
        <v>4</v>
      </c>
      <c r="AB46" s="2">
        <v>4</v>
      </c>
      <c r="AC46" s="2">
        <v>-12</v>
      </c>
      <c r="AD46" s="2">
        <v>9</v>
      </c>
      <c r="AE46" s="98">
        <f>AA46+AB46+AC46+AD46</f>
        <v>5</v>
      </c>
      <c r="AG46" s="356">
        <v>-15</v>
      </c>
      <c r="AH46" s="356">
        <v>-1</v>
      </c>
      <c r="AI46" s="356">
        <v>10</v>
      </c>
      <c r="AJ46" s="356">
        <v>5</v>
      </c>
      <c r="AK46" s="98">
        <f>AG46+AH46+AI46+AJ46</f>
        <v>-1</v>
      </c>
      <c r="AM46" s="356">
        <v>-21</v>
      </c>
      <c r="AN46" s="356">
        <v>-8</v>
      </c>
      <c r="AO46" s="356">
        <v>-9</v>
      </c>
      <c r="AP46" s="356">
        <v>-17</v>
      </c>
      <c r="AQ46" s="98">
        <f>AM46+AN46+AO46+AP46</f>
        <v>-55</v>
      </c>
      <c r="AS46" s="356">
        <v>0</v>
      </c>
      <c r="AT46" s="356">
        <v>-136</v>
      </c>
      <c r="AU46" s="356">
        <v>1</v>
      </c>
      <c r="AV46" s="356">
        <v>-2</v>
      </c>
      <c r="AW46" s="98">
        <f>AS46+AT46+AU46+AV46</f>
        <v>-137</v>
      </c>
      <c r="AY46" s="356">
        <v>-1</v>
      </c>
      <c r="AZ46" s="356">
        <v>-58</v>
      </c>
      <c r="BA46" s="356">
        <v>-6</v>
      </c>
      <c r="BB46" s="356">
        <v>12</v>
      </c>
      <c r="BC46" s="98">
        <f>AY46+AZ46+BA46+BB46</f>
        <v>-53</v>
      </c>
      <c r="BE46" s="356">
        <v>0</v>
      </c>
      <c r="BF46" s="356">
        <v>-39</v>
      </c>
      <c r="BG46" s="356">
        <v>-2</v>
      </c>
      <c r="BH46" s="356">
        <v>-7</v>
      </c>
      <c r="BI46" s="98">
        <f>BE46+BF46+BG46+BH46</f>
        <v>-48</v>
      </c>
      <c r="BK46" s="356">
        <v>-1</v>
      </c>
      <c r="BL46" s="356">
        <v>-25</v>
      </c>
      <c r="BM46" s="356">
        <v>-1</v>
      </c>
      <c r="BN46" s="356">
        <v>15</v>
      </c>
      <c r="BO46" s="98">
        <f>BK46+BL46+BM46+BN46</f>
        <v>-12</v>
      </c>
      <c r="BQ46" s="356">
        <v>-2</v>
      </c>
      <c r="BR46" s="356">
        <v>-2</v>
      </c>
      <c r="BS46" s="356">
        <v>-2</v>
      </c>
      <c r="BT46" s="356">
        <v>-2</v>
      </c>
      <c r="BU46" s="98">
        <f>BQ46+BR46+BS46+BT46</f>
        <v>-8</v>
      </c>
      <c r="BW46" s="356">
        <v>-1</v>
      </c>
      <c r="BX46" s="356">
        <v>-1</v>
      </c>
      <c r="BY46" s="356">
        <v>-1</v>
      </c>
      <c r="BZ46" s="356">
        <v>-1</v>
      </c>
      <c r="CA46" s="98">
        <f>BW46+BX46+BY46+BZ46</f>
        <v>-4</v>
      </c>
      <c r="CC46" s="356">
        <v>-1</v>
      </c>
      <c r="CD46" s="356">
        <v>-1</v>
      </c>
      <c r="CE46" s="356">
        <v>-1</v>
      </c>
      <c r="CF46" s="356">
        <v>-1</v>
      </c>
      <c r="CG46" s="98">
        <f>CC46+CD46+CE46+CF46</f>
        <v>-4</v>
      </c>
      <c r="CI46" s="356">
        <v>-1</v>
      </c>
      <c r="CJ46" s="356">
        <v>-1</v>
      </c>
      <c r="CK46" s="356">
        <v>-1</v>
      </c>
      <c r="CL46" s="356">
        <v>-1</v>
      </c>
      <c r="CM46" s="98">
        <f>CI46+CJ46+CK46+CL46</f>
        <v>-4</v>
      </c>
      <c r="CO46" s="356">
        <v>-1</v>
      </c>
      <c r="CP46" s="356">
        <v>-1</v>
      </c>
      <c r="CQ46" s="356">
        <v>-1</v>
      </c>
      <c r="CR46" s="356">
        <v>-1</v>
      </c>
      <c r="CS46" s="98">
        <f>CO46+CP46+CQ46+CR46</f>
        <v>-4</v>
      </c>
      <c r="CU46" s="356">
        <v>-1</v>
      </c>
      <c r="CV46" s="356">
        <v>-1</v>
      </c>
      <c r="CW46" s="356">
        <v>-1</v>
      </c>
      <c r="CX46" s="356">
        <v>-1</v>
      </c>
      <c r="CY46" s="98">
        <f>CU46+CV46+CW46+CX46</f>
        <v>-4</v>
      </c>
      <c r="CZ46" s="2"/>
      <c r="DA46" s="356">
        <v>-1</v>
      </c>
      <c r="DB46" s="356">
        <v>-1</v>
      </c>
      <c r="DC46" s="356">
        <v>-1</v>
      </c>
      <c r="DD46" s="356">
        <v>-1</v>
      </c>
      <c r="DE46" s="98">
        <f>DA46+DB46+DC46+DD46</f>
        <v>-4</v>
      </c>
      <c r="DF46" s="2"/>
      <c r="DG46" s="356">
        <v>-1</v>
      </c>
      <c r="DH46" s="356">
        <v>-1</v>
      </c>
      <c r="DI46" s="356">
        <v>-1</v>
      </c>
      <c r="DJ46" s="356">
        <v>-1</v>
      </c>
      <c r="DK46" s="98">
        <f>DG46+DH46+DI46+DJ46</f>
        <v>-4</v>
      </c>
    </row>
    <row r="47" spans="2:115" x14ac:dyDescent="0.3">
      <c r="U47" s="36"/>
      <c r="V47" s="36"/>
      <c r="W47" s="36"/>
      <c r="X47" s="36"/>
      <c r="AA47" s="36"/>
      <c r="AB47" s="36"/>
      <c r="AC47" s="36"/>
      <c r="AD47" s="36"/>
      <c r="AG47" s="36"/>
      <c r="AH47" s="36"/>
      <c r="AI47" s="36"/>
      <c r="AJ47" s="36"/>
      <c r="AQ47" s="98"/>
      <c r="AV47" s="2" t="s">
        <v>445</v>
      </c>
      <c r="AW47" s="98">
        <f>AW48-AQ48</f>
        <v>145.4624038763759</v>
      </c>
      <c r="BB47" s="2" t="s">
        <v>445</v>
      </c>
      <c r="BC47" s="98">
        <f>BC48-AW48</f>
        <v>2338.2569318461174</v>
      </c>
      <c r="BG47" s="36"/>
      <c r="BI47" s="98">
        <f>BI48-AQ48</f>
        <v>3996.3800976051753</v>
      </c>
      <c r="BU47" s="98">
        <f ca="1">BU48-BU36</f>
        <v>13102.652051248708</v>
      </c>
      <c r="BV47" s="2">
        <f ca="1">BU31/BU47</f>
        <v>0.6671499497764376</v>
      </c>
      <c r="CA47" s="98">
        <f ca="1">CA48-CA36</f>
        <v>13498.628804845224</v>
      </c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</row>
    <row r="48" spans="2:115" ht="15.75" thickBot="1" x14ac:dyDescent="0.35">
      <c r="B48" s="353" t="s">
        <v>192</v>
      </c>
      <c r="C48" s="355"/>
      <c r="D48" s="355"/>
      <c r="E48" s="355"/>
      <c r="F48" s="355"/>
      <c r="G48" s="355"/>
      <c r="H48" s="355"/>
      <c r="I48" s="407">
        <v>4686</v>
      </c>
      <c r="J48" s="407">
        <v>4850</v>
      </c>
      <c r="K48" s="407">
        <v>5254</v>
      </c>
      <c r="L48" s="407">
        <v>4669</v>
      </c>
      <c r="M48" s="407">
        <f>I48+J48+K48+L48</f>
        <v>19459</v>
      </c>
      <c r="N48" s="355"/>
      <c r="O48" s="407">
        <f>O31+O36+O38+O40+O44+O46</f>
        <v>4812</v>
      </c>
      <c r="P48" s="407">
        <f>P31+P36+P38+P40+P44+P46</f>
        <v>5258</v>
      </c>
      <c r="Q48" s="407">
        <f>Q31+Q36+Q38+Q40+Q44+Q46</f>
        <v>5528</v>
      </c>
      <c r="R48" s="407">
        <f>R31+R36+R38+R40+R44+R46</f>
        <v>5070</v>
      </c>
      <c r="S48" s="407">
        <f>O48+P48+Q48+R48</f>
        <v>20668</v>
      </c>
      <c r="T48" s="355"/>
      <c r="U48" s="407">
        <f>U31+U36+U38+U40+U44+U46</f>
        <v>4890</v>
      </c>
      <c r="V48" s="407">
        <f>V31+V36+V38+V40+V44+V46</f>
        <v>5012</v>
      </c>
      <c r="W48" s="407">
        <f>W31+W36+W38+W40+W44+W46</f>
        <v>5021.3769493199998</v>
      </c>
      <c r="X48" s="407">
        <f>X31+X36+X38+X40+X44+X46+1</f>
        <v>4550.1881583300001</v>
      </c>
      <c r="Y48" s="407">
        <f>U48+V48+W48+X48-1</f>
        <v>19472.56510765</v>
      </c>
      <c r="Z48" s="355"/>
      <c r="AA48" s="407">
        <f>AA31+AA36+AA38+AA40+AA44+AA46</f>
        <v>4483.4903934062904</v>
      </c>
      <c r="AB48" s="407">
        <f>AB31+AB36+AB38+AB40+AB44+AB46+1</f>
        <v>4686.4428158197516</v>
      </c>
      <c r="AC48" s="407">
        <f>AC31+AC36+AC38+AC40+AC44+AC46</f>
        <v>4908.3222511773256</v>
      </c>
      <c r="AD48" s="407">
        <f>AD31+AD36+AD38+AD40+AD44+AD46</f>
        <v>4607.3389134814388</v>
      </c>
      <c r="AE48" s="407">
        <f>AA48+AB48+AC48+AD48-1</f>
        <v>18684.594373884807</v>
      </c>
      <c r="AF48" s="355"/>
      <c r="AG48" s="407">
        <f>AG31+AG36+AG38+AG40+AG44+AG46</f>
        <v>4482.4293507453212</v>
      </c>
      <c r="AH48" s="407">
        <f>AH31+AH36+AH38+AH40+AH44+AH46</f>
        <v>4701.3899998661755</v>
      </c>
      <c r="AI48" s="407">
        <f>AI31+AI36+AI38+AI40+AI44+AI46</f>
        <v>4781.7655475601705</v>
      </c>
      <c r="AJ48" s="407">
        <f>AJ31+AJ36+AJ38+AJ40+AJ44+AJ46</f>
        <v>4008.1347562730416</v>
      </c>
      <c r="AK48" s="407">
        <f>AG48+AH48+AI48+AJ48-1</f>
        <v>17972.719654444707</v>
      </c>
      <c r="AL48" s="355"/>
      <c r="AM48" s="407">
        <f>AM31+AM36+AM38+AM40+AM44+AM46-1</f>
        <v>4287.650493314648</v>
      </c>
      <c r="AN48" s="407">
        <f>AN31+AN36+AN38+AN40+AN44+AN46+1</f>
        <v>4417.2278325412608</v>
      </c>
      <c r="AO48" s="407">
        <f>AO31+AO36+AO38+AO40+AO44+AO46</f>
        <v>4658.9521182909684</v>
      </c>
      <c r="AP48" s="407">
        <f>AP31+AP36+AP38+AP40+AP44+AP46</f>
        <v>4060.0427094715833</v>
      </c>
      <c r="AQ48" s="407">
        <f>AM48+AN48+AO48+AP48</f>
        <v>17423.87315361846</v>
      </c>
      <c r="AR48" s="355"/>
      <c r="AS48" s="407">
        <f>AS31+AS36+AS38+AS40+AS44+AS46</f>
        <v>4121.2308061819085</v>
      </c>
      <c r="AT48" s="407">
        <f>AT31+AT36+AT38+AT40+AT44+AT46-1</f>
        <v>4428.5932850750251</v>
      </c>
      <c r="AU48" s="407">
        <f>AU31+AU36+AU38+AU40+AU44+AU46</f>
        <v>4575.1195755446242</v>
      </c>
      <c r="AV48" s="407">
        <f>AV31+AV36+AV38+AV40+AV44+AV46</f>
        <v>4444.3918906932777</v>
      </c>
      <c r="AW48" s="407">
        <f>AS48+AT48+AU48+AV48</f>
        <v>17569.335557494836</v>
      </c>
      <c r="AX48" s="355"/>
      <c r="AY48" s="407">
        <f>AY31+AY36+AY38+AY40+AY44+AY46</f>
        <v>4574.2791756144306</v>
      </c>
      <c r="AZ48" s="407">
        <f>AZ31+AZ36+AZ38+AZ40+AZ44+AZ46+1</f>
        <v>5026.3986160500954</v>
      </c>
      <c r="BA48" s="407">
        <f>BA31+BA36+BA38+BA40+BA44+BA46</f>
        <v>5165.0109024788635</v>
      </c>
      <c r="BB48" s="407">
        <f>BB31+BB36+BB38+BB40+BB44+BB46</f>
        <v>5142.9037951975661</v>
      </c>
      <c r="BC48" s="407">
        <f>AY48+AZ48+BA48+BB48-1</f>
        <v>19907.592489340954</v>
      </c>
      <c r="BD48" s="355"/>
      <c r="BE48" s="407">
        <f>BE31+BE36+BE38+BE40+BE42+BE44+BE46</f>
        <v>5162.812730543088</v>
      </c>
      <c r="BF48" s="407">
        <f>BF31+BF36+BF38+BF40+BF42+BF44+BF46</f>
        <v>5456.9343592920904</v>
      </c>
      <c r="BG48" s="407">
        <f>BG31+BG36+BG38+BG40+BG42+BG44+BG46</f>
        <v>5534.5283099045992</v>
      </c>
      <c r="BH48" s="407">
        <f>BH31+BH36+BH38+BH40+BH42+BH44+BH46</f>
        <v>5264.977851483859</v>
      </c>
      <c r="BI48" s="407">
        <f>BE48+BF48+BG48+BH48+1</f>
        <v>21420.253251223636</v>
      </c>
      <c r="BJ48" s="355">
        <f>BI31/BI48</f>
        <v>0.38458711385247268</v>
      </c>
      <c r="BK48" s="407">
        <f>BK31+BK36+BK38+BK40+BK42+BK44+BK46+1</f>
        <v>5550.4011962618151</v>
      </c>
      <c r="BL48" s="407">
        <f>BL31+BL36+BL38+BL40+BL42+BL44+BL46</f>
        <v>5943.8116310511377</v>
      </c>
      <c r="BM48" s="407">
        <f>BM31+BM36+BM38+BM40+BM42+BM44+BM46</f>
        <v>5719.8957281848889</v>
      </c>
      <c r="BN48" s="407">
        <f>BN31+BN36+BN38+BN40+BN42+BN44+BN46</f>
        <v>5014.5986583938084</v>
      </c>
      <c r="BO48" s="407">
        <f>BK48+BL48+BM48+BN48+1</f>
        <v>22229.707213891648</v>
      </c>
      <c r="BP48" s="355"/>
      <c r="BQ48" s="407">
        <f>BQ31+BQ36+BQ38+BQ40+BQ42+BQ44+BQ46</f>
        <v>5518.8097690673385</v>
      </c>
      <c r="BR48" s="407">
        <f>BR31+BR36+BR38+BR40+BR42+BR44+BR46</f>
        <v>5967.7684535505086</v>
      </c>
      <c r="BS48" s="407">
        <f>BS31+BS36+BS38+BS40+BS42+BS44+BS46</f>
        <v>5868.8451937845402</v>
      </c>
      <c r="BT48" s="407">
        <f ca="1">BT31+BT36+BT38+BT40+BT42+BT44+BT46</f>
        <v>5183.0948662348846</v>
      </c>
      <c r="BU48" s="407">
        <f ca="1">BQ48+BR48+BS48+BT48</f>
        <v>22538.518282637273</v>
      </c>
      <c r="BV48" s="355"/>
      <c r="BW48" s="407">
        <f>BW31+BW36+BW38+BW40+BW42+BW44+BW46</f>
        <v>5739.043699176651</v>
      </c>
      <c r="BX48" s="407">
        <f>BX31+BX36+BX38+BX40+BX42+BX44+BX46</f>
        <v>6225.9620369190861</v>
      </c>
      <c r="BY48" s="407">
        <f>BY31+BY36+BY38+BY40+BY42+BY44+BY46</f>
        <v>6142.4708235792932</v>
      </c>
      <c r="BZ48" s="407">
        <f ca="1">BZ31+BZ36+BZ38+BZ40+BZ42+BZ44+BZ46</f>
        <v>5445.6723117311303</v>
      </c>
      <c r="CA48" s="407">
        <f ca="1">BW48+BX48+BY48+BZ48</f>
        <v>23553.14887140616</v>
      </c>
      <c r="CB48" s="355"/>
      <c r="CC48" s="407">
        <f>CC31+CC36+CC38+CC40+CC42+CC44+CC46</f>
        <v>5986.0058579834022</v>
      </c>
      <c r="CD48" s="407">
        <f>CD31+CD36+CD38+CD40+CD42+CD44+CD46</f>
        <v>6496.5105411621826</v>
      </c>
      <c r="CE48" s="407">
        <f>CE31+CE36+CE38+CE40+CE42+CE44+CE46</f>
        <v>6395.6882892566746</v>
      </c>
      <c r="CF48" s="407">
        <f ca="1">CF31+CF36+CF38+CF40+CF42+CF44+CF46</f>
        <v>5701.4666422281207</v>
      </c>
      <c r="CG48" s="407">
        <f ca="1">CC48+CD48+CE48+CF48</f>
        <v>24579.671330630379</v>
      </c>
      <c r="CH48" s="355"/>
      <c r="CI48" s="407">
        <f>CI31+CI36+CI38+CI40+CI42+CI44+CI46</f>
        <v>6222.4629186964303</v>
      </c>
      <c r="CJ48" s="407">
        <f>CJ31+CJ36+CJ38+CJ40+CJ42+CJ44+CJ46</f>
        <v>6750.4578478258736</v>
      </c>
      <c r="CK48" s="407">
        <f>CK31+CK36+CK38+CK40+CK42+CK44+CK46</f>
        <v>6646.9229612818663</v>
      </c>
      <c r="CL48" s="407">
        <f ca="1">CL31+CL36+CL38+CL40+CL42+CL44+CL46</f>
        <v>5956.6185308953827</v>
      </c>
      <c r="CM48" s="407">
        <f ca="1">CI48+CJ48+CK48+CL48</f>
        <v>25576.462258699554</v>
      </c>
      <c r="CN48" s="355"/>
      <c r="CO48" s="407">
        <f>CO31+CO36+CO38+CO40+CO42+CO44+CO46</f>
        <v>6437.821675860604</v>
      </c>
      <c r="CP48" s="407">
        <f>CP31+CP36+CP38+CP40+CP42+CP44+CP46</f>
        <v>6985.8504685034013</v>
      </c>
      <c r="CQ48" s="407">
        <f>CQ31+CQ36+CQ38+CQ40+CQ42+CQ44+CQ46</f>
        <v>6884.2136956187487</v>
      </c>
      <c r="CR48" s="407">
        <f ca="1">CR31+CR36+CR38+CR40+CR42+CR44+CR46</f>
        <v>6190.1087676378183</v>
      </c>
      <c r="CS48" s="407">
        <f ca="1">CO48+CP48+CQ48+CR48</f>
        <v>26497.994607620574</v>
      </c>
      <c r="CT48" s="355"/>
      <c r="CU48" s="407">
        <f>CU31+CU36+CU38+CU40+CU42+CU44+CU46</f>
        <v>6627.0907566626738</v>
      </c>
      <c r="CV48" s="407">
        <f>CV31+CV36+CV38+CV40+CV42+CV44+CV46</f>
        <v>7190.086886200449</v>
      </c>
      <c r="CW48" s="407">
        <f>CW31+CW36+CW38+CW40+CW42+CW44+CW46</f>
        <v>7091.0932122839822</v>
      </c>
      <c r="CX48" s="407">
        <f ca="1">CX31+CX36+CX38+CX40+CX42+CX44+CX46</f>
        <v>6393.705754870125</v>
      </c>
      <c r="CY48" s="407">
        <f ca="1">CU48+CV48+CW48+CX48</f>
        <v>27301.976610017235</v>
      </c>
      <c r="CZ48" s="355"/>
      <c r="DA48" s="407">
        <f>DA31+DA36+DA38+DA40+DA42+DA44+DA46</f>
        <v>6822.853161517347</v>
      </c>
      <c r="DB48" s="407">
        <f>DB31+DB36+DB38+DB40+DB42+DB44+DB46</f>
        <v>7400.8483341337032</v>
      </c>
      <c r="DC48" s="407">
        <f>DC31+DC36+DC38+DC40+DC42+DC44+DC46</f>
        <v>7305.5607143471789</v>
      </c>
      <c r="DD48" s="407">
        <f ca="1">DD31+DD36+DD38+DD40+DD42+DD44+DD46</f>
        <v>6602.4451286619233</v>
      </c>
      <c r="DE48" s="407">
        <f ca="1">DA48+DB48+DC48+DD48</f>
        <v>28131.707338660151</v>
      </c>
      <c r="DF48" s="355"/>
      <c r="DG48" s="407">
        <f>DG31+DG36+DG38+DG40+DG42+DG44+DG46</f>
        <v>6982.6735209527405</v>
      </c>
      <c r="DH48" s="407">
        <f>DH31+DH36+DH38+DH40+DH42+DH44+DH46</f>
        <v>7571.0456478595142</v>
      </c>
      <c r="DI48" s="407">
        <f>DI31+DI36+DI38+DI40+DI42+DI44+DI46</f>
        <v>7479.5188705458131</v>
      </c>
      <c r="DJ48" s="407">
        <f ca="1">DJ31+DJ36+DJ38+DJ40+DJ42+DJ44+DJ46</f>
        <v>6772.5982512567562</v>
      </c>
      <c r="DK48" s="407">
        <f ca="1">DG48+DH48+DI48+DJ48</f>
        <v>28805.836290614825</v>
      </c>
    </row>
    <row r="49" spans="1:115" ht="15.75" thickTop="1" x14ac:dyDescent="0.3">
      <c r="V49" s="98"/>
      <c r="W49" s="98">
        <f>W48-W36</f>
        <v>3993</v>
      </c>
      <c r="AA49" s="36">
        <f>AA48/AA23</f>
        <v>0.30731083826928929</v>
      </c>
      <c r="AB49" s="36">
        <f>AB48/AB23</f>
        <v>0.32360735041443184</v>
      </c>
      <c r="AC49" s="36">
        <f>AC48/AC23</f>
        <v>0.33458445791100511</v>
      </c>
      <c r="AD49" s="36">
        <f>AD48/AD23</f>
        <v>0.30899065949410093</v>
      </c>
      <c r="AE49" s="36">
        <f>AE48/AE23</f>
        <v>0.31856080430379763</v>
      </c>
      <c r="AG49" s="36">
        <f>AG48/AG23</f>
        <v>0.31058919574775368</v>
      </c>
      <c r="AH49" s="36">
        <f>AH48/AH23</f>
        <v>0.32697029295035224</v>
      </c>
      <c r="AI49" s="36">
        <f>AI48/AI23</f>
        <v>0.32637732914399065</v>
      </c>
      <c r="AJ49" s="36">
        <f>AJ48/AJ23</f>
        <v>0.27253285001212302</v>
      </c>
      <c r="AK49" s="36">
        <f>AK48/AK23</f>
        <v>0.30897589838710454</v>
      </c>
      <c r="AM49" s="36">
        <f>AM48/AM23</f>
        <v>0.31103400356667238</v>
      </c>
      <c r="AN49" s="36">
        <f>AN48/AN23</f>
        <v>0.29143858696611308</v>
      </c>
      <c r="AO49" s="36">
        <f>AO48/AO23</f>
        <v>0.30010261822602785</v>
      </c>
      <c r="AP49" s="36">
        <f>AP48/AP23</f>
        <v>0.25917648731077308</v>
      </c>
      <c r="AQ49" s="36">
        <f>AQ48/AQ23</f>
        <v>0.28975810064944857</v>
      </c>
      <c r="AS49" s="36">
        <f>AS48/AS23</f>
        <v>0.27670885401851619</v>
      </c>
      <c r="AT49" s="36">
        <f>AT48/AT23</f>
        <v>0.29300326636155422</v>
      </c>
      <c r="AU49" s="36">
        <f>AU48/AU23</f>
        <v>0.29237561981341981</v>
      </c>
      <c r="AV49" s="36">
        <f>AV48/AV23</f>
        <v>0.26139873685869786</v>
      </c>
      <c r="AW49" s="36">
        <f>AW48/AW23</f>
        <v>0.28040202351547694</v>
      </c>
      <c r="AY49" s="36">
        <f>AY48/AY23</f>
        <v>0.27159408871565172</v>
      </c>
      <c r="AZ49" s="36">
        <f>AZ48/AZ23</f>
        <v>0.28841392974220859</v>
      </c>
      <c r="BA49" s="36">
        <f>BA48/BA23</f>
        <v>0.30206900387943519</v>
      </c>
      <c r="BB49" s="36">
        <f>BB48/BB23</f>
        <v>0.28796635661468711</v>
      </c>
      <c r="BC49" s="36">
        <f>BC48/BC23</f>
        <v>0.28756465583217078</v>
      </c>
      <c r="BE49" s="36">
        <f>BE48/BE23</f>
        <v>0.29284135088969937</v>
      </c>
      <c r="BF49" s="36">
        <f>BF48/BF23</f>
        <v>0.30627730934868347</v>
      </c>
      <c r="BG49" s="36">
        <f>BG48/BG23</f>
        <v>0.30568786738563708</v>
      </c>
      <c r="BH49" s="36">
        <f>BH48/BH23</f>
        <v>0.26940379957888472</v>
      </c>
      <c r="BI49" s="36">
        <f>BI48/BI23</f>
        <v>0.29304566790528941</v>
      </c>
      <c r="BK49" s="36">
        <f>BK48/BK23</f>
        <v>0.29767298471216053</v>
      </c>
      <c r="BL49" s="36">
        <f>BL48/BL23</f>
        <v>0.31465716494831164</v>
      </c>
      <c r="BM49" s="36">
        <f>BM48/BM23</f>
        <v>0.31339758241214127</v>
      </c>
      <c r="BN49" s="36">
        <f>BN48/BN23</f>
        <v>0.26172191715259635</v>
      </c>
      <c r="BO49" s="36">
        <f>BO48/BO23</f>
        <v>0.29660553625185004</v>
      </c>
      <c r="BQ49" s="36">
        <f>BQ48/BQ23</f>
        <v>0.30286495614631648</v>
      </c>
      <c r="BR49" s="36">
        <f>BR48/BR23</f>
        <v>0.32269556715784092</v>
      </c>
      <c r="BS49" s="36">
        <f>BS48/BS23</f>
        <v>0.31689172051786696</v>
      </c>
      <c r="BT49" s="36">
        <f ca="1">BT48/BT23</f>
        <v>0.27039129663456307</v>
      </c>
      <c r="BU49" s="36">
        <f ca="1">BU48/BU23</f>
        <v>0.30291912168944979</v>
      </c>
      <c r="CA49" s="2">
        <f ca="1">CA48-(CA36*0.33)</f>
        <v>20235.15724944105</v>
      </c>
      <c r="CM49" s="98">
        <f ca="1">CM48-CM36</f>
        <v>14200.344062111888</v>
      </c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</row>
    <row r="50" spans="1:115" x14ac:dyDescent="0.3">
      <c r="A50" s="401"/>
      <c r="B50" s="401"/>
      <c r="C50" s="403"/>
      <c r="D50" s="403"/>
      <c r="E50" s="403"/>
      <c r="F50" s="403"/>
      <c r="G50" s="403"/>
      <c r="H50" s="403"/>
      <c r="I50" s="403"/>
      <c r="J50" s="403"/>
      <c r="K50" s="403"/>
      <c r="L50" s="403"/>
      <c r="M50" s="403"/>
      <c r="N50" s="403"/>
      <c r="O50" s="403"/>
      <c r="P50" s="403"/>
      <c r="Q50" s="403"/>
      <c r="R50" s="403"/>
      <c r="S50" s="403"/>
      <c r="T50" s="403"/>
      <c r="U50" s="403"/>
      <c r="V50" s="403"/>
      <c r="W50" s="403"/>
      <c r="X50" s="403"/>
      <c r="Y50" s="403"/>
      <c r="Z50" s="403"/>
      <c r="AA50" s="403"/>
      <c r="AB50" s="403"/>
      <c r="AC50" s="403"/>
      <c r="AD50" s="403"/>
      <c r="AE50" s="403"/>
      <c r="AF50" s="403"/>
      <c r="AG50" s="403"/>
      <c r="AH50" s="403"/>
      <c r="AI50" s="403"/>
      <c r="AJ50" s="403"/>
      <c r="AK50" s="403"/>
      <c r="AL50" s="403"/>
      <c r="AM50" s="403"/>
      <c r="AN50" s="403"/>
      <c r="AO50" s="403"/>
      <c r="AP50" s="403"/>
      <c r="AQ50" s="403"/>
      <c r="AR50" s="403"/>
      <c r="AS50" s="403"/>
      <c r="AT50" s="403"/>
      <c r="AU50" s="403"/>
      <c r="AV50" s="403"/>
      <c r="AW50" s="403"/>
      <c r="AX50" s="403"/>
      <c r="AY50" s="403"/>
      <c r="AZ50" s="403"/>
      <c r="BA50" s="403"/>
      <c r="BB50" s="403"/>
      <c r="BC50" s="403"/>
      <c r="BD50" s="403"/>
      <c r="BE50" s="403"/>
      <c r="BF50" s="403"/>
      <c r="BG50" s="403"/>
      <c r="BH50" s="403"/>
      <c r="BI50" s="403"/>
      <c r="BJ50" s="403"/>
      <c r="BK50" s="403"/>
      <c r="BL50" s="403"/>
      <c r="BM50" s="403"/>
      <c r="BN50" s="403"/>
      <c r="BO50" s="403"/>
      <c r="BP50" s="403"/>
      <c r="BQ50" s="403"/>
      <c r="BR50" s="403"/>
      <c r="BS50" s="403"/>
      <c r="BT50" s="403"/>
      <c r="BU50" s="403"/>
      <c r="BV50" s="403"/>
      <c r="BW50" s="403"/>
      <c r="BX50" s="403"/>
      <c r="BY50" s="403"/>
      <c r="BZ50" s="403"/>
      <c r="CA50" s="403"/>
      <c r="CB50" s="403"/>
      <c r="CC50" s="403"/>
      <c r="CD50" s="403"/>
      <c r="CE50" s="403"/>
      <c r="CF50" s="403"/>
      <c r="CG50" s="403"/>
      <c r="CH50" s="403"/>
      <c r="CI50" s="403"/>
      <c r="CJ50" s="403"/>
      <c r="CK50" s="403"/>
      <c r="CL50" s="403"/>
      <c r="CM50" s="403"/>
      <c r="CN50" s="403"/>
      <c r="CO50" s="403"/>
      <c r="CP50" s="403"/>
      <c r="CQ50" s="403"/>
      <c r="CR50" s="403"/>
      <c r="CS50" s="403"/>
      <c r="CT50" s="403"/>
      <c r="CU50" s="403"/>
      <c r="CV50" s="403"/>
      <c r="CW50" s="403"/>
      <c r="CX50" s="403"/>
      <c r="CY50" s="403"/>
      <c r="CZ50" s="403"/>
      <c r="DA50" s="403"/>
      <c r="DB50" s="403"/>
      <c r="DC50" s="403"/>
      <c r="DD50" s="403"/>
      <c r="DE50" s="403"/>
      <c r="DF50" s="403"/>
      <c r="DG50" s="403"/>
      <c r="DH50" s="403"/>
      <c r="DI50" s="403"/>
      <c r="DJ50" s="403"/>
      <c r="DK50" s="403"/>
    </row>
    <row r="51" spans="1:115" ht="15.75" thickBot="1" x14ac:dyDescent="0.35">
      <c r="O51" s="98">
        <f>O31-O55</f>
        <v>1563</v>
      </c>
      <c r="P51" s="98">
        <f>P31-P55</f>
        <v>1697</v>
      </c>
      <c r="Q51" s="98">
        <f>Q31-Q55</f>
        <v>1752</v>
      </c>
      <c r="R51" s="98">
        <f>R31-R55</f>
        <v>1437</v>
      </c>
      <c r="S51" s="98">
        <f>S31-S55</f>
        <v>6449</v>
      </c>
      <c r="U51" s="98">
        <f>U31-U55</f>
        <v>1648</v>
      </c>
      <c r="V51" s="98">
        <f>V31-V55</f>
        <v>1664</v>
      </c>
      <c r="W51" s="98">
        <f>W31-W55</f>
        <v>1661</v>
      </c>
      <c r="X51" s="98">
        <f>X31-X55</f>
        <v>1180</v>
      </c>
      <c r="Y51" s="98">
        <f>Y31-Y55</f>
        <v>6153</v>
      </c>
      <c r="AA51" s="98"/>
      <c r="AG51" s="357">
        <f>AG49-AA49</f>
        <v>3.2783574784643887E-3</v>
      </c>
      <c r="AH51" s="357">
        <f>AH49-AB49</f>
        <v>3.362942535920399E-3</v>
      </c>
      <c r="AI51" s="357">
        <f>AI49-AC49</f>
        <v>-8.2071287670144599E-3</v>
      </c>
      <c r="AJ51" s="357">
        <f>AJ49-AD49</f>
        <v>-3.645780948197791E-2</v>
      </c>
      <c r="AK51" s="357">
        <f>AK49-AE49</f>
        <v>-9.5849059166930872E-3</v>
      </c>
      <c r="AM51" s="357">
        <f>AM49-AG49</f>
        <v>4.4480781891870214E-4</v>
      </c>
      <c r="AN51" s="357">
        <f>AN49-AH49</f>
        <v>-3.5531705984239159E-2</v>
      </c>
      <c r="AO51" s="357">
        <f>AO49-AI49</f>
        <v>-2.6274710917962796E-2</v>
      </c>
      <c r="AP51" s="357">
        <f>AP49-AJ49</f>
        <v>-1.3356362701349933E-2</v>
      </c>
      <c r="AQ51" s="357">
        <f>AQ49-AK49</f>
        <v>-1.9217797737655973E-2</v>
      </c>
      <c r="AS51" s="357">
        <f>AS49-AM49</f>
        <v>-3.4325149548156186E-2</v>
      </c>
      <c r="AT51" s="357">
        <f>AT49-AN49</f>
        <v>1.5646793954411375E-3</v>
      </c>
      <c r="AU51" s="357">
        <f>AU49-AO49</f>
        <v>-7.7269984126080438E-3</v>
      </c>
      <c r="AV51" s="357">
        <f>AV49-AP49</f>
        <v>2.2222495479247706E-3</v>
      </c>
      <c r="AW51" s="357">
        <f>AW49-AQ49</f>
        <v>-9.3560771339716298E-3</v>
      </c>
      <c r="AY51" s="357">
        <f>AY49-AS49</f>
        <v>-5.1147653028644768E-3</v>
      </c>
      <c r="AZ51" s="357">
        <f>AZ49-AT49</f>
        <v>-4.5893366193456298E-3</v>
      </c>
      <c r="BA51" s="357">
        <f>BA49-AU49</f>
        <v>9.6933840660153869E-3</v>
      </c>
      <c r="BB51" s="357">
        <f>BB49-AV49</f>
        <v>2.6567619755989258E-2</v>
      </c>
      <c r="BC51" s="357">
        <f>BC49-AW49</f>
        <v>7.1626323166938399E-3</v>
      </c>
      <c r="BE51" s="357">
        <f>BE49-AY49</f>
        <v>2.1247262174047654E-2</v>
      </c>
      <c r="BF51" s="357">
        <f>BF49-AZ49</f>
        <v>1.7863379606474883E-2</v>
      </c>
      <c r="BG51" s="357">
        <f>BG49-BA49</f>
        <v>3.6188635062018859E-3</v>
      </c>
      <c r="BH51" s="357">
        <f>BH49-BB49</f>
        <v>-1.8562557035802396E-2</v>
      </c>
      <c r="BI51" s="357">
        <f>BI49-BC49</f>
        <v>5.4810120731186296E-3</v>
      </c>
      <c r="BK51" s="357">
        <f>BK49-BE49</f>
        <v>4.8316338224611566E-3</v>
      </c>
      <c r="BL51" s="357">
        <f>BL49-BF49</f>
        <v>8.3798555996281721E-3</v>
      </c>
      <c r="BM51" s="357">
        <f>BM49-BG49</f>
        <v>7.7097150265041936E-3</v>
      </c>
      <c r="BN51" s="357">
        <f>BN49-BH49</f>
        <v>-7.6818824262883667E-3</v>
      </c>
      <c r="BO51" s="357">
        <f>BO49-BI49</f>
        <v>3.5598683465606351E-3</v>
      </c>
      <c r="BQ51" s="357">
        <f>BQ49-BK49</f>
        <v>5.1919714341559509E-3</v>
      </c>
      <c r="BR51" s="357">
        <f>BR49-BL49</f>
        <v>8.0384022095292829E-3</v>
      </c>
      <c r="BS51" s="357">
        <f>BS49-BM49</f>
        <v>3.4941381057256859E-3</v>
      </c>
      <c r="BT51" s="357">
        <f ca="1">BT49-BN49</f>
        <v>8.6693794819667214E-3</v>
      </c>
      <c r="BU51" s="357">
        <f ca="1">BU49-BO49</f>
        <v>6.3135854375997447E-3</v>
      </c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</row>
    <row r="52" spans="1:115" x14ac:dyDescent="0.3">
      <c r="I52" s="709">
        <v>2008</v>
      </c>
      <c r="J52" s="710"/>
      <c r="K52" s="710"/>
      <c r="L52" s="710"/>
      <c r="M52" s="711"/>
      <c r="N52" s="3"/>
      <c r="O52" s="709">
        <v>2009</v>
      </c>
      <c r="P52" s="710"/>
      <c r="Q52" s="710"/>
      <c r="R52" s="710"/>
      <c r="S52" s="711"/>
      <c r="T52" s="3"/>
      <c r="U52" s="709">
        <v>2010</v>
      </c>
      <c r="V52" s="710"/>
      <c r="W52" s="710"/>
      <c r="X52" s="710"/>
      <c r="Y52" s="711"/>
      <c r="AA52" s="709">
        <v>2011</v>
      </c>
      <c r="AB52" s="710"/>
      <c r="AC52" s="710"/>
      <c r="AD52" s="710"/>
      <c r="AE52" s="711"/>
      <c r="AG52" s="709">
        <v>2012</v>
      </c>
      <c r="AH52" s="710"/>
      <c r="AI52" s="710"/>
      <c r="AJ52" s="710"/>
      <c r="AK52" s="711"/>
      <c r="AM52" s="709">
        <v>2013</v>
      </c>
      <c r="AN52" s="710"/>
      <c r="AO52" s="710"/>
      <c r="AP52" s="710"/>
      <c r="AQ52" s="711"/>
      <c r="AS52" s="709">
        <v>2014</v>
      </c>
      <c r="AT52" s="710"/>
      <c r="AU52" s="710"/>
      <c r="AV52" s="710"/>
      <c r="AW52" s="711"/>
      <c r="AY52" s="709">
        <v>2015</v>
      </c>
      <c r="AZ52" s="710"/>
      <c r="BA52" s="710"/>
      <c r="BB52" s="710"/>
      <c r="BC52" s="711"/>
      <c r="BE52" s="709">
        <v>2016</v>
      </c>
      <c r="BF52" s="710"/>
      <c r="BG52" s="710"/>
      <c r="BH52" s="710"/>
      <c r="BI52" s="711"/>
      <c r="BK52" s="709">
        <v>2017</v>
      </c>
      <c r="BL52" s="710"/>
      <c r="BM52" s="710"/>
      <c r="BN52" s="710"/>
      <c r="BO52" s="711"/>
      <c r="BQ52" s="709">
        <v>2018</v>
      </c>
      <c r="BR52" s="710"/>
      <c r="BS52" s="710"/>
      <c r="BT52" s="710"/>
      <c r="BU52" s="711"/>
      <c r="BW52" s="709">
        <v>2019</v>
      </c>
      <c r="BX52" s="710"/>
      <c r="BY52" s="710"/>
      <c r="BZ52" s="710"/>
      <c r="CA52" s="711"/>
      <c r="CC52" s="709">
        <v>2020</v>
      </c>
      <c r="CD52" s="710"/>
      <c r="CE52" s="710"/>
      <c r="CF52" s="710"/>
      <c r="CG52" s="711"/>
      <c r="CI52" s="709">
        <v>2021</v>
      </c>
      <c r="CJ52" s="710"/>
      <c r="CK52" s="710"/>
      <c r="CL52" s="710"/>
      <c r="CM52" s="711"/>
      <c r="CO52" s="709">
        <v>2022</v>
      </c>
      <c r="CP52" s="710"/>
      <c r="CQ52" s="710"/>
      <c r="CR52" s="710"/>
      <c r="CS52" s="711"/>
      <c r="CU52" s="709">
        <v>2023</v>
      </c>
      <c r="CV52" s="710"/>
      <c r="CW52" s="710"/>
      <c r="CX52" s="710"/>
      <c r="CY52" s="711"/>
      <c r="CZ52" s="2"/>
      <c r="DA52" s="709">
        <v>2024</v>
      </c>
      <c r="DB52" s="710"/>
      <c r="DC52" s="710"/>
      <c r="DD52" s="710"/>
      <c r="DE52" s="711"/>
      <c r="DF52" s="2"/>
      <c r="DG52" s="709">
        <v>2025</v>
      </c>
      <c r="DH52" s="710"/>
      <c r="DI52" s="710"/>
      <c r="DJ52" s="710"/>
      <c r="DK52" s="711"/>
    </row>
    <row r="53" spans="1:115" ht="15.75" thickBot="1" x14ac:dyDescent="0.35">
      <c r="B53" s="351" t="s">
        <v>183</v>
      </c>
      <c r="I53" s="51" t="s">
        <v>20</v>
      </c>
      <c r="J53" s="43" t="s">
        <v>19</v>
      </c>
      <c r="K53" s="43" t="s">
        <v>22</v>
      </c>
      <c r="L53" s="43" t="s">
        <v>21</v>
      </c>
      <c r="M53" s="95" t="s">
        <v>39</v>
      </c>
      <c r="N53" s="3"/>
      <c r="O53" s="51" t="s">
        <v>20</v>
      </c>
      <c r="P53" s="43" t="s">
        <v>19</v>
      </c>
      <c r="Q53" s="43" t="s">
        <v>22</v>
      </c>
      <c r="R53" s="43" t="s">
        <v>21</v>
      </c>
      <c r="S53" s="95" t="s">
        <v>39</v>
      </c>
      <c r="T53" s="3"/>
      <c r="U53" s="51" t="s">
        <v>20</v>
      </c>
      <c r="V53" s="43" t="s">
        <v>19</v>
      </c>
      <c r="W53" s="43" t="s">
        <v>22</v>
      </c>
      <c r="X53" s="43" t="s">
        <v>21</v>
      </c>
      <c r="Y53" s="95" t="s">
        <v>39</v>
      </c>
      <c r="AA53" s="51" t="s">
        <v>20</v>
      </c>
      <c r="AB53" s="43" t="s">
        <v>19</v>
      </c>
      <c r="AC53" s="43" t="s">
        <v>22</v>
      </c>
      <c r="AD53" s="43" t="s">
        <v>21</v>
      </c>
      <c r="AE53" s="95" t="s">
        <v>39</v>
      </c>
      <c r="AG53" s="51" t="s">
        <v>20</v>
      </c>
      <c r="AH53" s="43" t="s">
        <v>19</v>
      </c>
      <c r="AI53" s="43" t="s">
        <v>22</v>
      </c>
      <c r="AJ53" s="43" t="s">
        <v>21</v>
      </c>
      <c r="AK53" s="95" t="s">
        <v>39</v>
      </c>
      <c r="AM53" s="51" t="s">
        <v>20</v>
      </c>
      <c r="AN53" s="43" t="s">
        <v>19</v>
      </c>
      <c r="AO53" s="43" t="s">
        <v>22</v>
      </c>
      <c r="AP53" s="43" t="s">
        <v>21</v>
      </c>
      <c r="AQ53" s="95" t="s">
        <v>39</v>
      </c>
      <c r="AR53" s="2">
        <f>(N55+T55+Z55+AF55+AL55+AR55)/6</f>
        <v>0.13861780828539808</v>
      </c>
      <c r="AS53" s="51" t="s">
        <v>20</v>
      </c>
      <c r="AT53" s="43" t="s">
        <v>19</v>
      </c>
      <c r="AU53" s="43" t="s">
        <v>22</v>
      </c>
      <c r="AV53" s="43" t="s">
        <v>21</v>
      </c>
      <c r="AW53" s="95" t="s">
        <v>39</v>
      </c>
      <c r="AY53" s="51" t="s">
        <v>20</v>
      </c>
      <c r="AZ53" s="43" t="s">
        <v>19</v>
      </c>
      <c r="BA53" s="43" t="s">
        <v>22</v>
      </c>
      <c r="BB53" s="43" t="s">
        <v>21</v>
      </c>
      <c r="BC53" s="95" t="s">
        <v>39</v>
      </c>
      <c r="BE53" s="51" t="s">
        <v>20</v>
      </c>
      <c r="BF53" s="43" t="s">
        <v>19</v>
      </c>
      <c r="BG53" s="43" t="s">
        <v>22</v>
      </c>
      <c r="BH53" s="43" t="s">
        <v>21</v>
      </c>
      <c r="BI53" s="95" t="s">
        <v>39</v>
      </c>
      <c r="BK53" s="51" t="s">
        <v>20</v>
      </c>
      <c r="BL53" s="43" t="s">
        <v>19</v>
      </c>
      <c r="BM53" s="43" t="s">
        <v>22</v>
      </c>
      <c r="BN53" s="43" t="s">
        <v>21</v>
      </c>
      <c r="BO53" s="95" t="s">
        <v>39</v>
      </c>
      <c r="BQ53" s="51" t="s">
        <v>20</v>
      </c>
      <c r="BR53" s="43" t="s">
        <v>19</v>
      </c>
      <c r="BS53" s="43" t="s">
        <v>22</v>
      </c>
      <c r="BT53" s="43" t="s">
        <v>21</v>
      </c>
      <c r="BU53" s="95" t="s">
        <v>39</v>
      </c>
      <c r="BW53" s="51" t="s">
        <v>20</v>
      </c>
      <c r="BX53" s="467" t="s">
        <v>19</v>
      </c>
      <c r="BY53" s="467" t="s">
        <v>22</v>
      </c>
      <c r="BZ53" s="467" t="s">
        <v>21</v>
      </c>
      <c r="CA53" s="95" t="s">
        <v>39</v>
      </c>
      <c r="CC53" s="51" t="s">
        <v>20</v>
      </c>
      <c r="CD53" s="467" t="s">
        <v>19</v>
      </c>
      <c r="CE53" s="467" t="s">
        <v>22</v>
      </c>
      <c r="CF53" s="467" t="s">
        <v>21</v>
      </c>
      <c r="CG53" s="95" t="s">
        <v>39</v>
      </c>
      <c r="CI53" s="51" t="s">
        <v>20</v>
      </c>
      <c r="CJ53" s="467" t="s">
        <v>19</v>
      </c>
      <c r="CK53" s="467" t="s">
        <v>22</v>
      </c>
      <c r="CL53" s="467" t="s">
        <v>21</v>
      </c>
      <c r="CM53" s="95" t="s">
        <v>39</v>
      </c>
      <c r="CO53" s="51" t="s">
        <v>20</v>
      </c>
      <c r="CP53" s="467" t="s">
        <v>19</v>
      </c>
      <c r="CQ53" s="467" t="s">
        <v>22</v>
      </c>
      <c r="CR53" s="467" t="s">
        <v>21</v>
      </c>
      <c r="CS53" s="95" t="s">
        <v>39</v>
      </c>
      <c r="CU53" s="51" t="s">
        <v>20</v>
      </c>
      <c r="CV53" s="467" t="s">
        <v>19</v>
      </c>
      <c r="CW53" s="467" t="s">
        <v>22</v>
      </c>
      <c r="CX53" s="467" t="s">
        <v>21</v>
      </c>
      <c r="CY53" s="95" t="s">
        <v>39</v>
      </c>
      <c r="CZ53" s="2"/>
      <c r="DA53" s="51" t="s">
        <v>20</v>
      </c>
      <c r="DB53" s="570" t="s">
        <v>19</v>
      </c>
      <c r="DC53" s="570" t="s">
        <v>22</v>
      </c>
      <c r="DD53" s="570" t="s">
        <v>21</v>
      </c>
      <c r="DE53" s="95" t="s">
        <v>39</v>
      </c>
      <c r="DF53" s="2"/>
      <c r="DG53" s="51" t="s">
        <v>20</v>
      </c>
      <c r="DH53" s="570" t="s">
        <v>19</v>
      </c>
      <c r="DI53" s="570" t="s">
        <v>22</v>
      </c>
      <c r="DJ53" s="570" t="s">
        <v>21</v>
      </c>
      <c r="DK53" s="95" t="s">
        <v>39</v>
      </c>
    </row>
    <row r="54" spans="1:115" x14ac:dyDescent="0.3">
      <c r="R54" s="36"/>
      <c r="U54" s="36">
        <f>U51/O51-1</f>
        <v>5.4382597568777946E-2</v>
      </c>
      <c r="V54" s="36">
        <f>V51/P51-1</f>
        <v>-1.9446081319976383E-2</v>
      </c>
      <c r="W54" s="36">
        <f>W51/Q51-1</f>
        <v>-5.1940639269406397E-2</v>
      </c>
      <c r="X54" s="36">
        <f>X51/R51-1</f>
        <v>-0.17884481558803067</v>
      </c>
      <c r="Y54" s="36">
        <f>Y51/S51-1</f>
        <v>-4.589858892851606E-2</v>
      </c>
      <c r="AA54" s="36">
        <f>AA55/U55-1</f>
        <v>0.15841057856883833</v>
      </c>
      <c r="AB54" s="36">
        <f>AB55/V55-1</f>
        <v>-2.3323775491580379E-2</v>
      </c>
      <c r="AC54" s="36">
        <f>AC55/W55-1</f>
        <v>0.25233433525203441</v>
      </c>
      <c r="AD54" s="36">
        <f>AD55/X55-1</f>
        <v>-0.22245592465787312</v>
      </c>
      <c r="AE54" s="36">
        <f>AE55/Y55-1</f>
        <v>1.1697489800320371E-2</v>
      </c>
      <c r="AG54" s="36">
        <f>AG55/AA55-1</f>
        <v>0.19771738949492601</v>
      </c>
      <c r="AH54" s="36">
        <f>AH55/AB55-1</f>
        <v>8.3854765567813017E-2</v>
      </c>
      <c r="AI54" s="36">
        <f>AI55/AC55-1</f>
        <v>-0.37308982244851652</v>
      </c>
      <c r="AJ54" s="36">
        <f>AJ55/AD55-1</f>
        <v>0.11260901359019471</v>
      </c>
      <c r="AK54" s="36">
        <f>AK55/AE55-1</f>
        <v>-2.4851481807866338E-2</v>
      </c>
      <c r="AM54" s="36">
        <f>AM55/AG55-1</f>
        <v>-0.34221853554549519</v>
      </c>
      <c r="AN54" s="36">
        <f>AN55/AH55-1</f>
        <v>-0.21357164280363261</v>
      </c>
      <c r="AO54" s="36">
        <f>AO55/AI55-1</f>
        <v>0.3184510224718653</v>
      </c>
      <c r="AP54" s="36">
        <f>AP55/AJ55-1</f>
        <v>0.25711104447219024</v>
      </c>
      <c r="AQ54" s="36">
        <f>AQ55/AK55-1</f>
        <v>-1.9176634735698084E-3</v>
      </c>
      <c r="AS54" s="36">
        <f>AS55/AM55-1</f>
        <v>0.18709952122501439</v>
      </c>
      <c r="AT54" s="36">
        <f>AT55/AN55-1</f>
        <v>0.5806021572126947</v>
      </c>
      <c r="AU54" s="36">
        <f>AU55/AO55-1</f>
        <v>0.13104916980397885</v>
      </c>
      <c r="AV54" s="36">
        <f>AV55/AP55-1</f>
        <v>-0.16104511063567284</v>
      </c>
      <c r="AW54" s="36">
        <f>AW55/AQ55-1</f>
        <v>0.1160325807029936</v>
      </c>
      <c r="AY54" s="36">
        <f>AY55/AS55-1</f>
        <v>0.34557737589381832</v>
      </c>
      <c r="AZ54" s="36">
        <f>AZ55/AT55-1</f>
        <v>-4.2091940683050111E-2</v>
      </c>
      <c r="BA54" s="36">
        <f>BA55/AU55-1</f>
        <v>6.318156532692254E-2</v>
      </c>
      <c r="BB54" s="36">
        <f>BB55/AV55-1</f>
        <v>-0.10198068234021651</v>
      </c>
      <c r="BC54" s="36">
        <f>BC55/AW55-1</f>
        <v>4.0711083312718666E-2</v>
      </c>
      <c r="BE54" s="36">
        <f>BE55/AY55-1</f>
        <v>-8.0884345556758386E-2</v>
      </c>
      <c r="BF54" s="36">
        <f>BF55/AZ55-1</f>
        <v>-9.3521933349186903E-2</v>
      </c>
      <c r="BG54" s="36">
        <f>BG55/BA55-1</f>
        <v>-2.6522751521577237E-2</v>
      </c>
      <c r="BH54" s="36">
        <f>BH55/BB55-1</f>
        <v>0.27248952286946326</v>
      </c>
      <c r="BI54" s="36">
        <f>BI55/BC55-1</f>
        <v>1.6792538581497096E-2</v>
      </c>
      <c r="BK54" s="36">
        <f>BK55/BE55-1</f>
        <v>0.1519499942104352</v>
      </c>
      <c r="BL54" s="36">
        <f>BL55/BF55-1</f>
        <v>0.18991205715140258</v>
      </c>
      <c r="BM54" s="36">
        <f>BM55/BG55-1</f>
        <v>6.9888433554721185E-3</v>
      </c>
      <c r="BN54" s="36">
        <f>BN55/BH55-1</f>
        <v>-0.10005117292663168</v>
      </c>
      <c r="BO54" s="36">
        <f>BO55/BI55-1</f>
        <v>4.5890561576227284E-2</v>
      </c>
      <c r="BQ54" s="36">
        <f>BQ55/BK55-1</f>
        <v>1.4237563642896633E-2</v>
      </c>
      <c r="BR54" s="36">
        <f>BR55/BL55-1</f>
        <v>1.5432307876866336E-2</v>
      </c>
      <c r="BS54" s="36">
        <f>BS55/BM55-1</f>
        <v>1.7432808428367474E-2</v>
      </c>
      <c r="BT54" s="36">
        <f ca="1">BT55/BN55-1</f>
        <v>5.0513581939816588E-2</v>
      </c>
      <c r="BU54" s="36">
        <f ca="1">BU55/BO55-1</f>
        <v>2.4847877389723161E-2</v>
      </c>
      <c r="BW54" s="36">
        <f>BW55/BQ55-1</f>
        <v>-1.4149673313943456E-3</v>
      </c>
      <c r="BX54" s="36">
        <f>BX55/BR55-1</f>
        <v>-4.6942450806165548E-3</v>
      </c>
      <c r="BY54" s="36">
        <f>BY55/BS55-1</f>
        <v>-2.0035412436759881E-2</v>
      </c>
      <c r="BZ54" s="36">
        <f ca="1">BZ55/BT55-1</f>
        <v>8.228350815842056E-4</v>
      </c>
      <c r="CA54" s="36">
        <f ca="1">CA55/BU55-1</f>
        <v>-6.2384290232129214E-3</v>
      </c>
      <c r="CC54" s="36">
        <f>CC55/BW55-1</f>
        <v>-3.2876735826905534E-3</v>
      </c>
      <c r="CD54" s="36">
        <f>CD55/BX55-1</f>
        <v>7.5193112153657538E-3</v>
      </c>
      <c r="CE54" s="36">
        <f>CE55/BY55-1</f>
        <v>-1.2586140475655094E-2</v>
      </c>
      <c r="CF54" s="36">
        <f ca="1">CF55/BZ55-1</f>
        <v>9.3217092173891736E-3</v>
      </c>
      <c r="CG54" s="36">
        <f ca="1">CG55/CA55-1</f>
        <v>5.323481292609511E-4</v>
      </c>
      <c r="CI54" s="36">
        <f>CI55/CC55-1</f>
        <v>9.0229526920890812E-3</v>
      </c>
      <c r="CJ54" s="36">
        <f>CJ55/CD55-1</f>
        <v>4.573278597072461E-3</v>
      </c>
      <c r="CK54" s="36">
        <f>CK55/CE55-1</f>
        <v>-1.1616397750964458E-2</v>
      </c>
      <c r="CL54" s="36">
        <f ca="1">CL55/CF55-1</f>
        <v>7.8724751532743831E-4</v>
      </c>
      <c r="CM54" s="36">
        <f ca="1">CM55/CG55-1</f>
        <v>6.8627883162286629E-4</v>
      </c>
      <c r="CO54" s="36">
        <f>CO55/CI55-1</f>
        <v>1.4444808609606063E-3</v>
      </c>
      <c r="CP54" s="36">
        <f>CP55/CJ55-1</f>
        <v>-2.4508572219172908E-3</v>
      </c>
      <c r="CQ54" s="36">
        <f>CQ55/CK55-1</f>
        <v>-2.0441245142956199E-2</v>
      </c>
      <c r="CR54" s="36">
        <f ca="1">CR55/CL55-1</f>
        <v>-6.9123702228925943E-3</v>
      </c>
      <c r="CS54" s="36">
        <f ca="1">CS55/CM55-1</f>
        <v>-7.0266323666464681E-3</v>
      </c>
      <c r="CU54" s="36">
        <f>CU55/CO55-1</f>
        <v>-0.11391513840259992</v>
      </c>
      <c r="CV54" s="36">
        <f>CV55/CP55-1</f>
        <v>-9.7814980765889237E-2</v>
      </c>
      <c r="CW54" s="36">
        <f>CW55/CQ55-1</f>
        <v>-0.13513588481496186</v>
      </c>
      <c r="CX54" s="36">
        <f ca="1">CX55/CR55-1</f>
        <v>-0.10731244007471608</v>
      </c>
      <c r="CY54" s="36">
        <f ca="1">CY55/CS55-1</f>
        <v>-0.1130456383963464</v>
      </c>
      <c r="CZ54" s="2"/>
      <c r="DA54" s="36">
        <f>DA55/CU55-1</f>
        <v>-0.11812526636127607</v>
      </c>
      <c r="DB54" s="36">
        <f>DB55/CV55-1</f>
        <v>-0.10976020220579097</v>
      </c>
      <c r="DC54" s="36">
        <f>DC55/CW55-1</f>
        <v>-0.13229773598766792</v>
      </c>
      <c r="DD54" s="36">
        <f ca="1">DD55/CX55-1</f>
        <v>-0.11493727531086806</v>
      </c>
      <c r="DE54" s="36">
        <f ca="1">DE55/CY55-1</f>
        <v>-0.11835443835345916</v>
      </c>
      <c r="DF54" s="2"/>
      <c r="DG54" s="36">
        <f>DG55/DA55-1</f>
        <v>-4.1713727520954369E-2</v>
      </c>
      <c r="DH54" s="36">
        <f>DH55/DB55-1</f>
        <v>-3.7223156523144896E-2</v>
      </c>
      <c r="DI54" s="36">
        <f>DI55/DC55-1</f>
        <v>-4.5548971422198714E-2</v>
      </c>
      <c r="DJ54" s="36">
        <f ca="1">DJ55/DD55-1</f>
        <v>-5.7016312345626319E-2</v>
      </c>
      <c r="DK54" s="36">
        <f ca="1">DK55/DE55-1</f>
        <v>-4.5641794203172714E-2</v>
      </c>
    </row>
    <row r="55" spans="1:115" x14ac:dyDescent="0.3">
      <c r="B55" s="13" t="s">
        <v>184</v>
      </c>
      <c r="I55" s="352">
        <f>I56+I57+I58</f>
        <v>578</v>
      </c>
      <c r="J55" s="352">
        <f>J56+J57+J58</f>
        <v>561</v>
      </c>
      <c r="K55" s="352">
        <f>K56+K57+K58</f>
        <v>693</v>
      </c>
      <c r="L55" s="352">
        <f>L56+L57+L58</f>
        <v>1222</v>
      </c>
      <c r="M55" s="352">
        <f>I55+J55+K55+L55</f>
        <v>3054</v>
      </c>
      <c r="N55" s="3">
        <f>M55/M6</f>
        <v>0.1163756551931828</v>
      </c>
      <c r="O55" s="352">
        <f>O56+O57+O58</f>
        <v>800</v>
      </c>
      <c r="P55" s="352">
        <f>P56+P57+P58</f>
        <v>684</v>
      </c>
      <c r="Q55" s="352">
        <f>Q56+Q57+Q58</f>
        <v>771</v>
      </c>
      <c r="R55" s="352">
        <f>R56+R57+R58</f>
        <v>903</v>
      </c>
      <c r="S55" s="352">
        <f>O55+P55+Q55+R55</f>
        <v>3158</v>
      </c>
      <c r="T55" s="3">
        <f>S55/S6</f>
        <v>0.12403770620581304</v>
      </c>
      <c r="U55" s="352">
        <f>U56+U57+U58</f>
        <v>651</v>
      </c>
      <c r="V55" s="352">
        <f>V56+V57+V58</f>
        <v>774</v>
      </c>
      <c r="W55" s="352">
        <f>W56+W57+W58</f>
        <v>862</v>
      </c>
      <c r="X55" s="352">
        <f>X56+X57+X58</f>
        <v>1178</v>
      </c>
      <c r="Y55" s="352">
        <f>U55+V55+W55+X55</f>
        <v>3465</v>
      </c>
      <c r="Z55" s="3">
        <f>Y55/Y6</f>
        <v>0.13780075561741897</v>
      </c>
      <c r="AA55" s="352">
        <f>AA56+AA57+AA58</f>
        <v>754.12528664831382</v>
      </c>
      <c r="AB55" s="352">
        <f>AB56+AB57+AB58</f>
        <v>755.94739776951678</v>
      </c>
      <c r="AC55" s="352">
        <f>AC56+AC57+AC58-1</f>
        <v>1079.5121969872537</v>
      </c>
      <c r="AD55" s="352">
        <f>AD56+AD57+AD58</f>
        <v>915.94692075302544</v>
      </c>
      <c r="AE55" s="352">
        <f>AA55+AB55+AC55+AD55</f>
        <v>3505.5318021581097</v>
      </c>
      <c r="AF55" s="471">
        <f>AE55/AE6</f>
        <v>0.15106274302795464</v>
      </c>
      <c r="AG55" s="352">
        <f>AG56+AG57+AG58</f>
        <v>903.22896967653128</v>
      </c>
      <c r="AH55" s="352">
        <f>AH56+AH57+AH58-1</f>
        <v>819.33718959107796</v>
      </c>
      <c r="AI55" s="352">
        <f>AI56+AI57+AI58</f>
        <v>676.75718308227124</v>
      </c>
      <c r="AJ55" s="352">
        <f>AJ56+AJ57+AJ58</f>
        <v>1019.0907999999999</v>
      </c>
      <c r="AK55" s="352">
        <f>AG55+AH55+AI55+AJ55</f>
        <v>3418.4141423498804</v>
      </c>
      <c r="AL55" s="86">
        <f>AK55/AK6</f>
        <v>0.1503524869084219</v>
      </c>
      <c r="AM55" s="352">
        <f>AM56+AM57+AM58</f>
        <v>594.12727441156221</v>
      </c>
      <c r="AN55" s="352">
        <f>AN56+AN57+AN58</f>
        <v>644.35</v>
      </c>
      <c r="AO55" s="352">
        <f>AO56+AO57+AO58</f>
        <v>892.27119999999991</v>
      </c>
      <c r="AP55" s="352">
        <f>AP56+AP57+AP58</f>
        <v>1281.1102999999998</v>
      </c>
      <c r="AQ55" s="352">
        <f>AM55+AN55+AO55+AP55</f>
        <v>3411.8587744115616</v>
      </c>
      <c r="AR55" s="471">
        <f>AQ55/AQ6</f>
        <v>0.15207750275959714</v>
      </c>
      <c r="AS55" s="352">
        <f>AS56+AS57+AS58</f>
        <v>705.28820300068821</v>
      </c>
      <c r="AT55" s="352">
        <f>AT56+AT57+AT58</f>
        <v>1018.4609999999999</v>
      </c>
      <c r="AU55" s="352">
        <f>AU56+AU57+AU58</f>
        <v>1009.2026</v>
      </c>
      <c r="AV55" s="352">
        <f>AV56+AV57+AV58</f>
        <v>1074.7937499999998</v>
      </c>
      <c r="AW55" s="352">
        <f>AS55+AT55+AU55+AV55</f>
        <v>3807.7455530006878</v>
      </c>
      <c r="AX55" s="3"/>
      <c r="AY55" s="352">
        <f>AY56+AY57+AY58</f>
        <v>949.01984944253263</v>
      </c>
      <c r="AZ55" s="352">
        <f>AZ56+AZ57+AZ58</f>
        <v>975.59199999999998</v>
      </c>
      <c r="BA55" s="352">
        <f>BA56+BA57+BA58</f>
        <v>1072.9656</v>
      </c>
      <c r="BB55" s="352">
        <f>BB56+BB57+BB58</f>
        <v>965.18554999999981</v>
      </c>
      <c r="BC55" s="352">
        <f>AY55+AZ55+BA55+BB55</f>
        <v>3962.7629994425324</v>
      </c>
      <c r="BD55" s="3"/>
      <c r="BE55" s="352">
        <f>BE56+BE57+BE58</f>
        <v>872.25900000000001</v>
      </c>
      <c r="BF55" s="352">
        <f>BF56+BF57+BF58</f>
        <v>884.35275000000001</v>
      </c>
      <c r="BG55" s="352">
        <f>BG56+BG57+BG58</f>
        <v>1044.5075999999999</v>
      </c>
      <c r="BH55" s="352">
        <f>BH56+BH57+BH58</f>
        <v>1228.1885000000002</v>
      </c>
      <c r="BI55" s="352">
        <f>BE55+BF55+BG55+BH55</f>
        <v>4029.3078500000001</v>
      </c>
      <c r="BJ55" s="3"/>
      <c r="BK55" s="352">
        <f>BK56+BK57+BK58</f>
        <v>1004.79875</v>
      </c>
      <c r="BL55" s="352">
        <f>BL56+BL57+BL58</f>
        <v>1052.3020000000001</v>
      </c>
      <c r="BM55" s="352">
        <f>BM56+BM57+BM58</f>
        <v>1051.8075000000001</v>
      </c>
      <c r="BN55" s="352">
        <f>BN56+BN57+BN58</f>
        <v>1105.3067999999998</v>
      </c>
      <c r="BO55" s="352">
        <f>BK55+BL55+BM55+BN55</f>
        <v>4214.2150500000007</v>
      </c>
      <c r="BP55" s="352">
        <f>BO55+BO64+BO66</f>
        <v>4888.2150500000007</v>
      </c>
      <c r="BQ55" s="352">
        <f>BQ56+BQ57+BQ58</f>
        <v>1019.1046361514279</v>
      </c>
      <c r="BR55" s="352">
        <f>BR56+BR57+BR58</f>
        <v>1068.5414484434423</v>
      </c>
      <c r="BS55" s="352">
        <f>BS56+BS57+BS58</f>
        <v>1070.1434586510202</v>
      </c>
      <c r="BT55" s="352">
        <f ca="1">BT56+BT57+BT58</f>
        <v>1161.1398056104363</v>
      </c>
      <c r="BU55" s="352">
        <f ca="1">BQ55+BR55+BS55+BT55</f>
        <v>4318.9293488563271</v>
      </c>
      <c r="BV55" s="3"/>
      <c r="BW55" s="352">
        <f>BW56+BW57+BW58</f>
        <v>1017.6626363840012</v>
      </c>
      <c r="BX55" s="352">
        <f>BX56+BX57+BX58</f>
        <v>1063.5254530056518</v>
      </c>
      <c r="BY55" s="352">
        <f>BY56+BY57+BY58</f>
        <v>1048.7026930904462</v>
      </c>
      <c r="BZ55" s="352">
        <f ca="1">BZ56+BZ57+BZ58</f>
        <v>1162.0952321771165</v>
      </c>
      <c r="CA55" s="352">
        <f ca="1">BW55+BX55+BY55+BZ55</f>
        <v>4291.9860146572155</v>
      </c>
      <c r="CB55" s="352">
        <f ca="1">CA31-CA55</f>
        <v>4808.7743465002095</v>
      </c>
      <c r="CC55" s="352">
        <f>CC56+CC57+CC58</f>
        <v>1014.3168938182703</v>
      </c>
      <c r="CD55" s="352">
        <f>CD56+CD57+CD58</f>
        <v>1071.5224318722642</v>
      </c>
      <c r="CE55" s="352">
        <f>CE56+CE57+CE58</f>
        <v>1035.5035736780121</v>
      </c>
      <c r="CF55" s="352">
        <f ca="1">CF56+CF57+CF58</f>
        <v>1172.927946014386</v>
      </c>
      <c r="CG55" s="352">
        <f ca="1">CC55+CD55+CE55+CF55</f>
        <v>4294.2708453829327</v>
      </c>
      <c r="CH55" s="3"/>
      <c r="CI55" s="352">
        <f>CI56+CI57+CI58</f>
        <v>1023.4690271659792</v>
      </c>
      <c r="CJ55" s="352">
        <f>CJ56+CJ57+CJ58</f>
        <v>1076.4228024762288</v>
      </c>
      <c r="CK55" s="352">
        <f>CK56+CK57+CK58</f>
        <v>1023.4747522936232</v>
      </c>
      <c r="CL55" s="352">
        <f ca="1">CL56+CL57+CL58</f>
        <v>1173.8513306255438</v>
      </c>
      <c r="CM55" s="352">
        <f ca="1">CI55+CJ55+CK55+CL55</f>
        <v>4297.2179125613748</v>
      </c>
      <c r="CN55" s="3"/>
      <c r="CO55" s="352">
        <f>CO56+CO57+CO58</f>
        <v>1024.9474085875065</v>
      </c>
      <c r="CP55" s="352">
        <f>CP56+CP57+CP58</f>
        <v>1073.7846438769434</v>
      </c>
      <c r="CQ55" s="352">
        <f>CQ56+CQ57+CQ58</f>
        <v>1002.5536539843629</v>
      </c>
      <c r="CR55" s="352">
        <f ca="1">CR56+CR57+CR58</f>
        <v>1165.7372356416249</v>
      </c>
      <c r="CS55" s="352">
        <f ca="1">CO55+CP55+CQ55+CR55</f>
        <v>4267.0229420904379</v>
      </c>
      <c r="CT55" s="3"/>
      <c r="CU55" s="352">
        <f>CU56+CU57+CU58</f>
        <v>908.19038268287454</v>
      </c>
      <c r="CV55" s="352">
        <f>CV56+CV57+CV58</f>
        <v>968.75241958941297</v>
      </c>
      <c r="CW55" s="352">
        <f>CW56+CW57+CW58</f>
        <v>867.07267887871285</v>
      </c>
      <c r="CX55" s="352">
        <f ca="1">CX56+CX57+CX58</f>
        <v>1040.6391283989678</v>
      </c>
      <c r="CY55" s="352">
        <f ca="1">CU55+CV55+CW55+CX55</f>
        <v>3784.654609549968</v>
      </c>
      <c r="CZ55" s="3"/>
      <c r="DA55" s="352">
        <f>DA56+DA57+DA58</f>
        <v>800.91015182171077</v>
      </c>
      <c r="DB55" s="352">
        <f>DB56+DB57+DB58</f>
        <v>862.42195812792977</v>
      </c>
      <c r="DC55" s="352">
        <f>DC56+DC57+DC58</f>
        <v>752.36092652629691</v>
      </c>
      <c r="DD55" s="352">
        <f ca="1">DD56+DD57+DD58</f>
        <v>921.0309023989139</v>
      </c>
      <c r="DE55" s="352">
        <f ca="1">DA55+DB55+DC55+DD55</f>
        <v>3336.7239388748512</v>
      </c>
      <c r="DF55" s="3"/>
      <c r="DG55" s="352">
        <f>DG56+DG57+DG58</f>
        <v>767.5012039798537</v>
      </c>
      <c r="DH55" s="352">
        <f>DH56+DH57+DH58</f>
        <v>830.3198905915367</v>
      </c>
      <c r="DI55" s="352">
        <f>DI56+DI57+DI58</f>
        <v>718.09166018477163</v>
      </c>
      <c r="DJ55" s="352">
        <f ca="1">DJ56+DJ57+DJ58</f>
        <v>868.51711678776337</v>
      </c>
      <c r="DK55" s="352">
        <f ca="1">DG55+DH55+DI55+DJ55</f>
        <v>3184.4298715439254</v>
      </c>
    </row>
    <row r="56" spans="1:115" x14ac:dyDescent="0.3">
      <c r="B56" s="1" t="s">
        <v>189</v>
      </c>
      <c r="I56" s="98">
        <f>'T-Home Germany'!I194</f>
        <v>497</v>
      </c>
      <c r="J56" s="98">
        <f>'T-Home Germany'!J194</f>
        <v>486</v>
      </c>
      <c r="K56" s="98">
        <f>'T-Home Germany'!K194</f>
        <v>601</v>
      </c>
      <c r="L56" s="98">
        <f>'T-Home Germany'!L194</f>
        <v>1061</v>
      </c>
      <c r="M56" s="98">
        <f>I56+J56+K56+L56</f>
        <v>2645</v>
      </c>
      <c r="O56" s="98">
        <f>'T-Home Germany'!O194</f>
        <v>683</v>
      </c>
      <c r="P56" s="98">
        <f>'T-Home Germany'!P194</f>
        <v>558</v>
      </c>
      <c r="Q56" s="98">
        <f>'T-Home Germany'!Q194</f>
        <v>681</v>
      </c>
      <c r="R56" s="98">
        <f>'T-Home Germany'!R194</f>
        <v>772</v>
      </c>
      <c r="S56" s="98">
        <f>O56+P56+Q56+R56</f>
        <v>2694</v>
      </c>
      <c r="U56" s="98">
        <f>'T-Home Germany'!U194</f>
        <v>555</v>
      </c>
      <c r="V56" s="98">
        <f>'T-Home Germany'!V194</f>
        <v>688</v>
      </c>
      <c r="W56" s="98">
        <f>'T-Home Germany'!W194</f>
        <v>698</v>
      </c>
      <c r="X56" s="98">
        <f>'T-Home Germany'!X194</f>
        <v>946</v>
      </c>
      <c r="Y56" s="98">
        <f>U56+V56+W56+X56</f>
        <v>2887</v>
      </c>
      <c r="AA56" s="98">
        <f>'T-Home Germany'!AA194</f>
        <v>589.85228664831379</v>
      </c>
      <c r="AB56" s="98">
        <f>'T-Home Germany'!AB194</f>
        <v>596.9123977695167</v>
      </c>
      <c r="AC56" s="98">
        <f>'T-Home Germany'!AC194</f>
        <v>881.22219698725371</v>
      </c>
      <c r="AD56" s="98">
        <f>'T-Home Germany'!AD194</f>
        <v>708.90192075302548</v>
      </c>
      <c r="AE56" s="98">
        <f>AA56+AB56+AC56+AD56</f>
        <v>2776.8888021581097</v>
      </c>
      <c r="AG56" s="98">
        <f>'T-Home Germany'!AG194</f>
        <v>736.24396967653126</v>
      </c>
      <c r="AH56" s="98">
        <f>'T-Home Germany'!AH194</f>
        <v>675.88118959107794</v>
      </c>
      <c r="AI56" s="98">
        <f>'T-Home Germany'!AI194</f>
        <v>529.90718308227122</v>
      </c>
      <c r="AJ56" s="98">
        <f>'T-Home Germany'!AJ194</f>
        <v>760.7808</v>
      </c>
      <c r="AK56" s="98">
        <f>AG56+AH56+AI56+AJ56</f>
        <v>2702.8131423498803</v>
      </c>
      <c r="AM56" s="98">
        <f>'T-Home Germany'!AM194</f>
        <v>493.7382744115622</v>
      </c>
      <c r="AN56" s="98">
        <f>'T-Home Germany'!AN194</f>
        <v>509.6</v>
      </c>
      <c r="AO56" s="98">
        <f>'T-Home Germany'!AO194</f>
        <v>671.61119999999994</v>
      </c>
      <c r="AP56" s="98">
        <f>'T-Home Germany'!AP194</f>
        <v>1007.1302999999999</v>
      </c>
      <c r="AQ56" s="98">
        <f>AM56+AN56+AO56+AP56</f>
        <v>2682.0797744115621</v>
      </c>
      <c r="AS56" s="98">
        <f>'T-Home Germany'!AS194</f>
        <v>593.02820300068822</v>
      </c>
      <c r="AT56" s="98">
        <f>'T-Home Germany'!AT194</f>
        <v>849.17099999999994</v>
      </c>
      <c r="AU56" s="98">
        <f>'T-Home Germany'!AU194</f>
        <v>768.48259999999993</v>
      </c>
      <c r="AV56" s="98">
        <f>'T-Home Germany'!AV194</f>
        <v>812.54374999999982</v>
      </c>
      <c r="AW56" s="98">
        <f>AS56+AT56+AU56+AV56</f>
        <v>3023.2255530006878</v>
      </c>
      <c r="AY56" s="98">
        <f>'T-Home Germany'!AY194</f>
        <v>794.4448494425327</v>
      </c>
      <c r="AZ56" s="98">
        <f>'T-Home Germany'!AZ194</f>
        <v>830.255</v>
      </c>
      <c r="BA56" s="98">
        <f>'T-Home Germany'!BA194</f>
        <v>821.10559999999998</v>
      </c>
      <c r="BB56" s="98">
        <f>'T-Home Germany'!BB194</f>
        <v>726.90554999999983</v>
      </c>
      <c r="BC56" s="98">
        <f>AY56+AZ56+BA56+BB56</f>
        <v>3172.7109994425327</v>
      </c>
      <c r="BE56" s="98">
        <f>'T-Home Germany'!BE194</f>
        <v>726.68399999999997</v>
      </c>
      <c r="BF56" s="98">
        <f>'T-Home Germany'!BF194</f>
        <v>742.82775000000004</v>
      </c>
      <c r="BG56" s="98">
        <f>'T-Home Germany'!BG194</f>
        <v>787.75760000000002</v>
      </c>
      <c r="BH56" s="98">
        <f>'T-Home Germany'!BH194</f>
        <v>958.82850000000008</v>
      </c>
      <c r="BI56" s="98">
        <f>BE56+BF56+BG56+BH56</f>
        <v>3216.0978500000001</v>
      </c>
      <c r="BK56" s="98">
        <f>'T-Home Germany'!BK194</f>
        <v>851.96875</v>
      </c>
      <c r="BL56" s="98">
        <f>'T-Home Germany'!BL194</f>
        <v>896.30200000000002</v>
      </c>
      <c r="BM56" s="98">
        <f>'T-Home Germany'!BM194</f>
        <v>790.05000000000007</v>
      </c>
      <c r="BN56" s="98">
        <f>'T-Home Germany'!BN194</f>
        <v>866.82679999999993</v>
      </c>
      <c r="BO56" s="98">
        <f>BK56+BL56+BM56+BN56</f>
        <v>3405.1475500000001</v>
      </c>
      <c r="BQ56" s="98">
        <f>'T-Home Germany'!BQ194</f>
        <v>856.98063826385737</v>
      </c>
      <c r="BR56" s="98">
        <f>'T-Home Germany'!BR194</f>
        <v>903.55199575941481</v>
      </c>
      <c r="BS56" s="98">
        <f>'T-Home Germany'!BS194</f>
        <v>796.53274399455358</v>
      </c>
      <c r="BT56" s="98">
        <f ca="1">'T-Home Germany'!BT194</f>
        <v>873.5179748966292</v>
      </c>
      <c r="BU56" s="98">
        <f ca="1">BQ56+BR56+BS56+BT56</f>
        <v>3430.5833529144552</v>
      </c>
      <c r="BW56" s="98">
        <f>'T-Home Germany'!BW194</f>
        <v>852.33899799226015</v>
      </c>
      <c r="BX56" s="98">
        <f>'T-Home Germany'!BX194</f>
        <v>900.29707549409568</v>
      </c>
      <c r="BY56" s="98">
        <f>'T-Home Germany'!BY194</f>
        <v>790.96368839743184</v>
      </c>
      <c r="BZ56" s="98">
        <f ca="1">'T-Home Germany'!BZ194</f>
        <v>867.89836906544747</v>
      </c>
      <c r="CA56" s="98">
        <f ca="1">BW56+BX56+BY56+BZ56</f>
        <v>3411.498130949235</v>
      </c>
      <c r="CB56" s="2">
        <f ca="1">CB55/CB73</f>
        <v>0.49801462993596524</v>
      </c>
      <c r="CC56" s="98">
        <f>'T-Home Germany'!CC194</f>
        <v>856.51034431405196</v>
      </c>
      <c r="CD56" s="98">
        <f>'T-Home Germany'!CD194</f>
        <v>905.30573848148777</v>
      </c>
      <c r="CE56" s="98">
        <f>'T-Home Germany'!CE194</f>
        <v>794.56987838631926</v>
      </c>
      <c r="CF56" s="98">
        <f ca="1">'T-Home Germany'!CF194</f>
        <v>872.31842116335099</v>
      </c>
      <c r="CG56" s="98">
        <f ca="1">CC56+CD56+CE56+CF56</f>
        <v>3428.70438234521</v>
      </c>
      <c r="CI56" s="98">
        <f>'T-Home Germany'!CI194</f>
        <v>862.81506203367167</v>
      </c>
      <c r="CJ56" s="98">
        <f>'T-Home Germany'!CJ194</f>
        <v>912.61685900043108</v>
      </c>
      <c r="CK56" s="98">
        <f>'T-Home Germany'!CK194</f>
        <v>799.98305275244309</v>
      </c>
      <c r="CL56" s="98">
        <f ca="1">'T-Home Germany'!CL194</f>
        <v>878.57534078344509</v>
      </c>
      <c r="CM56" s="98">
        <f ca="1">CI56+CJ56+CK56+CL56</f>
        <v>3453.9903145699909</v>
      </c>
      <c r="CO56" s="98">
        <f>'T-Home Germany'!CO194</f>
        <v>861.49783997269344</v>
      </c>
      <c r="CP56" s="98">
        <f>'T-Home Germany'!CP194</f>
        <v>912.3444990477841</v>
      </c>
      <c r="CQ56" s="98">
        <f>'T-Home Germany'!CQ194</f>
        <v>797.47370689528918</v>
      </c>
      <c r="CR56" s="98">
        <f ca="1">'T-Home Germany'!CR194</f>
        <v>876.82399868314531</v>
      </c>
      <c r="CS56" s="98">
        <f ca="1">CO56+CP56+CQ56+CR56</f>
        <v>3448.140044598912</v>
      </c>
      <c r="CU56" s="98">
        <f>'T-Home Germany'!CU194</f>
        <v>747.97698521905011</v>
      </c>
      <c r="CV56" s="98">
        <f>'T-Home Germany'!CV194</f>
        <v>799.46019002683181</v>
      </c>
      <c r="CW56" s="98">
        <f>'T-Home Germany'!CW194</f>
        <v>681.5418922971445</v>
      </c>
      <c r="CX56" s="98">
        <f ca="1">'T-Home Germany'!CX194</f>
        <v>759.4867385482388</v>
      </c>
      <c r="CY56" s="98">
        <f ca="1">CU56+CV56+CW56+CX56</f>
        <v>2988.4658060912652</v>
      </c>
      <c r="CZ56" s="2"/>
      <c r="DA56" s="98">
        <f>'T-Home Germany'!DA194</f>
        <v>638.84379716788339</v>
      </c>
      <c r="DB56" s="98">
        <f>'T-Home Germany'!DB194</f>
        <v>691.08612602697826</v>
      </c>
      <c r="DC56" s="98">
        <f>'T-Home Germany'!DC194</f>
        <v>570.12819092273855</v>
      </c>
      <c r="DD56" s="98">
        <f ca="1">'T-Home Germany'!DD194</f>
        <v>647.02669729854756</v>
      </c>
      <c r="DE56" s="98">
        <f ca="1">DA56+DB56+DC56+DD56</f>
        <v>2547.0848114161481</v>
      </c>
      <c r="DF56" s="2"/>
      <c r="DG56" s="98">
        <f>'T-Home Germany'!DG194</f>
        <v>603.38678537621752</v>
      </c>
      <c r="DH56" s="98">
        <f>'T-Home Germany'!DH194</f>
        <v>656.71200484925805</v>
      </c>
      <c r="DI56" s="98">
        <f>'T-Home Germany'!DI194</f>
        <v>533.02293863174123</v>
      </c>
      <c r="DJ56" s="98">
        <f ca="1">'T-Home Germany'!DJ194</f>
        <v>610.47504152612794</v>
      </c>
      <c r="DK56" s="98">
        <f ca="1">DG56+DH56+DI56+DJ56</f>
        <v>2403.5967703833448</v>
      </c>
    </row>
    <row r="57" spans="1:115" x14ac:dyDescent="0.3">
      <c r="B57" s="1" t="s">
        <v>190</v>
      </c>
      <c r="I57" s="98">
        <f>'TMO Germany'!I52</f>
        <v>79</v>
      </c>
      <c r="J57" s="98">
        <f>'TMO Germany'!J52</f>
        <v>73</v>
      </c>
      <c r="K57" s="98">
        <f>'TMO Germany'!K52</f>
        <v>90</v>
      </c>
      <c r="L57" s="98">
        <f>'TMO Germany'!L52</f>
        <v>159</v>
      </c>
      <c r="M57" s="98">
        <f>I57+J57+K57+L57</f>
        <v>401</v>
      </c>
      <c r="N57" s="98"/>
      <c r="O57" s="98">
        <f>'TMO Germany'!O52</f>
        <v>115</v>
      </c>
      <c r="P57" s="98">
        <f>'TMO Germany'!P52</f>
        <v>96</v>
      </c>
      <c r="Q57" s="98">
        <f>'TMO Germany'!Q52</f>
        <v>107</v>
      </c>
      <c r="R57" s="98">
        <f>'TMO Germany'!R52</f>
        <v>136</v>
      </c>
      <c r="S57" s="98">
        <f>O57+P57+Q57+R57</f>
        <v>454</v>
      </c>
      <c r="T57" s="98"/>
      <c r="U57" s="98">
        <f>'TMO Germany'!U52</f>
        <v>96</v>
      </c>
      <c r="V57" s="98">
        <f>'TMO Germany'!V52</f>
        <v>86</v>
      </c>
      <c r="W57" s="98">
        <f>'TMO Germany'!W52</f>
        <v>166</v>
      </c>
      <c r="X57" s="98">
        <f>'TMO Germany'!X52</f>
        <v>233</v>
      </c>
      <c r="Y57" s="98">
        <f>U57+V57+W57+X57</f>
        <v>581</v>
      </c>
      <c r="Z57" s="98"/>
      <c r="AA57" s="98">
        <f>'TMO Germany'!AA52</f>
        <v>165.273</v>
      </c>
      <c r="AB57" s="98">
        <f>'TMO Germany'!AB52</f>
        <v>159.03500000000003</v>
      </c>
      <c r="AC57" s="98">
        <f>'TMO Germany'!AC52</f>
        <v>199.29</v>
      </c>
      <c r="AD57" s="98">
        <f>'TMO Germany'!AD52</f>
        <v>207.04499999999999</v>
      </c>
      <c r="AE57" s="98">
        <f>AA57+AB57+AC57+AD57</f>
        <v>730.64299999999992</v>
      </c>
      <c r="AF57" s="98"/>
      <c r="AG57" s="98">
        <f>'TMO Germany'!AG52</f>
        <v>166.98499999999999</v>
      </c>
      <c r="AH57" s="98">
        <f>'TMO Germany'!AH52</f>
        <v>144.45599999999999</v>
      </c>
      <c r="AI57" s="98">
        <f>'TMO Germany'!AI52</f>
        <v>146.85</v>
      </c>
      <c r="AJ57" s="98">
        <f>'TMO Germany'!AJ52</f>
        <v>258.31</v>
      </c>
      <c r="AK57" s="98">
        <f>AG57+AH57+AI57+AJ57</f>
        <v>716.60099999999989</v>
      </c>
      <c r="AL57" s="98"/>
      <c r="AM57" s="98">
        <f>'TMO Germany'!AM52</f>
        <v>100.389</v>
      </c>
      <c r="AN57" s="98">
        <f>'TMO Germany'!AN52</f>
        <v>134.75</v>
      </c>
      <c r="AO57" s="98">
        <f>'TMO Germany'!AO52</f>
        <v>220.66</v>
      </c>
      <c r="AP57" s="98">
        <f>'TMO Germany'!AP52</f>
        <v>273.98</v>
      </c>
      <c r="AQ57" s="98">
        <f>AM57+AN57+AO57+AP57</f>
        <v>729.779</v>
      </c>
      <c r="AR57" s="98"/>
      <c r="AS57" s="98">
        <f>'TMO Germany'!AS52</f>
        <v>112.25999999999999</v>
      </c>
      <c r="AT57" s="98">
        <f>'TMO Germany'!AT52</f>
        <v>169.29</v>
      </c>
      <c r="AU57" s="98">
        <f>'TMO Germany'!AU52</f>
        <v>240.72</v>
      </c>
      <c r="AV57" s="98">
        <f>'TMO Germany'!AV52</f>
        <v>262.25</v>
      </c>
      <c r="AW57" s="98">
        <f>AS57+AT57+AU57+AV57</f>
        <v>784.52</v>
      </c>
      <c r="AX57" s="98"/>
      <c r="AY57" s="98">
        <f>'TMO Germany'!AY52</f>
        <v>154.57499999999999</v>
      </c>
      <c r="AZ57" s="98">
        <f>'TMO Germany'!AZ52</f>
        <v>145.33699999999999</v>
      </c>
      <c r="BA57" s="98">
        <f>'TMO Germany'!BA52</f>
        <v>251.85999999999999</v>
      </c>
      <c r="BB57" s="98">
        <f>'TMO Germany'!BB52</f>
        <v>238.28</v>
      </c>
      <c r="BC57" s="98">
        <f>AY57+AZ57+BA57+BB57</f>
        <v>790.05199999999991</v>
      </c>
      <c r="BD57" s="98"/>
      <c r="BE57" s="98">
        <f>'TMO Germany'!BE52</f>
        <v>145.57499999999999</v>
      </c>
      <c r="BF57" s="98">
        <f>'TMO Germany'!BF52</f>
        <v>141.52500000000001</v>
      </c>
      <c r="BG57" s="98">
        <f>'TMO Germany'!BG52</f>
        <v>256.75</v>
      </c>
      <c r="BH57" s="98">
        <f>'TMO Germany'!BH52</f>
        <v>269.36</v>
      </c>
      <c r="BI57" s="98">
        <f>BE57+BF57+BG57+BH57</f>
        <v>813.21</v>
      </c>
      <c r="BJ57" s="98"/>
      <c r="BK57" s="98">
        <f>'TMO Germany'!BK52</f>
        <v>152.83000000000001</v>
      </c>
      <c r="BL57" s="98">
        <f>'TMO Germany'!BL52</f>
        <v>156</v>
      </c>
      <c r="BM57" s="98">
        <f>'TMO Germany'!BM52</f>
        <v>261.75749999999999</v>
      </c>
      <c r="BN57" s="98">
        <f>'TMO Germany'!BN52</f>
        <v>238.48</v>
      </c>
      <c r="BO57" s="98">
        <f>BK57+BL57+BM57+BN57</f>
        <v>809.06750000000011</v>
      </c>
      <c r="BP57" s="98"/>
      <c r="BQ57" s="98">
        <f>'TMO Germany'!BQ52</f>
        <v>162.12399788757062</v>
      </c>
      <c r="BR57" s="98">
        <f>'TMO Germany'!BR52</f>
        <v>164.98945268402758</v>
      </c>
      <c r="BS57" s="98">
        <f>'TMO Germany'!BS52</f>
        <v>273.61071465646666</v>
      </c>
      <c r="BT57" s="98">
        <f>'TMO Germany'!BT52</f>
        <v>287.62183071380707</v>
      </c>
      <c r="BU57" s="98">
        <f>BQ57+BR57+BS57+BT57</f>
        <v>888.34599594187193</v>
      </c>
      <c r="BV57" s="98"/>
      <c r="BW57" s="98">
        <f>'TMO Germany'!BW52</f>
        <v>165.32363839174104</v>
      </c>
      <c r="BX57" s="98">
        <f>'TMO Germany'!BX52</f>
        <v>163.2283775115562</v>
      </c>
      <c r="BY57" s="98">
        <f>'TMO Germany'!BY52</f>
        <v>257.73900469301446</v>
      </c>
      <c r="BZ57" s="98">
        <f>'TMO Germany'!BZ52</f>
        <v>294.19686311166902</v>
      </c>
      <c r="CA57" s="98">
        <f>BW57+BX57+BY57+BZ57</f>
        <v>880.4878837079807</v>
      </c>
      <c r="CB57" s="98"/>
      <c r="CC57" s="98">
        <f>'TMO Germany'!CC52</f>
        <v>157.80654950421831</v>
      </c>
      <c r="CD57" s="98">
        <f>'TMO Germany'!CD52</f>
        <v>166.21669339077636</v>
      </c>
      <c r="CE57" s="98">
        <f>'TMO Germany'!CE52</f>
        <v>240.93369529169289</v>
      </c>
      <c r="CF57" s="98">
        <f>'TMO Germany'!CF52</f>
        <v>300.60952485103502</v>
      </c>
      <c r="CG57" s="98">
        <f>CC57+CD57+CE57+CF57</f>
        <v>865.56646303772254</v>
      </c>
      <c r="CH57" s="98"/>
      <c r="CI57" s="98">
        <f>'TMO Germany'!CI52</f>
        <v>160.65396513230755</v>
      </c>
      <c r="CJ57" s="98">
        <f>'TMO Germany'!CJ52</f>
        <v>163.80594347579773</v>
      </c>
      <c r="CK57" s="98">
        <f>'TMO Germany'!CK52</f>
        <v>223.49169954118011</v>
      </c>
      <c r="CL57" s="98">
        <f>'TMO Germany'!CL52</f>
        <v>295.2759898420988</v>
      </c>
      <c r="CM57" s="98">
        <f>CI57+CJ57+CK57+CL57</f>
        <v>843.22759799138407</v>
      </c>
      <c r="CN57" s="98"/>
      <c r="CO57" s="98">
        <f>'TMO Germany'!CO52</f>
        <v>163.44956861481307</v>
      </c>
      <c r="CP57" s="98">
        <f>'TMO Germany'!CP52</f>
        <v>161.44014482915932</v>
      </c>
      <c r="CQ57" s="98">
        <f>'TMO Germany'!CQ52</f>
        <v>205.0799470890737</v>
      </c>
      <c r="CR57" s="98">
        <f>'TMO Germany'!CR52</f>
        <v>288.9132369584795</v>
      </c>
      <c r="CS57" s="98">
        <f>CO57+CP57+CQ57+CR57</f>
        <v>818.88289749152557</v>
      </c>
      <c r="CT57" s="98"/>
      <c r="CU57" s="98">
        <f>'TMO Germany'!CU52</f>
        <v>160.21339746382449</v>
      </c>
      <c r="CV57" s="98">
        <f>'TMO Germany'!CV52</f>
        <v>169.29222956258121</v>
      </c>
      <c r="CW57" s="98">
        <f>'TMO Germany'!CW52</f>
        <v>185.53078658156829</v>
      </c>
      <c r="CX57" s="98">
        <f>'TMO Germany'!CX52</f>
        <v>281.15238985072909</v>
      </c>
      <c r="CY57" s="98">
        <f>CU57+CV57+CW57+CX57</f>
        <v>796.18880345870321</v>
      </c>
      <c r="CZ57" s="98"/>
      <c r="DA57" s="98">
        <f>'TMO Germany'!DA52</f>
        <v>162.06635465382735</v>
      </c>
      <c r="DB57" s="98">
        <f>'TMO Germany'!DB52</f>
        <v>171.33583210095151</v>
      </c>
      <c r="DC57" s="98">
        <f>'TMO Germany'!DC52</f>
        <v>182.23273560355841</v>
      </c>
      <c r="DD57" s="98">
        <f>'TMO Germany'!DD52</f>
        <v>274.00420510036639</v>
      </c>
      <c r="DE57" s="98">
        <f>DA57+DB57+DC57+DD57</f>
        <v>789.63912745870357</v>
      </c>
      <c r="DF57" s="98"/>
      <c r="DG57" s="98">
        <f>'TMO Germany'!DG52</f>
        <v>164.11441860363615</v>
      </c>
      <c r="DH57" s="98">
        <f>'TMO Germany'!DH52</f>
        <v>173.60788574227865</v>
      </c>
      <c r="DI57" s="98">
        <f>'TMO Germany'!DI52</f>
        <v>185.06872155303043</v>
      </c>
      <c r="DJ57" s="98">
        <f>'TMO Germany'!DJ52</f>
        <v>258.04207526163549</v>
      </c>
      <c r="DK57" s="98">
        <f>DG57+DH57+DI57+DJ57</f>
        <v>780.83310116058078</v>
      </c>
    </row>
    <row r="58" spans="1:115" x14ac:dyDescent="0.3">
      <c r="B58" s="1" t="s">
        <v>191</v>
      </c>
      <c r="I58" s="2">
        <v>2</v>
      </c>
      <c r="J58" s="2">
        <v>2</v>
      </c>
      <c r="K58" s="2">
        <v>2</v>
      </c>
      <c r="L58" s="2">
        <v>2</v>
      </c>
      <c r="M58" s="98">
        <f>I58+J58+K58+L58</f>
        <v>8</v>
      </c>
      <c r="O58" s="2">
        <v>2</v>
      </c>
      <c r="P58" s="2">
        <v>30</v>
      </c>
      <c r="Q58" s="2">
        <v>-17</v>
      </c>
      <c r="R58" s="2">
        <v>-5</v>
      </c>
      <c r="S58" s="98">
        <f>O58+P58+Q58+R58</f>
        <v>10</v>
      </c>
      <c r="U58" s="2">
        <v>0</v>
      </c>
      <c r="V58" s="2">
        <v>0</v>
      </c>
      <c r="W58" s="2">
        <v>-2</v>
      </c>
      <c r="X58" s="2">
        <v>-1</v>
      </c>
      <c r="Y58" s="98">
        <f>U58+V58+W58+X58</f>
        <v>-3</v>
      </c>
      <c r="AA58" s="2">
        <v>-1</v>
      </c>
      <c r="AB58" s="2">
        <v>0</v>
      </c>
      <c r="AC58" s="2">
        <v>0</v>
      </c>
      <c r="AD58" s="2">
        <v>0</v>
      </c>
      <c r="AE58" s="98">
        <f>AA58+AB58+AC58+AD58</f>
        <v>-1</v>
      </c>
      <c r="AG58" s="2">
        <v>0</v>
      </c>
      <c r="AH58" s="2">
        <v>0</v>
      </c>
      <c r="AI58" s="2">
        <v>0</v>
      </c>
      <c r="AJ58" s="2">
        <v>0</v>
      </c>
      <c r="AK58" s="98">
        <f>AG58+AH58+AI58+AJ58</f>
        <v>0</v>
      </c>
      <c r="AM58" s="2">
        <v>0</v>
      </c>
      <c r="AN58" s="2">
        <v>0</v>
      </c>
      <c r="AO58" s="2">
        <v>0</v>
      </c>
      <c r="AP58" s="2">
        <v>0</v>
      </c>
      <c r="AQ58" s="98">
        <f>AM58+AN58+AO58+AP58</f>
        <v>0</v>
      </c>
      <c r="AS58" s="2">
        <v>0</v>
      </c>
      <c r="AT58" s="2">
        <v>0</v>
      </c>
      <c r="AU58" s="2">
        <v>0</v>
      </c>
      <c r="AV58" s="2">
        <v>0</v>
      </c>
      <c r="AW58" s="98">
        <f>AS58+AT58+AU58+AV58</f>
        <v>0</v>
      </c>
      <c r="AY58" s="2">
        <v>0</v>
      </c>
      <c r="AZ58" s="2">
        <v>0</v>
      </c>
      <c r="BA58" s="2">
        <v>0</v>
      </c>
      <c r="BB58" s="2">
        <v>0</v>
      </c>
      <c r="BC58" s="98">
        <f>AY58+AZ58+BA58+BB58</f>
        <v>0</v>
      </c>
      <c r="BE58" s="2">
        <v>0</v>
      </c>
      <c r="BF58" s="2">
        <v>0</v>
      </c>
      <c r="BG58" s="2">
        <v>0</v>
      </c>
      <c r="BH58" s="2">
        <v>0</v>
      </c>
      <c r="BI58" s="98">
        <f>BE58+BF58+BG58+BH58</f>
        <v>0</v>
      </c>
      <c r="BK58" s="2">
        <v>0</v>
      </c>
      <c r="BL58" s="2">
        <v>0</v>
      </c>
      <c r="BM58" s="2">
        <v>0</v>
      </c>
      <c r="BN58" s="2">
        <v>0</v>
      </c>
      <c r="BO58" s="98">
        <f>BK58+BL58+BM58+BN58</f>
        <v>0</v>
      </c>
      <c r="BQ58" s="2">
        <v>0</v>
      </c>
      <c r="BR58" s="2">
        <v>0</v>
      </c>
      <c r="BS58" s="2">
        <v>0</v>
      </c>
      <c r="BT58" s="2">
        <v>0</v>
      </c>
      <c r="BU58" s="98">
        <f>BQ58+BR58+BS58+BT58</f>
        <v>0</v>
      </c>
      <c r="BW58" s="2">
        <v>0</v>
      </c>
      <c r="BX58" s="2">
        <v>0</v>
      </c>
      <c r="BY58" s="2">
        <v>0</v>
      </c>
      <c r="BZ58" s="2">
        <v>0</v>
      </c>
      <c r="CA58" s="98">
        <f>BW58+BX58+BY58+BZ58</f>
        <v>0</v>
      </c>
      <c r="CC58" s="2">
        <v>0</v>
      </c>
      <c r="CD58" s="2">
        <v>0</v>
      </c>
      <c r="CE58" s="2">
        <v>0</v>
      </c>
      <c r="CF58" s="2">
        <v>0</v>
      </c>
      <c r="CG58" s="98">
        <f>CC58+CD58+CE58+CF58</f>
        <v>0</v>
      </c>
      <c r="CI58" s="2">
        <v>0</v>
      </c>
      <c r="CJ58" s="2">
        <v>0</v>
      </c>
      <c r="CK58" s="2">
        <v>0</v>
      </c>
      <c r="CL58" s="2">
        <v>0</v>
      </c>
      <c r="CM58" s="98">
        <f>CI58+CJ58+CK58+CL58</f>
        <v>0</v>
      </c>
      <c r="CO58" s="2">
        <v>0</v>
      </c>
      <c r="CP58" s="2">
        <v>0</v>
      </c>
      <c r="CQ58" s="2">
        <v>0</v>
      </c>
      <c r="CR58" s="2">
        <v>0</v>
      </c>
      <c r="CS58" s="98">
        <f>CO58+CP58+CQ58+CR58</f>
        <v>0</v>
      </c>
      <c r="CU58" s="2">
        <v>0</v>
      </c>
      <c r="CV58" s="2">
        <v>0</v>
      </c>
      <c r="CW58" s="2">
        <v>0</v>
      </c>
      <c r="CX58" s="2">
        <v>0</v>
      </c>
      <c r="CY58" s="98">
        <f>CU58+CV58+CW58+CX58</f>
        <v>0</v>
      </c>
      <c r="CZ58" s="2"/>
      <c r="DA58" s="2">
        <v>0</v>
      </c>
      <c r="DB58" s="2">
        <v>0</v>
      </c>
      <c r="DC58" s="2">
        <v>0</v>
      </c>
      <c r="DD58" s="2">
        <v>0</v>
      </c>
      <c r="DE58" s="98">
        <f>DA58+DB58+DC58+DD58</f>
        <v>0</v>
      </c>
      <c r="DF58" s="2"/>
      <c r="DG58" s="2">
        <v>0</v>
      </c>
      <c r="DH58" s="2">
        <v>0</v>
      </c>
      <c r="DI58" s="2">
        <v>0</v>
      </c>
      <c r="DJ58" s="2">
        <v>0</v>
      </c>
      <c r="DK58" s="98">
        <f>DG58+DH58+DI58+DJ58</f>
        <v>0</v>
      </c>
    </row>
    <row r="59" spans="1:115" x14ac:dyDescent="0.3"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</row>
    <row r="60" spans="1:115" x14ac:dyDescent="0.3">
      <c r="B60" s="13" t="s">
        <v>185</v>
      </c>
      <c r="C60" s="3"/>
      <c r="D60" s="3"/>
      <c r="E60" s="3"/>
      <c r="F60" s="3"/>
      <c r="G60" s="3"/>
      <c r="H60" s="3"/>
      <c r="I60" s="352">
        <v>480</v>
      </c>
      <c r="J60" s="352">
        <v>661</v>
      </c>
      <c r="K60" s="352">
        <v>656</v>
      </c>
      <c r="L60" s="352">
        <v>743</v>
      </c>
      <c r="M60" s="352">
        <v>2540</v>
      </c>
      <c r="N60" s="3"/>
      <c r="O60" s="352">
        <v>865</v>
      </c>
      <c r="P60" s="352">
        <v>785</v>
      </c>
      <c r="Q60" s="352">
        <v>552</v>
      </c>
      <c r="R60" s="352">
        <v>464</v>
      </c>
      <c r="S60" s="352">
        <v>2666</v>
      </c>
      <c r="T60" s="3"/>
      <c r="U60" s="352">
        <v>481</v>
      </c>
      <c r="V60" s="352">
        <v>534</v>
      </c>
      <c r="W60" s="352">
        <v>496.423142316</v>
      </c>
      <c r="X60" s="352">
        <v>609.5698408799999</v>
      </c>
      <c r="Y60" s="352">
        <f>U60+V60+W60+X60</f>
        <v>2120.9929831959998</v>
      </c>
      <c r="Z60" s="3"/>
      <c r="AA60" s="352">
        <v>545.70192600000007</v>
      </c>
      <c r="AB60" s="352">
        <v>476.86852080000006</v>
      </c>
      <c r="AC60" s="352">
        <v>526.87878750000004</v>
      </c>
      <c r="AD60" s="352">
        <v>412.96381060000004</v>
      </c>
      <c r="AE60" s="352">
        <f>AA60+AB60+AC60+AD60</f>
        <v>1962.4130449000002</v>
      </c>
      <c r="AF60" s="3"/>
      <c r="AG60" s="352">
        <v>571.17621959999997</v>
      </c>
      <c r="AH60" s="352">
        <v>425.48969925</v>
      </c>
      <c r="AI60" s="352">
        <v>865.45783612499997</v>
      </c>
      <c r="AJ60" s="352">
        <v>699.37960119000002</v>
      </c>
      <c r="AK60" s="352">
        <f>AG60+AH60+AI60+AJ60-2</f>
        <v>2559.5033561649998</v>
      </c>
      <c r="AL60" s="3"/>
      <c r="AM60" s="352">
        <f>'US Metro PF'!V312*1.0455</f>
        <v>851.5819564200001</v>
      </c>
      <c r="AN60" s="352">
        <f>'US Metro PF'!W312*0.983</f>
        <v>804.44619387330488</v>
      </c>
      <c r="AO60" s="352">
        <f>'US Metro PF'!X312*0.999</f>
        <v>767.10780432000013</v>
      </c>
      <c r="AP60" s="352">
        <f>'US Metro PF'!Y312*0.963+232</f>
        <v>855.91878261999989</v>
      </c>
      <c r="AQ60" s="352">
        <f>AM60+AN60+AO60+AP60</f>
        <v>3279.0547372333049</v>
      </c>
      <c r="AR60" s="3"/>
      <c r="AS60" s="352">
        <f>'US Metro PF'!AB312*0.995+2</f>
        <v>689.99478975</v>
      </c>
      <c r="AT60" s="352">
        <f>'US Metro PF'!AC312*0.995</f>
        <v>681.85240600000009</v>
      </c>
      <c r="AU60" s="352">
        <f>'US Metro PF'!AD312*1.02</f>
        <v>870.00252300000011</v>
      </c>
      <c r="AV60" s="352">
        <f>'US Metro PF'!AE312*1.073</f>
        <v>1115.01978519</v>
      </c>
      <c r="AW60" s="352">
        <f>AS60+AT60+AU60+AV60</f>
        <v>3356.86950394</v>
      </c>
      <c r="AX60" s="3"/>
      <c r="AY60" s="352">
        <f>'US Metro PF'!AH312*1.073+1794</f>
        <v>2728.9988089600001</v>
      </c>
      <c r="AZ60" s="352">
        <f>'US Metro PF'!AI312*1.141</f>
        <v>1230.3251156600545</v>
      </c>
      <c r="BA60" s="352">
        <f>'US Metro PF'!AJ312*1.095</f>
        <v>1102.8181932629534</v>
      </c>
      <c r="BB60" s="352">
        <f>'US Metro PF'!AK312*1.0095</f>
        <v>1319.0114224669242</v>
      </c>
      <c r="BC60" s="352">
        <f>AY60+AZ60+BA60+BB60</f>
        <v>6381.153540349932</v>
      </c>
      <c r="BD60" s="3"/>
      <c r="BE60" s="352">
        <f>'US Metro PF'!AN312*0.989</f>
        <v>1197.5863507728031</v>
      </c>
      <c r="BF60" s="352">
        <f>'US Metro PF'!AO312*1.0475</f>
        <v>1251.2307964758488</v>
      </c>
      <c r="BG60" s="352">
        <f>('US Metro PF'!AP312*1.004)</f>
        <v>1042.2083098225723</v>
      </c>
      <c r="BH60" s="352">
        <f>'US Metro PF'!AQ312*0.9355</f>
        <v>745.57393627878491</v>
      </c>
      <c r="BI60" s="352">
        <f>BE60+BF60+BG60+BH60</f>
        <v>4236.5993933500085</v>
      </c>
      <c r="BJ60" s="3"/>
      <c r="BK60" s="352">
        <f>'US Metro PF'!AT312*1.005</f>
        <v>1442.3353276540588</v>
      </c>
      <c r="BL60" s="352">
        <f>'US Metro PF'!AU312*0.85</f>
        <v>1058.2575421472936</v>
      </c>
      <c r="BM60" s="352">
        <f>'US Metro PF'!AV312*1.013</f>
        <v>1242.8230866814811</v>
      </c>
      <c r="BN60" s="352">
        <f>'US Metro PF'!AW312*1.0025</f>
        <v>784.10770093076985</v>
      </c>
      <c r="BO60" s="352">
        <f>BK60+BL60+BM60+BN60</f>
        <v>4527.5236574136034</v>
      </c>
      <c r="BP60" s="3"/>
      <c r="BQ60" s="352">
        <f>'US Metro PF'!AZ312*1.005</f>
        <v>1193.4374999999998</v>
      </c>
      <c r="BR60" s="352">
        <f>'US Metro PF'!BA312*1.005</f>
        <v>1190.3483606557375</v>
      </c>
      <c r="BS60" s="352">
        <f>'US Metro PF'!BB312*1.005</f>
        <v>1070.9016393442623</v>
      </c>
      <c r="BT60" s="352">
        <f>'US Metro PF'!BC312*1.005</f>
        <v>947.33606557377038</v>
      </c>
      <c r="BU60" s="352">
        <f>BQ60+BR60+BS60+BT60</f>
        <v>4402.0235655737706</v>
      </c>
      <c r="BV60" s="3"/>
      <c r="BW60" s="352">
        <f>'US Metro PF'!BF312*1.005</f>
        <v>1070.9016393442623</v>
      </c>
      <c r="BX60" s="352">
        <f>'US Metro PF'!BG312*1.005</f>
        <v>1070.9016393442623</v>
      </c>
      <c r="BY60" s="352">
        <f>'US Metro PF'!BH312*1.005</f>
        <v>1070.9016393442623</v>
      </c>
      <c r="BZ60" s="352">
        <f>'US Metro PF'!BI312*1.005</f>
        <v>1297.4385245901638</v>
      </c>
      <c r="CA60" s="352">
        <f>BW60+BX60+BY60+BZ60</f>
        <v>4510.1434426229507</v>
      </c>
      <c r="CB60" s="3"/>
      <c r="CC60" s="352">
        <f>'US Metro PF'!BL312*1.005</f>
        <v>1070.9016393442623</v>
      </c>
      <c r="CD60" s="352">
        <f>'US Metro PF'!BM312*1.005</f>
        <v>1070.9016393442623</v>
      </c>
      <c r="CE60" s="352">
        <f>'US Metro PF'!BN312*1.005</f>
        <v>1070.9016393442623</v>
      </c>
      <c r="CF60" s="352">
        <f>'US Metro PF'!BO312*1.005</f>
        <v>1462.1926229508197</v>
      </c>
      <c r="CG60" s="352">
        <f>CC60+CD60+CE60+CF60</f>
        <v>4674.8975409836066</v>
      </c>
      <c r="CH60" s="3"/>
      <c r="CI60" s="352">
        <f>'US Metro PF'!BR312*1.005</f>
        <v>1153.2786885245901</v>
      </c>
      <c r="CJ60" s="352">
        <f>'US Metro PF'!BS312*1.005</f>
        <v>1153.2786885245901</v>
      </c>
      <c r="CK60" s="352">
        <f>'US Metro PF'!BT312*1.005</f>
        <v>1153.2786885245901</v>
      </c>
      <c r="CL60" s="352">
        <f>'US Metro PF'!BU312*1.005</f>
        <v>1359.2213114754097</v>
      </c>
      <c r="CM60" s="352">
        <f>CI60+CJ60+CK60+CL60</f>
        <v>4819.0573770491801</v>
      </c>
      <c r="CN60" s="3"/>
      <c r="CO60" s="352">
        <f>'US Metro PF'!BX312*1.005</f>
        <v>1173.872950819672</v>
      </c>
      <c r="CP60" s="352">
        <f>'US Metro PF'!BY312*1.005</f>
        <v>1173.872950819672</v>
      </c>
      <c r="CQ60" s="352">
        <f>'US Metro PF'!BZ312*1.005</f>
        <v>1173.872950819672</v>
      </c>
      <c r="CR60" s="352">
        <f>'US Metro PF'!CA312*1.005</f>
        <v>1400.4098360655737</v>
      </c>
      <c r="CS60" s="352">
        <f>CO60+CP60+CQ60+CR60</f>
        <v>4922.0286885245896</v>
      </c>
      <c r="CT60" s="3"/>
      <c r="CU60" s="352">
        <f>'US Metro PF'!CD312*1.005</f>
        <v>1173.872950819672</v>
      </c>
      <c r="CV60" s="352">
        <f>'US Metro PF'!CE312*1.005</f>
        <v>1173.872950819672</v>
      </c>
      <c r="CW60" s="352">
        <f>'US Metro PF'!CF312*1.005</f>
        <v>1173.872950819672</v>
      </c>
      <c r="CX60" s="352">
        <f>'US Metro PF'!CG312*1.005</f>
        <v>1462.1926229508197</v>
      </c>
      <c r="CY60" s="352">
        <f>CU60+CV60+CW60+CX60</f>
        <v>4983.811475409836</v>
      </c>
      <c r="CZ60" s="3"/>
      <c r="DA60" s="352">
        <f>'US Metro PF'!CJ312*1.005</f>
        <v>1215.061475409836</v>
      </c>
      <c r="DB60" s="352">
        <f>'US Metro PF'!CK312*1.005</f>
        <v>1215.061475409836</v>
      </c>
      <c r="DC60" s="352">
        <f>'US Metro PF'!CL312*1.005</f>
        <v>1215.061475409836</v>
      </c>
      <c r="DD60" s="352">
        <f>'US Metro PF'!CM312*1.005</f>
        <v>1462.1926229508197</v>
      </c>
      <c r="DE60" s="352">
        <f>DA60+DB60+DC60+DD60</f>
        <v>5107.377049180328</v>
      </c>
      <c r="DF60" s="3"/>
      <c r="DG60" s="352">
        <f>'US Metro PF'!CP312*1.005</f>
        <v>1276.844262295082</v>
      </c>
      <c r="DH60" s="352">
        <f>'US Metro PF'!CQ312*1.005</f>
        <v>1276.844262295082</v>
      </c>
      <c r="DI60" s="352">
        <f>'US Metro PF'!CR312*1.005</f>
        <v>1276.844262295082</v>
      </c>
      <c r="DJ60" s="352">
        <f>'US Metro PF'!CS312*1.005</f>
        <v>1462.1926229508197</v>
      </c>
      <c r="DK60" s="352">
        <f>DG60+DH60+DI60+DJ60</f>
        <v>5292.7254098360654</v>
      </c>
    </row>
    <row r="61" spans="1:115" x14ac:dyDescent="0.3"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</row>
    <row r="62" spans="1:115" x14ac:dyDescent="0.3">
      <c r="B62" s="1" t="s">
        <v>186</v>
      </c>
      <c r="I62" s="98">
        <f>I72-I55-I60-I64-I68-I70</f>
        <v>556.0650457951707</v>
      </c>
      <c r="J62" s="98">
        <f>J72-J55-J60-J64-J68-J70</f>
        <v>376.61028446389497</v>
      </c>
      <c r="K62" s="98">
        <f>K72-K55-K60-K64-K68-K70</f>
        <v>424.70156941649901</v>
      </c>
      <c r="L62" s="98">
        <f>L72-L55-L60-L64-L68-L70</f>
        <v>696.80413650465357</v>
      </c>
      <c r="M62" s="98">
        <f>I62+J62+K62+L62</f>
        <v>2054.1810361802181</v>
      </c>
      <c r="O62" s="2">
        <f>368+380</f>
        <v>748</v>
      </c>
      <c r="P62" s="2">
        <f>142+383+1</f>
        <v>526</v>
      </c>
      <c r="Q62" s="2">
        <v>562</v>
      </c>
      <c r="R62" s="2">
        <v>654</v>
      </c>
      <c r="S62" s="98">
        <f>O62+P62+Q62+R62</f>
        <v>2490</v>
      </c>
      <c r="U62" s="2">
        <v>568</v>
      </c>
      <c r="V62" s="2">
        <v>454</v>
      </c>
      <c r="W62" s="98">
        <v>396</v>
      </c>
      <c r="X62" s="98">
        <v>594</v>
      </c>
      <c r="Y62" s="98">
        <f>U62+V62+W62+X62</f>
        <v>2012</v>
      </c>
      <c r="AA62" s="98">
        <v>512</v>
      </c>
      <c r="AB62" s="98">
        <v>356</v>
      </c>
      <c r="AC62" s="98">
        <v>437</v>
      </c>
      <c r="AD62" s="98">
        <v>565</v>
      </c>
      <c r="AE62" s="98">
        <f>AA62+AB62+AC62+AD62</f>
        <v>1870</v>
      </c>
      <c r="AG62" s="98">
        <f>AG140</f>
        <v>507</v>
      </c>
      <c r="AH62" s="98">
        <f>AH140</f>
        <v>290</v>
      </c>
      <c r="AI62" s="98">
        <f>AI140</f>
        <v>333</v>
      </c>
      <c r="AJ62" s="98">
        <f>AJ140</f>
        <v>594</v>
      </c>
      <c r="AK62" s="98">
        <f>AG62+AH62+AI62+AJ62</f>
        <v>1724</v>
      </c>
      <c r="AM62" s="98">
        <f>AM140</f>
        <v>1384</v>
      </c>
      <c r="AN62" s="98">
        <f>AN140</f>
        <v>522</v>
      </c>
      <c r="AO62" s="98">
        <f>AO140</f>
        <v>500</v>
      </c>
      <c r="AP62" s="98">
        <f>AP140</f>
        <v>1255</v>
      </c>
      <c r="AQ62" s="98">
        <f>AM62+AN62+AO62+AP62</f>
        <v>3661</v>
      </c>
      <c r="AS62" s="98">
        <f>AS140</f>
        <v>585</v>
      </c>
      <c r="AT62" s="98">
        <f>AT140</f>
        <v>422</v>
      </c>
      <c r="AU62" s="98">
        <f>AU140</f>
        <v>457</v>
      </c>
      <c r="AV62" s="98">
        <f>AV140</f>
        <v>637</v>
      </c>
      <c r="AW62" s="98">
        <f>AS62+AT62+AU62+AV62</f>
        <v>2101</v>
      </c>
      <c r="AY62" s="98">
        <f>AY140</f>
        <v>498</v>
      </c>
      <c r="AZ62" s="98">
        <f>AZ140</f>
        <v>303</v>
      </c>
      <c r="BA62" s="98">
        <f>BA140</f>
        <v>403</v>
      </c>
      <c r="BB62" s="98">
        <f>BB140</f>
        <v>463</v>
      </c>
      <c r="BC62" s="98">
        <f>AY62+AZ62+BA62+BB62</f>
        <v>1667</v>
      </c>
      <c r="BE62" s="98">
        <f>BE140</f>
        <v>448</v>
      </c>
      <c r="BF62" s="98">
        <f>BF140</f>
        <v>371</v>
      </c>
      <c r="BG62" s="98">
        <f>BG140</f>
        <v>363</v>
      </c>
      <c r="BH62" s="98">
        <f>BH140</f>
        <v>413</v>
      </c>
      <c r="BI62" s="98">
        <f>BE62+BF62+BG62+BH62</f>
        <v>1595</v>
      </c>
      <c r="BK62" s="98">
        <f>BK140</f>
        <v>475</v>
      </c>
      <c r="BL62" s="98">
        <f>BL140</f>
        <v>403</v>
      </c>
      <c r="BM62" s="98">
        <f>BM140</f>
        <v>395</v>
      </c>
      <c r="BN62" s="98">
        <f>BN140</f>
        <v>601</v>
      </c>
      <c r="BO62" s="98">
        <f>BK62+BL62+BM62+BN62</f>
        <v>1874</v>
      </c>
      <c r="BQ62" s="98">
        <f>BQ140</f>
        <v>465.59277430582574</v>
      </c>
      <c r="BR62" s="98">
        <f>BR140</f>
        <v>407.57126016781001</v>
      </c>
      <c r="BS62" s="98">
        <f>BS140</f>
        <v>389.93718915755466</v>
      </c>
      <c r="BT62" s="98">
        <f>BT140</f>
        <v>476.18199996377086</v>
      </c>
      <c r="BU62" s="98">
        <f>BQ62+BR62+BS62+BT62</f>
        <v>1739.2832235949613</v>
      </c>
      <c r="BW62" s="98">
        <f>BW140</f>
        <v>443.58715341993491</v>
      </c>
      <c r="BX62" s="98">
        <f>BX140</f>
        <v>403.54493726803503</v>
      </c>
      <c r="BY62" s="98">
        <f>BY140</f>
        <v>388.44552021264792</v>
      </c>
      <c r="BZ62" s="98">
        <f>BZ140</f>
        <v>473.75830360623922</v>
      </c>
      <c r="CA62" s="98">
        <f>BW62+BX62+BY62+BZ62</f>
        <v>1709.3359145068571</v>
      </c>
      <c r="CC62" s="98">
        <f>CC140</f>
        <v>430.47785078750701</v>
      </c>
      <c r="CD62" s="98">
        <f>CD140</f>
        <v>396.13327466190714</v>
      </c>
      <c r="CE62" s="98">
        <f>CE140</f>
        <v>384.06683400504153</v>
      </c>
      <c r="CF62" s="98">
        <f>CF140</f>
        <v>462.44045027237371</v>
      </c>
      <c r="CG62" s="98">
        <f>CC62+CD62+CE62+CF62</f>
        <v>1673.1184097268294</v>
      </c>
      <c r="CI62" s="98">
        <f>CI140</f>
        <v>419.25141701512877</v>
      </c>
      <c r="CJ62" s="98">
        <f>CJ140</f>
        <v>388.77416206222131</v>
      </c>
      <c r="CK62" s="98">
        <f>CK140</f>
        <v>383.05816170162569</v>
      </c>
      <c r="CL62" s="98">
        <f>CL140</f>
        <v>451.32790176873618</v>
      </c>
      <c r="CM62" s="98">
        <f>CI62+CJ62+CK62+CL62</f>
        <v>1642.4116425477121</v>
      </c>
      <c r="CO62" s="98">
        <f>CO140</f>
        <v>410.11341220413124</v>
      </c>
      <c r="CP62" s="98">
        <f>CP140</f>
        <v>389.96418577077293</v>
      </c>
      <c r="CQ62" s="98">
        <f>CQ140</f>
        <v>375.63915256420609</v>
      </c>
      <c r="CR62" s="98">
        <f>CR140</f>
        <v>443.14364219412357</v>
      </c>
      <c r="CS62" s="98">
        <f>CO62+CP62+CQ62+CR62</f>
        <v>1618.8603927332338</v>
      </c>
      <c r="CU62" s="98">
        <f>CU140</f>
        <v>404.9990593961187</v>
      </c>
      <c r="CV62" s="98">
        <f>CV140</f>
        <v>388.87007385462368</v>
      </c>
      <c r="CW62" s="98">
        <f>CW140</f>
        <v>374.81904077387446</v>
      </c>
      <c r="CX62" s="98">
        <f>CX140</f>
        <v>442.03816881142723</v>
      </c>
      <c r="CY62" s="98">
        <f>CU62+CV62+CW62+CX62</f>
        <v>1610.7263428360438</v>
      </c>
      <c r="CZ62" s="2"/>
      <c r="DA62" s="98">
        <f>DA140</f>
        <v>405.11584078986067</v>
      </c>
      <c r="DB62" s="98">
        <f>DB140</f>
        <v>388.89951243422047</v>
      </c>
      <c r="DC62" s="98">
        <f>DC140</f>
        <v>375.12584814177967</v>
      </c>
      <c r="DD62" s="98">
        <f>DD140</f>
        <v>442.4218408560439</v>
      </c>
      <c r="DE62" s="98">
        <f>DA62+DB62+DC62+DD62</f>
        <v>1611.5630422219047</v>
      </c>
      <c r="DF62" s="2"/>
      <c r="DG62" s="98">
        <f>DG140</f>
        <v>405.22629875897383</v>
      </c>
      <c r="DH62" s="98">
        <f>DH140</f>
        <v>388.91946088662598</v>
      </c>
      <c r="DI62" s="98">
        <f>DI140</f>
        <v>375.39121168419547</v>
      </c>
      <c r="DJ62" s="98">
        <f>DJ140</f>
        <v>442.77234449394177</v>
      </c>
      <c r="DK62" s="98">
        <f>DG62+DH62+DI62+DJ62</f>
        <v>1612.3093158237371</v>
      </c>
    </row>
    <row r="63" spans="1:115" x14ac:dyDescent="0.3"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</row>
    <row r="64" spans="1:115" x14ac:dyDescent="0.3">
      <c r="B64" s="1" t="s">
        <v>187</v>
      </c>
      <c r="I64" s="356">
        <f>'T-Systems'!I14</f>
        <v>134.0549542048293</v>
      </c>
      <c r="J64" s="356">
        <f>'T-Systems'!J14</f>
        <v>187.08971553610502</v>
      </c>
      <c r="K64" s="356">
        <f>'T-Systems'!K14</f>
        <v>289.73843058350099</v>
      </c>
      <c r="L64" s="356">
        <f>'T-Systems'!L14</f>
        <v>211.99586349534644</v>
      </c>
      <c r="M64" s="356">
        <f>I64+J64+K64+L64</f>
        <v>822.8789638197818</v>
      </c>
      <c r="N64" s="356"/>
      <c r="O64" s="356">
        <f>'T-Systems'!O14</f>
        <v>161</v>
      </c>
      <c r="P64" s="356">
        <f>'T-Systems'!P14</f>
        <v>171</v>
      </c>
      <c r="Q64" s="356">
        <f>'T-Systems'!Q14</f>
        <v>144</v>
      </c>
      <c r="R64" s="356">
        <f>'T-Systems'!R14</f>
        <v>205</v>
      </c>
      <c r="S64" s="356">
        <f>O64+P64+Q64+R64</f>
        <v>681</v>
      </c>
      <c r="T64" s="356"/>
      <c r="U64" s="356">
        <f>'T-Systems'!U14</f>
        <v>148</v>
      </c>
      <c r="V64" s="356">
        <f>'T-Systems'!V14</f>
        <v>220</v>
      </c>
      <c r="W64" s="356">
        <f>'T-Systems'!W14</f>
        <v>207</v>
      </c>
      <c r="X64" s="356">
        <f>'T-Systems'!X14</f>
        <v>150</v>
      </c>
      <c r="Y64" s="356">
        <f>U64+V64+W64+X64</f>
        <v>725</v>
      </c>
      <c r="Z64" s="356"/>
      <c r="AA64" s="356">
        <f>'T-Systems'!AA14</f>
        <v>245</v>
      </c>
      <c r="AB64" s="356">
        <f>'T-Systems'!AB14</f>
        <v>253</v>
      </c>
      <c r="AC64" s="356">
        <f>'T-Systems'!AC14</f>
        <v>296</v>
      </c>
      <c r="AD64" s="356">
        <f>'T-Systems'!AD14</f>
        <v>619</v>
      </c>
      <c r="AE64" s="356">
        <f>AA64+AB64+AC64+AD64</f>
        <v>1413</v>
      </c>
      <c r="AF64" s="356"/>
      <c r="AG64" s="356">
        <f>'T-Systems'!AG14</f>
        <v>222</v>
      </c>
      <c r="AH64" s="356">
        <f>'T-Systems'!AH14</f>
        <v>283</v>
      </c>
      <c r="AI64" s="356">
        <f>'T-Systems'!AI14</f>
        <v>289</v>
      </c>
      <c r="AJ64" s="356">
        <f>'T-Systems'!AJ14</f>
        <v>393</v>
      </c>
      <c r="AK64" s="356">
        <f>AG64+AH64+AI64+AJ64</f>
        <v>1187</v>
      </c>
      <c r="AL64" s="356"/>
      <c r="AM64" s="356">
        <f>'T-Systems'!AM14</f>
        <v>209</v>
      </c>
      <c r="AN64" s="356">
        <f>'T-Systems'!AN14</f>
        <v>213</v>
      </c>
      <c r="AO64" s="356">
        <f>'T-Systems'!AO14</f>
        <v>270</v>
      </c>
      <c r="AP64" s="356">
        <f>'T-Systems'!AP14</f>
        <v>374</v>
      </c>
      <c r="AQ64" s="356">
        <f>AM64+AN64+AO64+AP64</f>
        <v>1066</v>
      </c>
      <c r="AR64" s="356"/>
      <c r="AS64" s="356">
        <f>'T-Systems'!AS14</f>
        <v>253</v>
      </c>
      <c r="AT64" s="356">
        <f>'T-Systems'!AT14</f>
        <v>254</v>
      </c>
      <c r="AU64" s="356">
        <f>'T-Systems'!AU14</f>
        <v>319</v>
      </c>
      <c r="AV64" s="356">
        <f>'T-Systems'!AV14</f>
        <v>345</v>
      </c>
      <c r="AW64" s="356">
        <f>AS64+AT64+AU64+AV64</f>
        <v>1171</v>
      </c>
      <c r="AX64" s="356"/>
      <c r="AY64" s="356">
        <f>'T-Systems'!AY14</f>
        <v>248</v>
      </c>
      <c r="AZ64" s="356">
        <f>'T-Systems'!AZ14</f>
        <v>276</v>
      </c>
      <c r="BA64" s="356">
        <f>'T-Systems'!BA14</f>
        <v>282</v>
      </c>
      <c r="BB64" s="356">
        <f>'T-Systems'!BB14</f>
        <v>345</v>
      </c>
      <c r="BC64" s="356">
        <f>AY64+AZ64+BA64+BB64</f>
        <v>1151</v>
      </c>
      <c r="BD64" s="356"/>
      <c r="BE64" s="356">
        <f>'T-Systems'!BE14</f>
        <v>78</v>
      </c>
      <c r="BF64" s="356">
        <f>'T-Systems'!BF14</f>
        <v>96</v>
      </c>
      <c r="BG64" s="356">
        <f>'T-Systems'!BG14</f>
        <v>85</v>
      </c>
      <c r="BH64" s="356">
        <f>'T-Systems'!BH14</f>
        <v>143</v>
      </c>
      <c r="BI64" s="356">
        <f>BE64+BF64+BG64+BH64</f>
        <v>402</v>
      </c>
      <c r="BJ64" s="356"/>
      <c r="BK64" s="356">
        <f>'T-Systems'!BK14</f>
        <v>86</v>
      </c>
      <c r="BL64" s="356">
        <f>'T-Systems'!BL14</f>
        <v>91</v>
      </c>
      <c r="BM64" s="356">
        <f>'T-Systems'!BM14</f>
        <v>87</v>
      </c>
      <c r="BN64" s="356">
        <f>'T-Systems'!BN14</f>
        <v>120</v>
      </c>
      <c r="BO64" s="356">
        <f>BK64+BL64+BM64+BN64</f>
        <v>384</v>
      </c>
      <c r="BP64" s="356"/>
      <c r="BQ64" s="356">
        <f>'T-Systems'!BQ14</f>
        <v>97.355599999999995</v>
      </c>
      <c r="BR64" s="356">
        <f>'T-Systems'!BR14</f>
        <v>100.43440000000001</v>
      </c>
      <c r="BS64" s="356">
        <f>'T-Systems'!BS14</f>
        <v>95.534999999999997</v>
      </c>
      <c r="BT64" s="356">
        <f>'T-Systems'!BT14</f>
        <v>136.8081</v>
      </c>
      <c r="BU64" s="356">
        <f>BQ64+BR64+BS64+BT64</f>
        <v>430.13310000000001</v>
      </c>
      <c r="BV64" s="356"/>
      <c r="BW64" s="356">
        <f>'T-Systems'!BW14</f>
        <v>94.548479200000003</v>
      </c>
      <c r="BX64" s="356">
        <f>'T-Systems'!BX14</f>
        <v>96.594501199999996</v>
      </c>
      <c r="BY64" s="356">
        <f>'T-Systems'!BY14</f>
        <v>92.787869999999984</v>
      </c>
      <c r="BZ64" s="356">
        <f>'T-Systems'!BZ14</f>
        <v>134.54861804999999</v>
      </c>
      <c r="CA64" s="356">
        <f>BW64+BX64+BY64+BZ64</f>
        <v>418.47946845000001</v>
      </c>
      <c r="CB64" s="356"/>
      <c r="CC64" s="356">
        <f>'T-Systems'!CC14</f>
        <v>93.6884704</v>
      </c>
      <c r="CD64" s="356">
        <f>'T-Systems'!CD14</f>
        <v>95.767634399999992</v>
      </c>
      <c r="CE64" s="356">
        <f>'T-Systems'!CE14</f>
        <v>91.951439999999991</v>
      </c>
      <c r="CF64" s="356">
        <f>'T-Systems'!CF14</f>
        <v>133.65721709999997</v>
      </c>
      <c r="CG64" s="356">
        <f>CC64+CD64+CE64+CF64</f>
        <v>415.06476189999995</v>
      </c>
      <c r="CH64" s="356"/>
      <c r="CI64" s="356">
        <f>'T-Systems'!CI14</f>
        <v>93.29260390799999</v>
      </c>
      <c r="CJ64" s="356">
        <f>'T-Systems'!CJ14</f>
        <v>95.415471437999997</v>
      </c>
      <c r="CK64" s="356">
        <f>'T-Systems'!CK14</f>
        <v>91.570585049999977</v>
      </c>
      <c r="CL64" s="356">
        <f>'T-Systems'!CL14</f>
        <v>133.42964523074997</v>
      </c>
      <c r="CM64" s="356">
        <f>CI64+CJ64+CK64+CL64</f>
        <v>413.70830562674996</v>
      </c>
      <c r="CN64" s="356"/>
      <c r="CO64" s="356">
        <f>'T-Systems'!CO14</f>
        <v>92.890436539319992</v>
      </c>
      <c r="CP64" s="356">
        <f>'T-Systems'!CP14</f>
        <v>95.05739265551999</v>
      </c>
      <c r="CQ64" s="356">
        <f>'T-Systems'!CQ14</f>
        <v>91.183622764499972</v>
      </c>
      <c r="CR64" s="356">
        <f>'T-Systems'!CR14</f>
        <v>133.19645621237996</v>
      </c>
      <c r="CS64" s="356">
        <f>CO64+CP64+CQ64+CR64</f>
        <v>412.32790817171997</v>
      </c>
      <c r="CT64" s="356"/>
      <c r="CU64" s="356">
        <f>'T-Systems'!CU14</f>
        <v>92.481915181855484</v>
      </c>
      <c r="CV64" s="356">
        <f>'T-Systems'!CV14</f>
        <v>94.693347698429221</v>
      </c>
      <c r="CW64" s="356">
        <f>'T-Systems'!CW14</f>
        <v>90.790501591518705</v>
      </c>
      <c r="CX64" s="356">
        <f>'T-Systems'!CX14</f>
        <v>132.95759956269546</v>
      </c>
      <c r="CY64" s="356">
        <f>CU64+CV64+CW64+CX64</f>
        <v>410.92336403449889</v>
      </c>
      <c r="CZ64" s="356"/>
      <c r="DA64" s="356">
        <f>'T-Systems'!DA14</f>
        <v>92.066986349902848</v>
      </c>
      <c r="DB64" s="356">
        <f>'T-Systems'!DB14</f>
        <v>94.323285856951159</v>
      </c>
      <c r="DC64" s="356">
        <f>'T-Systems'!DC14</f>
        <v>90.391169616238514</v>
      </c>
      <c r="DD64" s="356">
        <f>'T-Systems'!DD14</f>
        <v>132.71302443510882</v>
      </c>
      <c r="DE64" s="356">
        <f>DA64+DB64+DC64+DD64</f>
        <v>409.49446625820133</v>
      </c>
      <c r="DF64" s="356"/>
      <c r="DG64" s="356">
        <f>'T-Systems'!DG14</f>
        <v>91.645596181751131</v>
      </c>
      <c r="DH64" s="356">
        <f>'T-Systems'!DH14</f>
        <v>93.947156063365867</v>
      </c>
      <c r="DI64" s="356">
        <f>'T-Systems'!DI14</f>
        <v>89.985574558665746</v>
      </c>
      <c r="DJ64" s="356">
        <f>'T-Systems'!DJ14</f>
        <v>132.46267961625728</v>
      </c>
      <c r="DK64" s="356">
        <f>DG64+DH64+DI64+DJ64</f>
        <v>408.04100642003999</v>
      </c>
    </row>
    <row r="65" spans="1:115" x14ac:dyDescent="0.3"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</row>
    <row r="66" spans="1:115" x14ac:dyDescent="0.3">
      <c r="B66" s="1" t="s">
        <v>587</v>
      </c>
      <c r="I66" s="2">
        <v>0</v>
      </c>
      <c r="J66" s="2">
        <v>0</v>
      </c>
      <c r="K66" s="2">
        <v>0</v>
      </c>
      <c r="L66" s="2">
        <v>0</v>
      </c>
      <c r="M66" s="98">
        <f>I66+J66+K66+L66</f>
        <v>0</v>
      </c>
      <c r="O66" s="2">
        <v>0</v>
      </c>
      <c r="P66" s="2">
        <v>0</v>
      </c>
      <c r="Q66" s="2">
        <v>0</v>
      </c>
      <c r="R66" s="2">
        <v>0</v>
      </c>
      <c r="S66" s="98">
        <f>O66+P66+Q66+R66</f>
        <v>0</v>
      </c>
      <c r="U66" s="2">
        <v>0</v>
      </c>
      <c r="V66" s="2">
        <v>0</v>
      </c>
      <c r="W66" s="2">
        <v>0</v>
      </c>
      <c r="X66" s="2">
        <v>0</v>
      </c>
      <c r="Y66" s="98">
        <f>U66+V66+W66+X66</f>
        <v>0</v>
      </c>
      <c r="AA66" s="2">
        <v>0</v>
      </c>
      <c r="AB66" s="2">
        <v>0</v>
      </c>
      <c r="AC66" s="2">
        <v>0</v>
      </c>
      <c r="AD66" s="2">
        <v>0</v>
      </c>
      <c r="AE66" s="98">
        <f>AA66+AB66+AC66+AD66</f>
        <v>0</v>
      </c>
      <c r="AG66" s="2">
        <v>0</v>
      </c>
      <c r="AH66" s="2">
        <v>0</v>
      </c>
      <c r="AI66" s="2">
        <v>0</v>
      </c>
      <c r="AJ66" s="2">
        <v>0</v>
      </c>
      <c r="AK66" s="98">
        <f>AG66+AH66+AI66+AJ66</f>
        <v>0</v>
      </c>
      <c r="AM66" s="2">
        <v>0</v>
      </c>
      <c r="AN66" s="2">
        <v>0</v>
      </c>
      <c r="AO66" s="2">
        <v>0</v>
      </c>
      <c r="AP66" s="2">
        <v>0</v>
      </c>
      <c r="AQ66" s="98">
        <f>AM66+AN66+AO66+AP66</f>
        <v>0</v>
      </c>
      <c r="AS66" s="2">
        <v>0</v>
      </c>
      <c r="AT66" s="2">
        <v>0</v>
      </c>
      <c r="AU66" s="2">
        <v>0</v>
      </c>
      <c r="AV66" s="2">
        <v>0</v>
      </c>
      <c r="AW66" s="98">
        <f>AS66+AT66+AU66+AV66</f>
        <v>0</v>
      </c>
      <c r="AY66" s="2">
        <v>0</v>
      </c>
      <c r="AZ66" s="2">
        <v>0</v>
      </c>
      <c r="BA66" s="2">
        <v>0</v>
      </c>
      <c r="BB66" s="2">
        <v>0</v>
      </c>
      <c r="BC66" s="98">
        <f>AY66+AZ66+BA66+BB66</f>
        <v>0</v>
      </c>
      <c r="BE66" s="98">
        <f>BE206</f>
        <v>93</v>
      </c>
      <c r="BF66" s="98">
        <f>BF206</f>
        <v>40</v>
      </c>
      <c r="BG66" s="98">
        <f>BG206</f>
        <v>69</v>
      </c>
      <c r="BH66" s="98">
        <f>BH206</f>
        <v>69</v>
      </c>
      <c r="BI66" s="98">
        <f>BE66+BF66+BG66+BH66</f>
        <v>271</v>
      </c>
      <c r="BK66" s="98">
        <f>BK206</f>
        <v>81</v>
      </c>
      <c r="BL66" s="98">
        <f>BL206</f>
        <v>57</v>
      </c>
      <c r="BM66" s="98">
        <f>BM206</f>
        <v>76</v>
      </c>
      <c r="BN66" s="98">
        <f>BN206</f>
        <v>76</v>
      </c>
      <c r="BO66" s="98">
        <f>BK66+BL66+BM66+BN66</f>
        <v>290</v>
      </c>
      <c r="BQ66" s="98">
        <f>BQ206</f>
        <v>76.93099913194834</v>
      </c>
      <c r="BR66" s="98">
        <f>BR206</f>
        <v>77.050985831473952</v>
      </c>
      <c r="BS66" s="98">
        <f>BS206</f>
        <v>88.046385114412999</v>
      </c>
      <c r="BT66" s="98">
        <f>BT206</f>
        <v>100.46462436901371</v>
      </c>
      <c r="BU66" s="98">
        <f>BQ66+BR66+BS66+BT66</f>
        <v>342.49299444684902</v>
      </c>
      <c r="BW66" s="98">
        <f>BW206</f>
        <v>78.003846026805149</v>
      </c>
      <c r="BX66" s="98">
        <f>BX206</f>
        <v>77.705497526381407</v>
      </c>
      <c r="BY66" s="98">
        <f>BY206</f>
        <v>85.806191440162962</v>
      </c>
      <c r="BZ66" s="98">
        <f>BZ206</f>
        <v>100.35080739155126</v>
      </c>
      <c r="CA66" s="98">
        <f>BW66+BX66+BY66+BZ66</f>
        <v>341.8663423849008</v>
      </c>
      <c r="CC66" s="98">
        <f>CC206</f>
        <v>75.125745133292213</v>
      </c>
      <c r="CD66" s="98">
        <f>CD206</f>
        <v>78.899750682024205</v>
      </c>
      <c r="CE66" s="98">
        <f>CE206</f>
        <v>81.709931500506087</v>
      </c>
      <c r="CF66" s="98">
        <f>CF206</f>
        <v>86.57328762767861</v>
      </c>
      <c r="CG66" s="98">
        <f>CC66+CD66+CE66+CF66</f>
        <v>322.30871494350112</v>
      </c>
      <c r="CI66" s="98">
        <f>CI206</f>
        <v>72.771599911311824</v>
      </c>
      <c r="CJ66" s="98">
        <f>CJ206</f>
        <v>76.064965253881411</v>
      </c>
      <c r="CK66" s="98">
        <f>CK206</f>
        <v>79.758051084307397</v>
      </c>
      <c r="CL66" s="98">
        <f>CL206</f>
        <v>82.665473646347294</v>
      </c>
      <c r="CM66" s="98">
        <f>CI66+CJ66+CK66+CL66</f>
        <v>311.26008989584795</v>
      </c>
      <c r="CO66" s="98">
        <f>CO206</f>
        <v>72.244034857325715</v>
      </c>
      <c r="CP66" s="98">
        <f>CP206</f>
        <v>76.968359964937434</v>
      </c>
      <c r="CQ66" s="98">
        <f>CQ206</f>
        <v>77.152741484676511</v>
      </c>
      <c r="CR66" s="98">
        <f>CR206</f>
        <v>81.220118262501984</v>
      </c>
      <c r="CS66" s="98">
        <f>CO66+CP66+CQ66+CR66</f>
        <v>307.58525456944164</v>
      </c>
      <c r="CU66" s="98">
        <f>CU206</f>
        <v>70.71157648340386</v>
      </c>
      <c r="CV66" s="98">
        <f>CV206</f>
        <v>73.136224646322518</v>
      </c>
      <c r="CW66" s="98">
        <f>CW206</f>
        <v>72.054316244931755</v>
      </c>
      <c r="CX66" s="98">
        <f>CX206</f>
        <v>71.210606712560661</v>
      </c>
      <c r="CY66" s="98">
        <f>CU66+CV66+CW66+CX66</f>
        <v>287.11272408721879</v>
      </c>
      <c r="CZ66" s="2"/>
      <c r="DA66" s="98">
        <f>DA206</f>
        <v>60.396247661465409</v>
      </c>
      <c r="DB66" s="98">
        <f>DB206</f>
        <v>58.947253184908561</v>
      </c>
      <c r="DC66" s="98">
        <f>DC206</f>
        <v>57.737403043360871</v>
      </c>
      <c r="DD66" s="98">
        <f>DD206</f>
        <v>63.490578322319493</v>
      </c>
      <c r="DE66" s="98">
        <f>DA66+DB66+DC66+DD66</f>
        <v>240.57148221205432</v>
      </c>
      <c r="DF66" s="2"/>
      <c r="DG66" s="98">
        <f>DG206</f>
        <v>54.633103768885</v>
      </c>
      <c r="DH66" s="98">
        <f>DH206</f>
        <v>55.942529701238868</v>
      </c>
      <c r="DI66" s="98">
        <f>DI206</f>
        <v>54.707800670642818</v>
      </c>
      <c r="DJ66" s="98">
        <f>DJ206</f>
        <v>60.556886090206731</v>
      </c>
      <c r="DK66" s="98">
        <f>DG66+DH66+DI66+DJ66</f>
        <v>225.84032023097342</v>
      </c>
    </row>
    <row r="67" spans="1:115" x14ac:dyDescent="0.3"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</row>
    <row r="68" spans="1:115" x14ac:dyDescent="0.3">
      <c r="B68" s="1" t="s">
        <v>181</v>
      </c>
      <c r="I68" s="356">
        <f>O68*1.06</f>
        <v>103.88000000000001</v>
      </c>
      <c r="J68" s="356">
        <f>P68*1.06</f>
        <v>111.30000000000001</v>
      </c>
      <c r="K68" s="356">
        <f>Q68*1.06</f>
        <v>133.56</v>
      </c>
      <c r="L68" s="356">
        <f>R68*1.06</f>
        <v>127.2</v>
      </c>
      <c r="M68" s="356">
        <f>I68+J68+K68+L68</f>
        <v>475.94</v>
      </c>
      <c r="O68" s="2">
        <f>GHS!O20</f>
        <v>98</v>
      </c>
      <c r="P68" s="2">
        <f>GHS!P20</f>
        <v>105</v>
      </c>
      <c r="Q68" s="2">
        <f>GHS!Q20</f>
        <v>126</v>
      </c>
      <c r="R68" s="2">
        <f>GHS!R20</f>
        <v>120</v>
      </c>
      <c r="S68" s="2">
        <f>GHS!S20</f>
        <v>449</v>
      </c>
      <c r="U68" s="2">
        <f>GHS!U20</f>
        <v>109</v>
      </c>
      <c r="V68" s="2">
        <f>GHS!V20</f>
        <v>70</v>
      </c>
      <c r="W68" s="2">
        <f>GHS!W20</f>
        <v>99</v>
      </c>
      <c r="X68" s="2">
        <f>GHS!X20</f>
        <v>128</v>
      </c>
      <c r="Y68" s="2">
        <f>GHS!Y20</f>
        <v>406</v>
      </c>
      <c r="AA68" s="2">
        <f>GHS!AA20</f>
        <v>98</v>
      </c>
      <c r="AB68" s="2">
        <f>GHS!AB20</f>
        <v>92</v>
      </c>
      <c r="AC68" s="2">
        <f>GHS!AC20</f>
        <v>82</v>
      </c>
      <c r="AD68" s="2">
        <f>GHS!AD20</f>
        <v>80</v>
      </c>
      <c r="AE68" s="2">
        <f>GHS!AE20</f>
        <v>352</v>
      </c>
      <c r="AG68" s="2">
        <f>GHS!AG20</f>
        <v>144</v>
      </c>
      <c r="AH68" s="356">
        <f>GHS!AH20</f>
        <v>72</v>
      </c>
      <c r="AI68" s="356">
        <f>GHS!AI20</f>
        <v>50</v>
      </c>
      <c r="AJ68" s="356">
        <f>GHS!AJ20</f>
        <v>113</v>
      </c>
      <c r="AK68" s="356">
        <f>GHS!AK20</f>
        <v>379</v>
      </c>
      <c r="AL68" s="356"/>
      <c r="AM68" s="356">
        <v>77</v>
      </c>
      <c r="AN68" s="356">
        <f>GHS!AN20</f>
        <v>94</v>
      </c>
      <c r="AO68" s="356">
        <f>GHS!AO20</f>
        <v>97</v>
      </c>
      <c r="AP68" s="356">
        <f>GHS!AP20</f>
        <v>143</v>
      </c>
      <c r="AQ68" s="356">
        <f>GHS!AQ20</f>
        <v>411</v>
      </c>
      <c r="AR68" s="356"/>
      <c r="AS68" s="356">
        <f>GHS!AS20</f>
        <v>65</v>
      </c>
      <c r="AT68" s="356">
        <f>GHS!AT20</f>
        <v>81</v>
      </c>
      <c r="AU68" s="356">
        <f>GHS!AU20</f>
        <v>94</v>
      </c>
      <c r="AV68" s="356">
        <f>GHS!AV20</f>
        <v>141</v>
      </c>
      <c r="AW68" s="356">
        <f>GHS!AW20</f>
        <v>381</v>
      </c>
      <c r="AX68" s="356"/>
      <c r="AY68" s="356">
        <f>GHS!AY20</f>
        <v>96</v>
      </c>
      <c r="AZ68" s="356">
        <f>GHS!AZ20</f>
        <v>65</v>
      </c>
      <c r="BA68" s="356">
        <f>GHS!BA20</f>
        <v>69</v>
      </c>
      <c r="BB68" s="356">
        <f>GHS!BB20</f>
        <v>112</v>
      </c>
      <c r="BC68" s="356">
        <f>GHS!BC20</f>
        <v>342</v>
      </c>
      <c r="BD68" s="356"/>
      <c r="BE68" s="356">
        <f>GHS!BE20</f>
        <v>227</v>
      </c>
      <c r="BF68" s="356">
        <f>GHS!BF20</f>
        <v>207</v>
      </c>
      <c r="BG68" s="356">
        <f>GHS!BG20</f>
        <v>222.4</v>
      </c>
      <c r="BH68" s="356">
        <f>GHS!BH20</f>
        <v>279.39999999999998</v>
      </c>
      <c r="BI68" s="356">
        <f>GHS!BI20</f>
        <v>935.8</v>
      </c>
      <c r="BJ68" s="356"/>
      <c r="BK68" s="356">
        <f>GHS!BK20</f>
        <v>242</v>
      </c>
      <c r="BL68" s="356">
        <f>GHS!BL20</f>
        <v>239</v>
      </c>
      <c r="BM68" s="356">
        <f>GHS!BM20</f>
        <v>231</v>
      </c>
      <c r="BN68" s="356">
        <f>GHS!BN20</f>
        <v>294</v>
      </c>
      <c r="BO68" s="356">
        <f>GHS!BO20</f>
        <v>1006</v>
      </c>
      <c r="BP68" s="356"/>
      <c r="BQ68" s="356">
        <f>GHS!BQ20</f>
        <v>224.43300000000002</v>
      </c>
      <c r="BR68" s="356">
        <f>GHS!BR20</f>
        <v>224.71487500000003</v>
      </c>
      <c r="BS68" s="356">
        <f>GHS!BS20</f>
        <v>222.97925000000001</v>
      </c>
      <c r="BT68" s="356">
        <f>GHS!BT20</f>
        <v>289.94062500000001</v>
      </c>
      <c r="BU68" s="356">
        <f>GHS!BU20</f>
        <v>962.06775000000016</v>
      </c>
      <c r="BV68" s="356"/>
      <c r="BW68" s="356">
        <f>GHS!BW20</f>
        <v>219.43312875000001</v>
      </c>
      <c r="BX68" s="356">
        <f>GHS!BX20</f>
        <v>220.10875078125005</v>
      </c>
      <c r="BY68" s="356">
        <f>GHS!BY20</f>
        <v>218.44944218750001</v>
      </c>
      <c r="BZ68" s="356">
        <f>GHS!BZ20</f>
        <v>285.41235937499999</v>
      </c>
      <c r="CA68" s="356">
        <f>GHS!CA20</f>
        <v>943.40368109375004</v>
      </c>
      <c r="CB68" s="356"/>
      <c r="CC68" s="356">
        <f>GHS!CC20</f>
        <v>214.0047124875</v>
      </c>
      <c r="CD68" s="356">
        <f>GHS!CD20</f>
        <v>214.34923047656252</v>
      </c>
      <c r="CE68" s="356">
        <f>GHS!CE20</f>
        <v>212.81466473437499</v>
      </c>
      <c r="CF68" s="356">
        <f>GHS!CF20</f>
        <v>279.33309421875003</v>
      </c>
      <c r="CG68" s="356">
        <f>GHS!CG20</f>
        <v>920.50170191718757</v>
      </c>
      <c r="CH68" s="356"/>
      <c r="CI68" s="356">
        <f>GHS!CI20</f>
        <v>208.662921237375</v>
      </c>
      <c r="CJ68" s="356">
        <f>GHS!CJ20</f>
        <v>208.68288970289063</v>
      </c>
      <c r="CK68" s="356">
        <f>GHS!CK20</f>
        <v>207.27073788609371</v>
      </c>
      <c r="CL68" s="356">
        <f>GHS!CL20</f>
        <v>273.34687312968748</v>
      </c>
      <c r="CM68" s="356">
        <f>GHS!CM20</f>
        <v>897.96342195604689</v>
      </c>
      <c r="CN68" s="356"/>
      <c r="CO68" s="356">
        <f>GHS!CO20</f>
        <v>203.40656534100373</v>
      </c>
      <c r="CP68" s="356">
        <f>GHS!CP20</f>
        <v>203.10844082164451</v>
      </c>
      <c r="CQ68" s="356">
        <f>GHS!CQ20</f>
        <v>201.81640810830464</v>
      </c>
      <c r="CR68" s="356">
        <f>GHS!CR20</f>
        <v>267.45244315298436</v>
      </c>
      <c r="CS68" s="356">
        <f>GHS!CS20</f>
        <v>875.78385742393721</v>
      </c>
      <c r="CT68" s="356"/>
      <c r="CU68" s="356">
        <f>GHS!CU20</f>
        <v>198.23447027043616</v>
      </c>
      <c r="CV68" s="356">
        <f>GHS!CV20</f>
        <v>197.62461262905305</v>
      </c>
      <c r="CW68" s="356">
        <f>GHS!CW20</f>
        <v>196.45043785228276</v>
      </c>
      <c r="CX68" s="356">
        <f>GHS!CX20</f>
        <v>261.64856708850232</v>
      </c>
      <c r="CY68" s="356">
        <f>GHS!CY20</f>
        <v>853.95808784027429</v>
      </c>
      <c r="CZ68" s="356"/>
      <c r="DA68" s="356">
        <f>GHS!DA20</f>
        <v>193.14547644474584</v>
      </c>
      <c r="DB68" s="356">
        <f>GHS!DB20</f>
        <v>192.23015015623128</v>
      </c>
      <c r="DC68" s="356">
        <f>GHS!DC20</f>
        <v>191.17160536057048</v>
      </c>
      <c r="DD68" s="356">
        <f>GHS!DD20</f>
        <v>255.9340233009946</v>
      </c>
      <c r="DE68" s="356">
        <f>GHS!DE20</f>
        <v>832.48125526254216</v>
      </c>
      <c r="DF68" s="356"/>
      <c r="DG68" s="356">
        <f>GHS!DG20</f>
        <v>188.13843904854227</v>
      </c>
      <c r="DH68" s="356">
        <f>GHS!DH20</f>
        <v>186.92381447160298</v>
      </c>
      <c r="DI68" s="356">
        <f>GHS!DI20</f>
        <v>185.9787044749072</v>
      </c>
      <c r="DJ68" s="356">
        <f>GHS!DJ20</f>
        <v>250.30760553252821</v>
      </c>
      <c r="DK68" s="356">
        <f>GHS!DK20</f>
        <v>811.34856352758061</v>
      </c>
    </row>
    <row r="69" spans="1:115" x14ac:dyDescent="0.3"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</row>
    <row r="70" spans="1:115" x14ac:dyDescent="0.3">
      <c r="B70" s="1" t="s">
        <v>188</v>
      </c>
      <c r="I70" s="2">
        <v>-60</v>
      </c>
      <c r="J70" s="2">
        <v>-60</v>
      </c>
      <c r="K70" s="2">
        <v>-60</v>
      </c>
      <c r="L70" s="2">
        <v>-60</v>
      </c>
      <c r="M70" s="356">
        <f>I70+J70+K70+L70</f>
        <v>-240</v>
      </c>
      <c r="O70" s="2">
        <v>-61</v>
      </c>
      <c r="P70" s="2">
        <v>-60</v>
      </c>
      <c r="Q70" s="2">
        <v>-24</v>
      </c>
      <c r="R70" s="2">
        <v>-97</v>
      </c>
      <c r="S70" s="356">
        <f>O70+P70+Q70+R70</f>
        <v>-242</v>
      </c>
      <c r="U70" s="2">
        <v>-23</v>
      </c>
      <c r="V70" s="2">
        <v>-11</v>
      </c>
      <c r="W70" s="2">
        <v>-23</v>
      </c>
      <c r="X70" s="2">
        <v>-120</v>
      </c>
      <c r="Y70" s="356">
        <f>U70+V70+W70+X70</f>
        <v>-177</v>
      </c>
      <c r="AA70" s="2">
        <v>-45</v>
      </c>
      <c r="AB70" s="2">
        <v>-45</v>
      </c>
      <c r="AC70" s="2">
        <v>-245</v>
      </c>
      <c r="AD70" s="2">
        <v>-363</v>
      </c>
      <c r="AE70" s="356">
        <f>AA70+AB70+AC70+AD70</f>
        <v>-698</v>
      </c>
      <c r="AG70" s="2">
        <v>-178</v>
      </c>
      <c r="AH70" s="2">
        <v>-263</v>
      </c>
      <c r="AI70" s="2">
        <v>-16</v>
      </c>
      <c r="AJ70" s="2">
        <v>-379</v>
      </c>
      <c r="AK70" s="356">
        <f>AG70+AH70+AI70+AJ70</f>
        <v>-836</v>
      </c>
      <c r="AM70" s="356">
        <v>-92</v>
      </c>
      <c r="AN70" s="356">
        <v>-79</v>
      </c>
      <c r="AO70" s="356">
        <v>-148</v>
      </c>
      <c r="AP70" s="356">
        <v>-441</v>
      </c>
      <c r="AQ70" s="356">
        <f>AM70+AN70+AO70+AP70</f>
        <v>-760</v>
      </c>
      <c r="AS70" s="356">
        <v>-101</v>
      </c>
      <c r="AT70" s="356">
        <v>-225</v>
      </c>
      <c r="AU70" s="356">
        <v>-165</v>
      </c>
      <c r="AV70" s="356">
        <v>-196</v>
      </c>
      <c r="AW70" s="356">
        <f>AS70+AT70+AU70+AV70</f>
        <v>-687</v>
      </c>
      <c r="AY70" s="356">
        <v>-91</v>
      </c>
      <c r="AZ70" s="356">
        <v>-166</v>
      </c>
      <c r="BA70" s="356">
        <v>-117</v>
      </c>
      <c r="BB70" s="356">
        <v>-163</v>
      </c>
      <c r="BC70" s="356">
        <f>AY70+AZ70+BA70+BB70</f>
        <v>-537</v>
      </c>
      <c r="BE70" s="356">
        <v>-71</v>
      </c>
      <c r="BF70" s="356">
        <v>-147</v>
      </c>
      <c r="BG70" s="356">
        <v>-83</v>
      </c>
      <c r="BH70" s="356">
        <v>-152</v>
      </c>
      <c r="BI70" s="356">
        <f>BE70+BF70+BG70+BH70</f>
        <v>-453</v>
      </c>
      <c r="BK70" s="356">
        <v>-51</v>
      </c>
      <c r="BL70" s="356">
        <v>-65</v>
      </c>
      <c r="BM70" s="356">
        <v>-63</v>
      </c>
      <c r="BN70" s="356">
        <v>-26</v>
      </c>
      <c r="BO70" s="356">
        <f>BK70+BL70+BM70+BN70</f>
        <v>-205</v>
      </c>
      <c r="BQ70" s="356">
        <f>BK70*0.8</f>
        <v>-40.800000000000004</v>
      </c>
      <c r="BR70" s="356">
        <f>BL70*0.8</f>
        <v>-52</v>
      </c>
      <c r="BS70" s="356">
        <f>BM70*0.8</f>
        <v>-50.400000000000006</v>
      </c>
      <c r="BT70" s="356">
        <f>BN70*0.8</f>
        <v>-20.8</v>
      </c>
      <c r="BU70" s="356">
        <f>BQ70+BR70+BS70+BT70</f>
        <v>-164.00000000000003</v>
      </c>
      <c r="BW70" s="356">
        <f>BQ70*0.9</f>
        <v>-36.720000000000006</v>
      </c>
      <c r="BX70" s="356">
        <f>BR70*0.9</f>
        <v>-46.800000000000004</v>
      </c>
      <c r="BY70" s="356">
        <f>BS70*0.9</f>
        <v>-45.360000000000007</v>
      </c>
      <c r="BZ70" s="356">
        <f>BT70*0.9</f>
        <v>-18.720000000000002</v>
      </c>
      <c r="CA70" s="356">
        <f>BW70+BX70+BY70+BZ70</f>
        <v>-147.60000000000002</v>
      </c>
      <c r="CC70" s="356">
        <f>BW70*0.95</f>
        <v>-34.884000000000007</v>
      </c>
      <c r="CD70" s="356">
        <f>BX70*0.95</f>
        <v>-44.46</v>
      </c>
      <c r="CE70" s="356">
        <f>BY70*0.95</f>
        <v>-43.092000000000006</v>
      </c>
      <c r="CF70" s="356">
        <f>BZ70*0.95</f>
        <v>-17.784000000000002</v>
      </c>
      <c r="CG70" s="356">
        <f>CC70+CD70+CE70+CF70</f>
        <v>-140.22</v>
      </c>
      <c r="CI70" s="356">
        <f>CC70*0.975</f>
        <v>-34.011900000000004</v>
      </c>
      <c r="CJ70" s="356">
        <f>CD70*0.975</f>
        <v>-43.348500000000001</v>
      </c>
      <c r="CK70" s="356">
        <f>CE70*0.975</f>
        <v>-42.014700000000005</v>
      </c>
      <c r="CL70" s="356">
        <f>CF70*0.975</f>
        <v>-17.339400000000001</v>
      </c>
      <c r="CM70" s="356">
        <f>CI70+CJ70+CK70+CL70</f>
        <v>-136.71450000000002</v>
      </c>
      <c r="CO70" s="356">
        <f>CI70*0.975</f>
        <v>-33.161602500000001</v>
      </c>
      <c r="CP70" s="356">
        <f>CJ70*0.975</f>
        <v>-42.264787499999997</v>
      </c>
      <c r="CQ70" s="356">
        <f>CK70*0.975</f>
        <v>-40.964332500000005</v>
      </c>
      <c r="CR70" s="356">
        <f>CL70*0.975</f>
        <v>-16.905915</v>
      </c>
      <c r="CS70" s="356">
        <f>CO70+CP70+CQ70+CR70</f>
        <v>-133.2966375</v>
      </c>
      <c r="CU70" s="356">
        <f>CO70*0.975</f>
        <v>-32.332562437500002</v>
      </c>
      <c r="CV70" s="356">
        <f>CP70*0.975</f>
        <v>-41.208167812499994</v>
      </c>
      <c r="CW70" s="356">
        <f>CQ70*0.975</f>
        <v>-39.9402241875</v>
      </c>
      <c r="CX70" s="356">
        <f>CR70*0.975</f>
        <v>-16.483267125000001</v>
      </c>
      <c r="CY70" s="356">
        <f>CU70+CV70+CW70+CX70</f>
        <v>-129.9642215625</v>
      </c>
      <c r="CZ70" s="2"/>
      <c r="DA70" s="356">
        <f>CU70*0.975</f>
        <v>-31.5242483765625</v>
      </c>
      <c r="DB70" s="356">
        <f>CV70*0.975</f>
        <v>-40.177963617187494</v>
      </c>
      <c r="DC70" s="356">
        <f>CW70*0.975</f>
        <v>-38.941718582812499</v>
      </c>
      <c r="DD70" s="356">
        <f>CX70*0.975</f>
        <v>-16.071185446874999</v>
      </c>
      <c r="DE70" s="356">
        <f>DA70+DB70+DC70+DD70</f>
        <v>-126.7151160234375</v>
      </c>
      <c r="DF70" s="2"/>
      <c r="DG70" s="356">
        <f>DA70*0.975</f>
        <v>-30.736142167148436</v>
      </c>
      <c r="DH70" s="356">
        <f>DB70*0.975</f>
        <v>-39.173514526757806</v>
      </c>
      <c r="DI70" s="356">
        <f>DC70*0.975</f>
        <v>-37.968175618242185</v>
      </c>
      <c r="DJ70" s="356">
        <f>DD70*0.975</f>
        <v>-15.669405810703124</v>
      </c>
      <c r="DK70" s="356">
        <f>DG70+DH70+DI70+DJ70</f>
        <v>-123.54723812285155</v>
      </c>
    </row>
    <row r="71" spans="1:115" x14ac:dyDescent="0.3">
      <c r="U71" s="36"/>
      <c r="V71" s="36"/>
      <c r="W71" s="36"/>
      <c r="X71" s="36"/>
      <c r="AA71" s="36"/>
      <c r="AB71" s="36"/>
      <c r="AC71" s="36"/>
      <c r="AD71" s="36"/>
      <c r="AE71" s="36"/>
      <c r="AS71" s="36"/>
      <c r="AT71" s="36"/>
      <c r="AU71" s="36"/>
      <c r="AV71" s="36"/>
      <c r="AY71" s="36"/>
      <c r="AZ71" s="36"/>
      <c r="BA71" s="36"/>
      <c r="BB71" s="36"/>
      <c r="BC71" s="36">
        <f>BC70/AW70-1</f>
        <v>-0.21834061135371174</v>
      </c>
      <c r="BE71" s="36"/>
      <c r="BF71" s="36"/>
      <c r="BG71" s="36"/>
      <c r="BH71" s="36"/>
      <c r="BI71" s="36">
        <f>BI70/BC70-1</f>
        <v>-0.15642458100558654</v>
      </c>
      <c r="BK71" s="36"/>
      <c r="BL71" s="36"/>
      <c r="BM71" s="36"/>
      <c r="BN71" s="36"/>
      <c r="BO71" s="36">
        <f>BO70/BI70-1</f>
        <v>-0.54746136865342165</v>
      </c>
      <c r="BQ71" s="36"/>
      <c r="BR71" s="36"/>
      <c r="BS71" s="36"/>
      <c r="BT71" s="36"/>
      <c r="BU71" s="36"/>
      <c r="BW71" s="36"/>
      <c r="BX71" s="36"/>
      <c r="BY71" s="36"/>
      <c r="BZ71" s="36"/>
      <c r="CA71" s="98">
        <f ca="1">CA72-CA60</f>
        <v>7557.4714210927241</v>
      </c>
      <c r="CB71" s="98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</row>
    <row r="72" spans="1:115" ht="15.75" thickBot="1" x14ac:dyDescent="0.35">
      <c r="B72" s="353" t="s">
        <v>192</v>
      </c>
      <c r="C72" s="408"/>
      <c r="D72" s="408"/>
      <c r="E72" s="408"/>
      <c r="F72" s="408"/>
      <c r="G72" s="408"/>
      <c r="H72" s="408"/>
      <c r="I72" s="407">
        <v>1792</v>
      </c>
      <c r="J72" s="407">
        <v>1837</v>
      </c>
      <c r="K72" s="407">
        <v>2137</v>
      </c>
      <c r="L72" s="407">
        <v>2941</v>
      </c>
      <c r="M72" s="407">
        <f>I72+J72+K72+L72</f>
        <v>8707</v>
      </c>
      <c r="N72" s="408"/>
      <c r="O72" s="407">
        <f>O55+O60+O62+O64+O68+O70</f>
        <v>2611</v>
      </c>
      <c r="P72" s="407">
        <f>P55+P60+P62+P64+P68+P70</f>
        <v>2211</v>
      </c>
      <c r="Q72" s="407">
        <f>Q55+Q60+Q62+Q64+Q68+Q70</f>
        <v>2131</v>
      </c>
      <c r="R72" s="407">
        <f>R55+R60+R62+R64+R68+R70</f>
        <v>2249</v>
      </c>
      <c r="S72" s="407">
        <f>O72+P72+Q72+R72</f>
        <v>9202</v>
      </c>
      <c r="T72" s="408"/>
      <c r="U72" s="407">
        <f>U55+U60+U62+U64+U68+U70</f>
        <v>1934</v>
      </c>
      <c r="V72" s="407">
        <f>V55+V60+V62+V64+V68+V70</f>
        <v>2041</v>
      </c>
      <c r="W72" s="407">
        <f>W55+W60+W62+W64+W68+W70</f>
        <v>2037.4231423159999</v>
      </c>
      <c r="X72" s="407">
        <f>X55+X60+X62+X64+X68+X70</f>
        <v>2539.5698408799999</v>
      </c>
      <c r="Y72" s="407">
        <f>U72+V72+W72+X72-1</f>
        <v>8550.9929831959998</v>
      </c>
      <c r="Z72" s="408"/>
      <c r="AA72" s="407">
        <f>AA55+AA60+AA62+AA64+AA68+AA70</f>
        <v>2109.8272126483139</v>
      </c>
      <c r="AB72" s="407">
        <f>AB55+AB60+AB62+AB64+AB68+AB70</f>
        <v>1888.8159185695167</v>
      </c>
      <c r="AC72" s="407">
        <f>AC55+AC60+AC62+AC64+AC68+AC70</f>
        <v>2176.3909844872537</v>
      </c>
      <c r="AD72" s="407">
        <f>AD55+AD60+AD62+AD64+AD68+AD70+1</f>
        <v>2230.9107313530258</v>
      </c>
      <c r="AE72" s="407">
        <f>AA72+AB72+AC72+AD72</f>
        <v>8405.9448470581101</v>
      </c>
      <c r="AF72" s="408"/>
      <c r="AG72" s="407">
        <f>AG55+AG60+AG62+AG64+AG68+AG70</f>
        <v>2169.405189276531</v>
      </c>
      <c r="AH72" s="407">
        <f>AH55+AH60+AH62+AH64+AH68+AH70-1</f>
        <v>1625.826888841078</v>
      </c>
      <c r="AI72" s="407">
        <f>AI55+AI60+AI62+AI64+AI68+AI70</f>
        <v>2198.2150192072713</v>
      </c>
      <c r="AJ72" s="407">
        <f>AJ55+AJ60+AJ62+AJ64+AJ68+AJ70</f>
        <v>2439.4704011899998</v>
      </c>
      <c r="AK72" s="407">
        <f>AG72+AH72+AI72+AJ72-1</f>
        <v>8431.9174985148802</v>
      </c>
      <c r="AL72" s="408"/>
      <c r="AM72" s="407">
        <f>AM55+AM60+AM62+AM64+AM68+AM70</f>
        <v>3023.7092308315623</v>
      </c>
      <c r="AN72" s="407">
        <f>AN55+AN60+AN62+AN64+AN68+AN70-1</f>
        <v>2197.7961938733051</v>
      </c>
      <c r="AO72" s="407">
        <f>AO55+AO60+AO62+AO64+AO68+AO70</f>
        <v>2378.3790043200001</v>
      </c>
      <c r="AP72" s="407">
        <f>AP55+AP60+AP62+AP64+AP68+AP70</f>
        <v>3468.0290826199998</v>
      </c>
      <c r="AQ72" s="407">
        <f>AM72+AN72+AO72+AP72</f>
        <v>11067.913511644867</v>
      </c>
      <c r="AR72" s="408"/>
      <c r="AS72" s="407">
        <f>AS55+AS60+AS62+AS64+AS68+AS70</f>
        <v>2197.2829927506882</v>
      </c>
      <c r="AT72" s="407">
        <f>AT55+AT60+AT62+AT64+AT68+AT70</f>
        <v>2232.3134060000002</v>
      </c>
      <c r="AU72" s="407">
        <f>AU55+AU60+AU62+AU64+AU68+AU70</f>
        <v>2584.2051230000002</v>
      </c>
      <c r="AV72" s="407">
        <f>AV55+AV60+AV62+AV64+AV68+AV70</f>
        <v>3116.81353519</v>
      </c>
      <c r="AW72" s="407">
        <f>AS72+AT72+AU72+AV72</f>
        <v>10130.615056940689</v>
      </c>
      <c r="AX72" s="408"/>
      <c r="AY72" s="407">
        <f>AY55+AY60+AY62+AY64+AY68+AY70</f>
        <v>4429.0186584025323</v>
      </c>
      <c r="AZ72" s="407">
        <f>AZ55+AZ60+AZ62+AZ64+AZ68+AZ70</f>
        <v>2683.9171156600546</v>
      </c>
      <c r="BA72" s="407">
        <f>BA55+BA60+BA62+BA64+BA68+BA70</f>
        <v>2812.7837932629536</v>
      </c>
      <c r="BB72" s="407">
        <f>BB55+BB60+BB62+BB64+BB68+BB70</f>
        <v>3041.1969724669239</v>
      </c>
      <c r="BC72" s="407">
        <f>AY72+AZ72+BA72+BB72</f>
        <v>12966.916539792464</v>
      </c>
      <c r="BD72" s="408"/>
      <c r="BE72" s="407">
        <f>BE55+BE60+BE62+BE64+BE66+BE68+BE70</f>
        <v>2844.8453507728032</v>
      </c>
      <c r="BF72" s="407">
        <f>BF55+BF60+BF62+BF64+BF66+BF68+BF70</f>
        <v>2702.5835464758488</v>
      </c>
      <c r="BG72" s="407">
        <f>BG55+BG60+BG62+BG64+BG66+BG68+BG70</f>
        <v>2743.1159098225721</v>
      </c>
      <c r="BH72" s="407">
        <f>BH55+BH60+BH62+BH64+BH66+BH68+BH70</f>
        <v>2726.1624362787852</v>
      </c>
      <c r="BI72" s="407">
        <f>BE72+BF72+BG72+BH72</f>
        <v>11016.707243350011</v>
      </c>
      <c r="BJ72" s="408"/>
      <c r="BK72" s="407">
        <f>BK55+BK60+BK62+BK64+BK66+BK68+BK70</f>
        <v>3280.1340776540587</v>
      </c>
      <c r="BL72" s="407">
        <f>BL55+BL60+BL62+BL64+BL66+BL68+BL70</f>
        <v>2835.5595421472935</v>
      </c>
      <c r="BM72" s="407">
        <f>BM55+BM60+BM62+BM64+BM66+BM68+BM70</f>
        <v>3020.630586681481</v>
      </c>
      <c r="BN72" s="407">
        <f>BN55+BN60+BN62+BN64+BN66+BN68+BN70</f>
        <v>2954.4145009307695</v>
      </c>
      <c r="BO72" s="407">
        <f>BK72+BL72+BM72+BN72</f>
        <v>12090.738707413602</v>
      </c>
      <c r="BP72" s="408"/>
      <c r="BQ72" s="407">
        <f>BQ55+BQ60+BQ62+BQ64+BQ66+BQ68+BQ70</f>
        <v>3036.0545095892016</v>
      </c>
      <c r="BR72" s="407">
        <f>BR55+BR60+BR62+BR64+BR66+BR68+BR70</f>
        <v>3016.6613300984641</v>
      </c>
      <c r="BS72" s="407">
        <f>BS55+BS60+BS62+BS64+BS66+BS68+BS70</f>
        <v>2887.14292226725</v>
      </c>
      <c r="BT72" s="407">
        <f ca="1">BT55+BT60+BT62+BT64+BT66+BT68+BT70</f>
        <v>3091.0712205169916</v>
      </c>
      <c r="BU72" s="407">
        <f ca="1">BQ72+BR72+BS72+BT72</f>
        <v>12030.929982471907</v>
      </c>
      <c r="BV72" s="408"/>
      <c r="BW72" s="407">
        <f>BW55+BW60+BW62+BW64+BW66+BW68+BW70</f>
        <v>2887.416883125004</v>
      </c>
      <c r="BX72" s="407">
        <f>BX55+BX60+BX62+BX64+BX66+BX68+BX70</f>
        <v>2885.5807791255806</v>
      </c>
      <c r="BY72" s="407">
        <f>BY55+BY60+BY62+BY64+BY66+BY68+BY70</f>
        <v>2859.7333562750191</v>
      </c>
      <c r="BZ72" s="407">
        <f ca="1">BZ55+BZ60+BZ62+BZ64+BZ66+BZ68+BZ70</f>
        <v>3434.8838451900715</v>
      </c>
      <c r="CA72" s="407">
        <f ca="1">BW72+BX72+BY72+BZ72</f>
        <v>12067.614863715675</v>
      </c>
      <c r="CB72" s="408"/>
      <c r="CC72" s="407">
        <f>CC55+CC60+CC62+CC64+CC66+CC68+CC70</f>
        <v>2863.6313119708316</v>
      </c>
      <c r="CD72" s="407">
        <f>CD55+CD60+CD62+CD64+CD66+CD68+CD70</f>
        <v>2883.1139614370204</v>
      </c>
      <c r="CE72" s="407">
        <f>CE55+CE60+CE62+CE64+CE66+CE68+CE70</f>
        <v>2833.856083262197</v>
      </c>
      <c r="CF72" s="407">
        <f ca="1">CF55+CF60+CF62+CF64+CF66+CF68+CF70</f>
        <v>3579.3406181840073</v>
      </c>
      <c r="CG72" s="407">
        <f ca="1">CC72+CD72+CE72+CF72</f>
        <v>12159.941974854057</v>
      </c>
      <c r="CH72" s="408"/>
      <c r="CI72" s="407">
        <f>CI55+CI60+CI62+CI64+CI66+CI68+CI70</f>
        <v>2936.7143577623851</v>
      </c>
      <c r="CJ72" s="407">
        <f>CJ55+CJ60+CJ62+CJ64+CJ66+CJ68+CJ70</f>
        <v>2955.2904794578126</v>
      </c>
      <c r="CK72" s="407">
        <f>CK55+CK60+CK62+CK64+CK66+CK68+CK70</f>
        <v>2896.3962765402393</v>
      </c>
      <c r="CL72" s="407">
        <f ca="1">CL55+CL60+CL62+CL64+CL66+CL68+CL70</f>
        <v>3456.5031358764745</v>
      </c>
      <c r="CM72" s="407">
        <f ca="1">CI72+CJ72+CK72+CL72</f>
        <v>12244.904249636911</v>
      </c>
      <c r="CN72" s="408"/>
      <c r="CO72" s="407">
        <f>CO55+CO60+CO62+CO64+CO66+CO68+CO70</f>
        <v>2944.3132058489596</v>
      </c>
      <c r="CP72" s="407">
        <f>CP55+CP60+CP62+CP64+CP66+CP68+CP70</f>
        <v>2970.4911864094902</v>
      </c>
      <c r="CQ72" s="407">
        <f>CQ55+CQ60+CQ62+CQ64+CQ66+CQ68+CQ70</f>
        <v>2881.2541972257218</v>
      </c>
      <c r="CR72" s="407">
        <f ca="1">CR55+CR60+CR62+CR64+CR66+CR68+CR70</f>
        <v>3474.253816529189</v>
      </c>
      <c r="CS72" s="407">
        <f ca="1">CO72+CP72+CQ72+CR72</f>
        <v>12270.31240601336</v>
      </c>
      <c r="CT72" s="408"/>
      <c r="CU72" s="407">
        <f>CU55+CU60+CU62+CU64+CU66+CU68+CU70</f>
        <v>2816.1577923968612</v>
      </c>
      <c r="CV72" s="407">
        <f>CV55+CV60+CV62+CV64+CV66+CV68+CV70</f>
        <v>2855.7414614250133</v>
      </c>
      <c r="CW72" s="407">
        <f>CW55+CW60+CW62+CW64+CW66+CW68+CW70</f>
        <v>2735.1197019734923</v>
      </c>
      <c r="CX72" s="407">
        <f ca="1">CX55+CX60+CX62+CX64+CX66+CX68+CX70</f>
        <v>3394.2034263999731</v>
      </c>
      <c r="CY72" s="407">
        <f ca="1">CU72+CV72+CW72+CX72</f>
        <v>11801.222382195341</v>
      </c>
      <c r="CZ72" s="408"/>
      <c r="DA72" s="407">
        <f>DA55+DA60+DA62+DA64+DA66+DA68+DA70</f>
        <v>2735.1719301009593</v>
      </c>
      <c r="DB72" s="407">
        <f>DB55+DB60+DB62+DB64+DB66+DB68+DB70</f>
        <v>2771.7056715528902</v>
      </c>
      <c r="DC72" s="407">
        <f>DC55+DC60+DC62+DC64+DC66+DC68+DC70</f>
        <v>2642.90670951527</v>
      </c>
      <c r="DD72" s="407">
        <f ca="1">DD55+DD60+DD62+DD64+DD66+DD68+DD70</f>
        <v>3261.7118068173254</v>
      </c>
      <c r="DE72" s="407">
        <f ca="1">DA72+DB72+DC72+DD72</f>
        <v>11411.496117986446</v>
      </c>
      <c r="DF72" s="408"/>
      <c r="DG72" s="407">
        <f>DG55+DG60+DG62+DG64+DG66+DG68+DG70</f>
        <v>2753.2527618659392</v>
      </c>
      <c r="DH72" s="407">
        <f>DH55+DH60+DH62+DH64+DH66+DH68+DH70</f>
        <v>2793.7235994826942</v>
      </c>
      <c r="DI72" s="407">
        <f>DI55+DI60+DI62+DI64+DI66+DI68+DI70</f>
        <v>2663.0310382500229</v>
      </c>
      <c r="DJ72" s="407">
        <f ca="1">DJ55+DJ60+DJ62+DJ64+DJ66+DJ68+DJ70</f>
        <v>3201.1398496608144</v>
      </c>
      <c r="DK72" s="407">
        <f ca="1">DG72+DH72+DI72+DJ72</f>
        <v>11411.147249259471</v>
      </c>
    </row>
    <row r="73" spans="1:115" ht="15.75" thickTop="1" x14ac:dyDescent="0.3">
      <c r="AO73" s="98"/>
      <c r="AP73" s="98"/>
      <c r="AQ73" s="98"/>
      <c r="AV73" s="98"/>
      <c r="AW73" s="98"/>
      <c r="AX73" s="98"/>
      <c r="AY73" s="98"/>
      <c r="BB73" s="98"/>
      <c r="BC73" s="98"/>
      <c r="BF73" s="2">
        <f>2703-39</f>
        <v>2664</v>
      </c>
      <c r="BG73" s="2">
        <f>3885-1146</f>
        <v>2739</v>
      </c>
      <c r="BH73" s="2">
        <f>3156-432</f>
        <v>2724</v>
      </c>
      <c r="BI73" s="98">
        <f>BI48-BI72-2500-1000-2000-2000</f>
        <v>2903.5460078736251</v>
      </c>
      <c r="BJ73" s="98">
        <f>BH48-BH72-650-500-150</f>
        <v>1238.8154152050738</v>
      </c>
      <c r="BN73" s="98">
        <f>BN48-BN72-550-150-500-200</f>
        <v>660.1841574630389</v>
      </c>
      <c r="BO73" s="98">
        <f>BO48-BO72</f>
        <v>10138.968506478046</v>
      </c>
      <c r="CA73" s="2">
        <f ca="1">CA72-(CA60*0.33)</f>
        <v>10579.267527650101</v>
      </c>
      <c r="CB73" s="2">
        <f ca="1">CA49-CA73</f>
        <v>9655.8897217909489</v>
      </c>
      <c r="CM73" s="98">
        <f ca="1">CM72-CM60</f>
        <v>7425.846872587731</v>
      </c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</row>
    <row r="74" spans="1:115" x14ac:dyDescent="0.3">
      <c r="A74" s="401"/>
      <c r="B74" s="401"/>
      <c r="C74" s="403"/>
      <c r="D74" s="403"/>
      <c r="E74" s="403"/>
      <c r="F74" s="403"/>
      <c r="G74" s="403"/>
      <c r="H74" s="403"/>
      <c r="I74" s="403"/>
      <c r="J74" s="403"/>
      <c r="K74" s="403"/>
      <c r="L74" s="403"/>
      <c r="M74" s="403"/>
      <c r="N74" s="403"/>
      <c r="O74" s="403"/>
      <c r="P74" s="403"/>
      <c r="Q74" s="403"/>
      <c r="R74" s="403"/>
      <c r="S74" s="403"/>
      <c r="T74" s="403"/>
      <c r="U74" s="403"/>
      <c r="V74" s="403"/>
      <c r="W74" s="403"/>
      <c r="X74" s="403"/>
      <c r="Y74" s="403"/>
      <c r="Z74" s="403"/>
      <c r="AA74" s="403"/>
      <c r="AB74" s="403"/>
      <c r="AC74" s="403"/>
      <c r="AD74" s="403"/>
      <c r="AE74" s="403"/>
      <c r="AF74" s="403"/>
      <c r="AG74" s="403"/>
      <c r="AH74" s="403"/>
      <c r="AI74" s="403"/>
      <c r="AJ74" s="403"/>
      <c r="AK74" s="403"/>
      <c r="AL74" s="403"/>
      <c r="AM74" s="403"/>
      <c r="AN74" s="403"/>
      <c r="AO74" s="403"/>
      <c r="AP74" s="403"/>
      <c r="AQ74" s="403"/>
      <c r="AR74" s="403"/>
      <c r="AS74" s="403"/>
      <c r="AT74" s="403"/>
      <c r="AU74" s="403"/>
      <c r="AV74" s="403"/>
      <c r="AW74" s="403"/>
      <c r="AX74" s="403"/>
      <c r="AY74" s="403"/>
      <c r="AZ74" s="403"/>
      <c r="BA74" s="403"/>
      <c r="BB74" s="403"/>
      <c r="BC74" s="403"/>
      <c r="BD74" s="403"/>
      <c r="BE74" s="403"/>
      <c r="BF74" s="403"/>
      <c r="BG74" s="403"/>
      <c r="BH74" s="403"/>
      <c r="BI74" s="403"/>
      <c r="BJ74" s="403"/>
      <c r="BK74" s="403"/>
      <c r="BL74" s="403"/>
      <c r="BM74" s="403"/>
      <c r="BN74" s="403"/>
      <c r="BO74" s="403"/>
      <c r="BP74" s="403"/>
      <c r="BQ74" s="403"/>
      <c r="BR74" s="403"/>
      <c r="BS74" s="403"/>
      <c r="BT74" s="403"/>
      <c r="BU74" s="403"/>
      <c r="BV74" s="403"/>
      <c r="BW74" s="403"/>
      <c r="BX74" s="403"/>
      <c r="BY74" s="403"/>
      <c r="BZ74" s="403"/>
      <c r="CA74" s="403"/>
      <c r="CB74" s="403"/>
      <c r="CC74" s="403"/>
      <c r="CD74" s="403"/>
      <c r="CE74" s="403"/>
      <c r="CF74" s="403"/>
      <c r="CG74" s="403"/>
      <c r="CH74" s="403"/>
      <c r="CI74" s="403"/>
      <c r="CJ74" s="403"/>
      <c r="CK74" s="403"/>
      <c r="CL74" s="403"/>
      <c r="CM74" s="403"/>
      <c r="CN74" s="403"/>
      <c r="CO74" s="403"/>
      <c r="CP74" s="403"/>
      <c r="CQ74" s="403"/>
      <c r="CR74" s="403"/>
      <c r="CS74" s="403"/>
      <c r="CT74" s="403"/>
      <c r="CU74" s="403"/>
      <c r="CV74" s="403"/>
      <c r="CW74" s="403"/>
      <c r="CX74" s="403"/>
      <c r="CY74" s="403"/>
      <c r="CZ74" s="403"/>
      <c r="DA74" s="403"/>
      <c r="DB74" s="403"/>
      <c r="DC74" s="403"/>
      <c r="DD74" s="403"/>
      <c r="DE74" s="403"/>
      <c r="DF74" s="403"/>
      <c r="DG74" s="403"/>
      <c r="DH74" s="403"/>
      <c r="DI74" s="403"/>
      <c r="DJ74" s="403"/>
      <c r="DK74" s="403"/>
    </row>
    <row r="75" spans="1:115" x14ac:dyDescent="0.3">
      <c r="A75" s="401"/>
      <c r="B75" s="401"/>
      <c r="C75" s="403"/>
      <c r="D75" s="403"/>
      <c r="E75" s="403"/>
      <c r="F75" s="403"/>
      <c r="G75" s="403"/>
      <c r="H75" s="403"/>
      <c r="I75" s="403"/>
      <c r="J75" s="403"/>
      <c r="K75" s="403"/>
      <c r="L75" s="403"/>
      <c r="M75" s="403"/>
      <c r="N75" s="403"/>
      <c r="O75" s="403"/>
      <c r="P75" s="403"/>
      <c r="Q75" s="403"/>
      <c r="R75" s="403"/>
      <c r="S75" s="403"/>
      <c r="T75" s="403"/>
      <c r="U75" s="403"/>
      <c r="V75" s="403"/>
      <c r="W75" s="403"/>
      <c r="X75" s="403"/>
      <c r="Y75" s="403"/>
      <c r="Z75" s="403"/>
      <c r="AA75" s="403"/>
      <c r="AB75" s="403"/>
      <c r="AC75" s="403"/>
      <c r="AD75" s="403"/>
      <c r="AE75" s="403"/>
      <c r="AF75" s="403"/>
      <c r="AG75" s="403"/>
      <c r="AH75" s="403"/>
      <c r="AI75" s="403"/>
      <c r="AJ75" s="403"/>
      <c r="AK75" s="403"/>
      <c r="AL75" s="403"/>
      <c r="AM75" s="403"/>
      <c r="AN75" s="403"/>
      <c r="AO75" s="403"/>
      <c r="AP75" s="403"/>
      <c r="AQ75" s="403"/>
      <c r="AR75" s="403"/>
      <c r="AS75" s="403"/>
      <c r="AT75" s="403"/>
      <c r="AU75" s="403"/>
      <c r="AV75" s="403"/>
      <c r="AW75" s="403"/>
      <c r="AX75" s="403"/>
      <c r="AY75" s="403"/>
      <c r="AZ75" s="403"/>
      <c r="BA75" s="403"/>
      <c r="BB75" s="403"/>
      <c r="BC75" s="403"/>
      <c r="BD75" s="403"/>
      <c r="BE75" s="403"/>
      <c r="BF75" s="403"/>
      <c r="BG75" s="403"/>
      <c r="BH75" s="403"/>
      <c r="BI75" s="403"/>
      <c r="BJ75" s="403"/>
      <c r="BK75" s="403"/>
      <c r="BL75" s="403"/>
      <c r="BM75" s="403"/>
      <c r="BN75" s="403"/>
      <c r="BO75" s="403"/>
      <c r="BP75" s="403"/>
      <c r="BQ75" s="403"/>
      <c r="BR75" s="403"/>
      <c r="BS75" s="403"/>
      <c r="BT75" s="403"/>
      <c r="BU75" s="403"/>
      <c r="BV75" s="403"/>
      <c r="BW75" s="403"/>
      <c r="BX75" s="403"/>
      <c r="BY75" s="403"/>
      <c r="BZ75" s="403"/>
      <c r="CA75" s="403"/>
      <c r="CB75" s="403"/>
      <c r="CC75" s="403"/>
      <c r="CD75" s="403"/>
      <c r="CE75" s="403"/>
      <c r="CF75" s="403"/>
      <c r="CG75" s="403"/>
      <c r="CH75" s="403"/>
      <c r="CI75" s="403"/>
      <c r="CJ75" s="403"/>
      <c r="CK75" s="403"/>
      <c r="CL75" s="403"/>
      <c r="CM75" s="403"/>
      <c r="CN75" s="403"/>
      <c r="CO75" s="403"/>
      <c r="CP75" s="403"/>
      <c r="CQ75" s="403"/>
      <c r="CR75" s="403"/>
      <c r="CS75" s="403"/>
      <c r="CT75" s="403"/>
      <c r="CU75" s="403"/>
      <c r="CV75" s="403"/>
      <c r="CW75" s="403"/>
      <c r="CX75" s="403"/>
      <c r="CY75" s="403"/>
      <c r="CZ75" s="403"/>
      <c r="DA75" s="403"/>
      <c r="DB75" s="403"/>
      <c r="DC75" s="403"/>
      <c r="DD75" s="403"/>
      <c r="DE75" s="403"/>
      <c r="DF75" s="403"/>
      <c r="DG75" s="403"/>
      <c r="DH75" s="403"/>
      <c r="DI75" s="403"/>
      <c r="DJ75" s="403"/>
      <c r="DK75" s="403"/>
    </row>
    <row r="76" spans="1:115" ht="15.75" thickBot="1" x14ac:dyDescent="0.35">
      <c r="BG76" s="98">
        <f>BG48-BG72</f>
        <v>2791.412400082027</v>
      </c>
      <c r="BH76" s="98">
        <f>BH48-BH72</f>
        <v>2538.8154152050738</v>
      </c>
      <c r="BI76" s="98">
        <f>BG76+BH76-1350-500</f>
        <v>3480.2278152871004</v>
      </c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</row>
    <row r="77" spans="1:115" x14ac:dyDescent="0.3">
      <c r="I77" s="709">
        <v>2008</v>
      </c>
      <c r="J77" s="710"/>
      <c r="K77" s="710"/>
      <c r="L77" s="710"/>
      <c r="M77" s="711"/>
      <c r="N77" s="3"/>
      <c r="O77" s="709">
        <v>2009</v>
      </c>
      <c r="P77" s="710"/>
      <c r="Q77" s="710"/>
      <c r="R77" s="710"/>
      <c r="S77" s="711"/>
      <c r="T77" s="3"/>
      <c r="U77" s="709">
        <v>2010</v>
      </c>
      <c r="V77" s="710"/>
      <c r="W77" s="710"/>
      <c r="X77" s="710"/>
      <c r="Y77" s="711"/>
      <c r="AA77" s="709">
        <v>2011</v>
      </c>
      <c r="AB77" s="710"/>
      <c r="AC77" s="710"/>
      <c r="AD77" s="710"/>
      <c r="AE77" s="711"/>
      <c r="AG77" s="709">
        <v>2012</v>
      </c>
      <c r="AH77" s="710"/>
      <c r="AI77" s="710"/>
      <c r="AJ77" s="710"/>
      <c r="AK77" s="711"/>
      <c r="AM77" s="709">
        <v>2013</v>
      </c>
      <c r="AN77" s="710"/>
      <c r="AO77" s="710"/>
      <c r="AP77" s="710"/>
      <c r="AQ77" s="711"/>
      <c r="AS77" s="709">
        <v>2014</v>
      </c>
      <c r="AT77" s="710"/>
      <c r="AU77" s="710"/>
      <c r="AV77" s="710"/>
      <c r="AW77" s="711"/>
      <c r="AY77" s="709">
        <v>2015</v>
      </c>
      <c r="AZ77" s="710"/>
      <c r="BA77" s="710"/>
      <c r="BB77" s="710"/>
      <c r="BC77" s="711"/>
      <c r="BE77" s="709">
        <v>2016</v>
      </c>
      <c r="BF77" s="710"/>
      <c r="BG77" s="710"/>
      <c r="BH77" s="710"/>
      <c r="BI77" s="711"/>
      <c r="BK77" s="709">
        <v>2017</v>
      </c>
      <c r="BL77" s="710"/>
      <c r="BM77" s="710"/>
      <c r="BN77" s="710"/>
      <c r="BO77" s="711"/>
      <c r="BQ77" s="709">
        <v>2018</v>
      </c>
      <c r="BR77" s="710"/>
      <c r="BS77" s="710"/>
      <c r="BT77" s="710"/>
      <c r="BU77" s="711"/>
      <c r="BW77" s="709">
        <v>2019</v>
      </c>
      <c r="BX77" s="710"/>
      <c r="BY77" s="710"/>
      <c r="BZ77" s="710"/>
      <c r="CA77" s="711"/>
      <c r="CC77" s="709">
        <v>2020</v>
      </c>
      <c r="CD77" s="710"/>
      <c r="CE77" s="710"/>
      <c r="CF77" s="710"/>
      <c r="CG77" s="711"/>
      <c r="CI77" s="709">
        <v>2021</v>
      </c>
      <c r="CJ77" s="710"/>
      <c r="CK77" s="710"/>
      <c r="CL77" s="710"/>
      <c r="CM77" s="711"/>
      <c r="CO77" s="709">
        <v>2022</v>
      </c>
      <c r="CP77" s="710"/>
      <c r="CQ77" s="710"/>
      <c r="CR77" s="710"/>
      <c r="CS77" s="711"/>
      <c r="CU77" s="709">
        <v>2023</v>
      </c>
      <c r="CV77" s="710"/>
      <c r="CW77" s="710"/>
      <c r="CX77" s="710"/>
      <c r="CY77" s="711"/>
      <c r="CZ77" s="2"/>
      <c r="DA77" s="709">
        <v>2024</v>
      </c>
      <c r="DB77" s="710"/>
      <c r="DC77" s="710"/>
      <c r="DD77" s="710"/>
      <c r="DE77" s="711"/>
      <c r="DF77" s="2"/>
      <c r="DG77" s="709">
        <v>2025</v>
      </c>
      <c r="DH77" s="710"/>
      <c r="DI77" s="710"/>
      <c r="DJ77" s="710"/>
      <c r="DK77" s="711"/>
    </row>
    <row r="78" spans="1:115" ht="15.75" thickBot="1" x14ac:dyDescent="0.35">
      <c r="I78" s="51" t="s">
        <v>20</v>
      </c>
      <c r="J78" s="43" t="s">
        <v>19</v>
      </c>
      <c r="K78" s="43" t="s">
        <v>22</v>
      </c>
      <c r="L78" s="43" t="s">
        <v>21</v>
      </c>
      <c r="M78" s="95" t="s">
        <v>39</v>
      </c>
      <c r="N78" s="3"/>
      <c r="O78" s="51" t="s">
        <v>20</v>
      </c>
      <c r="P78" s="43" t="s">
        <v>19</v>
      </c>
      <c r="Q78" s="43" t="s">
        <v>22</v>
      </c>
      <c r="R78" s="43" t="s">
        <v>21</v>
      </c>
      <c r="S78" s="95" t="s">
        <v>39</v>
      </c>
      <c r="T78" s="3"/>
      <c r="U78" s="51" t="s">
        <v>20</v>
      </c>
      <c r="V78" s="43" t="s">
        <v>19</v>
      </c>
      <c r="W78" s="43" t="s">
        <v>22</v>
      </c>
      <c r="X78" s="43" t="s">
        <v>21</v>
      </c>
      <c r="Y78" s="95" t="s">
        <v>39</v>
      </c>
      <c r="AA78" s="51" t="s">
        <v>20</v>
      </c>
      <c r="AB78" s="43" t="s">
        <v>19</v>
      </c>
      <c r="AC78" s="43" t="s">
        <v>22</v>
      </c>
      <c r="AD78" s="43" t="s">
        <v>21</v>
      </c>
      <c r="AE78" s="95" t="s">
        <v>39</v>
      </c>
      <c r="AG78" s="51" t="s">
        <v>20</v>
      </c>
      <c r="AH78" s="43" t="s">
        <v>19</v>
      </c>
      <c r="AI78" s="43" t="s">
        <v>22</v>
      </c>
      <c r="AJ78" s="43" t="s">
        <v>21</v>
      </c>
      <c r="AK78" s="95" t="s">
        <v>39</v>
      </c>
      <c r="AM78" s="51" t="s">
        <v>20</v>
      </c>
      <c r="AN78" s="43" t="s">
        <v>19</v>
      </c>
      <c r="AO78" s="43" t="s">
        <v>22</v>
      </c>
      <c r="AP78" s="43" t="s">
        <v>21</v>
      </c>
      <c r="AQ78" s="95" t="s">
        <v>39</v>
      </c>
      <c r="AS78" s="51" t="s">
        <v>20</v>
      </c>
      <c r="AT78" s="43" t="s">
        <v>19</v>
      </c>
      <c r="AU78" s="43" t="s">
        <v>22</v>
      </c>
      <c r="AV78" s="43" t="s">
        <v>21</v>
      </c>
      <c r="AW78" s="95" t="s">
        <v>39</v>
      </c>
      <c r="AY78" s="51" t="s">
        <v>20</v>
      </c>
      <c r="AZ78" s="43" t="s">
        <v>19</v>
      </c>
      <c r="BA78" s="43" t="s">
        <v>22</v>
      </c>
      <c r="BB78" s="43" t="s">
        <v>21</v>
      </c>
      <c r="BC78" s="95" t="s">
        <v>39</v>
      </c>
      <c r="BE78" s="51" t="s">
        <v>20</v>
      </c>
      <c r="BF78" s="43" t="s">
        <v>19</v>
      </c>
      <c r="BG78" s="43" t="s">
        <v>22</v>
      </c>
      <c r="BH78" s="43" t="s">
        <v>21</v>
      </c>
      <c r="BI78" s="95" t="s">
        <v>39</v>
      </c>
      <c r="BK78" s="51" t="s">
        <v>20</v>
      </c>
      <c r="BL78" s="43" t="s">
        <v>19</v>
      </c>
      <c r="BM78" s="43" t="s">
        <v>22</v>
      </c>
      <c r="BN78" s="43" t="s">
        <v>21</v>
      </c>
      <c r="BO78" s="95" t="s">
        <v>39</v>
      </c>
      <c r="BQ78" s="51" t="s">
        <v>20</v>
      </c>
      <c r="BR78" s="43" t="s">
        <v>19</v>
      </c>
      <c r="BS78" s="43" t="s">
        <v>22</v>
      </c>
      <c r="BT78" s="43" t="s">
        <v>21</v>
      </c>
      <c r="BU78" s="95" t="s">
        <v>39</v>
      </c>
      <c r="BW78" s="51" t="s">
        <v>20</v>
      </c>
      <c r="BX78" s="467" t="s">
        <v>19</v>
      </c>
      <c r="BY78" s="467" t="s">
        <v>22</v>
      </c>
      <c r="BZ78" s="467" t="s">
        <v>21</v>
      </c>
      <c r="CA78" s="95" t="s">
        <v>39</v>
      </c>
      <c r="CC78" s="51" t="s">
        <v>20</v>
      </c>
      <c r="CD78" s="467" t="s">
        <v>19</v>
      </c>
      <c r="CE78" s="467" t="s">
        <v>22</v>
      </c>
      <c r="CF78" s="467" t="s">
        <v>21</v>
      </c>
      <c r="CG78" s="95" t="s">
        <v>39</v>
      </c>
      <c r="CI78" s="51" t="s">
        <v>20</v>
      </c>
      <c r="CJ78" s="467" t="s">
        <v>19</v>
      </c>
      <c r="CK78" s="467" t="s">
        <v>22</v>
      </c>
      <c r="CL78" s="467" t="s">
        <v>21</v>
      </c>
      <c r="CM78" s="95" t="s">
        <v>39</v>
      </c>
      <c r="CO78" s="51" t="s">
        <v>20</v>
      </c>
      <c r="CP78" s="467" t="s">
        <v>19</v>
      </c>
      <c r="CQ78" s="467" t="s">
        <v>22</v>
      </c>
      <c r="CR78" s="467" t="s">
        <v>21</v>
      </c>
      <c r="CS78" s="95" t="s">
        <v>39</v>
      </c>
      <c r="CU78" s="51" t="s">
        <v>20</v>
      </c>
      <c r="CV78" s="467" t="s">
        <v>19</v>
      </c>
      <c r="CW78" s="467" t="s">
        <v>22</v>
      </c>
      <c r="CX78" s="467" t="s">
        <v>21</v>
      </c>
      <c r="CY78" s="95" t="s">
        <v>39</v>
      </c>
      <c r="CZ78" s="2"/>
      <c r="DA78" s="51" t="s">
        <v>20</v>
      </c>
      <c r="DB78" s="570" t="s">
        <v>19</v>
      </c>
      <c r="DC78" s="570" t="s">
        <v>22</v>
      </c>
      <c r="DD78" s="570" t="s">
        <v>21</v>
      </c>
      <c r="DE78" s="95" t="s">
        <v>39</v>
      </c>
      <c r="DF78" s="2"/>
      <c r="DG78" s="51" t="s">
        <v>20</v>
      </c>
      <c r="DH78" s="570" t="s">
        <v>19</v>
      </c>
      <c r="DI78" s="570" t="s">
        <v>22</v>
      </c>
      <c r="DJ78" s="570" t="s">
        <v>21</v>
      </c>
      <c r="DK78" s="95" t="s">
        <v>39</v>
      </c>
    </row>
    <row r="79" spans="1:115" x14ac:dyDescent="0.3">
      <c r="B79" s="351" t="s">
        <v>237</v>
      </c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</row>
    <row r="80" spans="1:115" x14ac:dyDescent="0.3"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</row>
    <row r="81" spans="2:115" x14ac:dyDescent="0.3">
      <c r="B81" s="13" t="s">
        <v>182</v>
      </c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</row>
    <row r="82" spans="2:115" x14ac:dyDescent="0.3">
      <c r="B82" s="6" t="s">
        <v>199</v>
      </c>
      <c r="I82" s="98">
        <f>'TMO Netherlands'!I32</f>
        <v>416</v>
      </c>
      <c r="J82" s="98">
        <f>'TMO Netherlands'!J32</f>
        <v>447</v>
      </c>
      <c r="K82" s="98">
        <f>'TMO Netherlands'!K32</f>
        <v>477</v>
      </c>
      <c r="L82" s="98">
        <f>'TMO Netherlands'!L32</f>
        <v>466</v>
      </c>
      <c r="M82" s="98">
        <f t="shared" ref="M82:M88" si="0">I82+J82+K82+L82</f>
        <v>1806</v>
      </c>
      <c r="N82" s="98"/>
      <c r="O82" s="98">
        <f>'TMO Netherlands'!O32</f>
        <v>444</v>
      </c>
      <c r="P82" s="98">
        <f>'TMO Netherlands'!P32</f>
        <v>465</v>
      </c>
      <c r="Q82" s="98">
        <f>'TMO Netherlands'!Q32</f>
        <v>452</v>
      </c>
      <c r="R82" s="98">
        <f>'TMO Netherlands'!R32</f>
        <v>446</v>
      </c>
      <c r="S82" s="98">
        <f t="shared" ref="S82:S88" si="1">O82+P82+Q82+R82</f>
        <v>1807</v>
      </c>
      <c r="T82" s="98"/>
      <c r="U82" s="98">
        <f>'TMO Netherlands'!U32</f>
        <v>442</v>
      </c>
      <c r="V82" s="98">
        <f>'TMO Netherlands'!V32</f>
        <v>448</v>
      </c>
      <c r="W82" s="98">
        <f>'TMO Netherlands'!W32</f>
        <v>450</v>
      </c>
      <c r="X82" s="98">
        <f>'TMO Netherlands'!X32</f>
        <v>427</v>
      </c>
      <c r="Y82" s="98">
        <f t="shared" ref="Y82:Y88" si="2">U82+V82+W82+X82</f>
        <v>1767</v>
      </c>
      <c r="Z82" s="98"/>
      <c r="AA82" s="98">
        <f>'TMO Netherlands'!AA32</f>
        <v>418</v>
      </c>
      <c r="AB82" s="98">
        <f>'TMO Netherlands'!AB32</f>
        <v>436</v>
      </c>
      <c r="AC82" s="98">
        <f>'TMO Netherlands'!AC32</f>
        <v>428</v>
      </c>
      <c r="AD82" s="98">
        <f>'TMO Netherlands'!AD32+47</f>
        <v>465</v>
      </c>
      <c r="AE82" s="98">
        <f t="shared" ref="AE82:AE88" si="3">AA82+AB82+AC82+AD82</f>
        <v>1747</v>
      </c>
      <c r="AF82" s="98"/>
      <c r="AG82" s="98">
        <f>'TMO Netherlands'!AG32</f>
        <v>421</v>
      </c>
      <c r="AH82" s="98">
        <f>'TMO Netherlands'!AH32</f>
        <v>419</v>
      </c>
      <c r="AI82" s="98">
        <f>'TMO Netherlands'!AI32</f>
        <v>413</v>
      </c>
      <c r="AJ82" s="98">
        <f>'TMO Netherlands'!AJ32</f>
        <v>411</v>
      </c>
      <c r="AK82" s="98">
        <f t="shared" ref="AK82:AK88" si="4">AG82+AH82+AI82+AJ82</f>
        <v>1664</v>
      </c>
      <c r="AL82" s="98"/>
      <c r="AM82" s="98">
        <f>'TMO Netherlands'!AM32</f>
        <v>393</v>
      </c>
      <c r="AN82" s="98">
        <f>'TMO Netherlands'!AN32</f>
        <v>406</v>
      </c>
      <c r="AO82" s="98">
        <f>'TMO Netherlands'!AO32</f>
        <v>412</v>
      </c>
      <c r="AP82" s="98">
        <f>'TMO Netherlands'!AP32</f>
        <v>455</v>
      </c>
      <c r="AQ82" s="98">
        <f t="shared" ref="AQ82:AQ88" si="5">AM82+AN82+AO82+AP82</f>
        <v>1666</v>
      </c>
      <c r="AR82" s="98"/>
      <c r="AS82" s="98">
        <f>'TMO Netherlands'!AS32</f>
        <v>393</v>
      </c>
      <c r="AT82" s="98">
        <f>'TMO Netherlands'!AT32</f>
        <v>379</v>
      </c>
      <c r="AU82" s="98">
        <f>'TMO Netherlands'!AU32</f>
        <v>376</v>
      </c>
      <c r="AV82" s="98">
        <f>'TMO Netherlands'!AV32</f>
        <v>403</v>
      </c>
      <c r="AW82" s="98">
        <f t="shared" ref="AW82:AW88" si="6">AS82+AT82+AU82+AV82</f>
        <v>1551</v>
      </c>
      <c r="AX82" s="98"/>
      <c r="AY82" s="98">
        <f>'TMO Netherlands'!AY32</f>
        <v>346</v>
      </c>
      <c r="AZ82" s="98">
        <f>'TMO Netherlands'!AZ32</f>
        <v>362</v>
      </c>
      <c r="BA82" s="98">
        <f>'TMO Netherlands'!BA32</f>
        <v>346</v>
      </c>
      <c r="BB82" s="98">
        <f>'TMO Netherlands'!BB32</f>
        <v>340</v>
      </c>
      <c r="BC82" s="98">
        <f t="shared" ref="BC82:BC88" si="7">AY82+AZ82+BA82+BB82</f>
        <v>1394</v>
      </c>
      <c r="BD82" s="98"/>
      <c r="BE82" s="98">
        <v>0</v>
      </c>
      <c r="BF82" s="98">
        <v>0</v>
      </c>
      <c r="BG82" s="98">
        <v>0</v>
      </c>
      <c r="BH82" s="98">
        <v>0</v>
      </c>
      <c r="BI82" s="98">
        <f t="shared" ref="BI82:BI88" si="8">BE82+BF82+BG82+BH82</f>
        <v>0</v>
      </c>
      <c r="BJ82" s="98"/>
      <c r="BK82" s="98">
        <v>0</v>
      </c>
      <c r="BL82" s="98">
        <v>0</v>
      </c>
      <c r="BM82" s="98">
        <v>0</v>
      </c>
      <c r="BN82" s="98">
        <v>0</v>
      </c>
      <c r="BO82" s="98">
        <f t="shared" ref="BO82" si="9">BK82+BL82+BM82+BN82</f>
        <v>0</v>
      </c>
      <c r="BP82" s="98"/>
      <c r="BQ82" s="98">
        <v>0</v>
      </c>
      <c r="BR82" s="98">
        <v>0</v>
      </c>
      <c r="BS82" s="98">
        <v>0</v>
      </c>
      <c r="BT82" s="98">
        <v>0</v>
      </c>
      <c r="BU82" s="98">
        <f t="shared" ref="BU82" si="10">BQ82+BR82+BS82+BT82</f>
        <v>0</v>
      </c>
      <c r="BV82" s="98"/>
      <c r="BW82" s="98">
        <v>0</v>
      </c>
      <c r="BX82" s="98">
        <v>0</v>
      </c>
      <c r="BY82" s="98">
        <v>0</v>
      </c>
      <c r="BZ82" s="98">
        <v>0</v>
      </c>
      <c r="CA82" s="98">
        <f t="shared" ref="CA82" si="11">BW82+BX82+BY82+BZ82</f>
        <v>0</v>
      </c>
      <c r="CB82" s="98"/>
      <c r="CC82" s="98">
        <v>0</v>
      </c>
      <c r="CD82" s="98">
        <v>0</v>
      </c>
      <c r="CE82" s="98">
        <v>0</v>
      </c>
      <c r="CF82" s="98">
        <v>0</v>
      </c>
      <c r="CG82" s="98">
        <f t="shared" ref="CG82" si="12">CC82+CD82+CE82+CF82</f>
        <v>0</v>
      </c>
      <c r="CH82" s="98"/>
      <c r="CI82" s="98">
        <v>0</v>
      </c>
      <c r="CJ82" s="98">
        <v>0</v>
      </c>
      <c r="CK82" s="98">
        <v>0</v>
      </c>
      <c r="CL82" s="98">
        <v>0</v>
      </c>
      <c r="CM82" s="98">
        <f t="shared" ref="CM82" si="13">CI82+CJ82+CK82+CL82</f>
        <v>0</v>
      </c>
      <c r="CN82" s="98"/>
      <c r="CO82" s="98">
        <v>0</v>
      </c>
      <c r="CP82" s="98">
        <v>0</v>
      </c>
      <c r="CQ82" s="98">
        <v>0</v>
      </c>
      <c r="CR82" s="98">
        <v>0</v>
      </c>
      <c r="CS82" s="98">
        <f t="shared" ref="CS82" si="14">CO82+CP82+CQ82+CR82</f>
        <v>0</v>
      </c>
      <c r="CT82" s="98"/>
      <c r="CU82" s="98">
        <v>0</v>
      </c>
      <c r="CV82" s="98">
        <v>0</v>
      </c>
      <c r="CW82" s="98">
        <v>0</v>
      </c>
      <c r="CX82" s="98">
        <v>0</v>
      </c>
      <c r="CY82" s="98">
        <f t="shared" ref="CY82" si="15">CU82+CV82+CW82+CX82</f>
        <v>0</v>
      </c>
      <c r="CZ82" s="98"/>
      <c r="DA82" s="98">
        <v>0</v>
      </c>
      <c r="DB82" s="98">
        <v>0</v>
      </c>
      <c r="DC82" s="98">
        <v>0</v>
      </c>
      <c r="DD82" s="98">
        <v>0</v>
      </c>
      <c r="DE82" s="98">
        <f t="shared" ref="DE82" si="16">DA82+DB82+DC82+DD82</f>
        <v>0</v>
      </c>
      <c r="DF82" s="98"/>
      <c r="DG82" s="98">
        <v>0</v>
      </c>
      <c r="DH82" s="98">
        <v>0</v>
      </c>
      <c r="DI82" s="98">
        <v>0</v>
      </c>
      <c r="DJ82" s="98">
        <v>0</v>
      </c>
      <c r="DK82" s="98">
        <f t="shared" ref="DK82" si="17">DG82+DH82+DI82+DJ82</f>
        <v>0</v>
      </c>
    </row>
    <row r="83" spans="2:115" x14ac:dyDescent="0.3">
      <c r="B83" s="6" t="s">
        <v>200</v>
      </c>
      <c r="I83" s="98">
        <f>'TMO Austria'!I32</f>
        <v>274</v>
      </c>
      <c r="J83" s="98">
        <f>'TMO Austria'!J32</f>
        <v>270</v>
      </c>
      <c r="K83" s="98">
        <f>'TMO Austria'!K32</f>
        <v>271</v>
      </c>
      <c r="L83" s="98">
        <f>'TMO Austria'!L32</f>
        <v>270</v>
      </c>
      <c r="M83" s="98">
        <f t="shared" si="0"/>
        <v>1085</v>
      </c>
      <c r="N83" s="98"/>
      <c r="O83" s="98">
        <f>'TMO Austria'!O32</f>
        <v>267</v>
      </c>
      <c r="P83" s="98">
        <f>'TMO Austria'!P32</f>
        <v>255</v>
      </c>
      <c r="Q83" s="98">
        <f>'TMO Austria'!Q32</f>
        <v>260</v>
      </c>
      <c r="R83" s="98">
        <f>'TMO Austria'!R32</f>
        <v>256</v>
      </c>
      <c r="S83" s="98">
        <f t="shared" si="1"/>
        <v>1038</v>
      </c>
      <c r="T83" s="98"/>
      <c r="U83" s="98">
        <f>'TMO Austria'!U32</f>
        <v>248</v>
      </c>
      <c r="V83" s="98">
        <f>'TMO Austria'!V32</f>
        <v>243</v>
      </c>
      <c r="W83" s="98">
        <f>'TMO Austria'!W32</f>
        <v>254</v>
      </c>
      <c r="X83" s="98">
        <f>'TMO Austria'!X32</f>
        <v>238</v>
      </c>
      <c r="Y83" s="98">
        <f t="shared" si="2"/>
        <v>983</v>
      </c>
      <c r="Z83" s="98"/>
      <c r="AA83" s="98">
        <f>'TMO Austria'!AA32</f>
        <v>229</v>
      </c>
      <c r="AB83" s="98">
        <f>'TMO Austria'!AB32</f>
        <v>227</v>
      </c>
      <c r="AC83" s="98">
        <f>'TMO Austria'!AC32</f>
        <v>234</v>
      </c>
      <c r="AD83" s="98">
        <f>'TMO Austria'!AD32</f>
        <v>234</v>
      </c>
      <c r="AE83" s="98">
        <f t="shared" si="3"/>
        <v>924</v>
      </c>
      <c r="AF83" s="98"/>
      <c r="AG83" s="98">
        <f>'TMO Austria'!AG32</f>
        <v>227</v>
      </c>
      <c r="AH83" s="98">
        <f>'TMO Austria'!AH32</f>
        <v>217</v>
      </c>
      <c r="AI83" s="98">
        <f>'TMO Austria'!AI32</f>
        <v>219</v>
      </c>
      <c r="AJ83" s="98">
        <f>'TMO Austria'!AJ32</f>
        <v>215</v>
      </c>
      <c r="AK83" s="98">
        <f t="shared" si="4"/>
        <v>878</v>
      </c>
      <c r="AL83" s="98"/>
      <c r="AM83" s="98">
        <f>'TMO Austria'!AM32</f>
        <v>203</v>
      </c>
      <c r="AN83" s="98">
        <f>'TMO Austria'!AN32</f>
        <v>197</v>
      </c>
      <c r="AO83" s="98">
        <f>'TMO Austria'!AO32</f>
        <v>225</v>
      </c>
      <c r="AP83" s="98">
        <f>'TMO Austria'!AP32</f>
        <v>203</v>
      </c>
      <c r="AQ83" s="98">
        <f t="shared" si="5"/>
        <v>828</v>
      </c>
      <c r="AR83" s="98"/>
      <c r="AS83" s="98">
        <f>'TMO Austria'!AS32</f>
        <v>192</v>
      </c>
      <c r="AT83" s="98">
        <f>'TMO Austria'!AT32</f>
        <v>201</v>
      </c>
      <c r="AU83" s="98">
        <f>'TMO Austria'!AU32</f>
        <v>210</v>
      </c>
      <c r="AV83" s="98">
        <f>'TMO Austria'!AV32</f>
        <v>212</v>
      </c>
      <c r="AW83" s="98">
        <f t="shared" si="6"/>
        <v>815</v>
      </c>
      <c r="AX83" s="98"/>
      <c r="AY83" s="98">
        <f>'TMO Austria'!AY32</f>
        <v>197</v>
      </c>
      <c r="AZ83" s="98">
        <f>'TMO Austria'!AZ32</f>
        <v>205</v>
      </c>
      <c r="BA83" s="98">
        <f>'TMO Austria'!BA32</f>
        <v>207</v>
      </c>
      <c r="BB83" s="98">
        <f>'TMO Austria'!BB32</f>
        <v>220</v>
      </c>
      <c r="BC83" s="98">
        <f t="shared" si="7"/>
        <v>829</v>
      </c>
      <c r="BD83" s="98"/>
      <c r="BE83" s="98">
        <f>'TMO Austria'!BE32</f>
        <v>208</v>
      </c>
      <c r="BF83" s="98">
        <f>'TMO Austria'!BF32</f>
        <v>208</v>
      </c>
      <c r="BG83" s="98">
        <f>'TMO Austria'!BG32</f>
        <v>219</v>
      </c>
      <c r="BH83" s="98">
        <f>'TMO Austria'!BH32</f>
        <v>220</v>
      </c>
      <c r="BI83" s="98">
        <f t="shared" si="8"/>
        <v>855</v>
      </c>
      <c r="BJ83" s="98"/>
      <c r="BK83" s="98">
        <f>'TMO Austria'!BK32</f>
        <v>228</v>
      </c>
      <c r="BL83" s="98">
        <f>'TMO Austria'!BL32</f>
        <v>215</v>
      </c>
      <c r="BM83" s="98">
        <f>'TMO Austria'!BM32</f>
        <v>222</v>
      </c>
      <c r="BN83" s="98">
        <f>'TMO Austria'!BN32</f>
        <v>234</v>
      </c>
      <c r="BO83" s="98">
        <f t="shared" ref="BO83:BO88" si="18">BK83+BL83+BM83+BN83</f>
        <v>899</v>
      </c>
      <c r="BP83" s="98"/>
      <c r="BQ83" s="98">
        <f>'TMO Austria'!BQ32</f>
        <v>240.65799898419971</v>
      </c>
      <c r="BR83" s="98">
        <f>'TMO Austria'!BR32</f>
        <v>226.9832439894333</v>
      </c>
      <c r="BS83" s="98">
        <f>'TMO Austria'!BS32</f>
        <v>230.9214539249401</v>
      </c>
      <c r="BT83" s="98">
        <f>'TMO Austria'!BT32</f>
        <v>240.59494075595936</v>
      </c>
      <c r="BU83" s="98">
        <f t="shared" ref="BU83:BU88" si="19">BQ83+BR83+BS83+BT83</f>
        <v>939.15763765453244</v>
      </c>
      <c r="BV83" s="98"/>
      <c r="BW83" s="98">
        <f>'TMO Austria'!BW32</f>
        <v>245.18166400594723</v>
      </c>
      <c r="BX83" s="98">
        <f>'TMO Austria'!BX32</f>
        <v>231.69451896972478</v>
      </c>
      <c r="BY83" s="98">
        <f>'TMO Austria'!BY32</f>
        <v>235.96188738845279</v>
      </c>
      <c r="BZ83" s="98">
        <f>'TMO Austria'!BZ32</f>
        <v>245.50387696823179</v>
      </c>
      <c r="CA83" s="98">
        <f t="shared" ref="CA83:CA88" si="20">BW83+BX83+BY83+BZ83</f>
        <v>958.34194733235665</v>
      </c>
      <c r="CB83" s="98"/>
      <c r="CC83" s="98">
        <f>'TMO Austria'!CC32</f>
        <v>248.91681112301148</v>
      </c>
      <c r="CD83" s="98">
        <f>'TMO Austria'!CD32</f>
        <v>236.03444237098711</v>
      </c>
      <c r="CE83" s="98">
        <f>'TMO Austria'!CE32</f>
        <v>240.87710368993726</v>
      </c>
      <c r="CF83" s="98">
        <f>'TMO Austria'!CF32</f>
        <v>250.65162554980952</v>
      </c>
      <c r="CG83" s="98">
        <f t="shared" ref="CG83:CG88" si="21">CC83+CD83+CE83+CF83</f>
        <v>976.47998273374537</v>
      </c>
      <c r="CH83" s="98"/>
      <c r="CI83" s="98">
        <f>'TMO Austria'!CI32</f>
        <v>251.25688372389072</v>
      </c>
      <c r="CJ83" s="98">
        <f>'TMO Austria'!CJ32</f>
        <v>239.18718036033096</v>
      </c>
      <c r="CK83" s="98">
        <f>'TMO Austria'!CK32</f>
        <v>244.72858634309335</v>
      </c>
      <c r="CL83" s="98">
        <f>'TMO Austria'!CL32</f>
        <v>254.73990929786029</v>
      </c>
      <c r="CM83" s="98">
        <f t="shared" ref="CM83:CM88" si="22">CI83+CJ83+CK83+CL83</f>
        <v>989.91255972517536</v>
      </c>
      <c r="CN83" s="98"/>
      <c r="CO83" s="98">
        <f>'TMO Austria'!CO32</f>
        <v>252.98236886220181</v>
      </c>
      <c r="CP83" s="98">
        <f>'TMO Austria'!CP32</f>
        <v>241.68367985453386</v>
      </c>
      <c r="CQ83" s="98">
        <f>'TMO Austria'!CQ32</f>
        <v>247.83681123070463</v>
      </c>
      <c r="CR83" s="98">
        <f>'TMO Austria'!CR32</f>
        <v>258.09042431368374</v>
      </c>
      <c r="CS83" s="98">
        <f t="shared" ref="CS83:CS88" si="23">CO83+CP83+CQ83+CR83</f>
        <v>1000.5932842611239</v>
      </c>
      <c r="CT83" s="98"/>
      <c r="CU83" s="98">
        <f>'TMO Austria'!CU32</f>
        <v>255.20284751744961</v>
      </c>
      <c r="CV83" s="98">
        <f>'TMO Austria'!CV32</f>
        <v>244.64639129571336</v>
      </c>
      <c r="CW83" s="98">
        <f>'TMO Austria'!CW32</f>
        <v>251.43388325168888</v>
      </c>
      <c r="CX83" s="98">
        <f>'TMO Austria'!CX32</f>
        <v>261.92109124211822</v>
      </c>
      <c r="CY83" s="98">
        <f t="shared" ref="CY83:CY88" si="24">CU83+CV83+CW83+CX83</f>
        <v>1013.20421330697</v>
      </c>
      <c r="CZ83" s="98"/>
      <c r="DA83" s="98">
        <f>'TMO Austria'!DA32</f>
        <v>257.92197601798381</v>
      </c>
      <c r="DB83" s="98">
        <f>'TMO Austria'!DB32</f>
        <v>248.08047817001409</v>
      </c>
      <c r="DC83" s="98">
        <f>'TMO Austria'!DC32</f>
        <v>255.52639093714188</v>
      </c>
      <c r="DD83" s="98">
        <f>'TMO Austria'!DD32</f>
        <v>266.2385977216984</v>
      </c>
      <c r="DE83" s="98">
        <f t="shared" ref="DE83:DE88" si="25">DA83+DB83+DC83+DD83</f>
        <v>1027.7674428468381</v>
      </c>
      <c r="DF83" s="98"/>
      <c r="DG83" s="98">
        <f>'TMO Austria'!DG32</f>
        <v>259.7271960077677</v>
      </c>
      <c r="DH83" s="98">
        <f>'TMO Austria'!DH32</f>
        <v>250.56045714663171</v>
      </c>
      <c r="DI83" s="98">
        <f>'TMO Austria'!DI32</f>
        <v>258.55181208198803</v>
      </c>
      <c r="DJ83" s="98">
        <f>'TMO Austria'!DJ32</f>
        <v>269.49896952133327</v>
      </c>
      <c r="DK83" s="98">
        <f t="shared" ref="DK83:DK88" si="26">DG83+DH83+DI83+DJ83</f>
        <v>1038.3384347577207</v>
      </c>
    </row>
    <row r="84" spans="2:115" x14ac:dyDescent="0.3">
      <c r="B84" s="6" t="s">
        <v>201</v>
      </c>
      <c r="I84" s="98">
        <f>'TMO Cz Rep'!I40</f>
        <v>311</v>
      </c>
      <c r="J84" s="98">
        <f>'TMO Cz Rep'!J40</f>
        <v>332</v>
      </c>
      <c r="K84" s="98">
        <f>'TMO Cz Rep'!K40</f>
        <v>357</v>
      </c>
      <c r="L84" s="98">
        <f>'TMO Cz Rep'!L40</f>
        <v>329</v>
      </c>
      <c r="M84" s="98">
        <f t="shared" si="0"/>
        <v>1329</v>
      </c>
      <c r="N84" s="98"/>
      <c r="O84" s="98">
        <f>'TMO Cz Rep'!O40</f>
        <v>275</v>
      </c>
      <c r="P84" s="98">
        <f>'TMO Cz Rep'!P40</f>
        <v>310</v>
      </c>
      <c r="Q84" s="98">
        <f>'TMO Cz Rep'!Q40</f>
        <v>313</v>
      </c>
      <c r="R84" s="98">
        <f>'TMO Cz Rep'!R40</f>
        <v>293</v>
      </c>
      <c r="S84" s="98">
        <f t="shared" si="1"/>
        <v>1191</v>
      </c>
      <c r="T84" s="98"/>
      <c r="U84" s="98">
        <f>'TMO Cz Rep'!U40</f>
        <v>279</v>
      </c>
      <c r="V84" s="98">
        <f>'TMO Cz Rep'!V40</f>
        <v>291</v>
      </c>
      <c r="W84" s="98">
        <f>'TMO Cz Rep'!W40</f>
        <v>296</v>
      </c>
      <c r="X84" s="98">
        <f>'TMO Cz Rep'!X40</f>
        <v>291</v>
      </c>
      <c r="Y84" s="98">
        <f t="shared" si="2"/>
        <v>1157</v>
      </c>
      <c r="Z84" s="98"/>
      <c r="AA84" s="98">
        <f>'TMO Cz Rep'!AA40</f>
        <v>268</v>
      </c>
      <c r="AB84" s="98">
        <f>'TMO Cz Rep'!AB40</f>
        <v>282</v>
      </c>
      <c r="AC84" s="98">
        <f>'TMO Cz Rep'!AC40</f>
        <v>272</v>
      </c>
      <c r="AD84" s="98">
        <f>'TMO Cz Rep'!AD40</f>
        <v>270</v>
      </c>
      <c r="AE84" s="98">
        <f t="shared" si="3"/>
        <v>1092</v>
      </c>
      <c r="AF84" s="98"/>
      <c r="AG84" s="98">
        <f>'TMO Cz Rep'!AG40</f>
        <v>255</v>
      </c>
      <c r="AH84" s="98">
        <f>'TMO Cz Rep'!AH40</f>
        <v>259</v>
      </c>
      <c r="AI84" s="98">
        <f>'TMO Cz Rep'!AI40</f>
        <v>273</v>
      </c>
      <c r="AJ84" s="98">
        <f>'TMO Cz Rep'!AJ40</f>
        <v>257</v>
      </c>
      <c r="AK84" s="98">
        <f t="shared" si="4"/>
        <v>1044</v>
      </c>
      <c r="AL84" s="98"/>
      <c r="AM84" s="98">
        <f>'TMO Cz Rep'!AM40</f>
        <v>238</v>
      </c>
      <c r="AN84" s="98">
        <f>'TMO Cz Rep'!AN40</f>
        <v>249</v>
      </c>
      <c r="AO84" s="98">
        <f>'TMO Cz Rep'!AO40</f>
        <v>242</v>
      </c>
      <c r="AP84" s="98">
        <f>'TMO Cz Rep'!AP40</f>
        <v>244</v>
      </c>
      <c r="AQ84" s="98">
        <f t="shared" si="5"/>
        <v>973</v>
      </c>
      <c r="AR84" s="98"/>
      <c r="AS84" s="98">
        <f>'TMO Cz Rep'!AS40</f>
        <v>214</v>
      </c>
      <c r="AT84" s="98">
        <f>'TMO Cz Rep'!AT40</f>
        <v>217</v>
      </c>
      <c r="AU84" s="98">
        <f>'TMO Cz Rep'!AU40</f>
        <v>211</v>
      </c>
      <c r="AV84" s="98">
        <f>'TMO Cz Rep'!AV40</f>
        <v>220</v>
      </c>
      <c r="AW84" s="98">
        <f t="shared" si="6"/>
        <v>862</v>
      </c>
      <c r="AX84" s="98"/>
      <c r="AY84" s="98">
        <f>'TMO Cz Rep'!AY40</f>
        <v>226</v>
      </c>
      <c r="AZ84" s="98">
        <f>'TMO Cz Rep'!AZ40</f>
        <v>231</v>
      </c>
      <c r="BA84" s="98">
        <f>'TMO Cz Rep'!BA40</f>
        <v>242</v>
      </c>
      <c r="BB84" s="98">
        <f>'TMO Cz Rep'!BB40</f>
        <v>259</v>
      </c>
      <c r="BC84" s="98">
        <f t="shared" si="7"/>
        <v>958</v>
      </c>
      <c r="BD84" s="98"/>
      <c r="BE84" s="98">
        <f>'TMO Cz Rep'!BE40</f>
        <v>229</v>
      </c>
      <c r="BF84" s="98">
        <f>'TMO Cz Rep'!BF40</f>
        <v>233</v>
      </c>
      <c r="BG84" s="98">
        <f>'TMO Cz Rep'!BG40</f>
        <v>239</v>
      </c>
      <c r="BH84" s="98">
        <f>'TMO Cz Rep'!BH40</f>
        <v>258</v>
      </c>
      <c r="BI84" s="98">
        <f t="shared" si="8"/>
        <v>959</v>
      </c>
      <c r="BJ84" s="98"/>
      <c r="BK84" s="98">
        <f>'TMO Cz Rep'!BK40</f>
        <v>237</v>
      </c>
      <c r="BL84" s="98">
        <f>'TMO Cz Rep'!BL40</f>
        <v>248</v>
      </c>
      <c r="BM84" s="98">
        <f>'TMO Cz Rep'!BM40</f>
        <v>255</v>
      </c>
      <c r="BN84" s="98">
        <f>'TMO Cz Rep'!BN40</f>
        <v>271</v>
      </c>
      <c r="BO84" s="98">
        <f t="shared" si="18"/>
        <v>1011</v>
      </c>
      <c r="BP84" s="98"/>
      <c r="BQ84" s="98">
        <f>'TMO Cz Rep'!BQ40</f>
        <v>240.71303546280876</v>
      </c>
      <c r="BR84" s="98">
        <f>'TMO Cz Rep'!BR40</f>
        <v>251.66651447416876</v>
      </c>
      <c r="BS84" s="98">
        <f>'TMO Cz Rep'!BS40</f>
        <v>254.0361711608013</v>
      </c>
      <c r="BT84" s="98">
        <f>'TMO Cz Rep'!BT40</f>
        <v>269.0541493792698</v>
      </c>
      <c r="BU84" s="98">
        <f t="shared" si="19"/>
        <v>1015.4698704770486</v>
      </c>
      <c r="BV84" s="98"/>
      <c r="BW84" s="98">
        <f>'TMO Cz Rep'!BW40</f>
        <v>245.06957219571842</v>
      </c>
      <c r="BX84" s="98">
        <f>'TMO Cz Rep'!BX40</f>
        <v>255.95562545242061</v>
      </c>
      <c r="BY84" s="98">
        <f>'TMO Cz Rep'!BY40</f>
        <v>259.76941856026866</v>
      </c>
      <c r="BZ84" s="98">
        <f>'TMO Cz Rep'!BZ40</f>
        <v>274.36738739104396</v>
      </c>
      <c r="CA84" s="98">
        <f t="shared" si="20"/>
        <v>1035.1620035994515</v>
      </c>
      <c r="CB84" s="98"/>
      <c r="CC84" s="98">
        <f>'TMO Cz Rep'!CC40</f>
        <v>249.74320169840999</v>
      </c>
      <c r="CD84" s="98">
        <f>'TMO Cz Rep'!CD40</f>
        <v>261.18104111160642</v>
      </c>
      <c r="CE84" s="98">
        <f>'TMO Cz Rep'!CE40</f>
        <v>264.09141624412933</v>
      </c>
      <c r="CF84" s="98">
        <f>'TMO Cz Rep'!CF40</f>
        <v>278.87436067738736</v>
      </c>
      <c r="CG84" s="98">
        <f t="shared" si="21"/>
        <v>1053.8900197315331</v>
      </c>
      <c r="CH84" s="98"/>
      <c r="CI84" s="98">
        <f>'TMO Cz Rep'!CI40</f>
        <v>253.7606233376539</v>
      </c>
      <c r="CJ84" s="98">
        <f>'TMO Cz Rep'!CJ40</f>
        <v>265.30457986597241</v>
      </c>
      <c r="CK84" s="98">
        <f>'TMO Cz Rep'!CK40</f>
        <v>268.26736995171825</v>
      </c>
      <c r="CL84" s="98">
        <f>'TMO Cz Rep'!CL40</f>
        <v>283.3878892725956</v>
      </c>
      <c r="CM84" s="98">
        <f t="shared" si="22"/>
        <v>1070.7204624279402</v>
      </c>
      <c r="CN84" s="98"/>
      <c r="CO84" s="98">
        <f>'TMO Cz Rep'!CO40</f>
        <v>256.88409811446371</v>
      </c>
      <c r="CP84" s="98">
        <f>'TMO Cz Rep'!CP40</f>
        <v>268.50568704042615</v>
      </c>
      <c r="CQ84" s="98">
        <f>'TMO Cz Rep'!CQ40</f>
        <v>271.52499109798453</v>
      </c>
      <c r="CR84" s="98">
        <f>'TMO Cz Rep'!CR40</f>
        <v>286.99224364516431</v>
      </c>
      <c r="CS84" s="98">
        <f t="shared" si="23"/>
        <v>1083.9070198980387</v>
      </c>
      <c r="CT84" s="98"/>
      <c r="CU84" s="98">
        <f>'TMO Cz Rep'!CU40</f>
        <v>260.13976977648895</v>
      </c>
      <c r="CV84" s="98">
        <f>'TMO Cz Rep'!CV40</f>
        <v>271.84428501016606</v>
      </c>
      <c r="CW84" s="98">
        <f>'TMO Cz Rep'!CW40</f>
        <v>274.92074357584295</v>
      </c>
      <c r="CX84" s="98">
        <f>'TMO Cz Rep'!CX40</f>
        <v>290.73841950452896</v>
      </c>
      <c r="CY84" s="98">
        <f t="shared" si="24"/>
        <v>1097.6432178670268</v>
      </c>
      <c r="CZ84" s="98"/>
      <c r="DA84" s="98">
        <f>'TMO Cz Rep'!DA40</f>
        <v>263.53008507392434</v>
      </c>
      <c r="DB84" s="98">
        <f>'TMO Cz Rep'!DB40</f>
        <v>275.32289577364952</v>
      </c>
      <c r="DC84" s="98">
        <f>'TMO Cz Rep'!DC40</f>
        <v>278.45714713127779</v>
      </c>
      <c r="DD84" s="98">
        <f>'TMO Cz Rep'!DD40</f>
        <v>294.62897977645014</v>
      </c>
      <c r="DE84" s="98">
        <f t="shared" si="25"/>
        <v>1111.9391077553018</v>
      </c>
      <c r="DF84" s="98"/>
      <c r="DG84" s="98">
        <f>'TMO Cz Rep'!DG40</f>
        <v>267.05752842018376</v>
      </c>
      <c r="DH84" s="98">
        <f>'TMO Cz Rep'!DH40</f>
        <v>278.9440798793762</v>
      </c>
      <c r="DI84" s="98">
        <f>'TMO Cz Rep'!DI40</f>
        <v>282.13676020877801</v>
      </c>
      <c r="DJ84" s="98">
        <f>'TMO Cz Rep'!DJ40</f>
        <v>298.66652720117543</v>
      </c>
      <c r="DK84" s="98">
        <f t="shared" si="26"/>
        <v>1126.8048957095134</v>
      </c>
    </row>
    <row r="85" spans="2:115" x14ac:dyDescent="0.3">
      <c r="B85" s="6" t="s">
        <v>173</v>
      </c>
      <c r="I85" s="98">
        <f>'PTC (Poland)'!I40</f>
        <v>524</v>
      </c>
      <c r="J85" s="98">
        <f>'PTC (Poland)'!J40</f>
        <v>580</v>
      </c>
      <c r="K85" s="98">
        <f>'PTC (Poland)'!K40</f>
        <v>618</v>
      </c>
      <c r="L85" s="98">
        <f>'PTC (Poland)'!L40</f>
        <v>538</v>
      </c>
      <c r="M85" s="98">
        <f t="shared" si="0"/>
        <v>2260</v>
      </c>
      <c r="N85" s="98"/>
      <c r="O85" s="98">
        <f>'PTC (Poland)'!O40</f>
        <v>416</v>
      </c>
      <c r="P85" s="98">
        <f>'PTC (Poland)'!P40</f>
        <v>440</v>
      </c>
      <c r="Q85" s="98">
        <f>'PTC (Poland)'!Q40</f>
        <v>450</v>
      </c>
      <c r="R85" s="98">
        <f>'PTC (Poland)'!R40</f>
        <v>451</v>
      </c>
      <c r="S85" s="98">
        <f t="shared" si="1"/>
        <v>1757</v>
      </c>
      <c r="T85" s="98"/>
      <c r="U85" s="98">
        <f>'PTC (Poland)'!U40</f>
        <v>441</v>
      </c>
      <c r="V85" s="98">
        <f>'PTC (Poland)'!V40</f>
        <v>451</v>
      </c>
      <c r="W85" s="98">
        <f>'PTC (Poland)'!W40</f>
        <v>472</v>
      </c>
      <c r="X85" s="98">
        <f>'PTC (Poland)'!X40</f>
        <v>475</v>
      </c>
      <c r="Y85" s="98">
        <f t="shared" si="2"/>
        <v>1839</v>
      </c>
      <c r="Z85" s="98"/>
      <c r="AA85" s="98">
        <f>'PTC (Poland)'!AA40</f>
        <v>440</v>
      </c>
      <c r="AB85" s="98">
        <f>'PTC (Poland)'!AB40</f>
        <v>453</v>
      </c>
      <c r="AC85" s="98">
        <f>'PTC (Poland)'!AC40</f>
        <v>438</v>
      </c>
      <c r="AD85" s="98">
        <f>'PTC (Poland)'!AD40</f>
        <v>409</v>
      </c>
      <c r="AE85" s="98">
        <f t="shared" si="3"/>
        <v>1740</v>
      </c>
      <c r="AF85" s="98"/>
      <c r="AG85" s="98">
        <f>'PTC (Poland)'!AG40</f>
        <v>413</v>
      </c>
      <c r="AH85" s="98">
        <f>'PTC (Poland)'!AH40</f>
        <v>418</v>
      </c>
      <c r="AI85" s="98">
        <f>'PTC (Poland)'!AI40</f>
        <v>422</v>
      </c>
      <c r="AJ85" s="98">
        <f>'PTC (Poland)'!AJ40</f>
        <v>425</v>
      </c>
      <c r="AK85" s="98">
        <f t="shared" si="4"/>
        <v>1678</v>
      </c>
      <c r="AL85" s="98"/>
      <c r="AM85" s="98">
        <f>'PTC (Poland)'!AM40</f>
        <v>385</v>
      </c>
      <c r="AN85" s="98">
        <f>'PTC (Poland)'!AN40</f>
        <v>407</v>
      </c>
      <c r="AO85" s="98">
        <f>'PTC (Poland)'!AO40</f>
        <v>392</v>
      </c>
      <c r="AP85" s="98">
        <f>'PTC (Poland)'!AP40</f>
        <v>400</v>
      </c>
      <c r="AQ85" s="98">
        <f t="shared" si="5"/>
        <v>1584</v>
      </c>
      <c r="AR85" s="98"/>
      <c r="AS85" s="98">
        <f>'PTC (Poland)'!AS40</f>
        <v>350</v>
      </c>
      <c r="AT85" s="98">
        <f>'PTC (Poland)'!AT40</f>
        <v>365</v>
      </c>
      <c r="AU85" s="98">
        <f>'PTC (Poland)'!AU40</f>
        <v>388</v>
      </c>
      <c r="AV85" s="98">
        <f>'PTC (Poland)'!AV40</f>
        <v>389</v>
      </c>
      <c r="AW85" s="98">
        <f t="shared" si="6"/>
        <v>1492</v>
      </c>
      <c r="AX85" s="98"/>
      <c r="AY85" s="98">
        <f>'PTC (Poland)'!AY40</f>
        <v>382</v>
      </c>
      <c r="AZ85" s="98">
        <f>'PTC (Poland)'!AZ40</f>
        <v>385</v>
      </c>
      <c r="BA85" s="98">
        <f>'PTC (Poland)'!BA40</f>
        <v>391</v>
      </c>
      <c r="BB85" s="98">
        <f>'PTC (Poland)'!BB40</f>
        <v>386</v>
      </c>
      <c r="BC85" s="98">
        <f t="shared" si="7"/>
        <v>1544</v>
      </c>
      <c r="BD85" s="98"/>
      <c r="BE85" s="98">
        <f>'PTC (Poland)'!BE40</f>
        <v>378</v>
      </c>
      <c r="BF85" s="98">
        <f>'PTC (Poland)'!BF40</f>
        <v>343</v>
      </c>
      <c r="BG85" s="98">
        <f>'PTC (Poland)'!BG40</f>
        <v>373</v>
      </c>
      <c r="BH85" s="98">
        <f>'PTC (Poland)'!BH40</f>
        <v>394</v>
      </c>
      <c r="BI85" s="98">
        <f t="shared" si="8"/>
        <v>1488</v>
      </c>
      <c r="BJ85" s="98"/>
      <c r="BK85" s="98">
        <f>'PTC (Poland)'!BK40</f>
        <v>364</v>
      </c>
      <c r="BL85" s="98">
        <f>'PTC (Poland)'!BL40</f>
        <v>378</v>
      </c>
      <c r="BM85" s="98">
        <f>'PTC (Poland)'!BM40</f>
        <v>376</v>
      </c>
      <c r="BN85" s="98">
        <f>'PTC (Poland)'!BN40</f>
        <v>392</v>
      </c>
      <c r="BO85" s="98">
        <f t="shared" si="18"/>
        <v>1510</v>
      </c>
      <c r="BP85" s="98"/>
      <c r="BQ85" s="98">
        <f>'PTC (Poland)'!BQ40</f>
        <v>361.58355012328548</v>
      </c>
      <c r="BR85" s="98">
        <f>'PTC (Poland)'!BR40</f>
        <v>372.54689407481237</v>
      </c>
      <c r="BS85" s="98">
        <f>'PTC (Poland)'!BS40</f>
        <v>370.9355778754242</v>
      </c>
      <c r="BT85" s="98">
        <f>'PTC (Poland)'!BT40</f>
        <v>388.90521413536965</v>
      </c>
      <c r="BU85" s="98">
        <f t="shared" si="19"/>
        <v>1493.9712362088917</v>
      </c>
      <c r="BV85" s="98"/>
      <c r="BW85" s="98">
        <f>'PTC (Poland)'!BW40</f>
        <v>363.06834647753465</v>
      </c>
      <c r="BX85" s="98">
        <f>'PTC (Poland)'!BX40</f>
        <v>376.30323893020443</v>
      </c>
      <c r="BY85" s="98">
        <f>'PTC (Poland)'!BY40</f>
        <v>372.76488716156479</v>
      </c>
      <c r="BZ85" s="98">
        <f>'PTC (Poland)'!BZ40</f>
        <v>377.43352013830099</v>
      </c>
      <c r="CA85" s="98">
        <f t="shared" si="20"/>
        <v>1489.5699927076048</v>
      </c>
      <c r="CB85" s="98"/>
      <c r="CC85" s="98">
        <f>'PTC (Poland)'!CC40</f>
        <v>366.09319526311191</v>
      </c>
      <c r="CD85" s="98">
        <f>'PTC (Poland)'!CD40</f>
        <v>380.39447789758253</v>
      </c>
      <c r="CE85" s="98">
        <f>'PTC (Poland)'!CE40</f>
        <v>377.28726788266488</v>
      </c>
      <c r="CF85" s="98">
        <f>'PTC (Poland)'!CF40</f>
        <v>377.21808797092308</v>
      </c>
      <c r="CG85" s="98">
        <f t="shared" si="21"/>
        <v>1500.9930290142825</v>
      </c>
      <c r="CH85" s="98"/>
      <c r="CI85" s="98">
        <f>'PTC (Poland)'!CI40</f>
        <v>370.18282527210113</v>
      </c>
      <c r="CJ85" s="98">
        <f>'PTC (Poland)'!CJ40</f>
        <v>384.67937755672438</v>
      </c>
      <c r="CK85" s="98">
        <f>'PTC (Poland)'!CK40</f>
        <v>381.18272638716888</v>
      </c>
      <c r="CL85" s="98">
        <f>'PTC (Poland)'!CL40</f>
        <v>380.9828172638546</v>
      </c>
      <c r="CM85" s="98">
        <f t="shared" si="22"/>
        <v>1517.0277464798492</v>
      </c>
      <c r="CN85" s="98"/>
      <c r="CO85" s="98">
        <f>'PTC (Poland)'!CO40</f>
        <v>374.77063579861851</v>
      </c>
      <c r="CP85" s="98">
        <f>'PTC (Poland)'!CP40</f>
        <v>389.48777998353103</v>
      </c>
      <c r="CQ85" s="98">
        <f>'PTC (Poland)'!CQ40</f>
        <v>385.60435050132855</v>
      </c>
      <c r="CR85" s="98">
        <f>'PTC (Poland)'!CR40</f>
        <v>385.29491623641889</v>
      </c>
      <c r="CS85" s="98">
        <f t="shared" si="23"/>
        <v>1535.157682519897</v>
      </c>
      <c r="CT85" s="98"/>
      <c r="CU85" s="98">
        <f>'PTC (Poland)'!CU40</f>
        <v>381.52485054890997</v>
      </c>
      <c r="CV85" s="98">
        <f>'PTC (Poland)'!CV40</f>
        <v>396.52794917254789</v>
      </c>
      <c r="CW85" s="98">
        <f>'PTC (Poland)'!CW40</f>
        <v>392.21859863739587</v>
      </c>
      <c r="CX85" s="98">
        <f>'PTC (Poland)'!CX40</f>
        <v>391.73171983169334</v>
      </c>
      <c r="CY85" s="98">
        <f t="shared" si="24"/>
        <v>1562.003118190547</v>
      </c>
      <c r="CZ85" s="98"/>
      <c r="DA85" s="98">
        <f>'PTC (Poland)'!DA40</f>
        <v>388.83507295913853</v>
      </c>
      <c r="DB85" s="98">
        <f>'PTC (Poland)'!DB40</f>
        <v>404.15117603574936</v>
      </c>
      <c r="DC85" s="98">
        <f>'PTC (Poland)'!DC40</f>
        <v>399.41571858196528</v>
      </c>
      <c r="DD85" s="98">
        <f>'PTC (Poland)'!DD40</f>
        <v>398.76988044862787</v>
      </c>
      <c r="DE85" s="98">
        <f t="shared" si="25"/>
        <v>1591.171848025481</v>
      </c>
      <c r="DF85" s="98"/>
      <c r="DG85" s="98">
        <f>'PTC (Poland)'!DG40</f>
        <v>396.7093916420506</v>
      </c>
      <c r="DH85" s="98">
        <f>'PTC (Poland)'!DH40</f>
        <v>412.36599178934688</v>
      </c>
      <c r="DI85" s="98">
        <f>'PTC (Poland)'!DI40</f>
        <v>407.20340776855539</v>
      </c>
      <c r="DJ85" s="98">
        <f>'PTC (Poland)'!DJ40</f>
        <v>406.41697499724074</v>
      </c>
      <c r="DK85" s="98">
        <f t="shared" si="26"/>
        <v>1622.6957661971937</v>
      </c>
    </row>
    <row r="86" spans="2:115" x14ac:dyDescent="0.3">
      <c r="B86" s="6" t="s">
        <v>202</v>
      </c>
      <c r="I86" s="98">
        <f>Hungary!I40</f>
        <v>258</v>
      </c>
      <c r="J86" s="98">
        <f>Hungary!J40</f>
        <v>282</v>
      </c>
      <c r="K86" s="98">
        <f>Hungary!K40</f>
        <v>305</v>
      </c>
      <c r="L86" s="98">
        <f>Hungary!L40</f>
        <v>272</v>
      </c>
      <c r="M86" s="98">
        <f t="shared" si="0"/>
        <v>1117</v>
      </c>
      <c r="N86" s="98"/>
      <c r="O86" s="98">
        <f>Hungary!O40</f>
        <v>218</v>
      </c>
      <c r="P86" s="98">
        <f>Hungary!P40</f>
        <v>235</v>
      </c>
      <c r="Q86" s="98">
        <f>Hungary!Q40</f>
        <v>253</v>
      </c>
      <c r="R86" s="98">
        <f>Hungary!R40</f>
        <v>254</v>
      </c>
      <c r="S86" s="98">
        <f t="shared" si="1"/>
        <v>960</v>
      </c>
      <c r="T86" s="98"/>
      <c r="U86" s="98">
        <f>Hungary!U40</f>
        <v>230</v>
      </c>
      <c r="V86" s="98">
        <f>Hungary!V40</f>
        <v>236</v>
      </c>
      <c r="W86" s="98">
        <f>Hungary!W40</f>
        <v>240</v>
      </c>
      <c r="X86" s="98">
        <f>Hungary!X40-(5.6%*Hungary!Y40)</f>
        <v>190.8</v>
      </c>
      <c r="Y86" s="98">
        <f t="shared" si="2"/>
        <v>896.8</v>
      </c>
      <c r="Z86" s="98">
        <f>Y86*0.41</f>
        <v>367.68799999999993</v>
      </c>
      <c r="AA86" s="98">
        <f>Hungary!AA40</f>
        <v>194</v>
      </c>
      <c r="AB86" s="98">
        <f>Hungary!AB40</f>
        <v>208</v>
      </c>
      <c r="AC86" s="98">
        <f>Hungary!AC40</f>
        <v>208</v>
      </c>
      <c r="AD86" s="98">
        <f>Hungary!AD40-(5.6%*Hungary!AE40)</f>
        <v>147.08800000000002</v>
      </c>
      <c r="AE86" s="98">
        <f t="shared" si="3"/>
        <v>757.08799999999997</v>
      </c>
      <c r="AF86" s="98">
        <f>AE86*0.41</f>
        <v>310.40607999999997</v>
      </c>
      <c r="AG86" s="98">
        <f>Hungary!AG40</f>
        <v>175</v>
      </c>
      <c r="AH86" s="98">
        <f>Hungary!AH40</f>
        <v>182</v>
      </c>
      <c r="AI86" s="98">
        <f>Hungary!AI40</f>
        <v>199</v>
      </c>
      <c r="AJ86" s="98">
        <f>Hungary!AJ40-(5.6%*Hungary!AK40)</f>
        <v>165.21600000000001</v>
      </c>
      <c r="AK86" s="98">
        <f t="shared" si="4"/>
        <v>721.21600000000001</v>
      </c>
      <c r="AL86" s="98"/>
      <c r="AM86" s="98">
        <f>Hungary!AM40</f>
        <v>191</v>
      </c>
      <c r="AN86" s="98">
        <f>Hungary!AN40</f>
        <v>208</v>
      </c>
      <c r="AO86" s="98">
        <f>Hungary!AO40</f>
        <v>206</v>
      </c>
      <c r="AP86" s="98">
        <f>Hungary!AP40</f>
        <v>208</v>
      </c>
      <c r="AQ86" s="98">
        <f t="shared" si="5"/>
        <v>813</v>
      </c>
      <c r="AR86" s="98"/>
      <c r="AS86" s="98">
        <f>Hungary!AS40</f>
        <v>186</v>
      </c>
      <c r="AT86" s="98">
        <f>Hungary!AT40</f>
        <v>199</v>
      </c>
      <c r="AU86" s="98">
        <f>Hungary!AU40</f>
        <v>207</v>
      </c>
      <c r="AV86" s="98">
        <f>Hungary!AV40</f>
        <v>220</v>
      </c>
      <c r="AW86" s="98">
        <f t="shared" si="6"/>
        <v>812</v>
      </c>
      <c r="AX86" s="98"/>
      <c r="AY86" s="98">
        <f>Hungary!AY40</f>
        <v>217</v>
      </c>
      <c r="AZ86" s="98">
        <f>Hungary!AZ40</f>
        <v>219</v>
      </c>
      <c r="BA86" s="98">
        <f>Hungary!BA40</f>
        <v>213</v>
      </c>
      <c r="BB86" s="98">
        <f>Hungary!BB40</f>
        <v>226</v>
      </c>
      <c r="BC86" s="98">
        <f t="shared" si="7"/>
        <v>875</v>
      </c>
      <c r="BD86" s="98"/>
      <c r="BE86" s="98">
        <f>Hungary!BE40</f>
        <v>209</v>
      </c>
      <c r="BF86" s="98">
        <f>Hungary!BF40</f>
        <v>220</v>
      </c>
      <c r="BG86" s="98">
        <f>Hungary!BG40</f>
        <v>227</v>
      </c>
      <c r="BH86" s="98">
        <f>Hungary!BH40</f>
        <v>229</v>
      </c>
      <c r="BI86" s="98">
        <f>BE86+BF86+BG86+BH86</f>
        <v>885</v>
      </c>
      <c r="BJ86" s="98"/>
      <c r="BK86" s="98">
        <f>Hungary!BK40</f>
        <v>217</v>
      </c>
      <c r="BL86" s="98">
        <f>Hungary!BL40</f>
        <v>232</v>
      </c>
      <c r="BM86" s="98">
        <f>Hungary!BM40</f>
        <v>252</v>
      </c>
      <c r="BN86" s="98">
        <f>Hungary!BN40</f>
        <v>242</v>
      </c>
      <c r="BO86" s="98">
        <f>BK86+BL86+BM86+BN86</f>
        <v>943</v>
      </c>
      <c r="BP86" s="98"/>
      <c r="BQ86" s="98">
        <f>Hungary!BQ40</f>
        <v>231.93404769501007</v>
      </c>
      <c r="BR86" s="98">
        <f>Hungary!BR40</f>
        <v>245.0962013046238</v>
      </c>
      <c r="BS86" s="98">
        <f>Hungary!BS40</f>
        <v>257.81268156621582</v>
      </c>
      <c r="BT86" s="98">
        <f>Hungary!BT40</f>
        <v>251.52367907607649</v>
      </c>
      <c r="BU86" s="98">
        <f>BQ86+BR86+BS86+BT86</f>
        <v>986.36660964192617</v>
      </c>
      <c r="BV86" s="98"/>
      <c r="BW86" s="98">
        <f>Hungary!BW40</f>
        <v>238.0963602558549</v>
      </c>
      <c r="BX86" s="98">
        <f>Hungary!BX40</f>
        <v>250.64630759894919</v>
      </c>
      <c r="BY86" s="98">
        <f>Hungary!BY40</f>
        <v>263.03754683822075</v>
      </c>
      <c r="BZ86" s="98">
        <f>Hungary!BZ40</f>
        <v>255.77542399854681</v>
      </c>
      <c r="CA86" s="98">
        <f>BW86+BX86+BY86+BZ86</f>
        <v>1007.5556386915716</v>
      </c>
      <c r="CB86" s="98"/>
      <c r="CC86" s="98">
        <f>Hungary!CC40</f>
        <v>241.82872834186284</v>
      </c>
      <c r="CD86" s="98">
        <f>Hungary!CD40</f>
        <v>254.2376319184109</v>
      </c>
      <c r="CE86" s="98">
        <f>Hungary!CE40</f>
        <v>267.24769748404907</v>
      </c>
      <c r="CF86" s="98">
        <f>Hungary!CF40</f>
        <v>259.94746194661263</v>
      </c>
      <c r="CG86" s="98">
        <f>CC86+CD86+CE86+CF86</f>
        <v>1023.2615196909354</v>
      </c>
      <c r="CH86" s="98"/>
      <c r="CI86" s="98">
        <f>Hungary!CI40</f>
        <v>244.96537149721996</v>
      </c>
      <c r="CJ86" s="98">
        <f>Hungary!CJ40</f>
        <v>257.87709850672348</v>
      </c>
      <c r="CK86" s="98">
        <f>Hungary!CK40</f>
        <v>271.488956920411</v>
      </c>
      <c r="CL86" s="98">
        <f>Hungary!CL40</f>
        <v>263.19546672879949</v>
      </c>
      <c r="CM86" s="98">
        <f>CI86+CJ86+CK86+CL86</f>
        <v>1037.5268936531538</v>
      </c>
      <c r="CN86" s="98"/>
      <c r="CO86" s="98">
        <f>Hungary!CO40</f>
        <v>249.07930924634999</v>
      </c>
      <c r="CP86" s="98">
        <f>Hungary!CP40</f>
        <v>261.81786915227423</v>
      </c>
      <c r="CQ86" s="98">
        <f>Hungary!CQ40</f>
        <v>275.98169961201057</v>
      </c>
      <c r="CR86" s="98">
        <f>Hungary!CR40</f>
        <v>267.62436989288142</v>
      </c>
      <c r="CS86" s="98">
        <f>CO86+CP86+CQ86+CR86</f>
        <v>1054.5032479035162</v>
      </c>
      <c r="CT86" s="98"/>
      <c r="CU86" s="98">
        <f>Hungary!CU40</f>
        <v>252.46815522760801</v>
      </c>
      <c r="CV86" s="98">
        <f>Hungary!CV40</f>
        <v>265.08095294694539</v>
      </c>
      <c r="CW86" s="98">
        <f>Hungary!CW40</f>
        <v>279.74932415392959</v>
      </c>
      <c r="CX86" s="98">
        <f>Hungary!CX40</f>
        <v>271.29968374675587</v>
      </c>
      <c r="CY86" s="98">
        <f>CU86+CV86+CW86+CX86</f>
        <v>1068.5981160752387</v>
      </c>
      <c r="CZ86" s="98"/>
      <c r="DA86" s="98">
        <f>Hungary!DA40</f>
        <v>256.0568648212917</v>
      </c>
      <c r="DB86" s="98">
        <f>Hungary!DB40</f>
        <v>268.53890315473893</v>
      </c>
      <c r="DC86" s="98">
        <f>Hungary!DC40</f>
        <v>283.72584225903199</v>
      </c>
      <c r="DD86" s="98">
        <f>Hungary!DD40</f>
        <v>275.18558560365142</v>
      </c>
      <c r="DE86" s="98">
        <f t="shared" si="25"/>
        <v>1083.5071958387141</v>
      </c>
      <c r="DF86" s="98"/>
      <c r="DG86" s="98">
        <f>Hungary!DG40</f>
        <v>259.85260597739716</v>
      </c>
      <c r="DH86" s="98">
        <f>Hungary!DH40</f>
        <v>272.19860368089064</v>
      </c>
      <c r="DI86" s="98">
        <f>Hungary!DI40</f>
        <v>287.91855631248842</v>
      </c>
      <c r="DJ86" s="98">
        <f>Hungary!DJ40</f>
        <v>279.28949932245149</v>
      </c>
      <c r="DK86" s="98">
        <f t="shared" si="26"/>
        <v>1099.2592652932278</v>
      </c>
    </row>
    <row r="87" spans="2:115" x14ac:dyDescent="0.3">
      <c r="B87" s="6" t="s">
        <v>203</v>
      </c>
      <c r="I87" s="98">
        <f>Slovakia!I32</f>
        <v>128</v>
      </c>
      <c r="J87" s="98">
        <f>Slovakia!J32</f>
        <v>141</v>
      </c>
      <c r="K87" s="98">
        <f>Slovakia!K32</f>
        <v>153</v>
      </c>
      <c r="L87" s="98">
        <f>Slovakia!L32</f>
        <v>149</v>
      </c>
      <c r="M87" s="98">
        <f t="shared" si="0"/>
        <v>571</v>
      </c>
      <c r="N87" s="98"/>
      <c r="O87" s="98">
        <f>Slovakia!O32</f>
        <v>140</v>
      </c>
      <c r="P87" s="98">
        <f>Slovakia!P32</f>
        <v>141</v>
      </c>
      <c r="Q87" s="98">
        <f>Slovakia!Q32</f>
        <v>140</v>
      </c>
      <c r="R87" s="98">
        <f>Slovakia!R32</f>
        <v>135</v>
      </c>
      <c r="S87" s="98">
        <f t="shared" si="1"/>
        <v>556</v>
      </c>
      <c r="T87" s="98"/>
      <c r="U87" s="98">
        <f>Slovakia!U32</f>
        <v>124</v>
      </c>
      <c r="V87" s="98">
        <f>Slovakia!V32</f>
        <v>125</v>
      </c>
      <c r="W87" s="98">
        <f>Slovakia!W32</f>
        <v>126</v>
      </c>
      <c r="X87" s="98">
        <f>Slovakia!X32</f>
        <v>124</v>
      </c>
      <c r="Y87" s="98">
        <f t="shared" si="2"/>
        <v>499</v>
      </c>
      <c r="Z87" s="98">
        <f>Y87*0.49</f>
        <v>244.51</v>
      </c>
      <c r="AA87" s="98">
        <f>Slovakia!AA32</f>
        <v>112</v>
      </c>
      <c r="AB87" s="98">
        <f>Slovakia!AB32</f>
        <v>115</v>
      </c>
      <c r="AC87" s="98">
        <f>Slovakia!AC32</f>
        <v>118</v>
      </c>
      <c r="AD87" s="98">
        <f>Slovakia!AD32</f>
        <v>117</v>
      </c>
      <c r="AE87" s="98">
        <f t="shared" si="3"/>
        <v>462</v>
      </c>
      <c r="AF87" s="98">
        <f>AE87*0.49</f>
        <v>226.38</v>
      </c>
      <c r="AG87" s="98">
        <f>Slovakia!AG32</f>
        <v>107</v>
      </c>
      <c r="AH87" s="98">
        <f>Slovakia!AH32</f>
        <v>108</v>
      </c>
      <c r="AI87" s="98">
        <f>Slovakia!AI32</f>
        <v>109</v>
      </c>
      <c r="AJ87" s="98">
        <f>Slovakia!AJ32</f>
        <v>113</v>
      </c>
      <c r="AK87" s="98">
        <f t="shared" si="4"/>
        <v>437</v>
      </c>
      <c r="AL87" s="98"/>
      <c r="AM87" s="98">
        <f>Slovakia!AM32</f>
        <v>100</v>
      </c>
      <c r="AN87" s="98">
        <f>Slovakia!AN32</f>
        <v>106</v>
      </c>
      <c r="AO87" s="98">
        <f>Slovakia!AO32</f>
        <v>101</v>
      </c>
      <c r="AP87" s="98">
        <f>Slovakia!AP32</f>
        <v>107</v>
      </c>
      <c r="AQ87" s="98">
        <f t="shared" si="5"/>
        <v>414</v>
      </c>
      <c r="AR87" s="98"/>
      <c r="AS87" s="98">
        <f>Slovakia!AS32</f>
        <v>94</v>
      </c>
      <c r="AT87" s="98">
        <f>Slovakia!AT32</f>
        <v>92</v>
      </c>
      <c r="AU87" s="98">
        <f>Slovakia!AU32</f>
        <v>94</v>
      </c>
      <c r="AV87" s="98">
        <f>Slovakia!AV32</f>
        <v>93</v>
      </c>
      <c r="AW87" s="98">
        <f t="shared" si="6"/>
        <v>373</v>
      </c>
      <c r="AX87" s="98"/>
      <c r="AY87" s="98">
        <f>Slovakia!AY32</f>
        <v>91</v>
      </c>
      <c r="AZ87" s="98">
        <f>Slovakia!AZ32</f>
        <v>88</v>
      </c>
      <c r="BA87" s="98">
        <f>Slovakia!BA32</f>
        <v>92</v>
      </c>
      <c r="BB87" s="98">
        <f>Slovakia!BB32</f>
        <v>90</v>
      </c>
      <c r="BC87" s="98">
        <f t="shared" si="7"/>
        <v>361</v>
      </c>
      <c r="BD87" s="98"/>
      <c r="BE87" s="98">
        <f>Slovakia!BE32</f>
        <v>91</v>
      </c>
      <c r="BF87" s="98">
        <f>Slovakia!BF32</f>
        <v>90</v>
      </c>
      <c r="BG87" s="98">
        <f>Slovakia!BG32</f>
        <v>94</v>
      </c>
      <c r="BH87" s="98">
        <f>Slovakia!BH32</f>
        <v>93</v>
      </c>
      <c r="BI87" s="98">
        <f t="shared" si="8"/>
        <v>368</v>
      </c>
      <c r="BJ87" s="98"/>
      <c r="BK87" s="98">
        <f>Slovakia!BK32</f>
        <v>93</v>
      </c>
      <c r="BL87" s="98">
        <f>Slovakia!BL32</f>
        <v>92</v>
      </c>
      <c r="BM87" s="98">
        <f>Slovakia!BM32</f>
        <v>93</v>
      </c>
      <c r="BN87" s="98">
        <f>Slovakia!BN32</f>
        <v>92</v>
      </c>
      <c r="BO87" s="98">
        <f t="shared" si="18"/>
        <v>370</v>
      </c>
      <c r="BP87" s="98"/>
      <c r="BQ87" s="98">
        <f>Slovakia!BQ32</f>
        <v>93.97953973735288</v>
      </c>
      <c r="BR87" s="98">
        <f>Slovakia!BR32</f>
        <v>93.046888073949106</v>
      </c>
      <c r="BS87" s="98">
        <f>Slovakia!BS32</f>
        <v>94.137412520002044</v>
      </c>
      <c r="BT87" s="98">
        <f>Slovakia!BT32</f>
        <v>93.118391523292019</v>
      </c>
      <c r="BU87" s="98">
        <f t="shared" si="19"/>
        <v>374.28223185459603</v>
      </c>
      <c r="BV87" s="98"/>
      <c r="BW87" s="98">
        <f>Slovakia!BW32</f>
        <v>95.727756972723412</v>
      </c>
      <c r="BX87" s="98">
        <f>Slovakia!BX32</f>
        <v>94.47910831354676</v>
      </c>
      <c r="BY87" s="98">
        <f>Slovakia!BY32</f>
        <v>95.368354331804099</v>
      </c>
      <c r="BZ87" s="98">
        <f>Slovakia!BZ32</f>
        <v>94.172443093578934</v>
      </c>
      <c r="CA87" s="98">
        <f t="shared" si="20"/>
        <v>379.74766271165316</v>
      </c>
      <c r="CB87" s="98"/>
      <c r="CC87" s="98">
        <f>Slovakia!CC32</f>
        <v>96.894772671045189</v>
      </c>
      <c r="CD87" s="98">
        <f>Slovakia!CD32</f>
        <v>95.595517883546123</v>
      </c>
      <c r="CE87" s="98">
        <f>Slovakia!CE32</f>
        <v>96.575093750285987</v>
      </c>
      <c r="CF87" s="98">
        <f>Slovakia!CF32</f>
        <v>95.396795184549362</v>
      </c>
      <c r="CG87" s="98">
        <f t="shared" si="21"/>
        <v>384.46217948942666</v>
      </c>
      <c r="CH87" s="98"/>
      <c r="CI87" s="98">
        <f>Slovakia!CI32</f>
        <v>97.944483718417501</v>
      </c>
      <c r="CJ87" s="98">
        <f>Slovakia!CJ32</f>
        <v>96.598004195866551</v>
      </c>
      <c r="CK87" s="98">
        <f>Slovakia!CK32</f>
        <v>97.659071628547736</v>
      </c>
      <c r="CL87" s="98">
        <f>Slovakia!CL32</f>
        <v>96.506437023850978</v>
      </c>
      <c r="CM87" s="98">
        <f t="shared" si="22"/>
        <v>388.70799656668277</v>
      </c>
      <c r="CN87" s="98"/>
      <c r="CO87" s="98">
        <f>Slovakia!CO32</f>
        <v>98.88419920318907</v>
      </c>
      <c r="CP87" s="98">
        <f>Slovakia!CP32</f>
        <v>97.497088377803337</v>
      </c>
      <c r="CQ87" s="98">
        <f>Slovakia!CQ32</f>
        <v>98.629542643815626</v>
      </c>
      <c r="CR87" s="98">
        <f>Slovakia!CR32</f>
        <v>97.501869373746857</v>
      </c>
      <c r="CS87" s="98">
        <f t="shared" si="23"/>
        <v>392.51269959855489</v>
      </c>
      <c r="CT87" s="98"/>
      <c r="CU87" s="98">
        <f>Slovakia!CU32</f>
        <v>99.934818461888398</v>
      </c>
      <c r="CV87" s="98">
        <f>Slovakia!CV32</f>
        <v>98.504141848697117</v>
      </c>
      <c r="CW87" s="98">
        <f>Slovakia!CW32</f>
        <v>99.711551947214176</v>
      </c>
      <c r="CX87" s="98">
        <f>Slovakia!CX32</f>
        <v>98.607716957840509</v>
      </c>
      <c r="CY87" s="98">
        <f t="shared" si="24"/>
        <v>396.7582292156402</v>
      </c>
      <c r="CZ87" s="98"/>
      <c r="DA87" s="98">
        <f>Slovakia!DA32</f>
        <v>101.09853481315115</v>
      </c>
      <c r="DB87" s="98">
        <f>Slovakia!DB32</f>
        <v>99.621254038024546</v>
      </c>
      <c r="DC87" s="98">
        <f>Slovakia!DC32</f>
        <v>100.90732867141227</v>
      </c>
      <c r="DD87" s="98">
        <f>Slovakia!DD32</f>
        <v>99.826207103336316</v>
      </c>
      <c r="DE87" s="98">
        <f t="shared" si="25"/>
        <v>401.45332462592421</v>
      </c>
      <c r="DF87" s="98"/>
      <c r="DG87" s="98">
        <f>Slovakia!DG32</f>
        <v>102.37763425524284</v>
      </c>
      <c r="DH87" s="98">
        <f>Slovakia!DH32</f>
        <v>100.85060335572339</v>
      </c>
      <c r="DI87" s="98">
        <f>Slovakia!DI32</f>
        <v>102.21919654802517</v>
      </c>
      <c r="DJ87" s="98">
        <f>Slovakia!DJ32</f>
        <v>101.15966175676743</v>
      </c>
      <c r="DK87" s="98">
        <f t="shared" si="26"/>
        <v>406.60709591575886</v>
      </c>
    </row>
    <row r="88" spans="2:115" x14ac:dyDescent="0.3">
      <c r="B88" s="6" t="s">
        <v>204</v>
      </c>
      <c r="I88" s="98">
        <f>Croatia!I40</f>
        <v>129</v>
      </c>
      <c r="J88" s="98">
        <f>Croatia!J40</f>
        <v>148</v>
      </c>
      <c r="K88" s="98">
        <f>Croatia!K40</f>
        <v>190</v>
      </c>
      <c r="L88" s="98">
        <f>Croatia!L40</f>
        <v>149</v>
      </c>
      <c r="M88" s="98">
        <f t="shared" si="0"/>
        <v>616</v>
      </c>
      <c r="N88" s="98"/>
      <c r="O88" s="98">
        <f>Croatia!O40</f>
        <v>134</v>
      </c>
      <c r="P88" s="98">
        <f>Croatia!P40</f>
        <v>139</v>
      </c>
      <c r="Q88" s="98">
        <f>Croatia!Q40</f>
        <v>166</v>
      </c>
      <c r="R88" s="98">
        <f>Croatia!R40</f>
        <v>132</v>
      </c>
      <c r="S88" s="98">
        <f t="shared" si="1"/>
        <v>571</v>
      </c>
      <c r="T88" s="98"/>
      <c r="U88" s="98">
        <f>Croatia!U40</f>
        <v>118</v>
      </c>
      <c r="V88" s="98">
        <f>Croatia!V40</f>
        <v>132</v>
      </c>
      <c r="W88" s="98">
        <f>Croatia!W40</f>
        <v>155</v>
      </c>
      <c r="X88" s="98">
        <f>Croatia!X40</f>
        <v>118</v>
      </c>
      <c r="Y88" s="98">
        <f t="shared" si="2"/>
        <v>523</v>
      </c>
      <c r="Z88" s="98">
        <f>Y88*0.49</f>
        <v>256.27</v>
      </c>
      <c r="AA88" s="98">
        <f>Croatia!AA40</f>
        <v>101</v>
      </c>
      <c r="AB88" s="98">
        <f>Croatia!AB40</f>
        <v>111</v>
      </c>
      <c r="AC88" s="98">
        <f>Croatia!AC40</f>
        <v>123</v>
      </c>
      <c r="AD88" s="98">
        <f>Croatia!AD40</f>
        <v>103</v>
      </c>
      <c r="AE88" s="98">
        <f t="shared" si="3"/>
        <v>438</v>
      </c>
      <c r="AF88" s="98">
        <f>AE88*0.49</f>
        <v>214.62</v>
      </c>
      <c r="AG88" s="98">
        <f>Croatia!AG40</f>
        <v>95</v>
      </c>
      <c r="AH88" s="98">
        <f>Croatia!AH40</f>
        <v>101</v>
      </c>
      <c r="AI88" s="98">
        <f>Croatia!AI40</f>
        <v>124</v>
      </c>
      <c r="AJ88" s="98">
        <f>Croatia!AJ40</f>
        <v>95</v>
      </c>
      <c r="AK88" s="98">
        <f t="shared" si="4"/>
        <v>415</v>
      </c>
      <c r="AL88" s="98"/>
      <c r="AM88" s="98">
        <f>Croatia!AM40</f>
        <v>89</v>
      </c>
      <c r="AN88" s="98">
        <f>Croatia!AN40</f>
        <v>96</v>
      </c>
      <c r="AO88" s="98">
        <f>Croatia!AO40</f>
        <v>100</v>
      </c>
      <c r="AP88" s="98">
        <f>Croatia!AP40</f>
        <v>90</v>
      </c>
      <c r="AQ88" s="98">
        <f t="shared" si="5"/>
        <v>375</v>
      </c>
      <c r="AR88" s="98"/>
      <c r="AS88" s="98">
        <f>Croatia!AS40</f>
        <v>83</v>
      </c>
      <c r="AT88" s="98">
        <f>Croatia!AT40</f>
        <v>91</v>
      </c>
      <c r="AU88" s="98">
        <f>Croatia!AU40</f>
        <v>102</v>
      </c>
      <c r="AV88" s="98">
        <f>Croatia!AV40</f>
        <v>91</v>
      </c>
      <c r="AW88" s="98">
        <f t="shared" si="6"/>
        <v>367</v>
      </c>
      <c r="AX88" s="98"/>
      <c r="AY88" s="98">
        <f>Croatia!AY40</f>
        <v>81</v>
      </c>
      <c r="AZ88" s="98">
        <f>Croatia!AZ40</f>
        <v>85</v>
      </c>
      <c r="BA88" s="98">
        <f>Croatia!BA40</f>
        <v>103</v>
      </c>
      <c r="BB88" s="98">
        <f>Croatia!BB40</f>
        <v>90</v>
      </c>
      <c r="BC88" s="98">
        <f t="shared" si="7"/>
        <v>359</v>
      </c>
      <c r="BD88" s="98"/>
      <c r="BE88" s="98">
        <f>Croatia!BE40</f>
        <v>86</v>
      </c>
      <c r="BF88" s="98">
        <f>Croatia!BF40</f>
        <v>93</v>
      </c>
      <c r="BG88" s="98">
        <f>Croatia!BG40</f>
        <v>102</v>
      </c>
      <c r="BH88" s="98">
        <f>Croatia!BH40</f>
        <v>93</v>
      </c>
      <c r="BI88" s="98">
        <f t="shared" si="8"/>
        <v>374</v>
      </c>
      <c r="BJ88" s="98"/>
      <c r="BK88" s="98">
        <f>Croatia!BK40</f>
        <v>90</v>
      </c>
      <c r="BL88" s="98">
        <f>Croatia!BL40</f>
        <v>97</v>
      </c>
      <c r="BM88" s="98">
        <f>Croatia!BM40</f>
        <v>114</v>
      </c>
      <c r="BN88" s="98">
        <f>Croatia!BN40</f>
        <v>99</v>
      </c>
      <c r="BO88" s="98">
        <f t="shared" si="18"/>
        <v>400</v>
      </c>
      <c r="BP88" s="98"/>
      <c r="BQ88" s="98">
        <f>Croatia!BQ40</f>
        <v>92.622872117904819</v>
      </c>
      <c r="BR88" s="98">
        <f>Croatia!BR40</f>
        <v>98.318788919192514</v>
      </c>
      <c r="BS88" s="98">
        <f>Croatia!BS40</f>
        <v>113.47958943833953</v>
      </c>
      <c r="BT88" s="98">
        <f>Croatia!BT40</f>
        <v>99.869491964516811</v>
      </c>
      <c r="BU88" s="98">
        <f t="shared" si="19"/>
        <v>404.29074243995365</v>
      </c>
      <c r="BV88" s="98"/>
      <c r="BW88" s="98">
        <f>Croatia!BW40</f>
        <v>93.54370171415357</v>
      </c>
      <c r="BX88" s="98">
        <f>Croatia!BX40</f>
        <v>99.471839545194214</v>
      </c>
      <c r="BY88" s="98">
        <f>Croatia!BY40</f>
        <v>115.03073491023795</v>
      </c>
      <c r="BZ88" s="98">
        <f>Croatia!BZ40</f>
        <v>101.23884200271775</v>
      </c>
      <c r="CA88" s="98">
        <f t="shared" si="20"/>
        <v>409.28511817230356</v>
      </c>
      <c r="CB88" s="98"/>
      <c r="CC88" s="98">
        <f>Croatia!CC40</f>
        <v>95.424243871037646</v>
      </c>
      <c r="CD88" s="98">
        <f>Croatia!CD40</f>
        <v>101.46123842407589</v>
      </c>
      <c r="CE88" s="98">
        <f>Croatia!CE40</f>
        <v>116.72356084571898</v>
      </c>
      <c r="CF88" s="98">
        <f>Croatia!CF40</f>
        <v>102.92081769341434</v>
      </c>
      <c r="CG88" s="98">
        <f t="shared" si="21"/>
        <v>416.52986083424685</v>
      </c>
      <c r="CH88" s="98"/>
      <c r="CI88" s="98">
        <f>Croatia!CI40</f>
        <v>97.507506313377263</v>
      </c>
      <c r="CJ88" s="98">
        <f>Croatia!CJ40</f>
        <v>103.67183115929893</v>
      </c>
      <c r="CK88" s="98">
        <f>Croatia!CK40</f>
        <v>119.33092131246249</v>
      </c>
      <c r="CL88" s="98">
        <f>Croatia!CL40</f>
        <v>105.31561480432626</v>
      </c>
      <c r="CM88" s="98">
        <f t="shared" si="22"/>
        <v>425.825873589465</v>
      </c>
      <c r="CN88" s="98"/>
      <c r="CO88" s="98">
        <f>Croatia!CO40</f>
        <v>99.857454164595339</v>
      </c>
      <c r="CP88" s="98">
        <f>Croatia!CP40</f>
        <v>106.16928735726557</v>
      </c>
      <c r="CQ88" s="98">
        <f>Croatia!CQ40</f>
        <v>122.2820159752273</v>
      </c>
      <c r="CR88" s="98">
        <f>Croatia!CR40</f>
        <v>109.07405770743637</v>
      </c>
      <c r="CS88" s="98">
        <f t="shared" si="23"/>
        <v>437.3828152045246</v>
      </c>
      <c r="CT88" s="98"/>
      <c r="CU88" s="98">
        <f>Croatia!CU40</f>
        <v>102.69433841833006</v>
      </c>
      <c r="CV88" s="98">
        <f>Croatia!CV40</f>
        <v>109.18747946032011</v>
      </c>
      <c r="CW88" s="98">
        <f>Croatia!CW40</f>
        <v>125.84677530031796</v>
      </c>
      <c r="CX88" s="98">
        <f>Croatia!CX40</f>
        <v>112.26799691602744</v>
      </c>
      <c r="CY88" s="98">
        <f t="shared" si="24"/>
        <v>449.99659009499555</v>
      </c>
      <c r="CZ88" s="98"/>
      <c r="DA88" s="98">
        <f>Croatia!DA40</f>
        <v>105.27688820940891</v>
      </c>
      <c r="DB88" s="98">
        <f>Croatia!DB40</f>
        <v>111.93059745929497</v>
      </c>
      <c r="DC88" s="98">
        <f>Croatia!DC40</f>
        <v>129.07127893008709</v>
      </c>
      <c r="DD88" s="98">
        <f>Croatia!DD40</f>
        <v>115.18295258400669</v>
      </c>
      <c r="DE88" s="98">
        <f t="shared" si="25"/>
        <v>461.46171718279766</v>
      </c>
      <c r="DF88" s="98"/>
      <c r="DG88" s="98">
        <f>Croatia!DG40</f>
        <v>107.51716915787877</v>
      </c>
      <c r="DH88" s="98">
        <f>Croatia!DH40</f>
        <v>114.30385081587193</v>
      </c>
      <c r="DI88" s="98">
        <f>Croatia!DI40</f>
        <v>131.84023396342644</v>
      </c>
      <c r="DJ88" s="98">
        <f>Croatia!DJ40</f>
        <v>117.72498475456135</v>
      </c>
      <c r="DK88" s="98">
        <f t="shared" si="26"/>
        <v>471.38623869173853</v>
      </c>
    </row>
    <row r="89" spans="2:115" x14ac:dyDescent="0.3">
      <c r="B89" s="6"/>
      <c r="I89" s="98"/>
      <c r="J89" s="98"/>
      <c r="K89" s="98"/>
      <c r="L89" s="98"/>
      <c r="M89" s="98"/>
      <c r="N89" s="98"/>
      <c r="O89" s="98"/>
      <c r="P89" s="98"/>
      <c r="Q89" s="98"/>
      <c r="R89" s="98"/>
      <c r="S89" s="98"/>
      <c r="T89" s="98"/>
      <c r="U89" s="98"/>
      <c r="V89" s="98"/>
      <c r="W89" s="98"/>
      <c r="X89" s="98"/>
      <c r="Y89" s="98"/>
      <c r="Z89" s="98"/>
      <c r="AA89" s="98"/>
      <c r="AB89" s="98"/>
      <c r="AC89" s="98"/>
      <c r="AD89" s="98"/>
      <c r="AE89" s="98"/>
      <c r="AF89" s="98"/>
      <c r="AG89" s="98"/>
      <c r="AH89" s="98"/>
      <c r="AI89" s="98"/>
      <c r="AJ89" s="98"/>
      <c r="AK89" s="98"/>
      <c r="AL89" s="98"/>
      <c r="AM89" s="98"/>
      <c r="AN89" s="98"/>
      <c r="AO89" s="98"/>
      <c r="AP89" s="98"/>
      <c r="AQ89" s="98"/>
      <c r="AR89" s="98"/>
      <c r="AS89" s="98"/>
      <c r="AT89" s="98"/>
      <c r="AU89" s="98"/>
      <c r="AV89" s="98"/>
      <c r="AW89" s="98"/>
      <c r="AX89" s="98"/>
      <c r="AY89" s="98"/>
      <c r="AZ89" s="98"/>
      <c r="BA89" s="98"/>
      <c r="BB89" s="98"/>
      <c r="BC89" s="98"/>
      <c r="BD89" s="98"/>
      <c r="BE89" s="98"/>
      <c r="BF89" s="98"/>
      <c r="BG89" s="98"/>
      <c r="BH89" s="98"/>
      <c r="BI89" s="98"/>
      <c r="BJ89" s="98"/>
      <c r="BK89" s="98"/>
      <c r="BL89" s="98"/>
      <c r="BM89" s="98"/>
      <c r="BN89" s="98"/>
      <c r="BO89" s="98"/>
      <c r="BP89" s="98"/>
      <c r="BQ89" s="98"/>
      <c r="BR89" s="98"/>
      <c r="BS89" s="98"/>
      <c r="BT89" s="98"/>
      <c r="BU89" s="98"/>
      <c r="BV89" s="98"/>
      <c r="BW89" s="98"/>
      <c r="BX89" s="98"/>
      <c r="BY89" s="98"/>
      <c r="BZ89" s="98"/>
      <c r="CA89" s="98"/>
      <c r="CB89" s="98"/>
      <c r="CC89" s="98"/>
      <c r="CD89" s="98"/>
      <c r="CE89" s="98"/>
      <c r="CF89" s="98"/>
      <c r="CG89" s="98"/>
      <c r="CH89" s="98"/>
      <c r="CI89" s="98"/>
      <c r="CJ89" s="98"/>
      <c r="CK89" s="98"/>
      <c r="CL89" s="98"/>
      <c r="CM89" s="98"/>
      <c r="CN89" s="98"/>
      <c r="CO89" s="98"/>
      <c r="CP89" s="98"/>
      <c r="CQ89" s="98"/>
      <c r="CR89" s="98"/>
      <c r="CS89" s="98"/>
      <c r="CT89" s="98"/>
      <c r="CU89" s="98"/>
      <c r="CV89" s="98"/>
      <c r="CW89" s="98"/>
      <c r="CX89" s="98"/>
      <c r="CY89" s="98"/>
      <c r="CZ89" s="98"/>
      <c r="DA89" s="98"/>
      <c r="DB89" s="98"/>
      <c r="DC89" s="98"/>
      <c r="DD89" s="98"/>
      <c r="DE89" s="98"/>
      <c r="DF89" s="98"/>
      <c r="DG89" s="98"/>
      <c r="DH89" s="98"/>
      <c r="DI89" s="98"/>
      <c r="DJ89" s="98"/>
      <c r="DK89" s="98"/>
    </row>
    <row r="90" spans="2:115" x14ac:dyDescent="0.3">
      <c r="B90" s="6" t="s">
        <v>205</v>
      </c>
      <c r="I90" s="98">
        <f>O90/(1-17.4%)</f>
        <v>222.76029055690071</v>
      </c>
      <c r="J90" s="98">
        <f>P90/(1-17.4%)</f>
        <v>226.39225181598061</v>
      </c>
      <c r="K90" s="98">
        <f>Q90/(1-17.4%)</f>
        <v>237.28813559322032</v>
      </c>
      <c r="L90" s="98">
        <f>R90/(1-17.4%)</f>
        <v>236.07748184019368</v>
      </c>
      <c r="M90" s="98">
        <f>I90+J90+K90+L90</f>
        <v>922.51815980629544</v>
      </c>
      <c r="N90" s="98"/>
      <c r="O90" s="98">
        <f>Hungary!O94</f>
        <v>184</v>
      </c>
      <c r="P90" s="98">
        <f>Hungary!P94</f>
        <v>187</v>
      </c>
      <c r="Q90" s="98">
        <f>Hungary!Q94</f>
        <v>196</v>
      </c>
      <c r="R90" s="98">
        <f>Hungary!R94</f>
        <v>195</v>
      </c>
      <c r="S90" s="98">
        <f>O90+P90+Q90+R90</f>
        <v>762</v>
      </c>
      <c r="T90" s="98"/>
      <c r="U90" s="98">
        <f>Hungary!U94</f>
        <v>182</v>
      </c>
      <c r="V90" s="98">
        <f>Hungary!V94</f>
        <v>175</v>
      </c>
      <c r="W90" s="98">
        <f>Hungary!W94</f>
        <v>165</v>
      </c>
      <c r="X90" s="98">
        <f>Hungary!X94-(4.85%*Hungary!Y94)</f>
        <v>138.81675000000001</v>
      </c>
      <c r="Y90" s="98">
        <f>U90+V90+W90+X90</f>
        <v>660.81674999999996</v>
      </c>
      <c r="Z90" s="98">
        <f>Y90*0.41</f>
        <v>270.93486749999994</v>
      </c>
      <c r="AA90" s="98">
        <f>Hungary!AA94</f>
        <v>158</v>
      </c>
      <c r="AB90" s="98">
        <f>Hungary!AB94</f>
        <v>162</v>
      </c>
      <c r="AC90" s="98">
        <f>Hungary!AC94</f>
        <v>158</v>
      </c>
      <c r="AD90" s="98">
        <f>Hungary!AD94-(4.85%*Hungary!AE94)</f>
        <v>126.2025</v>
      </c>
      <c r="AE90" s="98">
        <f>AA90+AB90+AC90+AD90</f>
        <v>604.20249999999999</v>
      </c>
      <c r="AF90" s="98">
        <f>AE90*0.41</f>
        <v>247.72302499999998</v>
      </c>
      <c r="AG90" s="98">
        <f>Hungary!AG94</f>
        <v>160</v>
      </c>
      <c r="AH90" s="98">
        <f>Hungary!AH94</f>
        <v>151</v>
      </c>
      <c r="AI90" s="98">
        <f>Hungary!AI94</f>
        <v>163</v>
      </c>
      <c r="AJ90" s="98">
        <f>Hungary!AJ94-(4.85%*Hungary!AK94)</f>
        <v>157.79599999999999</v>
      </c>
      <c r="AK90" s="98">
        <f>AG90+AH90+AI90+AJ90</f>
        <v>631.79600000000005</v>
      </c>
      <c r="AL90" s="98"/>
      <c r="AM90" s="98">
        <f>Hungary!AM94</f>
        <v>202</v>
      </c>
      <c r="AN90" s="98">
        <f>Hungary!AN94</f>
        <v>177</v>
      </c>
      <c r="AO90" s="98">
        <f>Hungary!AO94</f>
        <v>172</v>
      </c>
      <c r="AP90" s="98">
        <f>Hungary!AP94</f>
        <v>198</v>
      </c>
      <c r="AQ90" s="98">
        <f>AM90+AN90+AO90+AP90</f>
        <v>749</v>
      </c>
      <c r="AR90" s="98"/>
      <c r="AS90" s="98">
        <f>Hungary!AS94</f>
        <v>180</v>
      </c>
      <c r="AT90" s="98">
        <f>Hungary!AT94</f>
        <v>163</v>
      </c>
      <c r="AU90" s="98">
        <f>Hungary!AU94</f>
        <v>163</v>
      </c>
      <c r="AV90" s="98">
        <f>Hungary!AV94</f>
        <v>176</v>
      </c>
      <c r="AW90" s="98">
        <f>AS90+AT90+AU90+AV90</f>
        <v>682</v>
      </c>
      <c r="AX90" s="98"/>
      <c r="AY90" s="98">
        <f>Hungary!AY94</f>
        <v>228</v>
      </c>
      <c r="AZ90" s="98">
        <f>Hungary!AZ94</f>
        <v>234</v>
      </c>
      <c r="BA90" s="98">
        <f>Hungary!BA94</f>
        <v>219</v>
      </c>
      <c r="BB90" s="98">
        <f>Hungary!BB94</f>
        <v>292</v>
      </c>
      <c r="BC90" s="98">
        <f>AY90+AZ90+BA90+BB90</f>
        <v>973</v>
      </c>
      <c r="BD90" s="98"/>
      <c r="BE90" s="98">
        <f>Hungary!BE94</f>
        <v>194</v>
      </c>
      <c r="BF90" s="98">
        <f>Hungary!BF94</f>
        <v>188</v>
      </c>
      <c r="BG90" s="98">
        <f>Hungary!BG94</f>
        <v>188</v>
      </c>
      <c r="BH90" s="98">
        <f>Hungary!BH94</f>
        <v>218</v>
      </c>
      <c r="BI90" s="98">
        <f>BE90+BF90+BG90+BH90</f>
        <v>788</v>
      </c>
      <c r="BJ90" s="98"/>
      <c r="BK90" s="98">
        <f>Hungary!BK94</f>
        <v>198</v>
      </c>
      <c r="BL90" s="98">
        <f>Hungary!BL94</f>
        <v>222</v>
      </c>
      <c r="BM90" s="98">
        <f>Hungary!BM94</f>
        <v>211</v>
      </c>
      <c r="BN90" s="98">
        <f>Hungary!BN94</f>
        <v>233</v>
      </c>
      <c r="BO90" s="98">
        <f>BK90+BL90+BM90+BN90</f>
        <v>864</v>
      </c>
      <c r="BP90" s="98"/>
      <c r="BQ90" s="98">
        <f>Hungary!BQ94</f>
        <v>209.39477516042089</v>
      </c>
      <c r="BR90" s="98">
        <f>Hungary!BR94</f>
        <v>231.83924793388434</v>
      </c>
      <c r="BS90" s="98">
        <f>Hungary!BS94</f>
        <v>213.3736931588877</v>
      </c>
      <c r="BT90" s="98">
        <f>Hungary!BT94</f>
        <v>234.88777692008856</v>
      </c>
      <c r="BU90" s="98">
        <f>BQ90+BR90+BS90+BT90</f>
        <v>889.49549317328149</v>
      </c>
      <c r="BV90" s="98"/>
      <c r="BW90" s="98">
        <f>Hungary!BW94</f>
        <v>206.81442280230328</v>
      </c>
      <c r="BX90" s="98">
        <f>Hungary!BX94</f>
        <v>228.97918495361239</v>
      </c>
      <c r="BY90" s="98">
        <f>Hungary!BY94</f>
        <v>210.73853789942311</v>
      </c>
      <c r="BZ90" s="98">
        <f>Hungary!BZ94</f>
        <v>231.98372961339393</v>
      </c>
      <c r="CA90" s="98">
        <f>BW90+BX90+BY90+BZ90</f>
        <v>878.51587526873277</v>
      </c>
      <c r="CB90" s="98"/>
      <c r="CC90" s="98">
        <f>Hungary!CC94</f>
        <v>204.25463909838786</v>
      </c>
      <c r="CD90" s="98">
        <f>Hungary!CD94</f>
        <v>226.14192662194483</v>
      </c>
      <c r="CE90" s="98">
        <f>Hungary!CE94</f>
        <v>208.12439985022422</v>
      </c>
      <c r="CF90" s="98">
        <f>Hungary!CF94</f>
        <v>229.10285058534313</v>
      </c>
      <c r="CG90" s="98">
        <f>CC90+CD90+CE90+CF90</f>
        <v>867.62381615590004</v>
      </c>
      <c r="CH90" s="98"/>
      <c r="CI90" s="98">
        <f>Hungary!CI94</f>
        <v>201.71528287094148</v>
      </c>
      <c r="CJ90" s="98">
        <f>Hungary!CJ94</f>
        <v>223.32731639397011</v>
      </c>
      <c r="CK90" s="98">
        <f>Hungary!CK94</f>
        <v>205.53113471806981</v>
      </c>
      <c r="CL90" s="98">
        <f>Hungary!CL94</f>
        <v>226.24498075433252</v>
      </c>
      <c r="CM90" s="98">
        <f>CI90+CJ90+CK90+CL90</f>
        <v>856.81871473731394</v>
      </c>
      <c r="CN90" s="98"/>
      <c r="CO90" s="98">
        <f>Hungary!CO94</f>
        <v>199.19621383979216</v>
      </c>
      <c r="CP90" s="98">
        <f>Hungary!CP94</f>
        <v>220.53519872010955</v>
      </c>
      <c r="CQ90" s="98">
        <f>Hungary!CQ94</f>
        <v>202.95859912724077</v>
      </c>
      <c r="CR90" s="98">
        <f>Hungary!CR94</f>
        <v>223.40996205036743</v>
      </c>
      <c r="CS90" s="98">
        <f>CO90+CP90+CQ90+CR90</f>
        <v>846.09997373750991</v>
      </c>
      <c r="CT90" s="98"/>
      <c r="CU90" s="98">
        <f>Hungary!CU94</f>
        <v>196.69729261688252</v>
      </c>
      <c r="CV90" s="98">
        <f>Hungary!CV94</f>
        <v>217.76541904007777</v>
      </c>
      <c r="CW90" s="98">
        <f>Hungary!CW94</f>
        <v>200.40665061395197</v>
      </c>
      <c r="CX90" s="98">
        <f>Hungary!CX94</f>
        <v>220.59763740892313</v>
      </c>
      <c r="CY90" s="98">
        <f>CU90+CV90+CW90+CX90</f>
        <v>835.46699967983534</v>
      </c>
      <c r="CZ90" s="98"/>
      <c r="DA90" s="98">
        <f>Hungary!DA94</f>
        <v>194.21838070085596</v>
      </c>
      <c r="DB90" s="98">
        <f>Hungary!DB94</f>
        <v>215.01782377687832</v>
      </c>
      <c r="DC90" s="98">
        <f>Hungary!DC94</f>
        <v>197.8751476208179</v>
      </c>
      <c r="DD90" s="98">
        <f>Hungary!DD94</f>
        <v>217.80785076484199</v>
      </c>
      <c r="DE90" s="98">
        <f>DA90+DB90+DC90+DD90</f>
        <v>824.91920286339416</v>
      </c>
      <c r="DF90" s="98"/>
      <c r="DG90" s="98">
        <f>Hungary!DG94</f>
        <v>191.75934047167431</v>
      </c>
      <c r="DH90" s="98">
        <f>Hungary!DH94</f>
        <v>212.29226033083492</v>
      </c>
      <c r="DI90" s="98">
        <f>Hungary!DI94</f>
        <v>195.36394949134987</v>
      </c>
      <c r="DJ90" s="98">
        <f>Hungary!DJ94</f>
        <v>215.04044704626639</v>
      </c>
      <c r="DK90" s="98">
        <f>DG90+DH90+DI90+DJ90</f>
        <v>814.45599734012558</v>
      </c>
    </row>
    <row r="91" spans="2:115" x14ac:dyDescent="0.3">
      <c r="B91" s="6" t="s">
        <v>208</v>
      </c>
      <c r="I91" s="98">
        <f>O91/(1-2.4%)</f>
        <v>115.77868852459017</v>
      </c>
      <c r="J91" s="98">
        <f>P91/(1-2.4%)</f>
        <v>113.72950819672131</v>
      </c>
      <c r="K91" s="98">
        <f>Q91/(1-2.4%)</f>
        <v>114.75409836065575</v>
      </c>
      <c r="L91" s="98">
        <f>R91/(1-2.4%)</f>
        <v>115.77868852459017</v>
      </c>
      <c r="M91" s="98">
        <f>I91+J91+K91+L91</f>
        <v>460.0409836065574</v>
      </c>
      <c r="N91" s="98"/>
      <c r="O91" s="98">
        <f>Slovakia!O83</f>
        <v>113</v>
      </c>
      <c r="P91" s="98">
        <f>Slovakia!P83</f>
        <v>111</v>
      </c>
      <c r="Q91" s="98">
        <f>Slovakia!Q83</f>
        <v>112</v>
      </c>
      <c r="R91" s="98">
        <f>Slovakia!R83</f>
        <v>113</v>
      </c>
      <c r="S91" s="98">
        <f>O91+P91+Q91+R91</f>
        <v>449</v>
      </c>
      <c r="T91" s="98"/>
      <c r="U91" s="98">
        <f>Slovakia!U83</f>
        <v>113</v>
      </c>
      <c r="V91" s="98">
        <f>Slovakia!V83</f>
        <v>116</v>
      </c>
      <c r="W91" s="98">
        <f>Slovakia!W83</f>
        <v>119</v>
      </c>
      <c r="X91" s="98">
        <f>Slovakia!X83</f>
        <v>116</v>
      </c>
      <c r="Y91" s="98">
        <f>U91+V91+W91+X91</f>
        <v>464</v>
      </c>
      <c r="Z91" s="98">
        <f>Y91*0.49</f>
        <v>227.35999999999999</v>
      </c>
      <c r="AA91" s="98">
        <f>Slovakia!AA83</f>
        <v>102</v>
      </c>
      <c r="AB91" s="98">
        <f>Slovakia!AB83</f>
        <v>115</v>
      </c>
      <c r="AC91" s="98">
        <f>Slovakia!AC83</f>
        <v>105</v>
      </c>
      <c r="AD91" s="98">
        <f>Slovakia!AD83</f>
        <v>114</v>
      </c>
      <c r="AE91" s="98">
        <f>AA91+AB91+AC91+AD91</f>
        <v>436</v>
      </c>
      <c r="AF91" s="98">
        <f>AE91*0.49</f>
        <v>213.64</v>
      </c>
      <c r="AG91" s="98">
        <f>Slovakia!AG83</f>
        <v>99</v>
      </c>
      <c r="AH91" s="98">
        <f>Slovakia!AH83</f>
        <v>94</v>
      </c>
      <c r="AI91" s="98">
        <f>Slovakia!AI83</f>
        <v>97</v>
      </c>
      <c r="AJ91" s="98">
        <f>Slovakia!AJ83</f>
        <v>110</v>
      </c>
      <c r="AK91" s="98">
        <f>AG91+AH91+AI91+AJ91</f>
        <v>400</v>
      </c>
      <c r="AL91" s="98"/>
      <c r="AM91" s="98">
        <f>Slovakia!AM83</f>
        <v>91</v>
      </c>
      <c r="AN91" s="98">
        <f>Slovakia!AN83</f>
        <v>95</v>
      </c>
      <c r="AO91" s="98">
        <f>Slovakia!AO83</f>
        <v>98</v>
      </c>
      <c r="AP91" s="98">
        <f>Slovakia!AP83</f>
        <v>129</v>
      </c>
      <c r="AQ91" s="98">
        <f>AM91+AN91+AO91+AP91</f>
        <v>413</v>
      </c>
      <c r="AR91" s="98"/>
      <c r="AS91" s="98">
        <f>Slovakia!AS83</f>
        <v>103</v>
      </c>
      <c r="AT91" s="98">
        <f>Slovakia!AT83</f>
        <v>100</v>
      </c>
      <c r="AU91" s="98">
        <f>Slovakia!AU83</f>
        <v>101</v>
      </c>
      <c r="AV91" s="98">
        <f>Slovakia!AV83</f>
        <v>90</v>
      </c>
      <c r="AW91" s="98">
        <f>AS91+AT91+AU91+AV91</f>
        <v>394</v>
      </c>
      <c r="AX91" s="98"/>
      <c r="AY91" s="98">
        <f>Slovakia!AY83</f>
        <v>96</v>
      </c>
      <c r="AZ91" s="98">
        <f>Slovakia!AZ83</f>
        <v>97</v>
      </c>
      <c r="BA91" s="98">
        <f>Slovakia!BA83</f>
        <v>107</v>
      </c>
      <c r="BB91" s="98">
        <f>Slovakia!BB83</f>
        <v>122</v>
      </c>
      <c r="BC91" s="98">
        <f>AY91+AZ91+BA91+BB91</f>
        <v>422</v>
      </c>
      <c r="BD91" s="98"/>
      <c r="BE91" s="98">
        <f>Slovakia!BE83</f>
        <v>96</v>
      </c>
      <c r="BF91" s="98">
        <f>Slovakia!BF83</f>
        <v>96</v>
      </c>
      <c r="BG91" s="98">
        <f>Slovakia!BG83</f>
        <v>97</v>
      </c>
      <c r="BH91" s="98">
        <f>Slovakia!BH83</f>
        <v>109</v>
      </c>
      <c r="BI91" s="98">
        <f>BE91+BF91+BG91+BH91</f>
        <v>398</v>
      </c>
      <c r="BJ91" s="98"/>
      <c r="BK91" s="98">
        <f>Slovakia!BK83</f>
        <v>90</v>
      </c>
      <c r="BL91" s="98">
        <f>Slovakia!BL83</f>
        <v>94</v>
      </c>
      <c r="BM91" s="98">
        <f>Slovakia!BM83</f>
        <v>93</v>
      </c>
      <c r="BN91" s="98">
        <f>Slovakia!BN83</f>
        <v>101</v>
      </c>
      <c r="BO91" s="98">
        <f>BK91+BL91+BM91+BN91</f>
        <v>378</v>
      </c>
      <c r="BP91" s="98"/>
      <c r="BQ91" s="98">
        <f>Slovakia!BQ83</f>
        <v>81.617957746478865</v>
      </c>
      <c r="BR91" s="98">
        <f>Slovakia!BR83</f>
        <v>85.095026331187839</v>
      </c>
      <c r="BS91" s="98">
        <f>Slovakia!BS83</f>
        <v>86.578377192982458</v>
      </c>
      <c r="BT91" s="98">
        <f>Slovakia!BT83</f>
        <v>99.049868651488609</v>
      </c>
      <c r="BU91" s="98">
        <f>BQ91+BR91+BS91+BT91</f>
        <v>352.34122992213776</v>
      </c>
      <c r="BV91" s="98"/>
      <c r="BW91" s="98">
        <f>Slovakia!BW83</f>
        <v>80.721443661971833</v>
      </c>
      <c r="BX91" s="98">
        <f>Slovakia!BX83</f>
        <v>84.489114101813925</v>
      </c>
      <c r="BY91" s="98">
        <f>Slovakia!BY83</f>
        <v>85.862005263157897</v>
      </c>
      <c r="BZ91" s="98">
        <f>Slovakia!BZ83</f>
        <v>98.116281961471103</v>
      </c>
      <c r="CA91" s="98">
        <f>BW91+BX91+BY91+BZ91</f>
        <v>349.18884498841476</v>
      </c>
      <c r="CB91" s="98"/>
      <c r="CC91" s="98">
        <f>Slovakia!CC83</f>
        <v>80.271248371478862</v>
      </c>
      <c r="CD91" s="98">
        <f>Slovakia!CD83</f>
        <v>83.920380825043893</v>
      </c>
      <c r="CE91" s="98">
        <f>Slovakia!CE83</f>
        <v>85.184920598684201</v>
      </c>
      <c r="CF91" s="98">
        <f>Slovakia!CF83</f>
        <v>97.229308496059559</v>
      </c>
      <c r="CG91" s="98">
        <f>CC91+CD91+CE91+CF91</f>
        <v>346.60585829126649</v>
      </c>
      <c r="CH91" s="98"/>
      <c r="CI91" s="98">
        <f>Slovakia!CI83</f>
        <v>79.851955721830976</v>
      </c>
      <c r="CJ91" s="98">
        <f>Slovakia!CJ83</f>
        <v>83.383992568753655</v>
      </c>
      <c r="CK91" s="98">
        <f>Slovakia!CK83</f>
        <v>84.540706539473675</v>
      </c>
      <c r="CL91" s="98">
        <f>Slovakia!CL83</f>
        <v>96.379896948336281</v>
      </c>
      <c r="CM91" s="98">
        <f>CI91+CJ91+CK91+CL91</f>
        <v>344.1565517783946</v>
      </c>
      <c r="CN91" s="98"/>
      <c r="CO91" s="98">
        <f>Slovakia!CO83</f>
        <v>79.502079299735911</v>
      </c>
      <c r="CP91" s="98">
        <f>Slovakia!CP83</f>
        <v>83.016810426038617</v>
      </c>
      <c r="CQ91" s="98">
        <f>Slovakia!CQ83</f>
        <v>84.166566835855249</v>
      </c>
      <c r="CR91" s="98">
        <f>Slovakia!CR83</f>
        <v>95.95122725391856</v>
      </c>
      <c r="CS91" s="98">
        <f>CO91+CP91+CQ91+CR91</f>
        <v>342.63668381554834</v>
      </c>
      <c r="CT91" s="98"/>
      <c r="CU91" s="98">
        <f>Slovakia!CU83</f>
        <v>79.540472530021987</v>
      </c>
      <c r="CV91" s="98">
        <f>Slovakia!CV83</f>
        <v>83.055035403684613</v>
      </c>
      <c r="CW91" s="98">
        <f>Slovakia!CW83</f>
        <v>84.203420835534871</v>
      </c>
      <c r="CX91" s="98">
        <f>Slovakia!CX83</f>
        <v>95.991064655506776</v>
      </c>
      <c r="CY91" s="98">
        <f>CU91+CV91+CW91+CX91</f>
        <v>342.78999342474822</v>
      </c>
      <c r="CZ91" s="98"/>
      <c r="DA91" s="98">
        <f>Slovakia!DA83</f>
        <v>79.571683416983845</v>
      </c>
      <c r="DB91" s="98">
        <f>Slovakia!DB83</f>
        <v>83.085723199840913</v>
      </c>
      <c r="DC91" s="98">
        <f>Slovakia!DC83</f>
        <v>84.232595258524469</v>
      </c>
      <c r="DD91" s="98">
        <f>Slovakia!DD83</f>
        <v>96.022103682401365</v>
      </c>
      <c r="DE91" s="98">
        <f>DA91+DB91+DC91+DD91</f>
        <v>342.91210555775058</v>
      </c>
      <c r="DF91" s="98"/>
      <c r="DG91" s="98">
        <f>Slovakia!DG83</f>
        <v>79.59556447443191</v>
      </c>
      <c r="DH91" s="98">
        <f>Slovakia!DH83</f>
        <v>83.108719248379984</v>
      </c>
      <c r="DI91" s="98">
        <f>Slovakia!DI83</f>
        <v>84.25393282789031</v>
      </c>
      <c r="DJ91" s="98">
        <f>Slovakia!DJ83</f>
        <v>96.044164383368312</v>
      </c>
      <c r="DK91" s="98">
        <f>DG91+DH91+DI91+DJ91</f>
        <v>343.00238093407052</v>
      </c>
    </row>
    <row r="92" spans="2:115" x14ac:dyDescent="0.3">
      <c r="B92" s="6" t="s">
        <v>209</v>
      </c>
      <c r="I92" s="98">
        <f>O92/(1-4.6%)</f>
        <v>178.19706498951783</v>
      </c>
      <c r="J92" s="98">
        <f>P92/(1-4.6%)</f>
        <v>177.14884696016773</v>
      </c>
      <c r="K92" s="98">
        <f>Q92/(1-4.6%)</f>
        <v>186.58280922431868</v>
      </c>
      <c r="L92" s="98">
        <f>R92/(1-4.6%)</f>
        <v>178.19706498951783</v>
      </c>
      <c r="M92" s="98">
        <f>I92+J92+K92+L92</f>
        <v>720.12578616352209</v>
      </c>
      <c r="N92" s="98"/>
      <c r="O92" s="98">
        <f>Croatia!O94</f>
        <v>170</v>
      </c>
      <c r="P92" s="98">
        <f>Croatia!P94</f>
        <v>169</v>
      </c>
      <c r="Q92" s="98">
        <f>Croatia!Q94</f>
        <v>178</v>
      </c>
      <c r="R92" s="98">
        <f>Croatia!R94</f>
        <v>170</v>
      </c>
      <c r="S92" s="98">
        <f>O92+P92+Q92+R92</f>
        <v>687</v>
      </c>
      <c r="T92" s="98"/>
      <c r="U92" s="98">
        <f>Croatia!U94</f>
        <v>162</v>
      </c>
      <c r="V92" s="98">
        <f>Croatia!V94</f>
        <v>170</v>
      </c>
      <c r="W92" s="98">
        <f>Croatia!W94</f>
        <v>177</v>
      </c>
      <c r="X92" s="98">
        <f>Croatia!X94</f>
        <v>174</v>
      </c>
      <c r="Y92" s="98">
        <f>U92+V92+W92+X92</f>
        <v>683</v>
      </c>
      <c r="Z92" s="98">
        <f>Y92*0.49</f>
        <v>334.67</v>
      </c>
      <c r="AA92" s="98">
        <f>Croatia!AA94</f>
        <v>155</v>
      </c>
      <c r="AB92" s="98">
        <f>Croatia!AB94</f>
        <v>158</v>
      </c>
      <c r="AC92" s="98">
        <f>Croatia!AC94</f>
        <v>173</v>
      </c>
      <c r="AD92" s="98">
        <f>Croatia!AD94</f>
        <v>160</v>
      </c>
      <c r="AE92" s="98">
        <f>AA92+AB92+AC92+AD92</f>
        <v>646</v>
      </c>
      <c r="AF92" s="98">
        <f>AE92*0.49</f>
        <v>316.54000000000002</v>
      </c>
      <c r="AG92" s="98">
        <f>Croatia!AG94</f>
        <v>144</v>
      </c>
      <c r="AH92" s="98">
        <f>Croatia!AH94</f>
        <v>144</v>
      </c>
      <c r="AI92" s="98">
        <f>Croatia!AI94</f>
        <v>145</v>
      </c>
      <c r="AJ92" s="98">
        <f>Croatia!AJ94</f>
        <v>144</v>
      </c>
      <c r="AK92" s="98">
        <f>AG92+AH92+AI92+AJ92</f>
        <v>577</v>
      </c>
      <c r="AL92" s="98"/>
      <c r="AM92" s="98">
        <f>Croatia!AM94</f>
        <v>135</v>
      </c>
      <c r="AN92" s="98">
        <f>Croatia!AN94</f>
        <v>138</v>
      </c>
      <c r="AO92" s="98">
        <f>Croatia!AO94</f>
        <v>137</v>
      </c>
      <c r="AP92" s="98">
        <f>Croatia!AP94</f>
        <v>145</v>
      </c>
      <c r="AQ92" s="98">
        <f>AM92+AN92+AO92+AP92</f>
        <v>555</v>
      </c>
      <c r="AR92" s="98"/>
      <c r="AS92" s="98">
        <f>Croatia!AS94</f>
        <v>127</v>
      </c>
      <c r="AT92" s="98">
        <f>Croatia!AT94</f>
        <v>130</v>
      </c>
      <c r="AU92" s="98">
        <f>Croatia!AU94</f>
        <v>141</v>
      </c>
      <c r="AV92" s="98">
        <f>Croatia!AV94</f>
        <v>139</v>
      </c>
      <c r="AW92" s="98">
        <f>AS92+AT92+AU92+AV92</f>
        <v>537</v>
      </c>
      <c r="AX92" s="98"/>
      <c r="AY92" s="98">
        <f>Croatia!AY94</f>
        <v>129</v>
      </c>
      <c r="AZ92" s="98">
        <f>Croatia!AZ94</f>
        <v>139</v>
      </c>
      <c r="BA92" s="98">
        <f>Croatia!BA94</f>
        <v>146</v>
      </c>
      <c r="BB92" s="98">
        <f>Croatia!BB94</f>
        <v>136</v>
      </c>
      <c r="BC92" s="98">
        <f>AY92+AZ92+BA92+BB92</f>
        <v>550</v>
      </c>
      <c r="BD92" s="98"/>
      <c r="BE92" s="98">
        <f>Croatia!BE94</f>
        <v>134</v>
      </c>
      <c r="BF92" s="98">
        <f>Croatia!BF94</f>
        <v>137</v>
      </c>
      <c r="BG92" s="98">
        <f>Croatia!BG94</f>
        <v>136</v>
      </c>
      <c r="BH92" s="98">
        <f>Croatia!BH94</f>
        <v>144</v>
      </c>
      <c r="BI92" s="98">
        <f>BE92+BF92+BG92+BH92</f>
        <v>551</v>
      </c>
      <c r="BJ92" s="98"/>
      <c r="BK92" s="98">
        <f>Croatia!BK94</f>
        <v>133</v>
      </c>
      <c r="BL92" s="98">
        <f>Croatia!BL94</f>
        <v>134</v>
      </c>
      <c r="BM92" s="98">
        <f>Croatia!BM94</f>
        <v>144</v>
      </c>
      <c r="BN92" s="98">
        <f>Croatia!BN94</f>
        <v>141</v>
      </c>
      <c r="BO92" s="98">
        <f>BK92+BL92+BM92+BN92</f>
        <v>552</v>
      </c>
      <c r="BP92" s="98"/>
      <c r="BQ92" s="98">
        <f>Croatia!BQ94</f>
        <v>128.23217489212243</v>
      </c>
      <c r="BR92" s="98">
        <f>Croatia!BR94</f>
        <v>129.4005525662285</v>
      </c>
      <c r="BS92" s="98">
        <f>Croatia!BS94</f>
        <v>139.22676617142855</v>
      </c>
      <c r="BT92" s="98">
        <f>Croatia!BT94</f>
        <v>139.07003209891806</v>
      </c>
      <c r="BU92" s="98">
        <f>BQ92+BR92+BS92+BT92</f>
        <v>535.92952572869751</v>
      </c>
      <c r="BV92" s="98"/>
      <c r="BW92" s="98">
        <f>Croatia!BW94</f>
        <v>126.17248710888109</v>
      </c>
      <c r="BX92" s="98">
        <f>Croatia!BX94</f>
        <v>127.44809885945398</v>
      </c>
      <c r="BY92" s="98">
        <f>Croatia!BY94</f>
        <v>137.26275222857143</v>
      </c>
      <c r="BZ92" s="98">
        <f>Croatia!BZ94</f>
        <v>137.24592359814528</v>
      </c>
      <c r="CA92" s="98">
        <f>BW92+BX92+BY92+BZ92</f>
        <v>528.12926179505178</v>
      </c>
      <c r="CB92" s="98"/>
      <c r="CC92" s="98">
        <f>Croatia!CC94</f>
        <v>125.89077497336682</v>
      </c>
      <c r="CD92" s="98">
        <f>Croatia!CD94</f>
        <v>127.29459560250756</v>
      </c>
      <c r="CE92" s="98">
        <f>Croatia!CE94</f>
        <v>137.2394750262857</v>
      </c>
      <c r="CF92" s="98">
        <f>Croatia!CF94</f>
        <v>137.36558511579599</v>
      </c>
      <c r="CG92" s="98">
        <f>CC92+CD92+CE92+CF92</f>
        <v>527.79043071795604</v>
      </c>
      <c r="CH92" s="98"/>
      <c r="CI92" s="98">
        <f>Croatia!CI94</f>
        <v>126.06525046106978</v>
      </c>
      <c r="CJ92" s="98">
        <f>Croatia!CJ94</f>
        <v>127.46867368196398</v>
      </c>
      <c r="CK92" s="98">
        <f>Croatia!CK94</f>
        <v>137.42461607396567</v>
      </c>
      <c r="CL92" s="98">
        <f>Croatia!CL94</f>
        <v>137.54834619470543</v>
      </c>
      <c r="CM92" s="98">
        <f>CI92+CJ92+CK92+CL92</f>
        <v>528.50688641170484</v>
      </c>
      <c r="CN92" s="98"/>
      <c r="CO92" s="98">
        <f>Croatia!CO94</f>
        <v>126.23062638102945</v>
      </c>
      <c r="CP92" s="98">
        <f>Croatia!CP94</f>
        <v>127.63350386344926</v>
      </c>
      <c r="CQ92" s="98">
        <f>Croatia!CQ94</f>
        <v>137.59973599509664</v>
      </c>
      <c r="CR92" s="98">
        <f>Croatia!CR94</f>
        <v>137.72102593668149</v>
      </c>
      <c r="CS92" s="98">
        <f>CO92+CP92+CQ92+CR92</f>
        <v>529.18489217625688</v>
      </c>
      <c r="CT92" s="98"/>
      <c r="CU92" s="98">
        <f>Croatia!CU94</f>
        <v>126.38670329434224</v>
      </c>
      <c r="CV92" s="98">
        <f>Croatia!CV94</f>
        <v>127.78888378119611</v>
      </c>
      <c r="CW92" s="98">
        <f>Croatia!CW94</f>
        <v>137.76461585304287</v>
      </c>
      <c r="CX92" s="98">
        <f>Croatia!CX94</f>
        <v>137.88340443887753</v>
      </c>
      <c r="CY92" s="98">
        <f>CU92+CV92+CW92+CX92</f>
        <v>529.82360736745875</v>
      </c>
      <c r="CZ92" s="98"/>
      <c r="DA92" s="98">
        <f>Croatia!DA94</f>
        <v>126.53327868328316</v>
      </c>
      <c r="DB92" s="98">
        <f>Croatia!DB94</f>
        <v>127.9346079469115</v>
      </c>
      <c r="DC92" s="98">
        <f>Croatia!DC94</f>
        <v>137.91903333454846</v>
      </c>
      <c r="DD92" s="98">
        <f>Croatia!DD94</f>
        <v>138.03525840852387</v>
      </c>
      <c r="DE92" s="98">
        <f>DA92+DB92+DC92+DD92</f>
        <v>530.422178373267</v>
      </c>
      <c r="DF92" s="98"/>
      <c r="DG92" s="98">
        <f>Croatia!DG94</f>
        <v>126.67014690967348</v>
      </c>
      <c r="DH92" s="98">
        <f>Croatia!DH94</f>
        <v>128.07046770756307</v>
      </c>
      <c r="DI92" s="98">
        <f>Croatia!DI94</f>
        <v>138.06276270409887</v>
      </c>
      <c r="DJ92" s="98">
        <f>Croatia!DJ94</f>
        <v>138.17636111711928</v>
      </c>
      <c r="DK92" s="98">
        <f>DG92+DH92+DI92+DJ92</f>
        <v>530.97973843845466</v>
      </c>
    </row>
    <row r="93" spans="2:115" x14ac:dyDescent="0.3">
      <c r="I93" s="98"/>
      <c r="J93" s="98"/>
      <c r="K93" s="98"/>
      <c r="L93" s="98"/>
      <c r="M93" s="98"/>
      <c r="N93" s="98"/>
      <c r="O93" s="98"/>
      <c r="P93" s="98"/>
      <c r="Q93" s="98"/>
      <c r="R93" s="98"/>
      <c r="S93" s="98"/>
      <c r="T93" s="98"/>
      <c r="U93" s="98"/>
      <c r="V93" s="98"/>
      <c r="W93" s="98"/>
      <c r="X93" s="98"/>
      <c r="Y93" s="98"/>
      <c r="Z93" s="98"/>
      <c r="AA93" s="98"/>
      <c r="AB93" s="98"/>
      <c r="AC93" s="98"/>
      <c r="AD93" s="98"/>
      <c r="AE93" s="98"/>
      <c r="AF93" s="98"/>
      <c r="AG93" s="98"/>
      <c r="AH93" s="98"/>
      <c r="AI93" s="98"/>
      <c r="AJ93" s="98"/>
      <c r="AK93" s="98"/>
      <c r="AL93" s="98"/>
      <c r="AM93" s="98"/>
      <c r="AN93" s="98"/>
      <c r="AO93" s="98"/>
      <c r="AP93" s="98"/>
      <c r="AQ93" s="98"/>
      <c r="AR93" s="98"/>
      <c r="AS93" s="98"/>
      <c r="AT93" s="98"/>
      <c r="AU93" s="98"/>
      <c r="AV93" s="98"/>
      <c r="AW93" s="98"/>
      <c r="AX93" s="98"/>
      <c r="AY93" s="98"/>
      <c r="AZ93" s="98"/>
      <c r="BA93" s="98"/>
      <c r="BB93" s="98"/>
      <c r="BC93" s="98"/>
      <c r="BD93" s="98"/>
      <c r="BE93" s="98"/>
      <c r="BF93" s="98"/>
      <c r="BG93" s="98"/>
      <c r="BH93" s="98"/>
      <c r="BI93" s="98"/>
      <c r="BJ93" s="98"/>
      <c r="BK93" s="98"/>
      <c r="BL93" s="98"/>
      <c r="BM93" s="98"/>
      <c r="BN93" s="98"/>
      <c r="BO93" s="98"/>
      <c r="BP93" s="98"/>
      <c r="BQ93" s="98"/>
      <c r="BR93" s="98"/>
      <c r="BS93" s="98"/>
      <c r="BT93" s="98"/>
      <c r="BU93" s="98"/>
      <c r="BV93" s="98"/>
      <c r="BW93" s="98"/>
      <c r="BX93" s="98"/>
      <c r="BY93" s="98"/>
      <c r="BZ93" s="98"/>
      <c r="CA93" s="98"/>
      <c r="CB93" s="98"/>
      <c r="CC93" s="98"/>
      <c r="CD93" s="98"/>
      <c r="CE93" s="98"/>
      <c r="CF93" s="98"/>
      <c r="CG93" s="98"/>
      <c r="CH93" s="98"/>
      <c r="CI93" s="98"/>
      <c r="CJ93" s="98"/>
      <c r="CK93" s="98"/>
      <c r="CL93" s="98"/>
      <c r="CM93" s="98"/>
      <c r="CN93" s="98"/>
      <c r="CO93" s="98"/>
      <c r="CP93" s="98"/>
      <c r="CQ93" s="98"/>
      <c r="CR93" s="98"/>
      <c r="CS93" s="98"/>
      <c r="CT93" s="98"/>
      <c r="CU93" s="98"/>
      <c r="CV93" s="98"/>
      <c r="CW93" s="98"/>
      <c r="CX93" s="98"/>
      <c r="CY93" s="98"/>
      <c r="CZ93" s="98"/>
      <c r="DA93" s="98"/>
      <c r="DB93" s="98"/>
      <c r="DC93" s="98"/>
      <c r="DD93" s="98"/>
      <c r="DE93" s="98"/>
      <c r="DF93" s="98"/>
      <c r="DG93" s="98"/>
      <c r="DH93" s="98"/>
      <c r="DI93" s="98"/>
      <c r="DJ93" s="98"/>
      <c r="DK93" s="98"/>
    </row>
    <row r="94" spans="2:115" x14ac:dyDescent="0.3">
      <c r="B94" s="1" t="s">
        <v>238</v>
      </c>
      <c r="I94" s="98">
        <f>I96-I82-I83-I84-I85-I86-I87-I88-I90-I91-I92</f>
        <v>1051.8050817877242</v>
      </c>
      <c r="J94" s="98">
        <f>J96-J82-J83-J84-J85-J86-J87-J88-J90-J91-J92</f>
        <v>1067.3647195475901</v>
      </c>
      <c r="K94" s="98">
        <f>K96-K82-K83-K84-K85-K86-K87-K88-K90-K91-K92</f>
        <v>995.4387872738173</v>
      </c>
      <c r="L94" s="98">
        <f>L96-L82-L83-L84-L85-L86-L87-L88-L90-L91-L92</f>
        <v>887.34698994975645</v>
      </c>
      <c r="M94" s="98">
        <f>I94+J94+K94+L94</f>
        <v>4001.9555785588877</v>
      </c>
      <c r="N94" s="98"/>
      <c r="O94" s="98">
        <f>O96-O82-O83-O84-O85-O86-O87-O88-O90-O91-O92</f>
        <v>2039</v>
      </c>
      <c r="P94" s="98">
        <f>P96-P82-P83-P84-P85-P86-P87-P88-P90-P91-P92</f>
        <v>2613</v>
      </c>
      <c r="Q94" s="98">
        <f>Q96-Q82-Q83-Q84-Q85-Q86-Q87-Q88-Q90-Q91-Q92</f>
        <v>2604</v>
      </c>
      <c r="R94" s="98">
        <f>R96-R82-R83-R84-R85-R86-R87-R88-R90-R91-R92</f>
        <v>2590</v>
      </c>
      <c r="S94" s="98">
        <f>O94+P94+Q94+R94</f>
        <v>9846</v>
      </c>
      <c r="T94" s="98"/>
      <c r="U94" s="98">
        <f>U96-U82-U83-U84-U85-U86-U87-U88-U90-U91-U92</f>
        <v>2435</v>
      </c>
      <c r="V94" s="98">
        <f>V96-V82-V83-V84-V85-V86-V87-V88-V90-V91-V92</f>
        <v>1643</v>
      </c>
      <c r="W94" s="98">
        <f>W96-W82-W83-W84-W85-W86-W87-W88-W90-W91-W92</f>
        <v>1689</v>
      </c>
      <c r="X94" s="98">
        <f>X96-X82-X83-X84-X85-X86-X87-X88-X90-X91-X92</f>
        <v>1620.3832499999999</v>
      </c>
      <c r="Y94" s="98">
        <f>U94+V94+W94+X94</f>
        <v>7387.3832499999999</v>
      </c>
      <c r="Z94" s="98"/>
      <c r="AA94" s="98">
        <f>AA96-AA82-AA83-AA84-AA85-AA86-AA87-AA88-AA90-AA91-AA92</f>
        <v>1495</v>
      </c>
      <c r="AB94" s="98">
        <f>AB96-AB82-AB83-AB84-AB85-AB86-AB87-AB88-AB90-AB91-AB92</f>
        <v>1540</v>
      </c>
      <c r="AC94" s="98">
        <f>AC96-AC82-AC83-AC84-AC85-AC86-AC87-AC88-AC90-AC91-AC92</f>
        <v>1616</v>
      </c>
      <c r="AD94" s="98">
        <f>AD96-AD82-AD83-AD84-AD85-AD86-AD87-AD88-AD90-AD91-AD92</f>
        <v>1626.7094999999997</v>
      </c>
      <c r="AE94" s="98">
        <f>AA94+AB94+AC94+AD94</f>
        <v>6277.7094999999999</v>
      </c>
      <c r="AF94" s="98"/>
      <c r="AG94" s="98">
        <f>AG96-AG82-AG83-AG84-AG85-AG86-AG87-AG88-AG90-AG91-AG92</f>
        <v>1479</v>
      </c>
      <c r="AH94" s="98">
        <f>AH96-AH82-AH83-AH84-AH85-AH86-AH87-AH88-AH90-AH91-AH92</f>
        <v>1491</v>
      </c>
      <c r="AI94" s="98">
        <f>AI96-AI82-AI83-AI84-AI85-AI86-AI87-AI88-AI90-AI91-AI92</f>
        <v>1490</v>
      </c>
      <c r="AJ94" s="98">
        <f>AJ96-AJ82-AJ83-AJ84-AJ85-AJ86-AJ87-AJ88-AJ90-AJ91-AJ92</f>
        <v>1501.9880000000001</v>
      </c>
      <c r="AK94" s="98">
        <f>AG94+AH94+AI94+AJ94</f>
        <v>5961.9880000000003</v>
      </c>
      <c r="AL94" s="98"/>
      <c r="AM94" s="98">
        <f>AM96-AM82-AM83-AM84-AM85-AM86-AM87-AM88-AM90-AM91-AM92</f>
        <v>1316</v>
      </c>
      <c r="AN94" s="98">
        <f>AN96-AN82-AN83-AN84-AN85-AN86-AN87-AN88-AN90-AN91-AN92</f>
        <v>1356</v>
      </c>
      <c r="AO94" s="98">
        <f>AO96-AO82-AO83-AO84-AO85-AO86-AO87-AO88-AO90-AO91-AO92</f>
        <v>1355</v>
      </c>
      <c r="AP94" s="98">
        <f>AJ94*(1-7.5%)</f>
        <v>1389.3389000000002</v>
      </c>
      <c r="AQ94" s="98">
        <f>AM94+AN94+AO94+AP94</f>
        <v>5416.3389000000006</v>
      </c>
      <c r="AR94" s="98"/>
      <c r="AS94" s="98">
        <f>AS96-AS82-AS83-AS84-AS85-AS86-AS87-AS88-AS90-AS91-AS92</f>
        <v>1203</v>
      </c>
      <c r="AT94" s="98">
        <f>AT96-AT82-AT83-AT84-AT85-AT86-AT87-AT88-AT90-AT91-AT92</f>
        <v>1226</v>
      </c>
      <c r="AU94" s="98">
        <f>AU96-AU82-AU83-AU84-AU85-AU86-AU87-AU88-AU90-AU91-AU92</f>
        <v>1324</v>
      </c>
      <c r="AV94" s="98">
        <f>AV96-AV82-AV83-AV84-AV85-AV86-AV87-AV88-AV90-AV91-AV92</f>
        <v>1334</v>
      </c>
      <c r="AW94" s="98">
        <f>AS94+AT94+AU94+AV94</f>
        <v>5087</v>
      </c>
      <c r="AX94" s="98"/>
      <c r="AY94" s="98">
        <f>AY96-AY82-AY83-AY84-AY85-AY86-AY87-AY88-AY90-AY91-AY92</f>
        <v>1164</v>
      </c>
      <c r="AZ94" s="98">
        <f>AZ96-AZ82-AZ83-AZ84-AZ85-AZ86-AZ87-AZ88-AZ90-AZ91-AZ92</f>
        <v>1164</v>
      </c>
      <c r="BA94" s="98">
        <f>BA96-BA82-BA83-BA84-BA85-BA86-BA87-BA88-BA90-BA91-BA92</f>
        <v>1195</v>
      </c>
      <c r="BB94" s="98">
        <f>BB96-BB82-BB83-BB84-BB85-BB86-BB87-BB88-BB90-BB91-BB92</f>
        <v>1236</v>
      </c>
      <c r="BC94" s="98">
        <f>AY94+AZ94+BA94+BB94</f>
        <v>4759</v>
      </c>
      <c r="BD94" s="98"/>
      <c r="BE94" s="98">
        <f>BE96-BE82-BE83-BE84-BE85-BE86-BE87-BE88-BE90-BE91-BE92</f>
        <v>1138</v>
      </c>
      <c r="BF94" s="98">
        <f>BF96-BF82-BF83-BF84-BF85-BF86-BF87-BF88-BF90-BF91-BF92</f>
        <v>1186</v>
      </c>
      <c r="BG94" s="98">
        <f>BG96-BG82-BG83-BG84-BG85-BG86-BG87-BG88-BG90-BG91-BG92</f>
        <v>1225.3000000000002</v>
      </c>
      <c r="BH94" s="98">
        <f>BH96-BH82-BH83-BH84-BH85-BH86-BH87-BH88-BH90-BH91-BH92</f>
        <v>1238.3000000000002</v>
      </c>
      <c r="BI94" s="98">
        <f>BE94+BF94+BG94+BH94</f>
        <v>4787.6000000000004</v>
      </c>
      <c r="BJ94" s="98"/>
      <c r="BK94" s="98">
        <f>BK96-BK82-BK83-BK84-BK85-BK86-BK87-BK88-BK90-BK91-BK92</f>
        <v>1131</v>
      </c>
      <c r="BL94" s="98">
        <f>BL96-BL82-BL83-BL84-BL85-BL86-BL87-BL88-BL90-BL91-BL92</f>
        <v>1148</v>
      </c>
      <c r="BM94" s="98">
        <f>BM96-BM82-BM83-BM84-BM85-BM86-BM87-BM88-BM90-BM91-BM92</f>
        <v>1185</v>
      </c>
      <c r="BN94" s="98">
        <f>BN96-BN82-BN83-BN84-BN85-BN86-BN87-BN88-BN90-BN91-BN92</f>
        <v>1197</v>
      </c>
      <c r="BO94" s="98">
        <f>BK94+BL94+BM94+BN94</f>
        <v>4661</v>
      </c>
      <c r="BP94" s="98"/>
      <c r="BQ94" s="98">
        <f>BK94*0.97</f>
        <v>1097.07</v>
      </c>
      <c r="BR94" s="98">
        <f>BL94*0.975</f>
        <v>1119.3</v>
      </c>
      <c r="BS94" s="98">
        <f>BM94*0.98</f>
        <v>1161.3</v>
      </c>
      <c r="BT94" s="98">
        <f>BN94*0.99</f>
        <v>1185.03</v>
      </c>
      <c r="BU94" s="98">
        <f>BQ94+BR94+BS94+BT94</f>
        <v>4562.7</v>
      </c>
      <c r="BV94" s="98"/>
      <c r="BW94" s="98">
        <f>BQ94*1</f>
        <v>1097.07</v>
      </c>
      <c r="BX94" s="98">
        <f>BR94*1</f>
        <v>1119.3</v>
      </c>
      <c r="BY94" s="98">
        <f>BS94*1.005</f>
        <v>1167.1064999999999</v>
      </c>
      <c r="BZ94" s="98">
        <f>BT94*1.005</f>
        <v>1190.9551499999998</v>
      </c>
      <c r="CA94" s="98">
        <f>BW94+BX94+BY94+BZ94</f>
        <v>4574.4316499999995</v>
      </c>
      <c r="CB94" s="98"/>
      <c r="CC94" s="98">
        <f>BW94*1.005</f>
        <v>1102.5553499999999</v>
      </c>
      <c r="CD94" s="98">
        <f>BX94*1.005</f>
        <v>1124.8964999999998</v>
      </c>
      <c r="CE94" s="98">
        <f>BY94*1.005</f>
        <v>1172.9420324999996</v>
      </c>
      <c r="CF94" s="98">
        <f>BZ94*1.005</f>
        <v>1196.9099257499997</v>
      </c>
      <c r="CG94" s="98">
        <f>CC94+CD94+CE94+CF94</f>
        <v>4597.3038082499988</v>
      </c>
      <c r="CH94" s="98"/>
      <c r="CI94" s="98">
        <f>CC94*1.005</f>
        <v>1108.0681267499997</v>
      </c>
      <c r="CJ94" s="98">
        <f>CD94*1.005</f>
        <v>1130.5209824999997</v>
      </c>
      <c r="CK94" s="98">
        <f>CE94*1.005</f>
        <v>1178.8067426624996</v>
      </c>
      <c r="CL94" s="98">
        <f>CF94*1.005</f>
        <v>1202.8944753787496</v>
      </c>
      <c r="CM94" s="98">
        <f>CI94+CJ94+CK94+CL94</f>
        <v>4620.2903272912481</v>
      </c>
      <c r="CN94" s="98"/>
      <c r="CO94" s="98">
        <f>CI94*1.005</f>
        <v>1113.6084673837495</v>
      </c>
      <c r="CP94" s="98">
        <f>CJ94*1.005</f>
        <v>1136.1735874124995</v>
      </c>
      <c r="CQ94" s="98">
        <f>CK94*1.005</f>
        <v>1184.700776375812</v>
      </c>
      <c r="CR94" s="98">
        <f>CL94*1.005</f>
        <v>1208.9089477556431</v>
      </c>
      <c r="CS94" s="98">
        <f>CO94+CP94+CQ94+CR94</f>
        <v>4643.3917789277039</v>
      </c>
      <c r="CT94" s="98"/>
      <c r="CU94" s="98">
        <f>CO94*1.005</f>
        <v>1119.176509720668</v>
      </c>
      <c r="CV94" s="98">
        <f>CP94*1.005</f>
        <v>1141.8544553495619</v>
      </c>
      <c r="CW94" s="98">
        <f>CQ94*1.005</f>
        <v>1190.624280257691</v>
      </c>
      <c r="CX94" s="98">
        <f>CR94*1.005</f>
        <v>1214.9534924944212</v>
      </c>
      <c r="CY94" s="98">
        <f>CU94+CV94+CW94+CX94</f>
        <v>4666.6087378223419</v>
      </c>
      <c r="CZ94" s="98"/>
      <c r="DA94" s="98">
        <f>CU94*1.005</f>
        <v>1124.7723922692712</v>
      </c>
      <c r="DB94" s="98">
        <f>CV94*1.005</f>
        <v>1147.5637276263096</v>
      </c>
      <c r="DC94" s="98">
        <f>CW94*1.005</f>
        <v>1196.5774016589794</v>
      </c>
      <c r="DD94" s="98">
        <f>CX94*1.005</f>
        <v>1221.0282599568932</v>
      </c>
      <c r="DE94" s="98">
        <f>DA94+DB94+DC94+DD94</f>
        <v>4689.9417815114539</v>
      </c>
      <c r="DF94" s="98"/>
      <c r="DG94" s="98">
        <f>DA94*1.005</f>
        <v>1130.3962542306174</v>
      </c>
      <c r="DH94" s="98">
        <f>DB94*1.005</f>
        <v>1153.301546264441</v>
      </c>
      <c r="DI94" s="98">
        <f>DC94*1.005</f>
        <v>1202.5602886672741</v>
      </c>
      <c r="DJ94" s="98">
        <f>DD94*1.005</f>
        <v>1227.1334012566774</v>
      </c>
      <c r="DK94" s="98">
        <f>DG94+DH94+DI94+DJ94</f>
        <v>4713.3914904190096</v>
      </c>
    </row>
    <row r="95" spans="2:115" x14ac:dyDescent="0.3">
      <c r="I95" s="98"/>
      <c r="J95" s="98"/>
      <c r="K95" s="98"/>
      <c r="L95" s="98"/>
      <c r="M95" s="98"/>
      <c r="N95" s="98"/>
      <c r="O95" s="98"/>
      <c r="P95" s="98"/>
      <c r="Q95" s="98"/>
      <c r="R95" s="98"/>
      <c r="S95" s="98"/>
      <c r="T95" s="98"/>
      <c r="U95" s="98"/>
      <c r="V95" s="98"/>
      <c r="W95" s="98"/>
      <c r="X95" s="98"/>
      <c r="Y95" s="98"/>
      <c r="Z95" s="98"/>
      <c r="AA95" s="36">
        <f>AA94/U94-1</f>
        <v>-0.38603696098562623</v>
      </c>
      <c r="AB95" s="36">
        <f>AB94/V94-1</f>
        <v>-6.2690200852099864E-2</v>
      </c>
      <c r="AC95" s="36">
        <f>AC94/W94-1</f>
        <v>-4.3220840734162214E-2</v>
      </c>
      <c r="AD95" s="36">
        <f>AD94/X94-1</f>
        <v>3.9041689674339519E-3</v>
      </c>
      <c r="AE95" s="98"/>
      <c r="AF95" s="98"/>
      <c r="AG95" s="36">
        <f>AG94/AA94-1</f>
        <v>-1.0702341137123761E-2</v>
      </c>
      <c r="AH95" s="36">
        <f>AH94/AB94-1</f>
        <v>-3.1818181818181857E-2</v>
      </c>
      <c r="AI95" s="36">
        <f>AI94/AC94-1</f>
        <v>-7.7970297029702929E-2</v>
      </c>
      <c r="AJ95" s="36">
        <f>AJ94/AD94-1</f>
        <v>-7.6671034379524827E-2</v>
      </c>
      <c r="AK95" s="98"/>
      <c r="AL95" s="98"/>
      <c r="AM95" s="36">
        <f>AM94/AG94-1</f>
        <v>-0.11020960108181199</v>
      </c>
      <c r="AN95" s="36">
        <f>AN94/AH94-1</f>
        <v>-9.0543259557344102E-2</v>
      </c>
      <c r="AO95" s="36">
        <f>AO94/AI94-1</f>
        <v>-9.060402684563762E-2</v>
      </c>
      <c r="AP95" s="36">
        <f>AP94/AJ94-1</f>
        <v>-7.4999999999999956E-2</v>
      </c>
      <c r="AQ95" s="98"/>
      <c r="AR95" s="98"/>
      <c r="AS95" s="36">
        <f>AS94/AM94-1</f>
        <v>-8.5866261398176325E-2</v>
      </c>
      <c r="AT95" s="36">
        <f>AT94/AN94-1</f>
        <v>-9.587020648967548E-2</v>
      </c>
      <c r="AU95" s="36">
        <f>AU94/AO94-1</f>
        <v>-2.2878228782287846E-2</v>
      </c>
      <c r="AV95" s="36">
        <f>AV94/AP94-1</f>
        <v>-3.9831102404172314E-2</v>
      </c>
      <c r="AW95" s="98"/>
      <c r="AX95" s="98"/>
      <c r="AY95" s="36"/>
      <c r="AZ95" s="36"/>
      <c r="BA95" s="36"/>
      <c r="BB95" s="36"/>
      <c r="BC95" s="36"/>
      <c r="BD95" s="98"/>
      <c r="BE95" s="36"/>
      <c r="BF95" s="36"/>
      <c r="BG95" s="36"/>
      <c r="BH95" s="36"/>
      <c r="BI95" s="36"/>
      <c r="BJ95" s="98"/>
      <c r="BK95" s="36"/>
      <c r="BL95" s="36"/>
      <c r="BM95" s="36"/>
      <c r="BN95" s="36"/>
      <c r="BO95" s="36"/>
      <c r="BP95" s="98"/>
      <c r="BQ95" s="36"/>
      <c r="BR95" s="36"/>
      <c r="BS95" s="36"/>
      <c r="BT95" s="36"/>
      <c r="BU95" s="98"/>
      <c r="BV95" s="98"/>
      <c r="BW95" s="36"/>
      <c r="BX95" s="36"/>
      <c r="BY95" s="36"/>
      <c r="BZ95" s="36"/>
      <c r="CA95" s="98"/>
      <c r="CB95" s="98"/>
      <c r="CC95" s="36"/>
      <c r="CD95" s="36"/>
      <c r="CE95" s="36"/>
      <c r="CF95" s="36"/>
      <c r="CG95" s="98"/>
      <c r="CH95" s="98"/>
      <c r="CI95" s="36"/>
      <c r="CJ95" s="36"/>
      <c r="CK95" s="36"/>
      <c r="CL95" s="36"/>
      <c r="CM95" s="98"/>
      <c r="CN95" s="98"/>
      <c r="CO95" s="36"/>
      <c r="CP95" s="36"/>
      <c r="CQ95" s="36"/>
      <c r="CR95" s="36"/>
      <c r="CS95" s="98"/>
      <c r="CT95" s="98"/>
      <c r="CU95" s="36"/>
      <c r="CV95" s="36"/>
      <c r="CW95" s="36"/>
      <c r="CX95" s="36"/>
      <c r="CY95" s="98"/>
      <c r="CZ95" s="98"/>
      <c r="DA95" s="36"/>
      <c r="DB95" s="36"/>
      <c r="DC95" s="36"/>
      <c r="DD95" s="36"/>
      <c r="DE95" s="98"/>
      <c r="DF95" s="98"/>
      <c r="DG95" s="36"/>
      <c r="DH95" s="36"/>
      <c r="DI95" s="36"/>
      <c r="DJ95" s="36"/>
      <c r="DK95" s="98"/>
    </row>
    <row r="96" spans="2:115" x14ac:dyDescent="0.3">
      <c r="B96" s="13" t="s">
        <v>192</v>
      </c>
      <c r="I96" s="352">
        <f>I13</f>
        <v>3608.5411258587328</v>
      </c>
      <c r="J96" s="352">
        <f>J13</f>
        <v>3784.6353265204598</v>
      </c>
      <c r="K96" s="352">
        <f>K13</f>
        <v>3905.0638304520121</v>
      </c>
      <c r="L96" s="352">
        <f>L13</f>
        <v>3590.400225304058</v>
      </c>
      <c r="M96" s="352">
        <f>I96+J96+K96+L96</f>
        <v>14888.640508135262</v>
      </c>
      <c r="N96" s="352"/>
      <c r="O96" s="352">
        <f>O13</f>
        <v>4400</v>
      </c>
      <c r="P96" s="352">
        <f>P13</f>
        <v>5065</v>
      </c>
      <c r="Q96" s="352">
        <f>Q13</f>
        <v>5124</v>
      </c>
      <c r="R96" s="352">
        <f>R13</f>
        <v>5035</v>
      </c>
      <c r="S96" s="352">
        <f>S13</f>
        <v>19624</v>
      </c>
      <c r="T96" s="352"/>
      <c r="U96" s="352">
        <f>U13</f>
        <v>4774</v>
      </c>
      <c r="V96" s="352">
        <f>V13</f>
        <v>4030</v>
      </c>
      <c r="W96" s="352">
        <f>W13</f>
        <v>4143</v>
      </c>
      <c r="X96" s="352">
        <f>X13</f>
        <v>3913</v>
      </c>
      <c r="Y96" s="352">
        <f>U96+V96+W96+X96</f>
        <v>16860</v>
      </c>
      <c r="Z96" s="352"/>
      <c r="AA96" s="352">
        <f>AA13</f>
        <v>3672</v>
      </c>
      <c r="AB96" s="352">
        <f>AB13</f>
        <v>3807</v>
      </c>
      <c r="AC96" s="352">
        <f>AC13</f>
        <v>3873</v>
      </c>
      <c r="AD96" s="352">
        <f>AD13</f>
        <v>3772</v>
      </c>
      <c r="AE96" s="352">
        <f>AA96+AB96+AC96+AD96</f>
        <v>15124</v>
      </c>
      <c r="AF96" s="352"/>
      <c r="AG96" s="352">
        <v>3575</v>
      </c>
      <c r="AH96" s="352">
        <v>3584</v>
      </c>
      <c r="AI96" s="352">
        <v>3654</v>
      </c>
      <c r="AJ96" s="352">
        <v>3595</v>
      </c>
      <c r="AK96" s="352">
        <f>AG96+AH96+AI96+AJ96</f>
        <v>14408</v>
      </c>
      <c r="AL96" s="352"/>
      <c r="AM96" s="352">
        <v>3343</v>
      </c>
      <c r="AN96" s="352">
        <v>3435</v>
      </c>
      <c r="AO96" s="352">
        <v>3440</v>
      </c>
      <c r="AP96" s="352">
        <v>3486</v>
      </c>
      <c r="AQ96" s="352">
        <f>AM96+AN96+AO96+AP96</f>
        <v>13704</v>
      </c>
      <c r="AR96" s="352"/>
      <c r="AS96" s="352">
        <v>3125</v>
      </c>
      <c r="AT96" s="352">
        <v>3163</v>
      </c>
      <c r="AU96" s="352">
        <v>3317</v>
      </c>
      <c r="AV96" s="352">
        <v>3367</v>
      </c>
      <c r="AW96" s="352">
        <f>AS96+AT96+AU96+AV96</f>
        <v>12972</v>
      </c>
      <c r="AX96" s="352"/>
      <c r="AY96" s="352">
        <v>3157</v>
      </c>
      <c r="AZ96" s="352">
        <v>3209</v>
      </c>
      <c r="BA96" s="352">
        <v>3261</v>
      </c>
      <c r="BB96" s="352">
        <v>3397</v>
      </c>
      <c r="BC96" s="352">
        <f>AY96+AZ96+BA96+BB96</f>
        <v>13024</v>
      </c>
      <c r="BD96" s="352"/>
      <c r="BE96" s="352">
        <v>2763</v>
      </c>
      <c r="BF96" s="352">
        <v>2794</v>
      </c>
      <c r="BG96" s="352">
        <v>2900.3</v>
      </c>
      <c r="BH96" s="352">
        <v>2996.3</v>
      </c>
      <c r="BI96" s="352">
        <f>BE96+BF96+BG96+BH96</f>
        <v>11453.599999999999</v>
      </c>
      <c r="BJ96" s="352"/>
      <c r="BK96" s="352">
        <v>2781</v>
      </c>
      <c r="BL96" s="352">
        <v>2860</v>
      </c>
      <c r="BM96" s="352">
        <v>2945</v>
      </c>
      <c r="BN96" s="352">
        <v>3002</v>
      </c>
      <c r="BO96" s="352">
        <f>BK96+BL96+BM96+BN96</f>
        <v>11588</v>
      </c>
      <c r="BP96" s="352"/>
      <c r="BQ96" s="352">
        <f>BQ82+BQ83+BQ84+BQ85+BQ86+BQ87+BQ88+BQ90+BQ91+BQ92+BQ94</f>
        <v>2777.805951919584</v>
      </c>
      <c r="BR96" s="352">
        <f>BR82+BR83+BR84+BR85+BR86+BR87+BR88+BR90+BR91+BR92+BR94</f>
        <v>2853.2933576674804</v>
      </c>
      <c r="BS96" s="352">
        <f>BS82+BS83+BS84+BS85+BS86+BS87+BS88+BS90+BS91+BS92+BS94</f>
        <v>2921.8017230090218</v>
      </c>
      <c r="BT96" s="352">
        <f>BT82+BT83+BT84+BT85+BT86+BT87+BT88+BT90+BT91+BT92+BT94</f>
        <v>3001.1035445049793</v>
      </c>
      <c r="BU96" s="352">
        <f>BQ96+BR96+BS96+BT96</f>
        <v>11554.004577101066</v>
      </c>
      <c r="BV96" s="352"/>
      <c r="BW96" s="352">
        <f>BW82+BW83+BW84+BW85+BW86+BW87+BW88+BW90+BW91+BW92+BW94</f>
        <v>2791.4657551950886</v>
      </c>
      <c r="BX96" s="352">
        <f>BX82+BX83+BX84+BX85+BX86+BX87+BX88+BX90+BX91+BX92+BX94</f>
        <v>2868.7670367249202</v>
      </c>
      <c r="BY96" s="352">
        <f>BY82+BY83+BY84+BY85+BY86+BY87+BY88+BY90+BY91+BY92+BY94</f>
        <v>2942.9026245817013</v>
      </c>
      <c r="BZ96" s="352">
        <f>BZ82+BZ83+BZ84+BZ85+BZ86+BZ87+BZ88+BZ90+BZ91+BZ92+BZ94</f>
        <v>3006.7925787654303</v>
      </c>
      <c r="CA96" s="352">
        <f>BW96+BX96+BY96+BZ96</f>
        <v>11609.927995267142</v>
      </c>
      <c r="CB96" s="352"/>
      <c r="CC96" s="352">
        <f>CC82+CC83+CC84+CC85+CC86+CC87+CC88+CC90+CC91+CC92+CC94</f>
        <v>2811.8729654117124</v>
      </c>
      <c r="CD96" s="352">
        <f>CD82+CD83+CD84+CD85+CD86+CD87+CD88+CD90+CD91+CD92+CD94</f>
        <v>2891.1577526557048</v>
      </c>
      <c r="CE96" s="352">
        <f>CE82+CE83+CE84+CE85+CE86+CE87+CE88+CE90+CE91+CE92+CE94</f>
        <v>2966.2929678719793</v>
      </c>
      <c r="CF96" s="352">
        <f>CF82+CF83+CF84+CF85+CF86+CF87+CF88+CF90+CF91+CF92+CF94</f>
        <v>3025.6168189698947</v>
      </c>
      <c r="CG96" s="352">
        <f>CC96+CD96+CE96+CF96</f>
        <v>11694.940504909291</v>
      </c>
      <c r="CH96" s="352"/>
      <c r="CI96" s="352">
        <f>CI82+CI83+CI84+CI85+CI86+CI87+CI88+CI90+CI91+CI92+CI94</f>
        <v>2831.3183096665025</v>
      </c>
      <c r="CJ96" s="352">
        <f>CJ82+CJ83+CJ84+CJ85+CJ86+CJ87+CJ88+CJ90+CJ91+CJ92+CJ94</f>
        <v>2912.0190367896039</v>
      </c>
      <c r="CK96" s="352">
        <f>CK82+CK83+CK84+CK85+CK86+CK87+CK88+CK90+CK91+CK92+CK94</f>
        <v>2988.9608325374102</v>
      </c>
      <c r="CL96" s="352">
        <f>CL82+CL83+CL84+CL85+CL86+CL87+CL88+CL90+CL91+CL92+CL94</f>
        <v>3047.1958336674111</v>
      </c>
      <c r="CM96" s="352">
        <f>CI96+CJ96+CK96+CL96</f>
        <v>11779.494012660927</v>
      </c>
      <c r="CN96" s="352"/>
      <c r="CO96" s="352">
        <f>CO82+CO83+CO84+CO85+CO86+CO87+CO88+CO90+CO91+CO92+CO94</f>
        <v>2850.9954522937251</v>
      </c>
      <c r="CP96" s="352">
        <f>CP82+CP83+CP84+CP85+CP86+CP87+CP88+CP90+CP91+CP92+CP94</f>
        <v>2932.5204921879313</v>
      </c>
      <c r="CQ96" s="352">
        <f>CQ82+CQ83+CQ84+CQ85+CQ86+CQ87+CQ88+CQ90+CQ91+CQ92+CQ94</f>
        <v>3011.2850893950758</v>
      </c>
      <c r="CR96" s="352">
        <f>CR82+CR83+CR84+CR85+CR86+CR87+CR88+CR90+CR91+CR92+CR94</f>
        <v>3070.5690441659426</v>
      </c>
      <c r="CS96" s="352">
        <f>CO96+CP96+CQ96+CR96</f>
        <v>11865.370078042675</v>
      </c>
      <c r="CT96" s="352"/>
      <c r="CU96" s="352">
        <f>CU82+CU83+CU84+CU85+CU86+CU87+CU88+CU90+CU91+CU92+CU94</f>
        <v>2873.76575811259</v>
      </c>
      <c r="CV96" s="352">
        <f>CV82+CV83+CV84+CV85+CV86+CV87+CV88+CV90+CV91+CV92+CV94</f>
        <v>2956.2549933089103</v>
      </c>
      <c r="CW96" s="352">
        <f>CW82+CW83+CW84+CW85+CW86+CW87+CW88+CW90+CW91+CW92+CW94</f>
        <v>3036.8798444266104</v>
      </c>
      <c r="CX96" s="352">
        <f>CX82+CX83+CX84+CX85+CX86+CX87+CX88+CX90+CX91+CX92+CX94</f>
        <v>3095.992227196693</v>
      </c>
      <c r="CY96" s="352">
        <f>CU96+CV96+CW96+CX96</f>
        <v>11962.892823044804</v>
      </c>
      <c r="CZ96" s="352"/>
      <c r="DA96" s="352">
        <f>DA82+DA83+DA84+DA85+DA86+DA87+DA88+DA90+DA91+DA92+DA94</f>
        <v>2897.8151569652928</v>
      </c>
      <c r="DB96" s="352">
        <f>DB82+DB83+DB84+DB85+DB86+DB87+DB88+DB90+DB91+DB92+DB94</f>
        <v>2981.2471871814114</v>
      </c>
      <c r="DC96" s="352">
        <f>DC82+DC83+DC84+DC85+DC86+DC87+DC88+DC90+DC91+DC92+DC94</f>
        <v>3063.7078843837862</v>
      </c>
      <c r="DD96" s="352">
        <f>DD82+DD83+DD84+DD85+DD86+DD87+DD88+DD90+DD91+DD92+DD94</f>
        <v>3122.7256760504315</v>
      </c>
      <c r="DE96" s="352">
        <f>DA96+DB96+DC96+DD96</f>
        <v>12065.495904580923</v>
      </c>
      <c r="DF96" s="352"/>
      <c r="DG96" s="352">
        <f>DG82+DG83+DG84+DG85+DG86+DG87+DG88+DG90+DG91+DG92+DG94</f>
        <v>2921.6628315469179</v>
      </c>
      <c r="DH96" s="352">
        <f>DH82+DH83+DH84+DH85+DH86+DH87+DH88+DH90+DH91+DH92+DH94</f>
        <v>3005.99658021906</v>
      </c>
      <c r="DI96" s="352">
        <f>DI82+DI83+DI84+DI85+DI86+DI87+DI88+DI90+DI91+DI92+DI94</f>
        <v>3090.1109005738745</v>
      </c>
      <c r="DJ96" s="352">
        <f>DJ82+DJ83+DJ84+DJ85+DJ86+DJ87+DJ88+DJ90+DJ91+DJ92+DJ94</f>
        <v>3149.1509913569612</v>
      </c>
      <c r="DK96" s="352">
        <f>DG96+DH96+DI96+DJ96</f>
        <v>12166.921303696814</v>
      </c>
    </row>
    <row r="97" spans="1:115" x14ac:dyDescent="0.3"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</row>
    <row r="98" spans="1:115" x14ac:dyDescent="0.3"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</row>
    <row r="99" spans="1:115" x14ac:dyDescent="0.3">
      <c r="A99" s="397"/>
      <c r="B99" s="397"/>
      <c r="C99" s="398"/>
      <c r="D99" s="398"/>
      <c r="E99" s="398"/>
      <c r="F99" s="398"/>
      <c r="G99" s="398"/>
      <c r="H99" s="398"/>
      <c r="I99" s="398"/>
      <c r="J99" s="398"/>
      <c r="K99" s="398"/>
      <c r="L99" s="398"/>
      <c r="M99" s="398"/>
      <c r="N99" s="398"/>
      <c r="O99" s="398"/>
      <c r="P99" s="398"/>
      <c r="Q99" s="398"/>
      <c r="R99" s="398"/>
      <c r="S99" s="398"/>
      <c r="T99" s="398"/>
      <c r="U99" s="398"/>
      <c r="V99" s="398"/>
      <c r="W99" s="398"/>
      <c r="X99" s="398"/>
      <c r="Y99" s="398"/>
      <c r="Z99" s="398"/>
      <c r="AA99" s="398"/>
      <c r="AB99" s="398"/>
      <c r="AC99" s="398"/>
      <c r="AD99" s="398"/>
      <c r="AE99" s="398"/>
      <c r="AF99" s="398"/>
      <c r="AG99" s="398"/>
      <c r="AH99" s="398"/>
      <c r="AI99" s="398"/>
      <c r="AJ99" s="398"/>
      <c r="AK99" s="398"/>
      <c r="AL99" s="398"/>
      <c r="AM99" s="398"/>
      <c r="AN99" s="398"/>
      <c r="AO99" s="398"/>
      <c r="AP99" s="398"/>
      <c r="AQ99" s="398"/>
      <c r="AR99" s="398"/>
      <c r="AS99" s="398"/>
      <c r="AT99" s="398"/>
      <c r="AU99" s="398"/>
      <c r="AV99" s="398"/>
      <c r="AW99" s="398"/>
      <c r="AX99" s="398"/>
      <c r="AY99" s="398"/>
      <c r="AZ99" s="398"/>
      <c r="BA99" s="398"/>
      <c r="BB99" s="398"/>
      <c r="BC99" s="398"/>
      <c r="BD99" s="398"/>
      <c r="BE99" s="398"/>
      <c r="BF99" s="398"/>
      <c r="BG99" s="398"/>
      <c r="BH99" s="398"/>
      <c r="BI99" s="398"/>
      <c r="BJ99" s="398"/>
      <c r="BK99" s="398"/>
      <c r="BL99" s="398"/>
      <c r="BM99" s="398"/>
      <c r="BN99" s="398"/>
      <c r="BO99" s="398"/>
      <c r="BP99" s="398"/>
      <c r="BQ99" s="398"/>
      <c r="BR99" s="398"/>
      <c r="BS99" s="398"/>
      <c r="BT99" s="398"/>
      <c r="BU99" s="398"/>
      <c r="BV99" s="398"/>
      <c r="BW99" s="398"/>
      <c r="BX99" s="398"/>
      <c r="BY99" s="398"/>
      <c r="BZ99" s="398"/>
      <c r="CA99" s="398"/>
      <c r="CB99" s="398"/>
      <c r="CC99" s="398"/>
      <c r="CD99" s="398"/>
      <c r="CE99" s="398"/>
      <c r="CF99" s="398"/>
      <c r="CG99" s="398"/>
      <c r="CH99" s="398"/>
      <c r="CI99" s="398"/>
      <c r="CJ99" s="398"/>
      <c r="CK99" s="398"/>
      <c r="CL99" s="398"/>
      <c r="CM99" s="398"/>
      <c r="CN99" s="398"/>
      <c r="CO99" s="398"/>
      <c r="CP99" s="398"/>
      <c r="CQ99" s="398"/>
      <c r="CR99" s="398"/>
      <c r="CS99" s="398"/>
      <c r="CT99" s="398"/>
      <c r="CU99" s="398"/>
      <c r="CV99" s="398"/>
      <c r="CW99" s="398"/>
      <c r="CX99" s="398"/>
      <c r="CY99" s="398"/>
      <c r="CZ99" s="398"/>
      <c r="DA99" s="398"/>
      <c r="DB99" s="398"/>
      <c r="DC99" s="398"/>
      <c r="DD99" s="398"/>
      <c r="DE99" s="398"/>
      <c r="DF99" s="398"/>
      <c r="DG99" s="398"/>
      <c r="DH99" s="398"/>
      <c r="DI99" s="398"/>
      <c r="DJ99" s="398"/>
      <c r="DK99" s="398"/>
    </row>
    <row r="100" spans="1:115" ht="15.75" thickBot="1" x14ac:dyDescent="0.35"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</row>
    <row r="101" spans="1:115" x14ac:dyDescent="0.3">
      <c r="I101" s="709">
        <v>2008</v>
      </c>
      <c r="J101" s="710"/>
      <c r="K101" s="710"/>
      <c r="L101" s="710"/>
      <c r="M101" s="711"/>
      <c r="N101" s="3"/>
      <c r="O101" s="709">
        <v>2009</v>
      </c>
      <c r="P101" s="710"/>
      <c r="Q101" s="710"/>
      <c r="R101" s="710"/>
      <c r="S101" s="711"/>
      <c r="T101" s="3"/>
      <c r="U101" s="709">
        <v>2010</v>
      </c>
      <c r="V101" s="710"/>
      <c r="W101" s="710"/>
      <c r="X101" s="710"/>
      <c r="Y101" s="711"/>
      <c r="AA101" s="709">
        <v>2011</v>
      </c>
      <c r="AB101" s="710"/>
      <c r="AC101" s="710"/>
      <c r="AD101" s="710"/>
      <c r="AE101" s="711"/>
      <c r="AG101" s="709">
        <v>2012</v>
      </c>
      <c r="AH101" s="710"/>
      <c r="AI101" s="710"/>
      <c r="AJ101" s="710"/>
      <c r="AK101" s="711"/>
      <c r="AM101" s="709">
        <v>2013</v>
      </c>
      <c r="AN101" s="710"/>
      <c r="AO101" s="710"/>
      <c r="AP101" s="710"/>
      <c r="AQ101" s="711"/>
      <c r="AS101" s="709">
        <v>2014</v>
      </c>
      <c r="AT101" s="710"/>
      <c r="AU101" s="710"/>
      <c r="AV101" s="710"/>
      <c r="AW101" s="711"/>
      <c r="AY101" s="709">
        <v>2015</v>
      </c>
      <c r="AZ101" s="710"/>
      <c r="BA101" s="710"/>
      <c r="BB101" s="710"/>
      <c r="BC101" s="711"/>
      <c r="BE101" s="709">
        <v>2016</v>
      </c>
      <c r="BF101" s="710"/>
      <c r="BG101" s="710"/>
      <c r="BH101" s="710"/>
      <c r="BI101" s="711"/>
      <c r="BK101" s="709">
        <v>2017</v>
      </c>
      <c r="BL101" s="710"/>
      <c r="BM101" s="710"/>
      <c r="BN101" s="710"/>
      <c r="BO101" s="711"/>
      <c r="BQ101" s="709">
        <v>2018</v>
      </c>
      <c r="BR101" s="710"/>
      <c r="BS101" s="710"/>
      <c r="BT101" s="710"/>
      <c r="BU101" s="711"/>
      <c r="BW101" s="709">
        <v>2019</v>
      </c>
      <c r="BX101" s="710"/>
      <c r="BY101" s="710"/>
      <c r="BZ101" s="710"/>
      <c r="CA101" s="711"/>
      <c r="CC101" s="709">
        <v>2020</v>
      </c>
      <c r="CD101" s="710"/>
      <c r="CE101" s="710"/>
      <c r="CF101" s="710"/>
      <c r="CG101" s="711"/>
      <c r="CI101" s="709">
        <v>2021</v>
      </c>
      <c r="CJ101" s="710"/>
      <c r="CK101" s="710"/>
      <c r="CL101" s="710"/>
      <c r="CM101" s="711"/>
      <c r="CO101" s="709">
        <v>2022</v>
      </c>
      <c r="CP101" s="710"/>
      <c r="CQ101" s="710"/>
      <c r="CR101" s="710"/>
      <c r="CS101" s="711"/>
      <c r="CU101" s="709">
        <v>2023</v>
      </c>
      <c r="CV101" s="710"/>
      <c r="CW101" s="710"/>
      <c r="CX101" s="710"/>
      <c r="CY101" s="711"/>
      <c r="CZ101" s="2"/>
      <c r="DA101" s="709">
        <v>2024</v>
      </c>
      <c r="DB101" s="710"/>
      <c r="DC101" s="710"/>
      <c r="DD101" s="710"/>
      <c r="DE101" s="711"/>
      <c r="DF101" s="2"/>
      <c r="DG101" s="709">
        <v>2025</v>
      </c>
      <c r="DH101" s="710"/>
      <c r="DI101" s="710"/>
      <c r="DJ101" s="710"/>
      <c r="DK101" s="711"/>
    </row>
    <row r="102" spans="1:115" ht="15.75" thickBot="1" x14ac:dyDescent="0.35">
      <c r="B102" s="13" t="s">
        <v>82</v>
      </c>
      <c r="I102" s="51" t="s">
        <v>20</v>
      </c>
      <c r="J102" s="43" t="s">
        <v>19</v>
      </c>
      <c r="K102" s="43" t="s">
        <v>22</v>
      </c>
      <c r="L102" s="43" t="s">
        <v>21</v>
      </c>
      <c r="M102" s="95" t="s">
        <v>39</v>
      </c>
      <c r="N102" s="3"/>
      <c r="O102" s="51" t="s">
        <v>20</v>
      </c>
      <c r="P102" s="43" t="s">
        <v>19</v>
      </c>
      <c r="Q102" s="43" t="s">
        <v>22</v>
      </c>
      <c r="R102" s="43" t="s">
        <v>21</v>
      </c>
      <c r="S102" s="95" t="s">
        <v>39</v>
      </c>
      <c r="T102" s="3"/>
      <c r="U102" s="51" t="s">
        <v>20</v>
      </c>
      <c r="V102" s="43" t="s">
        <v>19</v>
      </c>
      <c r="W102" s="43" t="s">
        <v>22</v>
      </c>
      <c r="X102" s="43" t="s">
        <v>21</v>
      </c>
      <c r="Y102" s="95" t="s">
        <v>39</v>
      </c>
      <c r="AA102" s="51" t="s">
        <v>20</v>
      </c>
      <c r="AB102" s="43" t="s">
        <v>19</v>
      </c>
      <c r="AC102" s="43" t="s">
        <v>22</v>
      </c>
      <c r="AD102" s="43" t="s">
        <v>21</v>
      </c>
      <c r="AE102" s="95" t="s">
        <v>39</v>
      </c>
      <c r="AG102" s="51" t="s">
        <v>20</v>
      </c>
      <c r="AH102" s="43" t="s">
        <v>19</v>
      </c>
      <c r="AI102" s="43" t="s">
        <v>22</v>
      </c>
      <c r="AJ102" s="43" t="s">
        <v>21</v>
      </c>
      <c r="AK102" s="95" t="s">
        <v>39</v>
      </c>
      <c r="AM102" s="51" t="s">
        <v>20</v>
      </c>
      <c r="AN102" s="43" t="s">
        <v>19</v>
      </c>
      <c r="AO102" s="43" t="s">
        <v>22</v>
      </c>
      <c r="AP102" s="43" t="s">
        <v>21</v>
      </c>
      <c r="AQ102" s="95" t="s">
        <v>39</v>
      </c>
      <c r="AS102" s="51" t="s">
        <v>20</v>
      </c>
      <c r="AT102" s="43" t="s">
        <v>19</v>
      </c>
      <c r="AU102" s="43" t="s">
        <v>22</v>
      </c>
      <c r="AV102" s="43" t="s">
        <v>21</v>
      </c>
      <c r="AW102" s="95" t="s">
        <v>39</v>
      </c>
      <c r="AY102" s="51" t="s">
        <v>20</v>
      </c>
      <c r="AZ102" s="43" t="s">
        <v>19</v>
      </c>
      <c r="BA102" s="43" t="s">
        <v>22</v>
      </c>
      <c r="BB102" s="43" t="s">
        <v>21</v>
      </c>
      <c r="BC102" s="95" t="s">
        <v>39</v>
      </c>
      <c r="BE102" s="51" t="s">
        <v>20</v>
      </c>
      <c r="BF102" s="43" t="s">
        <v>19</v>
      </c>
      <c r="BG102" s="43" t="s">
        <v>22</v>
      </c>
      <c r="BH102" s="43" t="s">
        <v>21</v>
      </c>
      <c r="BI102" s="95" t="s">
        <v>39</v>
      </c>
      <c r="BK102" s="51" t="s">
        <v>20</v>
      </c>
      <c r="BL102" s="43" t="s">
        <v>19</v>
      </c>
      <c r="BM102" s="43" t="s">
        <v>22</v>
      </c>
      <c r="BN102" s="43" t="s">
        <v>21</v>
      </c>
      <c r="BO102" s="95" t="s">
        <v>39</v>
      </c>
      <c r="BQ102" s="51" t="s">
        <v>20</v>
      </c>
      <c r="BR102" s="43" t="s">
        <v>19</v>
      </c>
      <c r="BS102" s="43" t="s">
        <v>22</v>
      </c>
      <c r="BT102" s="43" t="s">
        <v>21</v>
      </c>
      <c r="BU102" s="95" t="s">
        <v>39</v>
      </c>
      <c r="BW102" s="51" t="s">
        <v>20</v>
      </c>
      <c r="BX102" s="467" t="s">
        <v>19</v>
      </c>
      <c r="BY102" s="467" t="s">
        <v>22</v>
      </c>
      <c r="BZ102" s="467" t="s">
        <v>21</v>
      </c>
      <c r="CA102" s="95" t="s">
        <v>39</v>
      </c>
      <c r="CC102" s="51" t="s">
        <v>20</v>
      </c>
      <c r="CD102" s="467" t="s">
        <v>19</v>
      </c>
      <c r="CE102" s="467" t="s">
        <v>22</v>
      </c>
      <c r="CF102" s="467" t="s">
        <v>21</v>
      </c>
      <c r="CG102" s="95" t="s">
        <v>39</v>
      </c>
      <c r="CI102" s="51" t="s">
        <v>20</v>
      </c>
      <c r="CJ102" s="467" t="s">
        <v>19</v>
      </c>
      <c r="CK102" s="467" t="s">
        <v>22</v>
      </c>
      <c r="CL102" s="467" t="s">
        <v>21</v>
      </c>
      <c r="CM102" s="95" t="s">
        <v>39</v>
      </c>
      <c r="CO102" s="51" t="s">
        <v>20</v>
      </c>
      <c r="CP102" s="467" t="s">
        <v>19</v>
      </c>
      <c r="CQ102" s="467" t="s">
        <v>22</v>
      </c>
      <c r="CR102" s="467" t="s">
        <v>21</v>
      </c>
      <c r="CS102" s="95" t="s">
        <v>39</v>
      </c>
      <c r="CU102" s="51" t="s">
        <v>20</v>
      </c>
      <c r="CV102" s="467" t="s">
        <v>19</v>
      </c>
      <c r="CW102" s="467" t="s">
        <v>22</v>
      </c>
      <c r="CX102" s="467" t="s">
        <v>21</v>
      </c>
      <c r="CY102" s="95" t="s">
        <v>39</v>
      </c>
      <c r="CZ102" s="2"/>
      <c r="DA102" s="51" t="s">
        <v>20</v>
      </c>
      <c r="DB102" s="570" t="s">
        <v>19</v>
      </c>
      <c r="DC102" s="570" t="s">
        <v>22</v>
      </c>
      <c r="DD102" s="570" t="s">
        <v>21</v>
      </c>
      <c r="DE102" s="95" t="s">
        <v>39</v>
      </c>
      <c r="DF102" s="2"/>
      <c r="DG102" s="51" t="s">
        <v>20</v>
      </c>
      <c r="DH102" s="570" t="s">
        <v>19</v>
      </c>
      <c r="DI102" s="570" t="s">
        <v>22</v>
      </c>
      <c r="DJ102" s="570" t="s">
        <v>21</v>
      </c>
      <c r="DK102" s="95" t="s">
        <v>39</v>
      </c>
    </row>
    <row r="103" spans="1:115" x14ac:dyDescent="0.3">
      <c r="B103" s="13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</row>
    <row r="104" spans="1:115" x14ac:dyDescent="0.3">
      <c r="B104" s="6" t="s">
        <v>199</v>
      </c>
      <c r="I104" s="98">
        <f>'TMO Netherlands'!I46</f>
        <v>62</v>
      </c>
      <c r="J104" s="98">
        <f>'TMO Netherlands'!J46</f>
        <v>114</v>
      </c>
      <c r="K104" s="98">
        <f>'TMO Netherlands'!K46</f>
        <v>91</v>
      </c>
      <c r="L104" s="98">
        <f>'TMO Netherlands'!L46</f>
        <v>85</v>
      </c>
      <c r="M104" s="98">
        <f>'TMO Netherlands'!M46</f>
        <v>352</v>
      </c>
      <c r="O104" s="98">
        <f>'TMO Netherlands'!O46</f>
        <v>64</v>
      </c>
      <c r="P104" s="98">
        <f>'TMO Netherlands'!P46</f>
        <v>103</v>
      </c>
      <c r="Q104" s="98">
        <f>'TMO Netherlands'!Q46</f>
        <v>128</v>
      </c>
      <c r="R104" s="98">
        <f>'TMO Netherlands'!R46</f>
        <v>135</v>
      </c>
      <c r="S104" s="98">
        <f>'TMO Netherlands'!S46</f>
        <v>430</v>
      </c>
      <c r="U104" s="98">
        <f>'TMO Netherlands'!U46</f>
        <v>102</v>
      </c>
      <c r="V104" s="98">
        <f>'TMO Netherlands'!V46</f>
        <v>139</v>
      </c>
      <c r="W104" s="98">
        <f>'TMO Netherlands'!W46</f>
        <v>98</v>
      </c>
      <c r="X104" s="98">
        <f>'TMO Netherlands'!X46</f>
        <v>122</v>
      </c>
      <c r="Y104" s="98">
        <f>'TMO Netherlands'!Y46</f>
        <v>461</v>
      </c>
      <c r="AA104" s="98">
        <f>'TMO Netherlands'!AA46</f>
        <v>82</v>
      </c>
      <c r="AB104" s="98">
        <f>'TMO Netherlands'!AB46</f>
        <v>128</v>
      </c>
      <c r="AC104" s="98">
        <f>'TMO Netherlands'!AC46</f>
        <v>121</v>
      </c>
      <c r="AD104" s="98">
        <f>'TMO Netherlands'!AD46+47</f>
        <v>174</v>
      </c>
      <c r="AE104" s="98">
        <f>'TMO Netherlands'!AE46</f>
        <v>458</v>
      </c>
      <c r="AG104" s="98">
        <f>'TMO Netherlands'!AG46</f>
        <v>115</v>
      </c>
      <c r="AH104" s="98">
        <f>'TMO Netherlands'!AH46</f>
        <v>133</v>
      </c>
      <c r="AI104" s="98">
        <f>'TMO Netherlands'!AI46</f>
        <v>143</v>
      </c>
      <c r="AJ104" s="98">
        <f>'TMO Netherlands'!AJ46</f>
        <v>134</v>
      </c>
      <c r="AK104" s="98">
        <f>'TMO Netherlands'!AK46</f>
        <v>525</v>
      </c>
      <c r="AM104" s="98">
        <f>'TMO Netherlands'!AM46</f>
        <v>114</v>
      </c>
      <c r="AN104" s="98">
        <f>'TMO Netherlands'!AN46</f>
        <v>108</v>
      </c>
      <c r="AO104" s="98">
        <f>'TMO Netherlands'!AO46</f>
        <v>116</v>
      </c>
      <c r="AP104" s="98">
        <f>'TMO Netherlands'!AP46</f>
        <v>157</v>
      </c>
      <c r="AQ104" s="98">
        <f>'TMO Netherlands'!AQ46</f>
        <v>495</v>
      </c>
      <c r="AS104" s="98">
        <f>'TMO Netherlands'!AS46</f>
        <v>148</v>
      </c>
      <c r="AT104" s="98">
        <f>'TMO Netherlands'!AT46</f>
        <v>150</v>
      </c>
      <c r="AU104" s="98">
        <f>'TMO Netherlands'!AU46</f>
        <v>161</v>
      </c>
      <c r="AV104" s="98">
        <f>'TMO Netherlands'!AV46</f>
        <v>171</v>
      </c>
      <c r="AW104" s="98">
        <f>'TMO Netherlands'!AW46</f>
        <v>630</v>
      </c>
      <c r="AY104" s="98">
        <f>'TMO Netherlands'!AY46</f>
        <v>133</v>
      </c>
      <c r="AZ104" s="98">
        <f>'TMO Netherlands'!AZ46</f>
        <v>124</v>
      </c>
      <c r="BA104" s="98">
        <f>'TMO Netherlands'!BA46</f>
        <v>125</v>
      </c>
      <c r="BB104" s="98">
        <f>'TMO Netherlands'!BB46</f>
        <v>118</v>
      </c>
      <c r="BC104" s="98">
        <f>'TMO Netherlands'!BC46</f>
        <v>500</v>
      </c>
      <c r="BE104" s="98">
        <v>0</v>
      </c>
      <c r="BF104" s="98">
        <v>0</v>
      </c>
      <c r="BG104" s="98">
        <v>0</v>
      </c>
      <c r="BH104" s="98">
        <v>0</v>
      </c>
      <c r="BI104" s="98">
        <f t="shared" ref="BI104" si="27">BE104+BF104+BG104+BH104</f>
        <v>0</v>
      </c>
      <c r="BJ104" s="98"/>
      <c r="BK104" s="98">
        <v>0</v>
      </c>
      <c r="BL104" s="98">
        <v>0</v>
      </c>
      <c r="BM104" s="98">
        <v>0</v>
      </c>
      <c r="BN104" s="98">
        <v>0</v>
      </c>
      <c r="BO104" s="98">
        <f t="shared" ref="BO104" si="28">BK104+BL104+BM104+BN104</f>
        <v>0</v>
      </c>
      <c r="BP104" s="98"/>
      <c r="BQ104" s="98">
        <v>0</v>
      </c>
      <c r="BR104" s="98">
        <v>0</v>
      </c>
      <c r="BS104" s="98">
        <v>0</v>
      </c>
      <c r="BT104" s="98">
        <v>0</v>
      </c>
      <c r="BU104" s="98">
        <f t="shared" ref="BU104" si="29">BQ104+BR104+BS104+BT104</f>
        <v>0</v>
      </c>
      <c r="BV104" s="98"/>
      <c r="BW104" s="98">
        <v>0</v>
      </c>
      <c r="BX104" s="98">
        <v>0</v>
      </c>
      <c r="BY104" s="98">
        <v>0</v>
      </c>
      <c r="BZ104" s="98">
        <v>0</v>
      </c>
      <c r="CA104" s="98">
        <f t="shared" ref="CA104" si="30">BW104+BX104+BY104+BZ104</f>
        <v>0</v>
      </c>
      <c r="CB104" s="98"/>
      <c r="CC104" s="98">
        <v>0</v>
      </c>
      <c r="CD104" s="98">
        <v>0</v>
      </c>
      <c r="CE104" s="98">
        <v>0</v>
      </c>
      <c r="CF104" s="98">
        <v>0</v>
      </c>
      <c r="CG104" s="98">
        <f t="shared" ref="CG104" si="31">CC104+CD104+CE104+CF104</f>
        <v>0</v>
      </c>
      <c r="CH104" s="98"/>
      <c r="CI104" s="98">
        <v>0</v>
      </c>
      <c r="CJ104" s="98">
        <v>0</v>
      </c>
      <c r="CK104" s="98">
        <v>0</v>
      </c>
      <c r="CL104" s="98">
        <v>0</v>
      </c>
      <c r="CM104" s="98">
        <f t="shared" ref="CM104" si="32">CI104+CJ104+CK104+CL104</f>
        <v>0</v>
      </c>
      <c r="CN104" s="98"/>
      <c r="CO104" s="98">
        <v>0</v>
      </c>
      <c r="CP104" s="98">
        <v>0</v>
      </c>
      <c r="CQ104" s="98">
        <v>0</v>
      </c>
      <c r="CR104" s="98">
        <v>0</v>
      </c>
      <c r="CS104" s="98">
        <f t="shared" ref="CS104" si="33">CO104+CP104+CQ104+CR104</f>
        <v>0</v>
      </c>
      <c r="CT104" s="98"/>
      <c r="CU104" s="98">
        <v>0</v>
      </c>
      <c r="CV104" s="98">
        <v>0</v>
      </c>
      <c r="CW104" s="98">
        <v>0</v>
      </c>
      <c r="CX104" s="98">
        <v>0</v>
      </c>
      <c r="CY104" s="98">
        <f t="shared" ref="CY104" si="34">CU104+CV104+CW104+CX104</f>
        <v>0</v>
      </c>
      <c r="CZ104" s="98"/>
      <c r="DA104" s="98">
        <v>0</v>
      </c>
      <c r="DB104" s="98">
        <v>0</v>
      </c>
      <c r="DC104" s="98">
        <v>0</v>
      </c>
      <c r="DD104" s="98">
        <v>0</v>
      </c>
      <c r="DE104" s="98">
        <f t="shared" ref="DE104" si="35">DA104+DB104+DC104+DD104</f>
        <v>0</v>
      </c>
      <c r="DF104" s="98"/>
      <c r="DG104" s="98">
        <v>0</v>
      </c>
      <c r="DH104" s="98">
        <v>0</v>
      </c>
      <c r="DI104" s="98">
        <v>0</v>
      </c>
      <c r="DJ104" s="98">
        <v>0</v>
      </c>
      <c r="DK104" s="98">
        <f t="shared" ref="DK104" si="36">DG104+DH104+DI104+DJ104</f>
        <v>0</v>
      </c>
    </row>
    <row r="105" spans="1:115" x14ac:dyDescent="0.3">
      <c r="B105" s="6" t="s">
        <v>200</v>
      </c>
      <c r="I105" s="98">
        <f>'TMO Austria'!I46</f>
        <v>76</v>
      </c>
      <c r="J105" s="98">
        <f>'TMO Austria'!J46</f>
        <v>65</v>
      </c>
      <c r="K105" s="98">
        <f>'TMO Austria'!K46</f>
        <v>64</v>
      </c>
      <c r="L105" s="98">
        <f>'TMO Austria'!L46</f>
        <v>80</v>
      </c>
      <c r="M105" s="98">
        <f>'TMO Austria'!M46</f>
        <v>285</v>
      </c>
      <c r="O105" s="98">
        <f>'TMO Austria'!O46</f>
        <v>53</v>
      </c>
      <c r="P105" s="98">
        <f>'TMO Austria'!P46</f>
        <v>70</v>
      </c>
      <c r="Q105" s="98">
        <f>'TMO Austria'!Q46</f>
        <v>82</v>
      </c>
      <c r="R105" s="98">
        <f>'TMO Austria'!R46</f>
        <v>78</v>
      </c>
      <c r="S105" s="98">
        <f>'TMO Austria'!S46</f>
        <v>283</v>
      </c>
      <c r="U105" s="98">
        <f>'TMO Austria'!U46</f>
        <v>83</v>
      </c>
      <c r="V105" s="98">
        <f>'TMO Austria'!V46</f>
        <v>61</v>
      </c>
      <c r="W105" s="98">
        <f>'TMO Austria'!W46</f>
        <v>69</v>
      </c>
      <c r="X105" s="98">
        <f>'TMO Austria'!X46</f>
        <v>70</v>
      </c>
      <c r="Y105" s="98">
        <f>'TMO Austria'!Y46</f>
        <v>283</v>
      </c>
      <c r="AA105" s="98">
        <f>'TMO Austria'!AA46</f>
        <v>60</v>
      </c>
      <c r="AB105" s="98">
        <f>'TMO Austria'!AB46</f>
        <v>68</v>
      </c>
      <c r="AC105" s="98">
        <f>'TMO Austria'!AC46</f>
        <v>69</v>
      </c>
      <c r="AD105" s="98">
        <f>'TMO Austria'!AD46</f>
        <v>56</v>
      </c>
      <c r="AE105" s="98">
        <f>'TMO Austria'!AE46</f>
        <v>253</v>
      </c>
      <c r="AG105" s="98">
        <f>'TMO Austria'!AG46</f>
        <v>60</v>
      </c>
      <c r="AH105" s="98">
        <f>'TMO Austria'!AH46</f>
        <v>53</v>
      </c>
      <c r="AI105" s="98">
        <f>'TMO Austria'!AI46</f>
        <v>65</v>
      </c>
      <c r="AJ105" s="98">
        <f>'TMO Austria'!AJ46</f>
        <v>56</v>
      </c>
      <c r="AK105" s="98">
        <f>'TMO Austria'!AK46</f>
        <v>234</v>
      </c>
      <c r="AM105" s="98">
        <f>'TMO Austria'!AM46</f>
        <v>55</v>
      </c>
      <c r="AN105" s="98">
        <f>'TMO Austria'!AN46</f>
        <v>40</v>
      </c>
      <c r="AO105" s="98">
        <f>'TMO Austria'!AO46</f>
        <v>62</v>
      </c>
      <c r="AP105" s="98">
        <f>'TMO Austria'!AP46</f>
        <v>35</v>
      </c>
      <c r="AQ105" s="98">
        <f>'TMO Austria'!AQ46</f>
        <v>192</v>
      </c>
      <c r="AS105" s="98">
        <f>'TMO Austria'!AS46</f>
        <v>44</v>
      </c>
      <c r="AT105" s="98">
        <f>'TMO Austria'!AT46</f>
        <v>60</v>
      </c>
      <c r="AU105" s="98">
        <f>'TMO Austria'!AU46</f>
        <v>67</v>
      </c>
      <c r="AV105" s="98">
        <f>'TMO Austria'!AV46</f>
        <v>40</v>
      </c>
      <c r="AW105" s="98">
        <f>'TMO Austria'!AW46</f>
        <v>211</v>
      </c>
      <c r="AY105" s="98">
        <f>'TMO Austria'!AY46</f>
        <v>65</v>
      </c>
      <c r="AZ105" s="98">
        <f>'TMO Austria'!AZ46</f>
        <v>66</v>
      </c>
      <c r="BA105" s="98">
        <f>'TMO Austria'!BA46</f>
        <v>64</v>
      </c>
      <c r="BB105" s="98">
        <f>'TMO Austria'!BB46</f>
        <v>64</v>
      </c>
      <c r="BC105" s="98">
        <f>'TMO Austria'!BC46</f>
        <v>259</v>
      </c>
      <c r="BE105" s="98">
        <f>'TMO Austria'!BE46</f>
        <v>69</v>
      </c>
      <c r="BF105" s="98">
        <f>'TMO Austria'!BF46</f>
        <v>70</v>
      </c>
      <c r="BG105" s="98">
        <f>'TMO Austria'!BG46</f>
        <v>78</v>
      </c>
      <c r="BH105" s="98">
        <f>'TMO Austria'!BH46</f>
        <v>41</v>
      </c>
      <c r="BI105" s="98">
        <f>'TMO Austria'!BI46</f>
        <v>258</v>
      </c>
      <c r="BK105" s="98">
        <f>'TMO Austria'!BK46</f>
        <v>89</v>
      </c>
      <c r="BL105" s="98">
        <f>'TMO Austria'!BL46</f>
        <v>69</v>
      </c>
      <c r="BM105" s="98">
        <f>'TMO Austria'!BM46</f>
        <v>73</v>
      </c>
      <c r="BN105" s="98">
        <f>'TMO Austria'!BN46</f>
        <v>35</v>
      </c>
      <c r="BO105" s="98">
        <f>'TMO Austria'!BO46</f>
        <v>266</v>
      </c>
      <c r="BQ105" s="98">
        <f>'TMO Austria'!BQ46</f>
        <v>79.909450413772674</v>
      </c>
      <c r="BR105" s="98">
        <f>'TMO Austria'!BR46</f>
        <v>66.31141827199086</v>
      </c>
      <c r="BS105" s="98">
        <f>'TMO Austria'!BS46</f>
        <v>72.567852597490727</v>
      </c>
      <c r="BT105" s="98">
        <f>'TMO Austria'!BT46</f>
        <v>35.834020920694428</v>
      </c>
      <c r="BU105" s="98">
        <f>'TMO Austria'!BU46</f>
        <v>254.62274220394872</v>
      </c>
      <c r="BW105" s="98">
        <f>'TMO Austria'!BW46</f>
        <v>80.201043904477885</v>
      </c>
      <c r="BX105" s="98">
        <f>'TMO Austria'!BX46</f>
        <v>66.589419463061532</v>
      </c>
      <c r="BY105" s="98">
        <f>'TMO Austria'!BY46</f>
        <v>73.058987901910839</v>
      </c>
      <c r="BZ105" s="98">
        <f>'TMO Austria'!BZ46</f>
        <v>35.507561344125165</v>
      </c>
      <c r="CA105" s="98">
        <f>'TMO Austria'!CA46</f>
        <v>255.35701261357542</v>
      </c>
      <c r="CC105" s="98">
        <f>'TMO Austria'!CC46</f>
        <v>81.967135010031328</v>
      </c>
      <c r="CD105" s="98">
        <f>'TMO Austria'!CD46</f>
        <v>68.384376902486864</v>
      </c>
      <c r="CE105" s="98">
        <f>'TMO Austria'!CE46</f>
        <v>75.1754651780671</v>
      </c>
      <c r="CF105" s="98">
        <f>'TMO Austria'!CF46</f>
        <v>37.124610893712031</v>
      </c>
      <c r="CG105" s="98">
        <f>'TMO Austria'!CG46</f>
        <v>262.65158798429729</v>
      </c>
      <c r="CI105" s="98">
        <f>'TMO Austria'!CI46</f>
        <v>83.377598546432196</v>
      </c>
      <c r="CJ105" s="98">
        <f>'TMO Austria'!CJ46</f>
        <v>69.957539708642571</v>
      </c>
      <c r="CK105" s="98">
        <f>'TMO Austria'!CK46</f>
        <v>77.078254282141472</v>
      </c>
      <c r="CL105" s="98">
        <f>'TMO Austria'!CL46</f>
        <v>38.515741221224999</v>
      </c>
      <c r="CM105" s="98">
        <f>'TMO Austria'!CM46</f>
        <v>268.92913375844125</v>
      </c>
      <c r="CO105" s="98">
        <f>'TMO Austria'!CO46</f>
        <v>84.569494066311464</v>
      </c>
      <c r="CP105" s="98">
        <f>'TMO Austria'!CP46</f>
        <v>71.319631969430219</v>
      </c>
      <c r="CQ105" s="98">
        <f>'TMO Austria'!CQ46</f>
        <v>78.729358660751913</v>
      </c>
      <c r="CR105" s="98">
        <f>'TMO Austria'!CR46</f>
        <v>39.761870252519493</v>
      </c>
      <c r="CS105" s="98">
        <f>'TMO Austria'!CS46</f>
        <v>274.38035494901311</v>
      </c>
      <c r="CU105" s="98">
        <f>'TMO Austria'!CU46</f>
        <v>85.956714437445342</v>
      </c>
      <c r="CV105" s="98">
        <f>'TMO Austria'!CV46</f>
        <v>72.856522252977328</v>
      </c>
      <c r="CW105" s="98">
        <f>'TMO Austria'!CW46</f>
        <v>80.575427296097317</v>
      </c>
      <c r="CX105" s="98">
        <f>'TMO Austria'!CX46</f>
        <v>41.133625053399591</v>
      </c>
      <c r="CY105" s="98">
        <f>'TMO Austria'!CY46</f>
        <v>280.5222890399196</v>
      </c>
      <c r="CZ105" s="2"/>
      <c r="DA105" s="98">
        <f>'TMO Austria'!DA46</f>
        <v>86.899555374674563</v>
      </c>
      <c r="DB105" s="98">
        <f>'TMO Austria'!DB46</f>
        <v>73.953316572362482</v>
      </c>
      <c r="DC105" s="98">
        <f>'TMO Austria'!DC46</f>
        <v>81.983745245376639</v>
      </c>
      <c r="DD105" s="98">
        <f>'TMO Austria'!DD46</f>
        <v>41.970543392606132</v>
      </c>
      <c r="DE105" s="98">
        <f>'TMO Austria'!DE46</f>
        <v>284.8071605850198</v>
      </c>
      <c r="DF105" s="2"/>
      <c r="DG105" s="98">
        <f>'TMO Austria'!DG46</f>
        <v>87.497696108125027</v>
      </c>
      <c r="DH105" s="98">
        <f>'TMO Austria'!DH46</f>
        <v>74.717930376858234</v>
      </c>
      <c r="DI105" s="98">
        <f>'TMO Austria'!DI46</f>
        <v>83.000406996886028</v>
      </c>
      <c r="DJ105" s="98">
        <f>'TMO Austria'!DJ46</f>
        <v>42.567759198913521</v>
      </c>
      <c r="DK105" s="98">
        <f>'TMO Austria'!DK46</f>
        <v>287.78379268078282</v>
      </c>
    </row>
    <row r="106" spans="1:115" x14ac:dyDescent="0.3">
      <c r="B106" s="6" t="s">
        <v>201</v>
      </c>
      <c r="I106" s="98">
        <f>'TMO Cz Rep'!I54</f>
        <v>158</v>
      </c>
      <c r="J106" s="98">
        <f>'TMO Cz Rep'!J54</f>
        <v>158</v>
      </c>
      <c r="K106" s="98">
        <f>'TMO Cz Rep'!K54</f>
        <v>175</v>
      </c>
      <c r="L106" s="98">
        <f>'TMO Cz Rep'!L54</f>
        <v>143</v>
      </c>
      <c r="M106" s="98">
        <f>'TMO Cz Rep'!M54</f>
        <v>634</v>
      </c>
      <c r="O106" s="98">
        <f>'TMO Cz Rep'!O54</f>
        <v>127</v>
      </c>
      <c r="P106" s="98">
        <f>'TMO Cz Rep'!P54</f>
        <v>181</v>
      </c>
      <c r="Q106" s="98">
        <f>'TMO Cz Rep'!Q54</f>
        <v>165</v>
      </c>
      <c r="R106" s="98">
        <f>'TMO Cz Rep'!R54</f>
        <v>141</v>
      </c>
      <c r="S106" s="98">
        <f>'TMO Cz Rep'!S54</f>
        <v>614</v>
      </c>
      <c r="U106" s="98">
        <f>'TMO Cz Rep'!U54</f>
        <v>135</v>
      </c>
      <c r="V106" s="98">
        <f>'TMO Cz Rep'!V54</f>
        <v>139</v>
      </c>
      <c r="W106" s="98">
        <f>'TMO Cz Rep'!W54</f>
        <v>143</v>
      </c>
      <c r="X106" s="98">
        <f>'TMO Cz Rep'!X54</f>
        <v>134</v>
      </c>
      <c r="Y106" s="98">
        <f>'TMO Cz Rep'!Y54</f>
        <v>551</v>
      </c>
      <c r="AA106" s="98">
        <f>'TMO Cz Rep'!AA54</f>
        <v>136</v>
      </c>
      <c r="AB106" s="98">
        <f>'TMO Cz Rep'!AB54</f>
        <v>139</v>
      </c>
      <c r="AC106" s="98">
        <f>'TMO Cz Rep'!AC54</f>
        <v>116</v>
      </c>
      <c r="AD106" s="98">
        <f>'TMO Cz Rep'!AD54</f>
        <v>118</v>
      </c>
      <c r="AE106" s="98">
        <f>'TMO Cz Rep'!AE54</f>
        <v>509</v>
      </c>
      <c r="AG106" s="98">
        <f>'TMO Cz Rep'!AG54</f>
        <v>123</v>
      </c>
      <c r="AH106" s="98">
        <f>'TMO Cz Rep'!AH54</f>
        <v>116</v>
      </c>
      <c r="AI106" s="98">
        <f>'TMO Cz Rep'!AI54</f>
        <v>136</v>
      </c>
      <c r="AJ106" s="98">
        <f>'TMO Cz Rep'!AJ54</f>
        <v>111</v>
      </c>
      <c r="AK106" s="98">
        <f>'TMO Cz Rep'!AK54</f>
        <v>486</v>
      </c>
      <c r="AM106" s="98">
        <f>'TMO Cz Rep'!AM54</f>
        <v>109</v>
      </c>
      <c r="AN106" s="98">
        <f>'TMO Cz Rep'!AN54</f>
        <v>111</v>
      </c>
      <c r="AO106" s="98">
        <f>'TMO Cz Rep'!AO54</f>
        <v>102</v>
      </c>
      <c r="AP106" s="98">
        <f>'TMO Cz Rep'!AP54</f>
        <v>103</v>
      </c>
      <c r="AQ106" s="98">
        <f>'TMO Cz Rep'!AQ54</f>
        <v>425</v>
      </c>
      <c r="AS106" s="98">
        <f>'TMO Cz Rep'!AS54</f>
        <v>92</v>
      </c>
      <c r="AT106" s="98">
        <f>'TMO Cz Rep'!AT54</f>
        <v>91</v>
      </c>
      <c r="AU106" s="98">
        <f>'TMO Cz Rep'!AU54</f>
        <v>93</v>
      </c>
      <c r="AV106" s="98">
        <f>'TMO Cz Rep'!AV54</f>
        <v>86</v>
      </c>
      <c r="AW106" s="98">
        <f>'TMO Cz Rep'!AW54</f>
        <v>362</v>
      </c>
      <c r="AY106" s="98">
        <f>'TMO Cz Rep'!AY54</f>
        <v>89</v>
      </c>
      <c r="AZ106" s="98">
        <f>'TMO Cz Rep'!AZ54</f>
        <v>96</v>
      </c>
      <c r="BA106" s="98">
        <f>'TMO Cz Rep'!BA54</f>
        <v>100</v>
      </c>
      <c r="BB106" s="98">
        <f>'TMO Cz Rep'!BB54</f>
        <v>105</v>
      </c>
      <c r="BC106" s="98">
        <f>'TMO Cz Rep'!BC54</f>
        <v>390</v>
      </c>
      <c r="BE106" s="98">
        <f>'TMO Cz Rep'!BE54</f>
        <v>99</v>
      </c>
      <c r="BF106" s="98">
        <f>'TMO Cz Rep'!BF54</f>
        <v>100</v>
      </c>
      <c r="BG106" s="98">
        <f>'TMO Cz Rep'!BG54</f>
        <v>103</v>
      </c>
      <c r="BH106" s="98">
        <f>'TMO Cz Rep'!BH54</f>
        <v>96</v>
      </c>
      <c r="BI106" s="98">
        <f>'TMO Cz Rep'!BI54</f>
        <v>398</v>
      </c>
      <c r="BK106" s="98">
        <f>'TMO Cz Rep'!BK54</f>
        <v>100</v>
      </c>
      <c r="BL106" s="98">
        <f>'TMO Cz Rep'!BL54</f>
        <v>100</v>
      </c>
      <c r="BM106" s="98">
        <f>'TMO Cz Rep'!BM54</f>
        <v>101</v>
      </c>
      <c r="BN106" s="98">
        <f>'TMO Cz Rep'!BN54</f>
        <v>105</v>
      </c>
      <c r="BO106" s="98">
        <f>'TMO Cz Rep'!BO54</f>
        <v>406</v>
      </c>
      <c r="BQ106" s="98">
        <f>'TMO Cz Rep'!BQ54</f>
        <v>106.20674338895159</v>
      </c>
      <c r="BR106" s="98">
        <f>'TMO Cz Rep'!BR54</f>
        <v>105.46489422530095</v>
      </c>
      <c r="BS106" s="98">
        <f>'TMO Cz Rep'!BS54</f>
        <v>102.98886007085872</v>
      </c>
      <c r="BT106" s="98">
        <f>'TMO Cz Rep'!BT54</f>
        <v>104.56510031994779</v>
      </c>
      <c r="BU106" s="98">
        <f>'TMO Cz Rep'!BU54</f>
        <v>419.22559800505906</v>
      </c>
      <c r="BW106" s="98">
        <f>'TMO Cz Rep'!BW54</f>
        <v>107.81574354011795</v>
      </c>
      <c r="BX106" s="98">
        <f>'TMO Cz Rep'!BX54</f>
        <v>106.90923602463485</v>
      </c>
      <c r="BY106" s="98">
        <f>'TMO Cz Rep'!BY54</f>
        <v>104.92791106768667</v>
      </c>
      <c r="BZ106" s="98">
        <f>'TMO Cz Rep'!BZ54</f>
        <v>106.57234919549302</v>
      </c>
      <c r="CA106" s="98">
        <f>'TMO Cz Rep'!CA54</f>
        <v>426.22523982793251</v>
      </c>
      <c r="CC106" s="98">
        <f>'TMO Cz Rep'!CC54</f>
        <v>109.13785560541501</v>
      </c>
      <c r="CD106" s="98">
        <f>'TMO Cz Rep'!CD54</f>
        <v>108.32565629724243</v>
      </c>
      <c r="CE106" s="98">
        <f>'TMO Cz Rep'!CE54</f>
        <v>106.01344912220247</v>
      </c>
      <c r="CF106" s="98">
        <f>'TMO Cz Rep'!CF54</f>
        <v>107.62887452723052</v>
      </c>
      <c r="CG106" s="98">
        <f>'TMO Cz Rep'!CG54</f>
        <v>431.10583555209041</v>
      </c>
      <c r="CI106" s="98">
        <f>'TMO Cz Rep'!CI54</f>
        <v>110.13672221282482</v>
      </c>
      <c r="CJ106" s="98">
        <f>'TMO Cz Rep'!CJ54</f>
        <v>109.23354160753439</v>
      </c>
      <c r="CK106" s="98">
        <f>'TMO Cz Rep'!CK54</f>
        <v>106.90013608529301</v>
      </c>
      <c r="CL106" s="98">
        <f>'TMO Cz Rep'!CL54</f>
        <v>108.49401024730287</v>
      </c>
      <c r="CM106" s="98">
        <f>'TMO Cz Rep'!CM54</f>
        <v>434.76441015295507</v>
      </c>
      <c r="CO106" s="98">
        <f>'TMO Cz Rep'!CO54</f>
        <v>110.69873028734324</v>
      </c>
      <c r="CP106" s="98">
        <f>'TMO Cz Rep'!CP54</f>
        <v>109.70892415878356</v>
      </c>
      <c r="CQ106" s="98">
        <f>'TMO Cz Rep'!CQ54</f>
        <v>107.37315742664904</v>
      </c>
      <c r="CR106" s="98">
        <f>'TMO Cz Rep'!CR54</f>
        <v>108.95038230260971</v>
      </c>
      <c r="CS106" s="98">
        <f>'TMO Cz Rep'!CS54</f>
        <v>436.73119417538555</v>
      </c>
      <c r="CU106" s="98">
        <f>'TMO Cz Rep'!CU54</f>
        <v>111.29783851775156</v>
      </c>
      <c r="CV106" s="98">
        <f>'TMO Cz Rep'!CV54</f>
        <v>110.21973136120454</v>
      </c>
      <c r="CW106" s="98">
        <f>'TMO Cz Rep'!CW54</f>
        <v>107.88037742260761</v>
      </c>
      <c r="CX106" s="98">
        <f>'TMO Cz Rep'!CX54</f>
        <v>109.43663879812377</v>
      </c>
      <c r="CY106" s="98">
        <f>'TMO Cz Rep'!CY54</f>
        <v>438.8345860996875</v>
      </c>
      <c r="CZ106" s="2"/>
      <c r="DA106" s="98">
        <f>'TMO Cz Rep'!DA54</f>
        <v>112.59276030264598</v>
      </c>
      <c r="DB106" s="98">
        <f>'TMO Cz Rep'!DB54</f>
        <v>111.45407434693965</v>
      </c>
      <c r="DC106" s="98">
        <f>'TMO Cz Rep'!DC54</f>
        <v>109.1177295579719</v>
      </c>
      <c r="DD106" s="98">
        <f>'TMO Cz Rep'!DD54</f>
        <v>110.68901944636005</v>
      </c>
      <c r="DE106" s="98">
        <f>'TMO Cz Rep'!DE54</f>
        <v>443.85358365391755</v>
      </c>
      <c r="DF106" s="2"/>
      <c r="DG106" s="98">
        <f>'TMO Cz Rep'!DG54</f>
        <v>113.9421815822071</v>
      </c>
      <c r="DH106" s="98">
        <f>'TMO Cz Rep'!DH54</f>
        <v>112.7415394979426</v>
      </c>
      <c r="DI106" s="98">
        <f>'TMO Cz Rep'!DI54</f>
        <v>110.40724394763257</v>
      </c>
      <c r="DJ106" s="98">
        <f>'TMO Cz Rep'!DJ54</f>
        <v>111.9907880210155</v>
      </c>
      <c r="DK106" s="98">
        <f>'TMO Cz Rep'!DK54</f>
        <v>449.08175304879774</v>
      </c>
    </row>
    <row r="107" spans="1:115" x14ac:dyDescent="0.3">
      <c r="B107" s="6" t="s">
        <v>173</v>
      </c>
      <c r="I107" s="98">
        <f>'PTC (Poland)'!I54</f>
        <v>184</v>
      </c>
      <c r="J107" s="98">
        <f>'PTC (Poland)'!J54</f>
        <v>214</v>
      </c>
      <c r="K107" s="98">
        <f>'PTC (Poland)'!K54</f>
        <v>222</v>
      </c>
      <c r="L107" s="98">
        <f>'PTC (Poland)'!L54</f>
        <v>165</v>
      </c>
      <c r="M107" s="98">
        <f>'PTC (Poland)'!M54</f>
        <v>785</v>
      </c>
      <c r="O107" s="98">
        <f>'PTC (Poland)'!O54</f>
        <v>110</v>
      </c>
      <c r="P107" s="98">
        <f>'PTC (Poland)'!P54</f>
        <v>170</v>
      </c>
      <c r="Q107" s="98">
        <f>'PTC (Poland)'!Q54</f>
        <v>175</v>
      </c>
      <c r="R107" s="98">
        <f>'PTC (Poland)'!R54</f>
        <v>161</v>
      </c>
      <c r="S107" s="98">
        <f>'PTC (Poland)'!S54</f>
        <v>616</v>
      </c>
      <c r="U107" s="98">
        <f>'PTC (Poland)'!U54</f>
        <v>169</v>
      </c>
      <c r="V107" s="98">
        <f>'PTC (Poland)'!V54</f>
        <v>176</v>
      </c>
      <c r="W107" s="98">
        <f>'PTC (Poland)'!W54</f>
        <v>159</v>
      </c>
      <c r="X107" s="98">
        <f>'PTC (Poland)'!X54</f>
        <v>187</v>
      </c>
      <c r="Y107" s="98">
        <f>'PTC (Poland)'!Y54</f>
        <v>691</v>
      </c>
      <c r="AA107" s="98">
        <f>'PTC (Poland)'!AA54</f>
        <v>144</v>
      </c>
      <c r="AB107" s="98">
        <f>'PTC (Poland)'!AB54</f>
        <v>176</v>
      </c>
      <c r="AC107" s="98">
        <f>'PTC (Poland)'!AC54</f>
        <v>156</v>
      </c>
      <c r="AD107" s="98">
        <f>'PTC (Poland)'!AD54</f>
        <v>153</v>
      </c>
      <c r="AE107" s="98">
        <f>'PTC (Poland)'!AE54</f>
        <v>629</v>
      </c>
      <c r="AG107" s="98">
        <f>'PTC (Poland)'!AG54</f>
        <v>127</v>
      </c>
      <c r="AH107" s="98">
        <f>'PTC (Poland)'!AH54</f>
        <v>139</v>
      </c>
      <c r="AI107" s="98">
        <f>'PTC (Poland)'!AI54</f>
        <v>160</v>
      </c>
      <c r="AJ107" s="98">
        <f>'PTC (Poland)'!AJ54</f>
        <v>160</v>
      </c>
      <c r="AK107" s="98">
        <f>'PTC (Poland)'!AK54</f>
        <v>586</v>
      </c>
      <c r="AM107" s="98">
        <f>'PTC (Poland)'!AM54</f>
        <v>140</v>
      </c>
      <c r="AN107" s="98">
        <f>'PTC (Poland)'!AN54</f>
        <v>147</v>
      </c>
      <c r="AO107" s="98">
        <f>'PTC (Poland)'!AO54</f>
        <v>145</v>
      </c>
      <c r="AP107" s="98">
        <f>'PTC (Poland)'!AP54</f>
        <v>167</v>
      </c>
      <c r="AQ107" s="98">
        <f>'PTC (Poland)'!AQ54</f>
        <v>599</v>
      </c>
      <c r="AS107" s="98">
        <f>'PTC (Poland)'!AS54</f>
        <v>134</v>
      </c>
      <c r="AT107" s="98">
        <f>'PTC (Poland)'!AT54</f>
        <v>141</v>
      </c>
      <c r="AU107" s="98">
        <f>'PTC (Poland)'!AU54</f>
        <v>149</v>
      </c>
      <c r="AV107" s="98">
        <f>'PTC (Poland)'!AV54</f>
        <v>155</v>
      </c>
      <c r="AW107" s="98">
        <f>'PTC (Poland)'!AW54</f>
        <v>579</v>
      </c>
      <c r="AY107" s="98">
        <f>'PTC (Poland)'!AY54</f>
        <v>130</v>
      </c>
      <c r="AZ107" s="98">
        <f>'PTC (Poland)'!AZ54</f>
        <v>145</v>
      </c>
      <c r="BA107" s="98">
        <f>'PTC (Poland)'!BA54</f>
        <v>164</v>
      </c>
      <c r="BB107" s="98">
        <f>'PTC (Poland)'!BB54</f>
        <v>141</v>
      </c>
      <c r="BC107" s="98">
        <f>'PTC (Poland)'!BC54</f>
        <v>580</v>
      </c>
      <c r="BE107" s="98">
        <f>'PTC (Poland)'!BE54</f>
        <v>120</v>
      </c>
      <c r="BF107" s="98">
        <f>'PTC (Poland)'!BF54</f>
        <v>100</v>
      </c>
      <c r="BG107" s="98">
        <f>'PTC (Poland)'!BG54</f>
        <v>125</v>
      </c>
      <c r="BH107" s="98">
        <f>'PTC (Poland)'!BH54</f>
        <v>132</v>
      </c>
      <c r="BI107" s="98">
        <f>'PTC (Poland)'!BI54</f>
        <v>477</v>
      </c>
      <c r="BK107" s="98">
        <f>'PTC (Poland)'!BK54</f>
        <v>100</v>
      </c>
      <c r="BL107" s="98">
        <f>'PTC (Poland)'!BL54</f>
        <v>125</v>
      </c>
      <c r="BM107" s="98">
        <f>'PTC (Poland)'!BM54</f>
        <v>88</v>
      </c>
      <c r="BN107" s="98">
        <f>'PTC (Poland)'!BN54</f>
        <v>106</v>
      </c>
      <c r="BO107" s="98">
        <f>'PTC (Poland)'!BO54</f>
        <v>419</v>
      </c>
      <c r="BQ107" s="98">
        <f>'PTC (Poland)'!BQ54</f>
        <v>88.075707952881885</v>
      </c>
      <c r="BR107" s="98">
        <f>'PTC (Poland)'!BR54</f>
        <v>115.05925467440315</v>
      </c>
      <c r="BS107" s="98">
        <f>'PTC (Poland)'!BS54</f>
        <v>83.474912705989254</v>
      </c>
      <c r="BT107" s="98">
        <f>'PTC (Poland)'!BT54</f>
        <v>102.05436556416305</v>
      </c>
      <c r="BU107" s="98">
        <f>'PTC (Poland)'!BU54</f>
        <v>388.66424089743737</v>
      </c>
      <c r="BW107" s="98">
        <f>'PTC (Poland)'!BW54</f>
        <v>85.855553404250486</v>
      </c>
      <c r="BX107" s="98">
        <f>'PTC (Poland)'!BX54</f>
        <v>114.2766257126865</v>
      </c>
      <c r="BY107" s="98">
        <f>'PTC (Poland)'!BY54</f>
        <v>81.927647309473571</v>
      </c>
      <c r="BZ107" s="98">
        <f>'PTC (Poland)'!BZ54</f>
        <v>97.145482849768428</v>
      </c>
      <c r="CA107" s="98">
        <f>'PTC (Poland)'!CA54</f>
        <v>379.20530927617898</v>
      </c>
      <c r="CC107" s="98">
        <f>'PTC (Poland)'!CC54</f>
        <v>85.555403449075072</v>
      </c>
      <c r="CD107" s="98">
        <f>'PTC (Poland)'!CD54</f>
        <v>114.5158738789894</v>
      </c>
      <c r="CE107" s="98">
        <f>'PTC (Poland)'!CE54</f>
        <v>81.912088429204118</v>
      </c>
      <c r="CF107" s="98">
        <f>'PTC (Poland)'!CF54</f>
        <v>96.140300899641716</v>
      </c>
      <c r="CG107" s="98">
        <f>'PTC (Poland)'!CG54</f>
        <v>378.1236666569103</v>
      </c>
      <c r="CI107" s="98">
        <f>'PTC (Poland)'!CI54</f>
        <v>86.426612002066236</v>
      </c>
      <c r="CJ107" s="98">
        <f>'PTC (Poland)'!CJ54</f>
        <v>115.75764824219857</v>
      </c>
      <c r="CK107" s="98">
        <f>'PTC (Poland)'!CK54</f>
        <v>82.690874498778783</v>
      </c>
      <c r="CL107" s="98">
        <f>'PTC (Poland)'!CL54</f>
        <v>97.028261166702691</v>
      </c>
      <c r="CM107" s="98">
        <f>'PTC (Poland)'!CM54</f>
        <v>381.90339590974628</v>
      </c>
      <c r="CO107" s="98">
        <f>'PTC (Poland)'!CO54</f>
        <v>87.415241246054961</v>
      </c>
      <c r="CP107" s="98">
        <f>'PTC (Poland)'!CP54</f>
        <v>117.15762583028828</v>
      </c>
      <c r="CQ107" s="98">
        <f>'PTC (Poland)'!CQ54</f>
        <v>83.584758665862466</v>
      </c>
      <c r="CR107" s="98">
        <f>'PTC (Poland)'!CR54</f>
        <v>98.056800370228132</v>
      </c>
      <c r="CS107" s="98">
        <f>'PTC (Poland)'!CS54</f>
        <v>386.21442611243384</v>
      </c>
      <c r="CU107" s="98">
        <f>'PTC (Poland)'!CU54</f>
        <v>88.927708116009399</v>
      </c>
      <c r="CV107" s="98">
        <f>'PTC (Poland)'!CV54</f>
        <v>119.23941446278133</v>
      </c>
      <c r="CW107" s="98">
        <f>'PTC (Poland)'!CW54</f>
        <v>84.967821715688103</v>
      </c>
      <c r="CX107" s="98">
        <f>'PTC (Poland)'!CX54</f>
        <v>99.640160230479637</v>
      </c>
      <c r="CY107" s="98">
        <f>'PTC (Poland)'!CY54</f>
        <v>392.77510452495846</v>
      </c>
      <c r="CZ107" s="2"/>
      <c r="DA107" s="98">
        <f>'PTC (Poland)'!DA54</f>
        <v>90.571442738580913</v>
      </c>
      <c r="DB107" s="98">
        <f>'PTC (Poland)'!DB54</f>
        <v>121.49752295682572</v>
      </c>
      <c r="DC107" s="98">
        <f>'PTC (Poland)'!DC54</f>
        <v>86.478528052934507</v>
      </c>
      <c r="DD107" s="98">
        <f>'PTC (Poland)'!DD54</f>
        <v>101.37808336365299</v>
      </c>
      <c r="DE107" s="98">
        <f>'PTC (Poland)'!DE54</f>
        <v>399.92557711199413</v>
      </c>
      <c r="DF107" s="2"/>
      <c r="DG107" s="98">
        <f>'PTC (Poland)'!DG54</f>
        <v>92.34828828049325</v>
      </c>
      <c r="DH107" s="98">
        <f>'PTC (Poland)'!DH54</f>
        <v>123.93449338631086</v>
      </c>
      <c r="DI107" s="98">
        <f>'PTC (Poland)'!DI54</f>
        <v>88.11850827543492</v>
      </c>
      <c r="DJ107" s="98">
        <f>'PTC (Poland)'!DJ54</f>
        <v>103.2724571219585</v>
      </c>
      <c r="DK107" s="98">
        <f>'PTC (Poland)'!DK54</f>
        <v>407.67374706419753</v>
      </c>
    </row>
    <row r="108" spans="1:115" x14ac:dyDescent="0.3">
      <c r="B108" s="6" t="s">
        <v>202</v>
      </c>
      <c r="I108" s="98">
        <f>Hungary!I54</f>
        <v>112</v>
      </c>
      <c r="J108" s="98">
        <f>Hungary!J54</f>
        <v>133</v>
      </c>
      <c r="K108" s="98">
        <f>Hungary!K54</f>
        <v>132</v>
      </c>
      <c r="L108" s="98">
        <f>Hungary!L54</f>
        <v>104</v>
      </c>
      <c r="M108" s="98">
        <f>Hungary!M54</f>
        <v>481</v>
      </c>
      <c r="O108" s="98">
        <f>Hungary!O54</f>
        <v>95</v>
      </c>
      <c r="P108" s="98">
        <f>Hungary!P54</f>
        <v>104</v>
      </c>
      <c r="Q108" s="98">
        <f>Hungary!Q54</f>
        <v>118</v>
      </c>
      <c r="R108" s="98">
        <f>Hungary!R54</f>
        <v>99</v>
      </c>
      <c r="S108" s="98">
        <f>Hungary!S54</f>
        <v>416</v>
      </c>
      <c r="U108" s="98">
        <f>Hungary!U54</f>
        <v>104</v>
      </c>
      <c r="V108" s="98">
        <f>Hungary!V54</f>
        <v>110</v>
      </c>
      <c r="W108" s="98">
        <f>Hungary!W54</f>
        <v>118</v>
      </c>
      <c r="X108" s="98">
        <f>Hungary!X54-(5.6%*Hungary!Y40)</f>
        <v>44.800000000000004</v>
      </c>
      <c r="Y108" s="98">
        <f>Hungary!Y54</f>
        <v>430</v>
      </c>
      <c r="Z108" s="98">
        <f>Y108*0.41</f>
        <v>176.29999999999998</v>
      </c>
      <c r="AA108" s="98">
        <f>Hungary!AA54</f>
        <v>89</v>
      </c>
      <c r="AB108" s="98">
        <f>Hungary!AB54</f>
        <v>93</v>
      </c>
      <c r="AC108" s="98">
        <f>Hungary!AC54</f>
        <v>91</v>
      </c>
      <c r="AD108" s="98">
        <f>Hungary!AD54-(5.6%*Hungary!AE40)</f>
        <v>21.088000000000008</v>
      </c>
      <c r="AE108" s="98">
        <f>Hungary!AE54</f>
        <v>339</v>
      </c>
      <c r="AF108" s="98">
        <f>AE108*0.41</f>
        <v>138.98999999999998</v>
      </c>
      <c r="AG108" s="98">
        <f>Hungary!AG54</f>
        <v>77</v>
      </c>
      <c r="AH108" s="98">
        <f>Hungary!AH54</f>
        <v>77</v>
      </c>
      <c r="AI108" s="98">
        <f>Hungary!AI54</f>
        <v>84</v>
      </c>
      <c r="AJ108" s="98">
        <f>Hungary!AJ54-(5.6%*Hungary!AK40)</f>
        <v>21.216000000000001</v>
      </c>
      <c r="AK108" s="98">
        <f>Hungary!AK54</f>
        <v>302</v>
      </c>
      <c r="AL108" s="98">
        <f>AK108*0.41</f>
        <v>123.82</v>
      </c>
      <c r="AM108" s="98">
        <f>Hungary!AM54</f>
        <v>63</v>
      </c>
      <c r="AN108" s="98">
        <f>Hungary!AN54</f>
        <v>80</v>
      </c>
      <c r="AO108" s="98">
        <f>Hungary!AO54</f>
        <v>80</v>
      </c>
      <c r="AP108" s="98">
        <f>Hungary!AP54</f>
        <v>63</v>
      </c>
      <c r="AQ108" s="98">
        <f>Hungary!AQ54</f>
        <v>286</v>
      </c>
      <c r="AS108" s="98">
        <f>Hungary!AS54</f>
        <v>64</v>
      </c>
      <c r="AT108" s="98">
        <f>Hungary!AT54</f>
        <v>82.72</v>
      </c>
      <c r="AU108" s="98">
        <f>Hungary!AU54</f>
        <v>83.6</v>
      </c>
      <c r="AV108" s="98">
        <f>Hungary!AV54</f>
        <v>61.11</v>
      </c>
      <c r="AW108" s="98">
        <f>Hungary!AW54</f>
        <v>291.43</v>
      </c>
      <c r="AY108" s="98">
        <f>Hungary!AY54</f>
        <v>55</v>
      </c>
      <c r="AZ108" s="98">
        <f>Hungary!AZ54</f>
        <v>70</v>
      </c>
      <c r="BA108" s="98">
        <f>Hungary!BA54</f>
        <v>70</v>
      </c>
      <c r="BB108" s="98">
        <f>Hungary!BB54</f>
        <v>60</v>
      </c>
      <c r="BC108" s="98">
        <f>Hungary!BC54</f>
        <v>255</v>
      </c>
      <c r="BE108" s="98">
        <f>Hungary!BE54</f>
        <v>60</v>
      </c>
      <c r="BF108" s="98">
        <f>Hungary!BF54</f>
        <v>69.510000000000005</v>
      </c>
      <c r="BG108" s="98">
        <f>Hungary!BG54</f>
        <v>71.47</v>
      </c>
      <c r="BH108" s="98">
        <f>Hungary!BH54</f>
        <v>60.480000000000004</v>
      </c>
      <c r="BI108" s="98">
        <f>Hungary!BI54</f>
        <v>261.45999999999998</v>
      </c>
      <c r="BK108" s="98">
        <f>Hungary!BK54</f>
        <v>53</v>
      </c>
      <c r="BL108" s="98">
        <f>Hungary!BL54</f>
        <v>68.119799999999998</v>
      </c>
      <c r="BM108" s="98">
        <f>Hungary!BM54</f>
        <v>82.833730000000003</v>
      </c>
      <c r="BN108" s="98">
        <f>Hungary!BN54</f>
        <v>61.931520000000006</v>
      </c>
      <c r="BO108" s="98">
        <f>Hungary!BO54</f>
        <v>265.88504999999998</v>
      </c>
      <c r="BQ108" s="98">
        <f>Hungary!BQ54</f>
        <v>58.598882083459955</v>
      </c>
      <c r="BR108" s="98">
        <f>Hungary!BR54</f>
        <v>73.412974801498535</v>
      </c>
      <c r="BS108" s="98">
        <f>Hungary!BS54</f>
        <v>85.845756051778807</v>
      </c>
      <c r="BT108" s="98">
        <f>Hungary!BT54</f>
        <v>65.440279571312772</v>
      </c>
      <c r="BU108" s="98">
        <f>Hungary!BU54</f>
        <v>283.29789250805004</v>
      </c>
      <c r="BW108" s="98">
        <f>Hungary!BW54</f>
        <v>60.757776017895424</v>
      </c>
      <c r="BX108" s="98">
        <f>Hungary!BX54</f>
        <v>75.656452351856075</v>
      </c>
      <c r="BY108" s="98">
        <f>Hungary!BY54</f>
        <v>88.241543614899257</v>
      </c>
      <c r="BZ108" s="98">
        <f>Hungary!BZ54</f>
        <v>67.077313335108414</v>
      </c>
      <c r="CA108" s="98">
        <f>Hungary!CA54</f>
        <v>291.7330853197592</v>
      </c>
      <c r="CC108" s="98">
        <f>Hungary!CC54</f>
        <v>62.383934416118137</v>
      </c>
      <c r="CD108" s="98">
        <f>Hungary!CD54</f>
        <v>77.420451877721149</v>
      </c>
      <c r="CE108" s="98">
        <f>Hungary!CE54</f>
        <v>90.366624944458664</v>
      </c>
      <c r="CF108" s="98">
        <f>Hungary!CF54</f>
        <v>68.882699263942357</v>
      </c>
      <c r="CG108" s="98">
        <f>Hungary!CG54</f>
        <v>299.05371050224028</v>
      </c>
      <c r="CI108" s="98">
        <f>Hungary!CI54</f>
        <v>63.765330277162263</v>
      </c>
      <c r="CJ108" s="98">
        <f>Hungary!CJ54</f>
        <v>79.072134024889635</v>
      </c>
      <c r="CK108" s="98">
        <f>Hungary!CK54</f>
        <v>92.453315058560293</v>
      </c>
      <c r="CL108" s="98">
        <f>Hungary!CL54</f>
        <v>70.436566006221625</v>
      </c>
      <c r="CM108" s="98">
        <f>Hungary!CM54</f>
        <v>305.72734536683379</v>
      </c>
      <c r="CO108" s="98">
        <f>Hungary!CO54</f>
        <v>65.35949190017908</v>
      </c>
      <c r="CP108" s="98">
        <f>Hungary!CP54</f>
        <v>80.857312273413527</v>
      </c>
      <c r="CQ108" s="98">
        <f>Hungary!CQ54</f>
        <v>94.607382360017397</v>
      </c>
      <c r="CR108" s="98">
        <f>Hungary!CR54</f>
        <v>72.202608116951126</v>
      </c>
      <c r="CS108" s="98">
        <f>Hungary!CS54</f>
        <v>313.0267946505611</v>
      </c>
      <c r="CU108" s="98">
        <f>Hungary!CU54</f>
        <v>66.761850438859653</v>
      </c>
      <c r="CV108" s="98">
        <f>Hungary!CV54</f>
        <v>82.437328026396273</v>
      </c>
      <c r="CW108" s="98">
        <f>Hungary!CW54</f>
        <v>96.520896922680066</v>
      </c>
      <c r="CX108" s="98">
        <f>Hungary!CX54</f>
        <v>73.767559594047924</v>
      </c>
      <c r="CY108" s="98">
        <f>Hungary!CY54</f>
        <v>319.48763498198389</v>
      </c>
      <c r="CZ108" s="2"/>
      <c r="DA108" s="98">
        <f>Hungary!DA54</f>
        <v>68.232366202060348</v>
      </c>
      <c r="DB108" s="98">
        <f>Hungary!DB54</f>
        <v>84.093032445659702</v>
      </c>
      <c r="DC108" s="98">
        <f>Hungary!DC54</f>
        <v>98.524346481723796</v>
      </c>
      <c r="DD108" s="98">
        <f>Hungary!DD54</f>
        <v>75.406779285025834</v>
      </c>
      <c r="DE108" s="98">
        <f>Hungary!DE54</f>
        <v>326.25652441446971</v>
      </c>
      <c r="DF108" s="2"/>
      <c r="DG108" s="98">
        <f>Hungary!DG54</f>
        <v>69.774421092126858</v>
      </c>
      <c r="DH108" s="98">
        <f>Hungary!DH54</f>
        <v>85.828020546835091</v>
      </c>
      <c r="DI108" s="98">
        <f>Hungary!DI54</f>
        <v>100.6218168811489</v>
      </c>
      <c r="DJ108" s="98">
        <f>Hungary!DJ54</f>
        <v>77.123858297917764</v>
      </c>
      <c r="DK108" s="98">
        <f>Hungary!DK54</f>
        <v>333.34811681802864</v>
      </c>
    </row>
    <row r="109" spans="1:115" x14ac:dyDescent="0.3">
      <c r="B109" s="6" t="s">
        <v>203</v>
      </c>
      <c r="I109" s="98">
        <f>Slovakia!I46</f>
        <v>61</v>
      </c>
      <c r="J109" s="98">
        <f>Slovakia!J46</f>
        <v>68</v>
      </c>
      <c r="K109" s="98">
        <f>Slovakia!K46</f>
        <v>71</v>
      </c>
      <c r="L109" s="98">
        <f>Slovakia!L46</f>
        <v>30</v>
      </c>
      <c r="M109" s="98">
        <f>Slovakia!M46</f>
        <v>230</v>
      </c>
      <c r="O109" s="98">
        <f>Slovakia!O46</f>
        <v>68</v>
      </c>
      <c r="P109" s="98">
        <f>Slovakia!P46</f>
        <v>69</v>
      </c>
      <c r="Q109" s="98">
        <f>Slovakia!Q46</f>
        <v>71</v>
      </c>
      <c r="R109" s="98">
        <f>Slovakia!R46</f>
        <v>49</v>
      </c>
      <c r="S109" s="98">
        <f>Slovakia!S46</f>
        <v>257</v>
      </c>
      <c r="U109" s="98">
        <f>Slovakia!U46</f>
        <v>59</v>
      </c>
      <c r="V109" s="98">
        <f>Slovakia!V46</f>
        <v>61</v>
      </c>
      <c r="W109" s="98">
        <f>Slovakia!W46</f>
        <v>63</v>
      </c>
      <c r="X109" s="98">
        <f>Slovakia!X46</f>
        <v>46</v>
      </c>
      <c r="Y109" s="98">
        <f>Slovakia!Y46</f>
        <v>229</v>
      </c>
      <c r="Z109" s="98">
        <f>Y109*0.49</f>
        <v>112.21</v>
      </c>
      <c r="AA109" s="98">
        <f>Slovakia!AA46</f>
        <v>54</v>
      </c>
      <c r="AB109" s="98">
        <f>Slovakia!AB46</f>
        <v>56</v>
      </c>
      <c r="AC109" s="98">
        <f>Slovakia!AC46</f>
        <v>61</v>
      </c>
      <c r="AD109" s="98">
        <f>Slovakia!AD46</f>
        <v>49</v>
      </c>
      <c r="AE109" s="98">
        <f>Slovakia!AE46</f>
        <v>220</v>
      </c>
      <c r="AF109" s="98">
        <f>AE109*0.49</f>
        <v>107.8</v>
      </c>
      <c r="AG109" s="98">
        <f>Slovakia!AG46</f>
        <v>49</v>
      </c>
      <c r="AH109" s="98">
        <f>Slovakia!AH46</f>
        <v>47</v>
      </c>
      <c r="AI109" s="98">
        <f>Slovakia!AI46</f>
        <v>53</v>
      </c>
      <c r="AJ109" s="98">
        <f>Slovakia!AJ46</f>
        <v>50</v>
      </c>
      <c r="AK109" s="98">
        <f>Slovakia!AK46</f>
        <v>199</v>
      </c>
      <c r="AL109" s="98">
        <f>AK109*0.49</f>
        <v>97.51</v>
      </c>
      <c r="AM109" s="98">
        <f>Slovakia!AM46</f>
        <v>48</v>
      </c>
      <c r="AN109" s="98">
        <f>Slovakia!AN46</f>
        <v>43</v>
      </c>
      <c r="AO109" s="98">
        <f>Slovakia!AO46</f>
        <v>52</v>
      </c>
      <c r="AP109" s="98">
        <f>Slovakia!AP46</f>
        <v>48</v>
      </c>
      <c r="AQ109" s="98">
        <f>Slovakia!AQ46</f>
        <v>191</v>
      </c>
      <c r="AS109" s="98">
        <f>Slovakia!AS46</f>
        <v>44</v>
      </c>
      <c r="AT109" s="98">
        <f>Slovakia!AT46</f>
        <v>41.71</v>
      </c>
      <c r="AU109" s="98">
        <f>Slovakia!AU46</f>
        <v>47.84</v>
      </c>
      <c r="AV109" s="98">
        <f ca="1">Slovakia!AV46</f>
        <v>41.050403046728967</v>
      </c>
      <c r="AW109" s="98">
        <f ca="1">Slovakia!AW46</f>
        <v>174.60040304672899</v>
      </c>
      <c r="AY109" s="98">
        <f>Slovakia!AY46</f>
        <v>41</v>
      </c>
      <c r="AZ109" s="98">
        <f>Slovakia!AZ46</f>
        <v>42</v>
      </c>
      <c r="BA109" s="98">
        <f>Slovakia!BA46</f>
        <v>47.84</v>
      </c>
      <c r="BB109" s="98">
        <f ca="1">Slovakia!BB46</f>
        <v>34.564439365345791</v>
      </c>
      <c r="BC109" s="98">
        <f ca="1">Slovakia!BC46</f>
        <v>165.40443936534581</v>
      </c>
      <c r="BE109" s="98">
        <f>Slovakia!BE46</f>
        <v>43.788000000000004</v>
      </c>
      <c r="BF109" s="98">
        <f>Slovakia!BF46</f>
        <v>43.637999999999998</v>
      </c>
      <c r="BG109" s="98">
        <f>Slovakia!BG46</f>
        <v>47.84</v>
      </c>
      <c r="BH109" s="98">
        <f ca="1">Slovakia!BH46</f>
        <v>33.492941745020069</v>
      </c>
      <c r="BI109" s="98">
        <f ca="1">Slovakia!BI46</f>
        <v>168.75894174502008</v>
      </c>
      <c r="BK109" s="98">
        <f>Slovakia!BK46</f>
        <v>43.218756000000006</v>
      </c>
      <c r="BL109" s="98">
        <f>Slovakia!BL46</f>
        <v>44.728949999999998</v>
      </c>
      <c r="BM109" s="98">
        <f>Slovakia!BM46</f>
        <v>49.562240000000003</v>
      </c>
      <c r="BN109" s="98">
        <f ca="1">Slovakia!BN46</f>
        <v>38.349418298047979</v>
      </c>
      <c r="BO109" s="98">
        <f ca="1">Slovakia!BO46</f>
        <v>175.85936429804798</v>
      </c>
      <c r="BQ109" s="98">
        <f>Slovakia!BQ46</f>
        <v>46.504702946396122</v>
      </c>
      <c r="BR109" s="98">
        <f>Slovakia!BR46</f>
        <v>47.510560471448379</v>
      </c>
      <c r="BS109" s="98">
        <f>Slovakia!BS46</f>
        <v>52.00764964781775</v>
      </c>
      <c r="BT109" s="98">
        <f ca="1">Slovakia!BT46</f>
        <v>38.571669552631924</v>
      </c>
      <c r="BU109" s="98">
        <f ca="1">Slovakia!BU46</f>
        <v>184.59458261829417</v>
      </c>
      <c r="BW109" s="98">
        <f>Slovakia!BW46</f>
        <v>47.071130689185772</v>
      </c>
      <c r="BX109" s="98">
        <f>Slovakia!BX46</f>
        <v>47.942621982960318</v>
      </c>
      <c r="BY109" s="98">
        <f>Slovakia!BY46</f>
        <v>52.410216947015883</v>
      </c>
      <c r="BZ109" s="98">
        <f ca="1">Slovakia!BZ46</f>
        <v>38.710070813537961</v>
      </c>
      <c r="CA109" s="98">
        <f ca="1">Slovakia!CA46</f>
        <v>186.13404043269995</v>
      </c>
      <c r="CC109" s="98">
        <f>Slovakia!CC46</f>
        <v>47.355628987565261</v>
      </c>
      <c r="CD109" s="98">
        <f>Slovakia!CD46</f>
        <v>48.231331723198046</v>
      </c>
      <c r="CE109" s="98">
        <f>Slovakia!CE46</f>
        <v>52.79602794162588</v>
      </c>
      <c r="CF109" s="98">
        <f ca="1">Slovakia!CF46</f>
        <v>38.930268996151504</v>
      </c>
      <c r="CG109" s="98">
        <f ca="1">Slovakia!CG46</f>
        <v>187.31325764854071</v>
      </c>
      <c r="CI109" s="98">
        <f>Slovakia!CI46</f>
        <v>47.506997872482316</v>
      </c>
      <c r="CJ109" s="98">
        <f>Slovakia!CJ46</f>
        <v>48.401425531254091</v>
      </c>
      <c r="CK109" s="98">
        <f>Slovakia!CK46</f>
        <v>53.052496180795124</v>
      </c>
      <c r="CL109" s="98">
        <f ca="1">Slovakia!CL46</f>
        <v>38.987065576776644</v>
      </c>
      <c r="CM109" s="98">
        <f ca="1">Slovakia!CM46</f>
        <v>187.94798516130817</v>
      </c>
      <c r="CO109" s="98">
        <f>Slovakia!CO46</f>
        <v>47.58910901521422</v>
      </c>
      <c r="CP109" s="98">
        <f>Slovakia!CP46</f>
        <v>48.506460664127538</v>
      </c>
      <c r="CQ109" s="98">
        <f>Slovakia!CQ46</f>
        <v>53.233259004571146</v>
      </c>
      <c r="CR109" s="98">
        <f ca="1">Slovakia!CR46</f>
        <v>38.976896231611242</v>
      </c>
      <c r="CS109" s="98">
        <f ca="1">Slovakia!CS46</f>
        <v>188.30572491552417</v>
      </c>
      <c r="CU109" s="98">
        <f>Slovakia!CU46</f>
        <v>47.719675787736968</v>
      </c>
      <c r="CV109" s="98">
        <f>Slovakia!CV46</f>
        <v>48.660440167115162</v>
      </c>
      <c r="CW109" s="98">
        <f>Slovakia!CW46</f>
        <v>53.469183445387571</v>
      </c>
      <c r="CX109" s="98">
        <f ca="1">Slovakia!CX46</f>
        <v>39.005969066107959</v>
      </c>
      <c r="CY109" s="98">
        <f ca="1">Slovakia!CY46</f>
        <v>188.85526846634767</v>
      </c>
      <c r="CZ109" s="2"/>
      <c r="DA109" s="98">
        <f>Slovakia!DA46</f>
        <v>47.898850799687928</v>
      </c>
      <c r="DB109" s="98">
        <f>Slovakia!DB46</f>
        <v>48.863532558262669</v>
      </c>
      <c r="DC109" s="98">
        <f>Slovakia!DC46</f>
        <v>53.760578708493284</v>
      </c>
      <c r="DD109" s="98">
        <f ca="1">Slovakia!DD46</f>
        <v>39.074262912425759</v>
      </c>
      <c r="DE109" s="98">
        <f ca="1">Slovakia!DE46</f>
        <v>189.59722497886963</v>
      </c>
      <c r="DF109" s="2"/>
      <c r="DG109" s="98">
        <f>Slovakia!DG46</f>
        <v>48.126808265503399</v>
      </c>
      <c r="DH109" s="98">
        <f>Slovakia!DH46</f>
        <v>49.115928674770679</v>
      </c>
      <c r="DI109" s="98">
        <f>Slovakia!DI46</f>
        <v>54.10778185857427</v>
      </c>
      <c r="DJ109" s="98">
        <f ca="1">Slovakia!DJ46</f>
        <v>39.181771409669963</v>
      </c>
      <c r="DK109" s="98">
        <f ca="1">Slovakia!DK46</f>
        <v>190.5322902085183</v>
      </c>
    </row>
    <row r="110" spans="1:115" x14ac:dyDescent="0.3">
      <c r="B110" s="6" t="s">
        <v>204</v>
      </c>
      <c r="I110" s="98">
        <f>Croatia!I54</f>
        <v>53</v>
      </c>
      <c r="J110" s="98">
        <f>Croatia!J54</f>
        <v>64</v>
      </c>
      <c r="K110" s="98">
        <f>Croatia!K54</f>
        <v>100</v>
      </c>
      <c r="L110" s="98">
        <f>Croatia!L54</f>
        <v>54</v>
      </c>
      <c r="M110" s="98">
        <f>Croatia!M54</f>
        <v>271</v>
      </c>
      <c r="O110" s="98">
        <f>Croatia!O54</f>
        <v>57</v>
      </c>
      <c r="P110" s="98">
        <f>Croatia!P54</f>
        <v>64</v>
      </c>
      <c r="Q110" s="98">
        <f>Croatia!Q54</f>
        <v>87</v>
      </c>
      <c r="R110" s="98">
        <f>Croatia!R54</f>
        <v>43</v>
      </c>
      <c r="S110" s="98">
        <f>Croatia!S54</f>
        <v>251</v>
      </c>
      <c r="U110" s="98">
        <f>Croatia!U54</f>
        <v>47</v>
      </c>
      <c r="V110" s="98">
        <f>Croatia!V54</f>
        <v>58</v>
      </c>
      <c r="W110" s="98">
        <f>Croatia!W54</f>
        <v>78</v>
      </c>
      <c r="X110" s="98">
        <f>Croatia!X54</f>
        <v>38</v>
      </c>
      <c r="Y110" s="98">
        <f>Croatia!Y54</f>
        <v>221</v>
      </c>
      <c r="Z110" s="98">
        <f>Y110*0.49</f>
        <v>108.28999999999999</v>
      </c>
      <c r="AA110" s="98">
        <f>Croatia!AA54</f>
        <v>34</v>
      </c>
      <c r="AB110" s="98">
        <f>Croatia!AB54</f>
        <v>53</v>
      </c>
      <c r="AC110" s="98">
        <f>Croatia!AC54</f>
        <v>69</v>
      </c>
      <c r="AD110" s="98">
        <f>Croatia!AD54</f>
        <v>56</v>
      </c>
      <c r="AE110" s="98">
        <f>Croatia!AE54</f>
        <v>212</v>
      </c>
      <c r="AF110" s="98">
        <f>AE110*0.49</f>
        <v>103.88</v>
      </c>
      <c r="AG110" s="98">
        <f>Croatia!AG54</f>
        <v>33</v>
      </c>
      <c r="AH110" s="98">
        <f>Croatia!AH54</f>
        <v>49</v>
      </c>
      <c r="AI110" s="98">
        <f>Croatia!AI54</f>
        <v>60</v>
      </c>
      <c r="AJ110" s="98">
        <f>Croatia!AJ54</f>
        <v>52</v>
      </c>
      <c r="AK110" s="98">
        <f>Croatia!AK54</f>
        <v>194</v>
      </c>
      <c r="AL110" s="98">
        <f>AK110*0.49</f>
        <v>95.06</v>
      </c>
      <c r="AM110" s="98">
        <f>Croatia!AM54</f>
        <v>28</v>
      </c>
      <c r="AN110" s="98">
        <f>Croatia!AN54</f>
        <v>42.5</v>
      </c>
      <c r="AO110" s="98">
        <f>Croatia!AO54</f>
        <v>47</v>
      </c>
      <c r="AP110" s="98">
        <f>Croatia!AP54</f>
        <v>49</v>
      </c>
      <c r="AQ110" s="98">
        <f>Croatia!AQ54</f>
        <v>166.5</v>
      </c>
      <c r="AS110" s="98">
        <f>Croatia!AS54</f>
        <v>26</v>
      </c>
      <c r="AT110" s="98">
        <f>Croatia!AT54</f>
        <v>36.975000000000001</v>
      </c>
      <c r="AU110" s="98">
        <f>Croatia!AU54</f>
        <v>45.213999999999999</v>
      </c>
      <c r="AV110" s="98">
        <f>Croatia!AV54</f>
        <v>42</v>
      </c>
      <c r="AW110" s="98">
        <f>Croatia!AW54</f>
        <v>150.18899999999999</v>
      </c>
      <c r="AY110" s="98">
        <f>Croatia!AY54</f>
        <v>25</v>
      </c>
      <c r="AZ110" s="98">
        <f>Croatia!AZ54</f>
        <v>38.638874999999999</v>
      </c>
      <c r="BA110" s="98">
        <f>Croatia!BA54</f>
        <v>45.666139999999999</v>
      </c>
      <c r="BB110" s="98">
        <f>Croatia!BB54</f>
        <v>41.16</v>
      </c>
      <c r="BC110" s="98">
        <f>Croatia!BC54</f>
        <v>150.46501499999999</v>
      </c>
      <c r="BE110" s="98">
        <f>Croatia!BE54</f>
        <v>25.5</v>
      </c>
      <c r="BF110" s="98">
        <f>Croatia!BF54</f>
        <v>40.802652000000002</v>
      </c>
      <c r="BG110" s="98">
        <f>Croatia!BG54</f>
        <v>46.1228014</v>
      </c>
      <c r="BH110" s="98">
        <f>Croatia!BH54</f>
        <v>41.16</v>
      </c>
      <c r="BI110" s="98">
        <f>Croatia!BI54</f>
        <v>153.58545340000001</v>
      </c>
      <c r="BK110" s="98">
        <f>Croatia!BK54</f>
        <v>26.112000000000002</v>
      </c>
      <c r="BL110" s="98">
        <f>Croatia!BL54</f>
        <v>41.251481171999998</v>
      </c>
      <c r="BM110" s="98">
        <f>Croatia!BM54</f>
        <v>48.382818668599995</v>
      </c>
      <c r="BN110" s="98">
        <f>Croatia!BN54</f>
        <v>42.92987999999999</v>
      </c>
      <c r="BO110" s="98">
        <f>Croatia!BO54</f>
        <v>158.67617984059999</v>
      </c>
      <c r="BQ110" s="98">
        <f>Croatia!BQ54</f>
        <v>26.796449813828843</v>
      </c>
      <c r="BR110" s="98">
        <f>Croatia!BR54</f>
        <v>41.505565096623343</v>
      </c>
      <c r="BS110" s="98">
        <f>Croatia!BS54</f>
        <v>47.45938059619256</v>
      </c>
      <c r="BT110" s="98">
        <f>Croatia!BT54</f>
        <v>42.493861144116622</v>
      </c>
      <c r="BU110" s="98">
        <f>Croatia!BU54</f>
        <v>158.25525665076137</v>
      </c>
      <c r="BW110" s="98">
        <f>Croatia!BW54</f>
        <v>26.585377681291689</v>
      </c>
      <c r="BX110" s="98">
        <f>Croatia!BX54</f>
        <v>41.578744622679274</v>
      </c>
      <c r="BY110" s="98">
        <f>Croatia!BY54</f>
        <v>47.725957591578037</v>
      </c>
      <c r="BZ110" s="98">
        <f>Croatia!BZ54</f>
        <v>42.609809149666667</v>
      </c>
      <c r="CA110" s="98">
        <f>Croatia!CA54</f>
        <v>158.49988904521567</v>
      </c>
      <c r="CC110" s="98">
        <f>Croatia!CC54</f>
        <v>26.836169806749155</v>
      </c>
      <c r="CD110" s="98">
        <f>Croatia!CD54</f>
        <v>42.115204449016588</v>
      </c>
      <c r="CE110" s="98">
        <f>Croatia!CE54</f>
        <v>48.152389631956098</v>
      </c>
      <c r="CF110" s="98">
        <f>Croatia!CF54</f>
        <v>43.020415023148963</v>
      </c>
      <c r="CG110" s="98">
        <f>Croatia!CG54</f>
        <v>160.1241789108708</v>
      </c>
      <c r="CI110" s="98">
        <f>Croatia!CI54</f>
        <v>27.140004004162407</v>
      </c>
      <c r="CJ110" s="98">
        <f>Croatia!CJ54</f>
        <v>42.738522823253234</v>
      </c>
      <c r="CK110" s="98">
        <f>Croatia!CK54</f>
        <v>48.898564166919812</v>
      </c>
      <c r="CL110" s="98">
        <f>Croatia!CL54</f>
        <v>43.729395823887643</v>
      </c>
      <c r="CM110" s="98">
        <f>Croatia!CM54</f>
        <v>162.5064868182231</v>
      </c>
      <c r="CO110" s="98">
        <f>Croatia!CO54</f>
        <v>27.510033686513054</v>
      </c>
      <c r="CP110" s="98">
        <f>Croatia!CP54</f>
        <v>43.471190980208014</v>
      </c>
      <c r="CQ110" s="98">
        <f>Croatia!CQ54</f>
        <v>49.77452547331508</v>
      </c>
      <c r="CR110" s="98">
        <f>Croatia!CR54</f>
        <v>44.947877016229008</v>
      </c>
      <c r="CS110" s="98">
        <f>Croatia!CS54</f>
        <v>165.70362715626516</v>
      </c>
      <c r="CU110" s="98">
        <f>Croatia!CU54</f>
        <v>28.004521263829062</v>
      </c>
      <c r="CV110" s="98">
        <f>Croatia!CV54</f>
        <v>44.406359601388282</v>
      </c>
      <c r="CW110" s="98">
        <f>Croatia!CW54</f>
        <v>50.887028754428854</v>
      </c>
      <c r="CX110" s="98">
        <f>Croatia!CX54</f>
        <v>45.961700069285826</v>
      </c>
      <c r="CY110" s="98">
        <f>Croatia!CY54</f>
        <v>169.25960968893202</v>
      </c>
      <c r="CZ110" s="2"/>
      <c r="DA110" s="98">
        <f>Croatia!DA54</f>
        <v>28.406966950260014</v>
      </c>
      <c r="DB110" s="98">
        <f>Croatia!DB54</f>
        <v>45.20679374237649</v>
      </c>
      <c r="DC110" s="98">
        <f>Croatia!DC54</f>
        <v>51.836865555047126</v>
      </c>
      <c r="DD110" s="98">
        <f>Croatia!DD54</f>
        <v>46.837814000010454</v>
      </c>
      <c r="DE110" s="98">
        <f>Croatia!DE54</f>
        <v>172.2884402476941</v>
      </c>
      <c r="DF110" s="2"/>
      <c r="DG110" s="98">
        <f>Croatia!DG54</f>
        <v>28.69361787228371</v>
      </c>
      <c r="DH110" s="98">
        <f>Croatia!DH54</f>
        <v>45.834511115212123</v>
      </c>
      <c r="DI110" s="98">
        <f>Croatia!DI54</f>
        <v>52.5786475269812</v>
      </c>
      <c r="DJ110" s="98">
        <f>Croatia!DJ54</f>
        <v>47.538418070214348</v>
      </c>
      <c r="DK110" s="98">
        <f>Croatia!DK54</f>
        <v>174.64519458469138</v>
      </c>
    </row>
    <row r="111" spans="1:115" x14ac:dyDescent="0.3">
      <c r="B111" s="6"/>
      <c r="Z111" s="98"/>
      <c r="AF111" s="98"/>
      <c r="AL111" s="98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</row>
    <row r="112" spans="1:115" x14ac:dyDescent="0.3">
      <c r="B112" s="6" t="s">
        <v>205</v>
      </c>
      <c r="I112" s="98">
        <f>O112/(1-21.7%)</f>
        <v>102.17113665389527</v>
      </c>
      <c r="J112" s="98">
        <f>P112/(1-21.7%)</f>
        <v>98.339719029374194</v>
      </c>
      <c r="K112" s="98">
        <f>Q112/(1-21.7%)</f>
        <v>100.89399744572158</v>
      </c>
      <c r="L112" s="98">
        <f>R112/(1-21.7%)</f>
        <v>89.399744572158369</v>
      </c>
      <c r="M112" s="98">
        <f>I112+J112+K112+L112</f>
        <v>390.80459770114942</v>
      </c>
      <c r="O112" s="2">
        <f>Hungary!O97</f>
        <v>80</v>
      </c>
      <c r="P112" s="2">
        <f>Hungary!P97</f>
        <v>77</v>
      </c>
      <c r="Q112" s="2">
        <f>Hungary!Q97</f>
        <v>79</v>
      </c>
      <c r="R112" s="2">
        <f>Hungary!R97</f>
        <v>70</v>
      </c>
      <c r="S112" s="2">
        <f>Hungary!S97</f>
        <v>306</v>
      </c>
      <c r="U112" s="2">
        <f>Hungary!U97</f>
        <v>70</v>
      </c>
      <c r="V112" s="2">
        <f>Hungary!V97</f>
        <v>70</v>
      </c>
      <c r="W112" s="98">
        <f>Hungary!W97</f>
        <v>70</v>
      </c>
      <c r="X112" s="98">
        <f>Hungary!X97-(4.85%*Hungary!Y94)</f>
        <v>26.816750000000006</v>
      </c>
      <c r="Y112" s="98">
        <f>Hungary!Y97</f>
        <v>270.5</v>
      </c>
      <c r="Z112" s="98">
        <f>Y112*0.41</f>
        <v>110.90499999999999</v>
      </c>
      <c r="AA112" s="98">
        <f>Hungary!AA97</f>
        <v>57</v>
      </c>
      <c r="AB112" s="98">
        <f>Hungary!AB97</f>
        <v>57</v>
      </c>
      <c r="AC112" s="98">
        <f>Hungary!AC97</f>
        <v>52</v>
      </c>
      <c r="AD112" s="98">
        <f>Hungary!AD97-(4.85%*Hungary!AE94)</f>
        <v>13.202500000000004</v>
      </c>
      <c r="AE112" s="98">
        <f>Hungary!AE97</f>
        <v>210</v>
      </c>
      <c r="AF112" s="98">
        <f>AE112*0.41</f>
        <v>86.1</v>
      </c>
      <c r="AG112" s="98">
        <f>Hungary!AG97</f>
        <v>45</v>
      </c>
      <c r="AH112" s="98">
        <f>Hungary!AH97</f>
        <v>38</v>
      </c>
      <c r="AI112" s="98">
        <f>Hungary!AI97</f>
        <v>47</v>
      </c>
      <c r="AJ112" s="98">
        <f>Hungary!AJ97-(4.85%*Hungary!AK94)</f>
        <v>9.7960000000000065</v>
      </c>
      <c r="AK112" s="98">
        <f>Hungary!AK97</f>
        <v>172</v>
      </c>
      <c r="AL112" s="98">
        <f>AK112*0.41</f>
        <v>70.52</v>
      </c>
      <c r="AM112" s="98">
        <f>Hungary!AM97</f>
        <v>30</v>
      </c>
      <c r="AN112" s="98">
        <f>Hungary!AN97</f>
        <v>39</v>
      </c>
      <c r="AO112" s="98">
        <f>Hungary!AO97</f>
        <v>44</v>
      </c>
      <c r="AP112" s="98">
        <f>Hungary!AP97</f>
        <v>39</v>
      </c>
      <c r="AQ112" s="98">
        <f>Hungary!AQ97</f>
        <v>152</v>
      </c>
      <c r="AR112" s="98"/>
      <c r="AS112" s="98">
        <f>Hungary!AS97</f>
        <v>30</v>
      </c>
      <c r="AT112" s="98">
        <f>Hungary!AT97</f>
        <v>40.326000000000001</v>
      </c>
      <c r="AU112" s="98">
        <f>Hungary!AU97</f>
        <v>45.760000000000005</v>
      </c>
      <c r="AV112" s="98">
        <f>Hungary!AV97</f>
        <v>37.83</v>
      </c>
      <c r="AW112" s="98">
        <f>Hungary!AW97</f>
        <v>153.916</v>
      </c>
      <c r="AX112" s="98"/>
      <c r="AY112" s="98">
        <f>Hungary!AY97</f>
        <v>60</v>
      </c>
      <c r="AZ112" s="98">
        <f>Hungary!AZ97</f>
        <v>75</v>
      </c>
      <c r="BA112" s="98">
        <f>Hungary!BA97</f>
        <v>72</v>
      </c>
      <c r="BB112" s="98">
        <f>Hungary!BB97</f>
        <v>64</v>
      </c>
      <c r="BC112" s="98">
        <f>Hungary!BC97</f>
        <v>271</v>
      </c>
      <c r="BD112" s="98"/>
      <c r="BE112" s="98">
        <f>Hungary!BE97</f>
        <v>66</v>
      </c>
      <c r="BF112" s="98">
        <f>Hungary!BF97</f>
        <v>74.474999999999994</v>
      </c>
      <c r="BG112" s="98">
        <f>Hungary!BG97</f>
        <v>73.512</v>
      </c>
      <c r="BH112" s="98">
        <f>Hungary!BH97</f>
        <v>64.512</v>
      </c>
      <c r="BI112" s="98">
        <f>Hungary!BI97</f>
        <v>278.49900000000002</v>
      </c>
      <c r="BJ112" s="98"/>
      <c r="BK112" s="98">
        <f>Hungary!BK97</f>
        <v>56</v>
      </c>
      <c r="BL112" s="98">
        <f>Hungary!BL97</f>
        <v>72.985499999999988</v>
      </c>
      <c r="BM112" s="98">
        <f>Hungary!BM97</f>
        <v>85.200407999999996</v>
      </c>
      <c r="BN112" s="98">
        <f>Hungary!BN97</f>
        <v>66.060288</v>
      </c>
      <c r="BO112" s="98">
        <f>Hungary!BO97</f>
        <v>280.246196</v>
      </c>
      <c r="BP112" s="98"/>
      <c r="BQ112" s="98">
        <f>Hungary!BQ97</f>
        <v>58.699277753935156</v>
      </c>
      <c r="BR112" s="98">
        <f>Hungary!BR97</f>
        <v>75.640687601239676</v>
      </c>
      <c r="BS112" s="98">
        <f>Hungary!BS97</f>
        <v>85.625455405036618</v>
      </c>
      <c r="BT112" s="98">
        <f>Hungary!BT97</f>
        <v>66.00829210714528</v>
      </c>
      <c r="BU112" s="98">
        <f>Hungary!BU97</f>
        <v>285.97371286735671</v>
      </c>
      <c r="BV112" s="98"/>
      <c r="BW112" s="98">
        <f>Hungary!BW97</f>
        <v>57.458895951286379</v>
      </c>
      <c r="BX112" s="98">
        <f>Hungary!BX97</f>
        <v>74.135105442042189</v>
      </c>
      <c r="BY112" s="98">
        <f>Hungary!BY97</f>
        <v>84.041138639196305</v>
      </c>
      <c r="BZ112" s="98">
        <f>Hungary!BZ97</f>
        <v>64.612235813628018</v>
      </c>
      <c r="CA112" s="98">
        <f>Hungary!CA97</f>
        <v>280.24737584615286</v>
      </c>
      <c r="CB112" s="98"/>
      <c r="CC112" s="98">
        <f>Hungary!CC97</f>
        <v>56.237079042669762</v>
      </c>
      <c r="CD112" s="98">
        <f>Hungary!CD97</f>
        <v>72.651149899281137</v>
      </c>
      <c r="CE112" s="98">
        <f>Hungary!CE97</f>
        <v>82.478326631427777</v>
      </c>
      <c r="CF112" s="98">
        <f>Hungary!CF97</f>
        <v>63.237094677643128</v>
      </c>
      <c r="CG112" s="98">
        <f>Hungary!CG97</f>
        <v>274.6036502510218</v>
      </c>
      <c r="CH112" s="98"/>
      <c r="CI112" s="98">
        <f>Hungary!CI97</f>
        <v>55.033634245900295</v>
      </c>
      <c r="CJ112" s="98">
        <f>Hungary!CJ97</f>
        <v>71.18860003728598</v>
      </c>
      <c r="CK112" s="98">
        <f>Hungary!CK97</f>
        <v>80.936804930935466</v>
      </c>
      <c r="CL112" s="98">
        <f>Hungary!CL97</f>
        <v>61.882651425013165</v>
      </c>
      <c r="CM112" s="98">
        <f>Hungary!CM97</f>
        <v>269.04169063913491</v>
      </c>
      <c r="CN112" s="98"/>
      <c r="CO112" s="98">
        <f>Hungary!CO97</f>
        <v>53.848370433206441</v>
      </c>
      <c r="CP112" s="98">
        <f>Hungary!CP97</f>
        <v>69.747236800622744</v>
      </c>
      <c r="CQ112" s="98">
        <f>Hungary!CQ97</f>
        <v>79.416360888868525</v>
      </c>
      <c r="CR112" s="98">
        <f>Hungary!CR97</f>
        <v>60.548690646543548</v>
      </c>
      <c r="CS112" s="98">
        <f>Hungary!CS97</f>
        <v>263.56065876924129</v>
      </c>
      <c r="CT112" s="98"/>
      <c r="CU112" s="98">
        <f>Hungary!CU97</f>
        <v>52.681098118551915</v>
      </c>
      <c r="CV112" s="98">
        <f>Hungary!CV97</f>
        <v>68.326842999757361</v>
      </c>
      <c r="CW112" s="98">
        <f>Hungary!CW97</f>
        <v>77.9167836446872</v>
      </c>
      <c r="CX112" s="98">
        <f>Hungary!CX97</f>
        <v>59.234998783728962</v>
      </c>
      <c r="CY112" s="98">
        <f>Hungary!CY97</f>
        <v>258.15972354672544</v>
      </c>
      <c r="CZ112" s="98"/>
      <c r="DA112" s="98">
        <f>Hungary!DA97</f>
        <v>51.531629445047813</v>
      </c>
      <c r="DB112" s="98">
        <f>Hungary!DB97</f>
        <v>66.927203296820622</v>
      </c>
      <c r="DC112" s="98">
        <f>Hungary!DC97</f>
        <v>76.437864112625789</v>
      </c>
      <c r="DD112" s="98">
        <f>Hungary!DD97</f>
        <v>57.941364114561537</v>
      </c>
      <c r="DE112" s="98">
        <f>Hungary!DE97</f>
        <v>252.83806096905576</v>
      </c>
      <c r="DF112" s="98"/>
      <c r="DG112" s="98">
        <f>Hungary!DG97</f>
        <v>50.399778172454191</v>
      </c>
      <c r="DH112" s="98">
        <f>Hungary!DH97</f>
        <v>65.548104191474067</v>
      </c>
      <c r="DI112" s="98">
        <f>Hungary!DI97</f>
        <v>74.97939496825073</v>
      </c>
      <c r="DJ112" s="98">
        <f>Hungary!DJ97</f>
        <v>56.667576739439937</v>
      </c>
      <c r="DK112" s="98">
        <f>Hungary!DK97</f>
        <v>247.59485407161893</v>
      </c>
    </row>
    <row r="113" spans="1:115" x14ac:dyDescent="0.3">
      <c r="B113" s="6" t="s">
        <v>208</v>
      </c>
      <c r="I113" s="98">
        <f>O113/(1-7.1%)</f>
        <v>47.36275565123789</v>
      </c>
      <c r="J113" s="98">
        <f>P113/(1-7.1%)</f>
        <v>54.897739504843912</v>
      </c>
      <c r="K113" s="98">
        <f>Q113/(1-7.1%)</f>
        <v>50.592034445640472</v>
      </c>
      <c r="L113" s="98">
        <f>R113/(1-7.1%)</f>
        <v>43.057050592034443</v>
      </c>
      <c r="M113" s="98">
        <f>I113+J113+K113+L113</f>
        <v>195.90958019375671</v>
      </c>
      <c r="O113" s="2">
        <f>Slovakia!O86</f>
        <v>44</v>
      </c>
      <c r="P113" s="2">
        <f>Slovakia!P86</f>
        <v>51</v>
      </c>
      <c r="Q113" s="2">
        <f>Slovakia!Q86</f>
        <v>47</v>
      </c>
      <c r="R113" s="2">
        <f>Slovakia!R86</f>
        <v>40</v>
      </c>
      <c r="S113" s="2">
        <f>Slovakia!S86</f>
        <v>182</v>
      </c>
      <c r="U113" s="2">
        <f>Slovakia!U86</f>
        <v>48</v>
      </c>
      <c r="V113" s="2">
        <f>Slovakia!V86</f>
        <v>45</v>
      </c>
      <c r="W113" s="98">
        <f>Slovakia!W86</f>
        <v>44</v>
      </c>
      <c r="X113" s="98">
        <f>Slovakia!X86</f>
        <v>36</v>
      </c>
      <c r="Y113" s="98">
        <f>Slovakia!Y86</f>
        <v>173</v>
      </c>
      <c r="Z113" s="98">
        <f>Y113*0.49</f>
        <v>84.77</v>
      </c>
      <c r="AA113" s="98">
        <f>Slovakia!AA86</f>
        <v>41</v>
      </c>
      <c r="AB113" s="98">
        <f>Slovakia!AB86</f>
        <v>44</v>
      </c>
      <c r="AC113" s="98">
        <f>Slovakia!AC86</f>
        <v>42</v>
      </c>
      <c r="AD113" s="98">
        <f>Slovakia!AD86</f>
        <v>42</v>
      </c>
      <c r="AE113" s="98">
        <f>Slovakia!AE86</f>
        <v>169</v>
      </c>
      <c r="AF113" s="98">
        <f>AE113*0.49</f>
        <v>82.81</v>
      </c>
      <c r="AG113" s="98">
        <f>Slovakia!AG86</f>
        <v>37</v>
      </c>
      <c r="AH113" s="98">
        <f>Slovakia!AH86</f>
        <v>37</v>
      </c>
      <c r="AI113" s="98">
        <f>Slovakia!AI86</f>
        <v>36</v>
      </c>
      <c r="AJ113" s="98">
        <f>Slovakia!AJ86</f>
        <v>43</v>
      </c>
      <c r="AK113" s="98">
        <f>Slovakia!AK86</f>
        <v>153</v>
      </c>
      <c r="AL113" s="98">
        <f>AK113*0.49</f>
        <v>74.97</v>
      </c>
      <c r="AM113" s="98">
        <f>Slovakia!AM86</f>
        <v>36</v>
      </c>
      <c r="AN113" s="98">
        <f>Slovakia!AN86</f>
        <v>35</v>
      </c>
      <c r="AO113" s="98">
        <f>Slovakia!AO86</f>
        <v>35</v>
      </c>
      <c r="AP113" s="98">
        <f>Slovakia!AP86</f>
        <v>40</v>
      </c>
      <c r="AQ113" s="98">
        <f>Slovakia!AQ86</f>
        <v>146</v>
      </c>
      <c r="AR113" s="98"/>
      <c r="AS113" s="98">
        <f>Slovakia!AS86</f>
        <v>34</v>
      </c>
      <c r="AT113" s="98">
        <f>Slovakia!AT86</f>
        <v>33.949999999999996</v>
      </c>
      <c r="AU113" s="98">
        <f>Slovakia!AU86</f>
        <v>32.200000000000003</v>
      </c>
      <c r="AV113" s="98">
        <f>Slovakia!AV86</f>
        <v>35</v>
      </c>
      <c r="AW113" s="98">
        <f>Slovakia!AW86</f>
        <v>135.14999999999998</v>
      </c>
      <c r="AX113" s="98"/>
      <c r="AY113" s="98">
        <f>Slovakia!AY86</f>
        <v>32</v>
      </c>
      <c r="AZ113" s="98">
        <f>Slovakia!AZ86</f>
        <v>34</v>
      </c>
      <c r="BA113" s="98">
        <f>Slovakia!BA86</f>
        <v>34.776000000000003</v>
      </c>
      <c r="BB113" s="98">
        <f>Slovakia!BB86</f>
        <v>29.47</v>
      </c>
      <c r="BC113" s="98">
        <f>Slovakia!BC86</f>
        <v>130.24600000000001</v>
      </c>
      <c r="BD113" s="98"/>
      <c r="BE113" s="98">
        <f>Slovakia!BE86</f>
        <v>34.176000000000002</v>
      </c>
      <c r="BF113" s="98">
        <f>Slovakia!BF86</f>
        <v>35.326000000000001</v>
      </c>
      <c r="BG113" s="98">
        <f>Slovakia!BG86</f>
        <v>34.776000000000003</v>
      </c>
      <c r="BH113" s="98">
        <f>Slovakia!BH86</f>
        <v>28.556429999999999</v>
      </c>
      <c r="BI113" s="98">
        <f>Slovakia!BI86</f>
        <v>132.83443000000003</v>
      </c>
      <c r="BJ113" s="98"/>
      <c r="BK113" s="98">
        <f>Slovakia!BK86</f>
        <v>33.731712000000002</v>
      </c>
      <c r="BL113" s="98">
        <f>Slovakia!BL86</f>
        <v>36.209149999999994</v>
      </c>
      <c r="BM113" s="98">
        <f>Slovakia!BM86</f>
        <v>36.027936000000004</v>
      </c>
      <c r="BN113" s="98">
        <f>Slovakia!BN86</f>
        <v>32.697112349999998</v>
      </c>
      <c r="BO113" s="98">
        <f>Slovakia!BO86</f>
        <v>138.66591034999999</v>
      </c>
      <c r="BP113" s="98"/>
      <c r="BQ113" s="98">
        <f>Slovakia!BQ86</f>
        <v>32.630598329577467</v>
      </c>
      <c r="BR113" s="98">
        <f>Slovakia!BR86</f>
        <v>34.480821512580455</v>
      </c>
      <c r="BS113" s="98">
        <f>Slovakia!BS86</f>
        <v>34.406001325614042</v>
      </c>
      <c r="BT113" s="98">
        <f>Slovakia!BT86</f>
        <v>32.065788946044215</v>
      </c>
      <c r="BU113" s="98">
        <f>Slovakia!BU86</f>
        <v>133.58321011381616</v>
      </c>
      <c r="BV113" s="98"/>
      <c r="BW113" s="98">
        <f>Slovakia!BW86</f>
        <v>32.070371258281696</v>
      </c>
      <c r="BX113" s="98">
        <f>Slovakia!BX86</f>
        <v>34.024080835927435</v>
      </c>
      <c r="BY113" s="98">
        <f>Slovakia!BY86</f>
        <v>33.906662141115795</v>
      </c>
      <c r="BZ113" s="98">
        <f>Slovakia!BZ86</f>
        <v>31.518264687754723</v>
      </c>
      <c r="CA113" s="98">
        <f>Slovakia!CA86</f>
        <v>131.51937892307967</v>
      </c>
      <c r="CB113" s="98"/>
      <c r="CC113" s="98">
        <f>Slovakia!CC86</f>
        <v>31.690831989065071</v>
      </c>
      <c r="CD113" s="98">
        <f>Slovakia!CD86</f>
        <v>33.585248875685629</v>
      </c>
      <c r="CE113" s="98">
        <f>Slovakia!CE86</f>
        <v>33.42632102766521</v>
      </c>
      <c r="CF113" s="98">
        <f>Slovakia!CF86</f>
        <v>30.990265572455034</v>
      </c>
      <c r="CG113" s="98">
        <f>Slovakia!CG86</f>
        <v>129.69266746487094</v>
      </c>
      <c r="CH113" s="98"/>
      <c r="CI113" s="98">
        <f>Slovakia!CI86</f>
        <v>31.325666703415987</v>
      </c>
      <c r="CJ113" s="98">
        <f>Slovakia!CJ86</f>
        <v>33.16212431690608</v>
      </c>
      <c r="CK113" s="98">
        <f>Slovakia!CK86</f>
        <v>32.962181493218999</v>
      </c>
      <c r="CL113" s="98">
        <f>Slovakia!CL86</f>
        <v>30.478579671908992</v>
      </c>
      <c r="CM113" s="98">
        <f>Slovakia!CM86</f>
        <v>127.92855218545006</v>
      </c>
      <c r="CN113" s="98"/>
      <c r="CO113" s="98">
        <f>Slovakia!CO86</f>
        <v>30.989656104383304</v>
      </c>
      <c r="CP113" s="98">
        <f>Slovakia!CP86</f>
        <v>32.808552585515656</v>
      </c>
      <c r="CQ113" s="98">
        <f>Slovakia!CQ86</f>
        <v>32.60588906776254</v>
      </c>
      <c r="CR113" s="98">
        <f>Slovakia!CR86</f>
        <v>30.103141763517812</v>
      </c>
      <c r="CS113" s="98">
        <f>Slovakia!CS86</f>
        <v>126.50723952117932</v>
      </c>
      <c r="CT113" s="98"/>
      <c r="CU113" s="98">
        <f>Slovakia!CU86</f>
        <v>30.805770481365425</v>
      </c>
      <c r="CV113" s="98">
        <f>Slovakia!CV86</f>
        <v>32.616021650499192</v>
      </c>
      <c r="CW113" s="98">
        <f>Slovakia!CW86</f>
        <v>32.409657650531777</v>
      </c>
      <c r="CX113" s="98">
        <f>Slovakia!CX86</f>
        <v>29.875662440689517</v>
      </c>
      <c r="CY113" s="98">
        <f>Slovakia!CY86</f>
        <v>125.70711222308591</v>
      </c>
      <c r="CZ113" s="98"/>
      <c r="DA113" s="98">
        <f>Slovakia!DA86</f>
        <v>30.618929149468453</v>
      </c>
      <c r="DB113" s="98">
        <f>Slovakia!DB86</f>
        <v>32.420358554313239</v>
      </c>
      <c r="DC113" s="98">
        <f>Slovakia!DC86</f>
        <v>32.210305314976445</v>
      </c>
      <c r="DD113" s="98">
        <f>Slovakia!DD86</f>
        <v>29.64526757532661</v>
      </c>
      <c r="DE113" s="98">
        <f>Slovakia!DE86</f>
        <v>124.89486059408475</v>
      </c>
      <c r="DF113" s="98"/>
      <c r="DG113" s="98">
        <f>Slovakia!DG86</f>
        <v>30.429129592769005</v>
      </c>
      <c r="DH113" s="98">
        <f>Slovakia!DH86</f>
        <v>32.221559899955814</v>
      </c>
      <c r="DI113" s="98">
        <f>Slovakia!DI86</f>
        <v>32.007829908861055</v>
      </c>
      <c r="DJ113" s="98">
        <f>Slovakia!DJ86</f>
        <v>29.411968048091666</v>
      </c>
      <c r="DK113" s="98">
        <f>Slovakia!DK86</f>
        <v>124.07048744967754</v>
      </c>
    </row>
    <row r="114" spans="1:115" x14ac:dyDescent="0.3">
      <c r="B114" s="6" t="s">
        <v>209</v>
      </c>
      <c r="I114" s="98">
        <f>O114/(1-3.8%)</f>
        <v>73.804573804573806</v>
      </c>
      <c r="J114" s="98">
        <f>P114/(1-3.8%)</f>
        <v>71.725571725571726</v>
      </c>
      <c r="K114" s="98">
        <f>Q114/(1-3.8%)</f>
        <v>69.646569646569645</v>
      </c>
      <c r="L114" s="98">
        <f>R114/(1-3.8%)</f>
        <v>70.686070686070693</v>
      </c>
      <c r="M114" s="98">
        <f>I114+J114+K114+L114</f>
        <v>285.86278586278587</v>
      </c>
      <c r="O114" s="2">
        <f>Croatia!O97</f>
        <v>71</v>
      </c>
      <c r="P114" s="2">
        <f>Croatia!P97</f>
        <v>69</v>
      </c>
      <c r="Q114" s="2">
        <f>Croatia!Q97</f>
        <v>67</v>
      </c>
      <c r="R114" s="2">
        <f>Croatia!R97</f>
        <v>68</v>
      </c>
      <c r="S114" s="2">
        <f>Croatia!S97</f>
        <v>275</v>
      </c>
      <c r="U114" s="2">
        <f>Croatia!U97</f>
        <v>66</v>
      </c>
      <c r="V114" s="2">
        <f>Croatia!V97</f>
        <v>66</v>
      </c>
      <c r="W114" s="98">
        <f>Croatia!W97</f>
        <v>78</v>
      </c>
      <c r="X114" s="98">
        <f>Croatia!X97</f>
        <v>76</v>
      </c>
      <c r="Y114" s="98">
        <f>Croatia!Y97</f>
        <v>286</v>
      </c>
      <c r="Z114" s="98">
        <f>Y114*0.49</f>
        <v>140.13999999999999</v>
      </c>
      <c r="AA114" s="98">
        <f>Croatia!AA97</f>
        <v>70</v>
      </c>
      <c r="AB114" s="98">
        <f>Croatia!AB97</f>
        <v>68</v>
      </c>
      <c r="AC114" s="98">
        <f>Croatia!AC97</f>
        <v>83</v>
      </c>
      <c r="AD114" s="98">
        <f>Croatia!AD97</f>
        <v>75</v>
      </c>
      <c r="AE114" s="98">
        <f>Croatia!AE97</f>
        <v>296</v>
      </c>
      <c r="AF114" s="98">
        <f>AE114*0.49</f>
        <v>145.04</v>
      </c>
      <c r="AG114" s="98">
        <f>Croatia!AG97</f>
        <v>68</v>
      </c>
      <c r="AH114" s="98">
        <f>Croatia!AH97</f>
        <v>64</v>
      </c>
      <c r="AI114" s="98">
        <f>Croatia!AI97</f>
        <v>73</v>
      </c>
      <c r="AJ114" s="98">
        <f>Croatia!AJ97</f>
        <v>70</v>
      </c>
      <c r="AK114" s="98">
        <f>Croatia!AK97</f>
        <v>275</v>
      </c>
      <c r="AL114" s="98">
        <f>AK114*0.49</f>
        <v>134.75</v>
      </c>
      <c r="AM114" s="98">
        <f>Croatia!AM97</f>
        <v>60</v>
      </c>
      <c r="AN114" s="98">
        <f>Croatia!AN97</f>
        <v>56</v>
      </c>
      <c r="AO114" s="98">
        <f>Croatia!AO97</f>
        <v>58</v>
      </c>
      <c r="AP114" s="98">
        <f>Croatia!AP97</f>
        <v>63</v>
      </c>
      <c r="AQ114" s="98">
        <f>Croatia!AQ97</f>
        <v>237</v>
      </c>
      <c r="AR114" s="98"/>
      <c r="AS114" s="98">
        <f>Croatia!AS97</f>
        <v>56</v>
      </c>
      <c r="AT114" s="98">
        <f>Croatia!AT97</f>
        <v>48.72</v>
      </c>
      <c r="AU114" s="98">
        <f>Croatia!AU97</f>
        <v>55.795999999999999</v>
      </c>
      <c r="AV114" s="98">
        <f>Croatia!AV97</f>
        <v>54</v>
      </c>
      <c r="AW114" s="98">
        <f>Croatia!AW97</f>
        <v>214.51599999999999</v>
      </c>
      <c r="AX114" s="98"/>
      <c r="AY114" s="98">
        <f>Croatia!AY97</f>
        <v>56</v>
      </c>
      <c r="AZ114" s="98">
        <f>Croatia!AZ97</f>
        <v>50.912399999999998</v>
      </c>
      <c r="BA114" s="98">
        <f>Croatia!BA97</f>
        <v>56.353960000000001</v>
      </c>
      <c r="BB114" s="98">
        <f>Croatia!BB97</f>
        <v>52.92</v>
      </c>
      <c r="BC114" s="98">
        <f>Croatia!BC97</f>
        <v>216.18635999999998</v>
      </c>
      <c r="BD114" s="98"/>
      <c r="BE114" s="98">
        <f>Croatia!BE97</f>
        <v>56.56</v>
      </c>
      <c r="BF114" s="98">
        <f>Croatia!BF97</f>
        <v>53.763494399999999</v>
      </c>
      <c r="BG114" s="98">
        <f>Croatia!BG97</f>
        <v>56.917499599999999</v>
      </c>
      <c r="BH114" s="98">
        <f>Croatia!BH97</f>
        <v>52.92</v>
      </c>
      <c r="BI114" s="98">
        <f>Croatia!BI97</f>
        <v>220.16099400000002</v>
      </c>
      <c r="BJ114" s="98"/>
      <c r="BK114" s="98">
        <f>Croatia!BK97</f>
        <v>57.917440000000006</v>
      </c>
      <c r="BL114" s="98">
        <f>Croatia!BL97</f>
        <v>54.354892838399991</v>
      </c>
      <c r="BM114" s="98">
        <f>Croatia!BM97</f>
        <v>59.706457080399993</v>
      </c>
      <c r="BN114" s="98">
        <f>Croatia!BN97</f>
        <v>55.19556</v>
      </c>
      <c r="BO114" s="98">
        <f>Croatia!BO97</f>
        <v>227.17434991879998</v>
      </c>
      <c r="BP114" s="98"/>
      <c r="BQ114" s="98">
        <f>Croatia!BQ97</f>
        <v>55.200036835193586</v>
      </c>
      <c r="BR114" s="98">
        <f>Croatia!BR97</f>
        <v>51.842199983191954</v>
      </c>
      <c r="BS114" s="98">
        <f>Croatia!BS97</f>
        <v>57.031206022318443</v>
      </c>
      <c r="BT114" s="98">
        <f>Croatia!BT97</f>
        <v>53.744708711262561</v>
      </c>
      <c r="BU114" s="98">
        <f>Croatia!BU97</f>
        <v>217.81815155196654</v>
      </c>
      <c r="BV114" s="98"/>
      <c r="BW114" s="98">
        <f>Croatia!BW97</f>
        <v>53.997972901415679</v>
      </c>
      <c r="BX114" s="98">
        <f>Croatia!BX97</f>
        <v>50.741361317982665</v>
      </c>
      <c r="BY114" s="98">
        <f>Croatia!BY97</f>
        <v>55.883533696291124</v>
      </c>
      <c r="BZ114" s="98">
        <f>Croatia!BZ97</f>
        <v>52.696652812140464</v>
      </c>
      <c r="CA114" s="98">
        <f>Croatia!CA97</f>
        <v>213.31952072782994</v>
      </c>
      <c r="CB114" s="98"/>
      <c r="CC114" s="98">
        <f>Croatia!CC97</f>
        <v>53.562681769615764</v>
      </c>
      <c r="CD114" s="98">
        <f>Croatia!CD97</f>
        <v>50.362010035629851</v>
      </c>
      <c r="CE114" s="98">
        <f>Croatia!CE97</f>
        <v>55.530958203859051</v>
      </c>
      <c r="CF114" s="98">
        <f>Croatia!CF97</f>
        <v>52.399183831069166</v>
      </c>
      <c r="CG114" s="98">
        <f>Croatia!CG97</f>
        <v>211.85483384017382</v>
      </c>
      <c r="CH114" s="98"/>
      <c r="CI114" s="98">
        <f>Croatia!CI97</f>
        <v>53.321752637386865</v>
      </c>
      <c r="CJ114" s="98">
        <f>Croatia!CJ97</f>
        <v>50.112209476259991</v>
      </c>
      <c r="CK114" s="98">
        <f>Croatia!CK97</f>
        <v>55.262309947760691</v>
      </c>
      <c r="CL114" s="98">
        <f>Croatia!CL97</f>
        <v>52.125028617889839</v>
      </c>
      <c r="CM114" s="98">
        <f>Croatia!CM97</f>
        <v>210.82130067929739</v>
      </c>
      <c r="CN114" s="98"/>
      <c r="CO114" s="98">
        <f>Croatia!CO97</f>
        <v>53.076125037259679</v>
      </c>
      <c r="CP114" s="98">
        <f>Croatia!CP97</f>
        <v>49.857925987475838</v>
      </c>
      <c r="CQ114" s="98">
        <f>Croatia!CQ97</f>
        <v>54.988731261918048</v>
      </c>
      <c r="CR114" s="98">
        <f>Croatia!CR97</f>
        <v>51.846164400663675</v>
      </c>
      <c r="CS114" s="98">
        <f>Croatia!CS97</f>
        <v>209.76894668731723</v>
      </c>
      <c r="CT114" s="98"/>
      <c r="CU114" s="98">
        <f>Croatia!CU97</f>
        <v>52.825783856618706</v>
      </c>
      <c r="CV114" s="98">
        <f>Croatia!CV97</f>
        <v>49.599150383572834</v>
      </c>
      <c r="CW114" s="98">
        <f>Croatia!CW97</f>
        <v>54.710210358873809</v>
      </c>
      <c r="CX114" s="98">
        <f>Croatia!CX97</f>
        <v>51.562584555017033</v>
      </c>
      <c r="CY114" s="98">
        <f>Croatia!CY97</f>
        <v>208.69772915408237</v>
      </c>
      <c r="CZ114" s="98"/>
      <c r="DA114" s="98">
        <f>Croatia!DA97</f>
        <v>52.57071469808119</v>
      </c>
      <c r="DB114" s="98">
        <f>Croatia!DB97</f>
        <v>49.335874298353481</v>
      </c>
      <c r="DC114" s="98">
        <f>Croatia!DC97</f>
        <v>54.4267363080276</v>
      </c>
      <c r="DD114" s="98">
        <f>Croatia!DD97</f>
        <v>51.274283396391112</v>
      </c>
      <c r="DE114" s="98">
        <f>Croatia!DE97</f>
        <v>207.6076087008534</v>
      </c>
      <c r="DF114" s="98"/>
      <c r="DG114" s="98">
        <f>Croatia!DG97</f>
        <v>52.310903900789484</v>
      </c>
      <c r="DH114" s="98">
        <f>Croatia!DH97</f>
        <v>49.068090207985477</v>
      </c>
      <c r="DI114" s="98">
        <f>Croatia!DI97</f>
        <v>54.138299059947556</v>
      </c>
      <c r="DJ114" s="98">
        <f>Croatia!DJ97</f>
        <v>50.98125620551464</v>
      </c>
      <c r="DK114" s="98">
        <f>Croatia!DK97</f>
        <v>206.49854937423714</v>
      </c>
    </row>
    <row r="115" spans="1:115" x14ac:dyDescent="0.3"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</row>
    <row r="116" spans="1:115" x14ac:dyDescent="0.3">
      <c r="B116" s="1" t="s">
        <v>238</v>
      </c>
      <c r="I116" s="98">
        <f>I118-I104-I105-I106-I107-I108-I109-I110-I112-I113-I114</f>
        <v>418.59963833903578</v>
      </c>
      <c r="J116" s="98">
        <f>J118-J104-J105-J106-J107-J108-J109-J110-J112-J113-J114</f>
        <v>391.07928056201638</v>
      </c>
      <c r="K116" s="98">
        <f>K118-K104-K105-K106-K107-K108-K109-K110-K112-K113-K114</f>
        <v>678.87970074677821</v>
      </c>
      <c r="L116" s="98">
        <f>L118-L104-L105-L106-L107-L108-L109-L110-L112-L113-L114</f>
        <v>154.80352971350726</v>
      </c>
      <c r="M116" s="98">
        <f>I116+J116+K116+L116</f>
        <v>1643.3621493613375</v>
      </c>
      <c r="O116" s="98">
        <f>O118-O104-O105-O106-O107-O108-O109-O110-O112-O113-O114</f>
        <v>496</v>
      </c>
      <c r="P116" s="98">
        <f>P118-P104-P105-P106-P107-P108-P109-P110-P112-P113-P114</f>
        <v>728</v>
      </c>
      <c r="Q116" s="98">
        <f>Q118-Q104-Q105-Q106-Q107-Q108-Q109-Q110-Q112-Q113-Q114</f>
        <v>825</v>
      </c>
      <c r="R116" s="98">
        <f>R118-R104-R105-R106-R107-R108-R109-R110-R112-R113-R114</f>
        <v>711</v>
      </c>
      <c r="S116" s="98">
        <f>O116+P116+Q116+R116</f>
        <v>2760</v>
      </c>
      <c r="T116" s="98"/>
      <c r="U116" s="356">
        <f>U118-U104-U105-U106-U107-U108-U109-U110-U112-U113-U114</f>
        <v>704</v>
      </c>
      <c r="V116" s="356">
        <f>V118-V104-V105-V106-V107-V108-V109-V110-V112-V113-V114</f>
        <v>506</v>
      </c>
      <c r="W116" s="356">
        <f>W118-W104-W105-W106-W107-W108-W109-W110-W112-W113-W114</f>
        <v>545</v>
      </c>
      <c r="X116" s="356">
        <v>484</v>
      </c>
      <c r="Y116" s="98">
        <f>U116+V116+W116+X116</f>
        <v>2239</v>
      </c>
      <c r="Z116" s="98">
        <f>Y116*0.7</f>
        <v>1567.3</v>
      </c>
      <c r="AA116" s="356">
        <f>AA118-AA104-AA105-AA106-AA107-AA108-AA109-AA110-AA112-AA113-AA114</f>
        <v>459</v>
      </c>
      <c r="AB116" s="356">
        <f>AB118-AB104-AB105-AB106-AB107-AB108-AB109-AB110-AB112-AB113-AB114</f>
        <v>434</v>
      </c>
      <c r="AC116" s="356">
        <f>AC118-AC104-AC105-AC106-AC107-AC108-AC109-AC110-AC112-AC113-AC114</f>
        <v>528</v>
      </c>
      <c r="AD116" s="356">
        <f>AD118-AD104-AD105-AD106-AD107-AD108-AD109-AD110-AD112-AD113-AD114</f>
        <v>553.70950000000005</v>
      </c>
      <c r="AE116" s="98">
        <f>AA116+AB116+AC116+AD116</f>
        <v>1974.7094999999999</v>
      </c>
      <c r="AF116" s="98">
        <f>AE116*0.7</f>
        <v>1382.2966499999998</v>
      </c>
      <c r="AG116" s="356">
        <f>AG118-AG104-AG105-AG106-AG107-AG108-AG109-AG110-AG112-AG113-AG114</f>
        <v>458</v>
      </c>
      <c r="AH116" s="356">
        <f>AH118-AH104-AH105-AH106-AH107-AH108-AH109-AH110-AH112-AH113-AH114</f>
        <v>442</v>
      </c>
      <c r="AI116" s="356">
        <f>AI118-AI104-AI105-AI106-AI107-AI108-AI109-AI110-AI112-AI113-AI114</f>
        <v>488</v>
      </c>
      <c r="AJ116" s="356">
        <f>AJ118-AJ104-AJ105-AJ106-AJ107-AJ108-AJ109-AJ110-AJ112-AJ113-AJ114</f>
        <v>496.98799999999994</v>
      </c>
      <c r="AK116" s="98">
        <f>AG116+AH116+AI116+AJ116</f>
        <v>1884.9879999999998</v>
      </c>
      <c r="AL116" s="98">
        <f>AK116*0.6</f>
        <v>1130.9927999999998</v>
      </c>
      <c r="AM116" s="356">
        <f>AM118-AM104-AM105-AM106-AM107-AM108-AM109-AM110-AM112-AM113-AM114</f>
        <v>414</v>
      </c>
      <c r="AN116" s="356">
        <f>AN118-AN104-AN105-AN106-AN107-AN108-AN109-AN110-AN112-AN113-AN114</f>
        <v>415.5</v>
      </c>
      <c r="AO116" s="356">
        <f>AO118-AO104-AO105-AO106-AO107-AO108-AO109-AO110-AO112-AO113-AO114</f>
        <v>428</v>
      </c>
      <c r="AP116" s="356">
        <f>AP118-AP104-AP105-AP106-AP107-AP108-AP109-AP110-AP112-AP113-AP114</f>
        <v>403</v>
      </c>
      <c r="AQ116" s="98">
        <f>AM116+AN116+AO116+AP116</f>
        <v>1660.5</v>
      </c>
      <c r="AR116" s="98"/>
      <c r="AS116" s="356">
        <f>AS118-AS104-AS105-AS106-AS107-AS108-AS109-AS110-AS112-AS113-AS114</f>
        <v>355</v>
      </c>
      <c r="AT116" s="356">
        <f>AT118-AT104-AT105-AT106-AT107-AT108-AT109-AT110-AT112-AT113-AT114</f>
        <v>371.59899999999993</v>
      </c>
      <c r="AU116" s="356">
        <f>AU118-AU104-AU105-AU106-AU107-AU108-AU109-AU110-AU112-AU113-AU114</f>
        <v>403.59000000000003</v>
      </c>
      <c r="AV116" s="356">
        <f ca="1">AV118-AV104-AV105-AV106-AV107-AV108-AV109-AV110-AV112-AV113-AV114</f>
        <v>400.009596953271</v>
      </c>
      <c r="AW116" s="98">
        <f ca="1">AS116+AT116+AU116+AV116</f>
        <v>1530.1985969532709</v>
      </c>
      <c r="AX116" s="98"/>
      <c r="AY116" s="356">
        <f>AY118-AY104-AY105-AY106-AY107-AY108-AY109-AY110-AY112-AY113-AY114</f>
        <v>330</v>
      </c>
      <c r="AZ116" s="356">
        <f>AZ118-AZ104-AZ105-AZ106-AZ107-AZ108-AZ109-AZ110-AZ112-AZ113-AZ114</f>
        <v>339.44872500000002</v>
      </c>
      <c r="BA116" s="356">
        <f>BA118-BA104-BA105-BA106-BA107-BA108-BA109-BA110-BA112-BA113-BA114</f>
        <v>377.36389999999994</v>
      </c>
      <c r="BB116" s="356">
        <f ca="1">BB118-BB104-BB105-BB106-BB107-BB108-BB109-BB110-BB112-BB113-BB114</f>
        <v>364.88556063465415</v>
      </c>
      <c r="BC116" s="98">
        <f ca="1">AY116+AZ116+BA116+BB116</f>
        <v>1411.6981856346542</v>
      </c>
      <c r="BD116" s="98"/>
      <c r="BE116" s="356">
        <f>BE118-BE104-BE105-BE106-BE107-BE108-BE109-BE110-BE112-BE113-BE114</f>
        <v>356.976</v>
      </c>
      <c r="BF116" s="356">
        <f>BF118-BF104-BF105-BF106-BF107-BF108-BF109-BF110-BF112-BF113-BF114</f>
        <v>380.48485359999995</v>
      </c>
      <c r="BG116" s="356">
        <f>BG118-BG104-BG105-BG106-BG107-BG108-BG109-BG110-BG112-BG113-BG114</f>
        <v>400.36169899999999</v>
      </c>
      <c r="BH116" s="356">
        <f ca="1">BH118-BH104-BH105-BH106-BH107-BH108-BH109-BH110-BH112-BH113-BH114</f>
        <v>379.87862825497996</v>
      </c>
      <c r="BI116" s="98">
        <f ca="1">BE116+BF116+BG116+BH116</f>
        <v>1517.7011808549798</v>
      </c>
      <c r="BJ116" s="98"/>
      <c r="BK116" s="356">
        <f>BK118-BK104-BK105-BK106-BK107-BK108-BK109-BK110-BK112-BK113-BK114</f>
        <v>330.02009199999998</v>
      </c>
      <c r="BL116" s="356">
        <f>BL118-BL104-BL105-BL106-BL107-BL108-BL109-BL110-BL112-BL113-BL114</f>
        <v>335.35022598960006</v>
      </c>
      <c r="BM116" s="356">
        <f>BM118-BM104-BM105-BM106-BM107-BM108-BM109-BM110-BM112-BM113-BM114</f>
        <v>383.28641025100001</v>
      </c>
      <c r="BN116" s="356">
        <f ca="1">BN118-BN104-BN105-BN106-BN107-BN108-BN109-BN110-BN112-BN113-BN114</f>
        <v>362.83622135195196</v>
      </c>
      <c r="BO116" s="98">
        <f ca="1">BK116+BL116+BM116+BN116</f>
        <v>1411.4929495925519</v>
      </c>
      <c r="BP116" s="98"/>
      <c r="BQ116" s="98">
        <f>BK116*0.975</f>
        <v>321.76958969999998</v>
      </c>
      <c r="BR116" s="98">
        <f>BL116*0.985</f>
        <v>330.31997259975606</v>
      </c>
      <c r="BS116" s="98">
        <f>BM116*0.995</f>
        <v>381.36997819974499</v>
      </c>
      <c r="BT116" s="98">
        <f ca="1">BN116*0.995</f>
        <v>361.02204024519222</v>
      </c>
      <c r="BU116" s="98">
        <f ca="1">BQ116+BR116+BS116+BT116</f>
        <v>1394.4815807446935</v>
      </c>
      <c r="BV116" s="98"/>
      <c r="BW116" s="98">
        <f>BQ116*0.995</f>
        <v>320.16074175149998</v>
      </c>
      <c r="BX116" s="98">
        <f>BR116</f>
        <v>330.31997259975606</v>
      </c>
      <c r="BY116" s="98">
        <f>BS116*1.005</f>
        <v>383.27682809074366</v>
      </c>
      <c r="BZ116" s="98">
        <f ca="1">BT116*1.005</f>
        <v>362.82715044641816</v>
      </c>
      <c r="CA116" s="98">
        <f ca="1">BW116+BX116+BY116+BZ116</f>
        <v>1396.584692888418</v>
      </c>
      <c r="CB116" s="98"/>
      <c r="CC116" s="98">
        <f>BW116*1.005</f>
        <v>321.76154546025742</v>
      </c>
      <c r="CD116" s="98">
        <f>BX116*1.005</f>
        <v>331.97157246275481</v>
      </c>
      <c r="CE116" s="98">
        <f>BY116*1.005</f>
        <v>385.19321223119732</v>
      </c>
      <c r="CF116" s="98">
        <f ca="1">BZ116*1.005</f>
        <v>364.64128619865022</v>
      </c>
      <c r="CG116" s="98">
        <f ca="1">CC116+CD116+CE116+CF116</f>
        <v>1403.5676163528599</v>
      </c>
      <c r="CH116" s="98"/>
      <c r="CI116" s="98">
        <f>CC116*1.005</f>
        <v>323.37035318755869</v>
      </c>
      <c r="CJ116" s="98">
        <f>CD116*1.005</f>
        <v>333.63143032506855</v>
      </c>
      <c r="CK116" s="98">
        <f>CE116*1.005</f>
        <v>387.11917829235324</v>
      </c>
      <c r="CL116" s="98">
        <f ca="1">CF116*1.005</f>
        <v>366.46449262964342</v>
      </c>
      <c r="CM116" s="98">
        <f ca="1">CI116+CJ116+CK116+CL116</f>
        <v>1410.5854544346241</v>
      </c>
      <c r="CN116" s="98"/>
      <c r="CO116" s="98">
        <f>CI116*1.005</f>
        <v>324.98720495349647</v>
      </c>
      <c r="CP116" s="98">
        <f>CJ116*1.005</f>
        <v>335.29958747669383</v>
      </c>
      <c r="CQ116" s="98">
        <f>CK116*1.005</f>
        <v>389.05477418381497</v>
      </c>
      <c r="CR116" s="98">
        <f ca="1">CL116*1.005</f>
        <v>368.29681509279158</v>
      </c>
      <c r="CS116" s="98">
        <f ca="1">CO116+CP116+CQ116+CR116</f>
        <v>1417.638381706797</v>
      </c>
      <c r="CT116" s="98"/>
      <c r="CU116" s="98">
        <f>CO116*1.005</f>
        <v>326.61214097826394</v>
      </c>
      <c r="CV116" s="98">
        <f>CP116*1.005</f>
        <v>336.97608541407726</v>
      </c>
      <c r="CW116" s="98">
        <f>CQ116*1.005</f>
        <v>391.00004805473401</v>
      </c>
      <c r="CX116" s="98">
        <f ca="1">CR116*1.005</f>
        <v>370.13829916825551</v>
      </c>
      <c r="CY116" s="98">
        <f ca="1">CU116+CV116+CW116+CX116</f>
        <v>1424.7265736153308</v>
      </c>
      <c r="CZ116" s="98"/>
      <c r="DA116" s="98">
        <f>CU116*1.005</f>
        <v>328.24520168315524</v>
      </c>
      <c r="DB116" s="98">
        <f>CV116*1.005</f>
        <v>338.66096584114763</v>
      </c>
      <c r="DC116" s="98">
        <f>CW116*1.005</f>
        <v>392.95504829500766</v>
      </c>
      <c r="DD116" s="98">
        <f ca="1">CX116*1.005</f>
        <v>371.98899066409678</v>
      </c>
      <c r="DE116" s="98">
        <f ca="1">DA116+DB116+DC116+DD116</f>
        <v>1431.8502064834072</v>
      </c>
      <c r="DF116" s="98"/>
      <c r="DG116" s="98">
        <f>DA116*1.005</f>
        <v>329.88642769157099</v>
      </c>
      <c r="DH116" s="98">
        <f>DB116*1.005</f>
        <v>340.35427067035334</v>
      </c>
      <c r="DI116" s="98">
        <f>DC116*1.005</f>
        <v>394.91982353648268</v>
      </c>
      <c r="DJ116" s="98">
        <f ca="1">DD116*1.005</f>
        <v>373.84893561741723</v>
      </c>
      <c r="DK116" s="98">
        <f ca="1">DG116+DH116+DI116+DJ116</f>
        <v>1439.0094575158244</v>
      </c>
    </row>
    <row r="117" spans="1:115" x14ac:dyDescent="0.3">
      <c r="AA117" s="36">
        <f>AA116/U116-1</f>
        <v>-0.34801136363636365</v>
      </c>
      <c r="AB117" s="36">
        <f>AB116/V116-1</f>
        <v>-0.14229249011857703</v>
      </c>
      <c r="AC117" s="36">
        <f>AC116/W116-1</f>
        <v>-3.1192660550458662E-2</v>
      </c>
      <c r="AD117" s="36">
        <f>AD116/X116-1</f>
        <v>0.14402789256198356</v>
      </c>
      <c r="AG117" s="36">
        <f>AG116/AA116-1</f>
        <v>-2.1786492374727962E-3</v>
      </c>
      <c r="AH117" s="36">
        <f>AH116/AB116-1</f>
        <v>1.8433179723502224E-2</v>
      </c>
      <c r="AI117" s="36">
        <f>AI116/AC116-1</f>
        <v>-7.5757575757575801E-2</v>
      </c>
      <c r="AJ117" s="36">
        <f>AJ116/AD116-1</f>
        <v>-0.10243909486833813</v>
      </c>
      <c r="AM117" s="36">
        <f>AM116/AG116-1</f>
        <v>-9.606986899563319E-2</v>
      </c>
      <c r="AN117" s="36">
        <f>AN116/AH116-1</f>
        <v>-5.9954751131221728E-2</v>
      </c>
      <c r="AO117" s="36">
        <f>AO116/AI116-1</f>
        <v>-0.12295081967213117</v>
      </c>
      <c r="AP117" s="36">
        <f>AP116/AJ116-1</f>
        <v>-0.18911523014640186</v>
      </c>
      <c r="AS117" s="36">
        <f>AS116/AM116-1</f>
        <v>-0.14251207729468596</v>
      </c>
      <c r="AT117" s="36">
        <f>AT116/AN116-1</f>
        <v>-0.10565824308062588</v>
      </c>
      <c r="AU117" s="36">
        <f>AU116/AO116-1</f>
        <v>-5.7032710280373711E-2</v>
      </c>
      <c r="AV117" s="36">
        <f ca="1">AV116/AP116-1</f>
        <v>-7.4203549546625336E-3</v>
      </c>
      <c r="AY117" s="36"/>
      <c r="AZ117" s="36"/>
      <c r="BA117" s="36"/>
      <c r="BB117" s="36"/>
      <c r="BE117" s="36"/>
      <c r="BF117" s="36"/>
      <c r="BG117" s="36"/>
      <c r="BH117" s="36"/>
      <c r="BK117" s="36">
        <f>BK116/BE116-1</f>
        <v>-7.551182152301561E-2</v>
      </c>
      <c r="BL117" s="36">
        <f>BL116/BF116-1</f>
        <v>-0.11862397985978568</v>
      </c>
      <c r="BM117" s="36">
        <f>BM116/BG116-1</f>
        <v>-4.2649656027661131E-2</v>
      </c>
      <c r="BN117" s="36">
        <f ca="1">BN116/BH116-1</f>
        <v>-4.4862768356604965E-2</v>
      </c>
      <c r="BQ117" s="36">
        <f>BQ116/BK116-1</f>
        <v>-2.5000000000000022E-2</v>
      </c>
      <c r="BR117" s="36">
        <f>BR116/BL116-1</f>
        <v>-1.5000000000000013E-2</v>
      </c>
      <c r="BS117" s="36">
        <f>BS116/BM116-1</f>
        <v>-5.0000000000000044E-3</v>
      </c>
      <c r="BT117" s="36">
        <f ca="1">BT116/BN116-1</f>
        <v>-5.0000000000000044E-3</v>
      </c>
      <c r="BW117" s="36"/>
      <c r="BX117" s="36"/>
      <c r="BY117" s="36"/>
      <c r="BZ117" s="36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</row>
    <row r="118" spans="1:115" x14ac:dyDescent="0.3">
      <c r="B118" s="13" t="s">
        <v>192</v>
      </c>
      <c r="I118" s="352">
        <f>I38</f>
        <v>1347.9381044487427</v>
      </c>
      <c r="J118" s="352">
        <f>J38</f>
        <v>1432.0423108218063</v>
      </c>
      <c r="K118" s="352">
        <f>K38</f>
        <v>1755.0123022847099</v>
      </c>
      <c r="L118" s="352">
        <f>L38</f>
        <v>1018.9463955637708</v>
      </c>
      <c r="M118" s="352">
        <f>I118+J118+K118+L118</f>
        <v>5553.9391131190305</v>
      </c>
      <c r="N118" s="3"/>
      <c r="O118" s="352">
        <f>O38</f>
        <v>1265</v>
      </c>
      <c r="P118" s="352">
        <f>P38</f>
        <v>1686</v>
      </c>
      <c r="Q118" s="352">
        <f>Q38</f>
        <v>1844</v>
      </c>
      <c r="R118" s="352">
        <f>R38</f>
        <v>1595</v>
      </c>
      <c r="S118" s="352">
        <f>O118+P118+Q118+R118</f>
        <v>6390</v>
      </c>
      <c r="T118" s="3"/>
      <c r="U118" s="352">
        <f>U38</f>
        <v>1587</v>
      </c>
      <c r="V118" s="352">
        <f>V38</f>
        <v>1431</v>
      </c>
      <c r="W118" s="352">
        <f>W38</f>
        <v>1465</v>
      </c>
      <c r="X118" s="352">
        <f>X104+X105+X106+X107+X108+X109+X110+X112+X113+X114+X116</f>
        <v>1264.6167499999999</v>
      </c>
      <c r="Y118" s="352">
        <f>U118+V118+W118+X118</f>
        <v>5747.6167500000001</v>
      </c>
      <c r="Z118" s="352"/>
      <c r="AA118" s="352">
        <f>AA38</f>
        <v>1226</v>
      </c>
      <c r="AB118" s="352">
        <f>AB38</f>
        <v>1316</v>
      </c>
      <c r="AC118" s="352">
        <f>AC38</f>
        <v>1388</v>
      </c>
      <c r="AD118" s="352">
        <f>AD38</f>
        <v>1311</v>
      </c>
      <c r="AE118" s="352">
        <f>AA118+AB118+AC118+AD118</f>
        <v>5241</v>
      </c>
      <c r="AF118" s="352"/>
      <c r="AG118" s="352">
        <v>1192</v>
      </c>
      <c r="AH118" s="352">
        <v>1195</v>
      </c>
      <c r="AI118" s="352">
        <v>1345</v>
      </c>
      <c r="AJ118" s="352">
        <v>1204</v>
      </c>
      <c r="AK118" s="352">
        <f>AG118+AH118+AI118+AJ118</f>
        <v>4936</v>
      </c>
      <c r="AL118" s="352"/>
      <c r="AM118" s="352">
        <v>1097</v>
      </c>
      <c r="AN118" s="352">
        <v>1117</v>
      </c>
      <c r="AO118" s="352">
        <v>1169</v>
      </c>
      <c r="AP118" s="352">
        <v>1167</v>
      </c>
      <c r="AQ118" s="352">
        <f>AM118+AN118+AO118+AP118</f>
        <v>4550</v>
      </c>
      <c r="AR118" s="352"/>
      <c r="AS118" s="352">
        <v>1027</v>
      </c>
      <c r="AT118" s="352">
        <v>1098</v>
      </c>
      <c r="AU118" s="352">
        <v>1184</v>
      </c>
      <c r="AV118" s="352">
        <v>1123</v>
      </c>
      <c r="AW118" s="352">
        <f>AS118+AT118+AU118+AV118</f>
        <v>4432</v>
      </c>
      <c r="AX118" s="352"/>
      <c r="AY118" s="352">
        <v>1016</v>
      </c>
      <c r="AZ118" s="352">
        <v>1081</v>
      </c>
      <c r="BA118" s="352">
        <v>1157</v>
      </c>
      <c r="BB118" s="352">
        <v>1075</v>
      </c>
      <c r="BC118" s="352">
        <f>AY118+AZ118+BA118+BB118</f>
        <v>4329</v>
      </c>
      <c r="BD118" s="352"/>
      <c r="BE118" s="352">
        <v>931</v>
      </c>
      <c r="BF118" s="352">
        <v>968</v>
      </c>
      <c r="BG118" s="352">
        <v>1037</v>
      </c>
      <c r="BH118" s="352">
        <v>930</v>
      </c>
      <c r="BI118" s="352">
        <f>BE118+BF118+BG118+BH118</f>
        <v>3866</v>
      </c>
      <c r="BJ118" s="352"/>
      <c r="BK118" s="352">
        <v>889</v>
      </c>
      <c r="BL118" s="352">
        <v>947</v>
      </c>
      <c r="BM118" s="352">
        <v>1007</v>
      </c>
      <c r="BN118" s="352">
        <v>906</v>
      </c>
      <c r="BO118" s="352">
        <f>BK118+BL118+BM118+BN118</f>
        <v>3749</v>
      </c>
      <c r="BP118" s="352"/>
      <c r="BQ118" s="352">
        <f>BQ104+BQ105+BQ106+BQ107+BQ108+BQ109+BQ110+BQ112+BQ113+BQ114+BQ116</f>
        <v>874.39143921799734</v>
      </c>
      <c r="BR118" s="352">
        <f>BR104+BR105+BR106+BR107+BR108+BR109+BR110+BR112+BR113+BR114+BR116</f>
        <v>941.54834923803332</v>
      </c>
      <c r="BS118" s="352">
        <f>BS104+BS105+BS106+BS107+BS108+BS109+BS110+BS112+BS113+BS114+BS116</f>
        <v>1002.7770526228419</v>
      </c>
      <c r="BT118" s="352">
        <f ca="1">BT104+BT105+BT106+BT107+BT108+BT109+BT110+BT112+BT113+BT114+BT116</f>
        <v>901.80012708251093</v>
      </c>
      <c r="BU118" s="352">
        <f ca="1">BQ118+BR118+BS118+BT118</f>
        <v>3720.5169681613834</v>
      </c>
      <c r="BV118" s="352"/>
      <c r="BW118" s="352">
        <f>BW104+BW105+BW106+BW107+BW108+BW109+BW110+BW112+BW113+BW114+BW116</f>
        <v>871.97460709970301</v>
      </c>
      <c r="BX118" s="352">
        <f>BX104+BX105+BX106+BX107+BX108+BX109+BX110+BX112+BX113+BX114+BX116</f>
        <v>942.17362035358678</v>
      </c>
      <c r="BY118" s="352">
        <f>BY104+BY105+BY106+BY107+BY108+BY109+BY110+BY112+BY113+BY114+BY116</f>
        <v>1005.4004269999111</v>
      </c>
      <c r="BZ118" s="352">
        <f ca="1">BZ104+BZ105+BZ106+BZ107+BZ108+BZ109+BZ110+BZ112+BZ113+BZ114+BZ116</f>
        <v>899.27689044764099</v>
      </c>
      <c r="CA118" s="352">
        <f ca="1">BW118+BX118+BY118+BZ118</f>
        <v>3718.825544900842</v>
      </c>
      <c r="CB118" s="352"/>
      <c r="CC118" s="352">
        <f>CC104+CC105+CC106+CC107+CC108+CC109+CC110+CC112+CC113+CC114+CC116</f>
        <v>876.48826553656204</v>
      </c>
      <c r="CD118" s="352">
        <f>CD104+CD105+CD106+CD107+CD108+CD109+CD110+CD112+CD113+CD114+CD116</f>
        <v>947.56287640200583</v>
      </c>
      <c r="CE118" s="352">
        <f>CE104+CE105+CE106+CE107+CE108+CE109+CE110+CE112+CE113+CE114+CE116</f>
        <v>1011.0448633416637</v>
      </c>
      <c r="CF118" s="352">
        <f ca="1">CF104+CF105+CF106+CF107+CF108+CF109+CF110+CF112+CF113+CF114+CF116</f>
        <v>902.9949998836446</v>
      </c>
      <c r="CG118" s="352">
        <f ca="1">CC118+CD118+CE118+CF118</f>
        <v>3738.0910051638762</v>
      </c>
      <c r="CH118" s="352"/>
      <c r="CI118" s="352">
        <f>CI104+CI105+CI106+CI107+CI108+CI109+CI110+CI112+CI113+CI114+CI116</f>
        <v>881.40467168939222</v>
      </c>
      <c r="CJ118" s="352">
        <f>CJ104+CJ105+CJ106+CJ107+CJ108+CJ109+CJ110+CJ112+CJ113+CJ114+CJ116</f>
        <v>953.25517609329302</v>
      </c>
      <c r="CK118" s="352">
        <f>CK104+CK105+CK106+CK107+CK108+CK109+CK110+CK112+CK113+CK114+CK116</f>
        <v>1017.3541149367569</v>
      </c>
      <c r="CL118" s="352">
        <f ca="1">CL104+CL105+CL106+CL107+CL108+CL109+CL110+CL112+CL113+CL114+CL116</f>
        <v>908.14179238657198</v>
      </c>
      <c r="CM118" s="352">
        <f ca="1">CI118+CJ118+CK118+CL118</f>
        <v>3760.1557551060141</v>
      </c>
      <c r="CN118" s="352"/>
      <c r="CO118" s="352">
        <f>CO104+CO105+CO106+CO107+CO108+CO109+CO110+CO112+CO113+CO114+CO116</f>
        <v>886.04345672996192</v>
      </c>
      <c r="CP118" s="352">
        <f>CP104+CP105+CP106+CP107+CP108+CP109+CP110+CP112+CP113+CP114+CP116</f>
        <v>958.73444872655909</v>
      </c>
      <c r="CQ118" s="352">
        <f>CQ104+CQ105+CQ106+CQ107+CQ108+CQ109+CQ110+CQ112+CQ113+CQ114+CQ116</f>
        <v>1023.368196993531</v>
      </c>
      <c r="CR118" s="352">
        <f ca="1">CR104+CR105+CR106+CR107+CR108+CR109+CR110+CR112+CR113+CR114+CR116</f>
        <v>913.69124619366539</v>
      </c>
      <c r="CS118" s="352">
        <f ca="1">CO118+CP118+CQ118+CR118</f>
        <v>3781.8373486437176</v>
      </c>
      <c r="CT118" s="352"/>
      <c r="CU118" s="352">
        <f>CU104+CU105+CU106+CU107+CU108+CU109+CU110+CU112+CU113+CU114+CU116</f>
        <v>891.59310199643198</v>
      </c>
      <c r="CV118" s="352">
        <f>CV104+CV105+CV106+CV107+CV108+CV109+CV110+CV112+CV113+CV114+CV116</f>
        <v>965.33789631976947</v>
      </c>
      <c r="CW118" s="352">
        <f>CW104+CW105+CW106+CW107+CW108+CW109+CW110+CW112+CW113+CW114+CW116</f>
        <v>1030.3374352657163</v>
      </c>
      <c r="CX118" s="352">
        <f ca="1">CX104+CX105+CX106+CX107+CX108+CX109+CX110+CX112+CX113+CX114+CX116</f>
        <v>919.75719775913581</v>
      </c>
      <c r="CY118" s="352">
        <f ca="1">CU118+CV118+CW118+CX118</f>
        <v>3807.0256313410537</v>
      </c>
      <c r="CZ118" s="352"/>
      <c r="DA118" s="352">
        <f>DA104+DA105+DA106+DA107+DA108+DA109+DA110+DA112+DA113+DA114+DA116</f>
        <v>897.56841734366253</v>
      </c>
      <c r="DB118" s="352">
        <f>DB104+DB105+DB106+DB107+DB108+DB109+DB110+DB112+DB113+DB114+DB116</f>
        <v>972.41267461306165</v>
      </c>
      <c r="DC118" s="352">
        <f>DC104+DC105+DC106+DC107+DC108+DC109+DC110+DC112+DC113+DC114+DC116</f>
        <v>1037.7317476321848</v>
      </c>
      <c r="DD118" s="352">
        <f ca="1">DD104+DD105+DD106+DD107+DD108+DD109+DD110+DD112+DD113+DD114+DD116</f>
        <v>926.20640815045726</v>
      </c>
      <c r="DE118" s="352">
        <f ca="1">DA118+DB118+DC118+DD118</f>
        <v>3833.9192477393663</v>
      </c>
      <c r="DF118" s="352"/>
      <c r="DG118" s="352">
        <f>DG104+DG105+DG106+DG107+DG108+DG109+DG110+DG112+DG113+DG114+DG116</f>
        <v>903.40925255832303</v>
      </c>
      <c r="DH118" s="352">
        <f>DH104+DH105+DH106+DH107+DH108+DH109+DH110+DH112+DH113+DH114+DH116</f>
        <v>979.36444856769822</v>
      </c>
      <c r="DI118" s="352">
        <f>DI104+DI105+DI106+DI107+DI108+DI109+DI110+DI112+DI113+DI114+DI116</f>
        <v>1044.8797529601998</v>
      </c>
      <c r="DJ118" s="352">
        <f ca="1">DJ104+DJ105+DJ106+DJ107+DJ108+DJ109+DJ110+DJ112+DJ113+DJ114+DJ116</f>
        <v>932.58478873015315</v>
      </c>
      <c r="DK118" s="352">
        <f ca="1">DG118+DH118+DI118+DJ118</f>
        <v>3860.2382428163746</v>
      </c>
    </row>
    <row r="119" spans="1:115" x14ac:dyDescent="0.3">
      <c r="BK119" s="36"/>
      <c r="BL119" s="36"/>
      <c r="BM119" s="36"/>
      <c r="BN119" s="36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</row>
    <row r="120" spans="1:115" x14ac:dyDescent="0.3"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</row>
    <row r="121" spans="1:115" x14ac:dyDescent="0.3">
      <c r="A121" s="397"/>
      <c r="B121" s="397"/>
      <c r="C121" s="397"/>
      <c r="D121" s="398"/>
      <c r="E121" s="398"/>
      <c r="F121" s="398"/>
      <c r="G121" s="398"/>
      <c r="H121" s="398"/>
      <c r="I121" s="398"/>
      <c r="J121" s="398"/>
      <c r="K121" s="398"/>
      <c r="L121" s="398"/>
      <c r="M121" s="398"/>
      <c r="N121" s="398"/>
      <c r="O121" s="398"/>
      <c r="P121" s="398"/>
      <c r="Q121" s="398"/>
      <c r="R121" s="398"/>
      <c r="S121" s="398"/>
      <c r="T121" s="398"/>
      <c r="U121" s="398"/>
      <c r="V121" s="398"/>
      <c r="W121" s="398"/>
      <c r="X121" s="398"/>
      <c r="Y121" s="398"/>
      <c r="Z121" s="398"/>
      <c r="AA121" s="398"/>
      <c r="AB121" s="398"/>
      <c r="AC121" s="398"/>
      <c r="AD121" s="398"/>
      <c r="AE121" s="398"/>
      <c r="AF121" s="398"/>
      <c r="AG121" s="398"/>
      <c r="AH121" s="398"/>
      <c r="AI121" s="398"/>
      <c r="AJ121" s="398"/>
      <c r="AK121" s="398"/>
      <c r="AL121" s="398"/>
      <c r="AM121" s="398"/>
      <c r="AN121" s="398"/>
      <c r="AO121" s="398"/>
      <c r="AP121" s="398"/>
      <c r="AQ121" s="398"/>
      <c r="AR121" s="398"/>
      <c r="AS121" s="398"/>
      <c r="AT121" s="398"/>
      <c r="AU121" s="398"/>
      <c r="AV121" s="398"/>
      <c r="AW121" s="398"/>
      <c r="AX121" s="398"/>
      <c r="AY121" s="398"/>
      <c r="AZ121" s="398"/>
      <c r="BA121" s="398"/>
      <c r="BB121" s="398"/>
      <c r="BC121" s="398"/>
      <c r="BD121" s="398"/>
      <c r="BE121" s="398"/>
      <c r="BF121" s="398"/>
      <c r="BG121" s="398"/>
      <c r="BH121" s="398"/>
      <c r="BI121" s="398"/>
      <c r="BJ121" s="398"/>
      <c r="BK121" s="398"/>
      <c r="BL121" s="398"/>
      <c r="BM121" s="398"/>
      <c r="BN121" s="398"/>
      <c r="BO121" s="398"/>
      <c r="BP121" s="398"/>
      <c r="BQ121" s="398"/>
      <c r="BR121" s="398"/>
      <c r="BS121" s="398"/>
      <c r="BT121" s="398"/>
      <c r="BU121" s="398"/>
      <c r="BV121" s="398"/>
      <c r="BW121" s="398"/>
      <c r="BX121" s="398"/>
      <c r="BY121" s="398"/>
      <c r="BZ121" s="398"/>
      <c r="CA121" s="398"/>
      <c r="CB121" s="398"/>
      <c r="CC121" s="398"/>
      <c r="CD121" s="398"/>
      <c r="CE121" s="398"/>
      <c r="CF121" s="398"/>
      <c r="CG121" s="398"/>
      <c r="CH121" s="398"/>
      <c r="CI121" s="398"/>
      <c r="CJ121" s="398"/>
      <c r="CK121" s="398"/>
      <c r="CL121" s="398"/>
      <c r="CM121" s="398"/>
      <c r="CN121" s="398"/>
      <c r="CO121" s="398"/>
      <c r="CP121" s="398"/>
      <c r="CQ121" s="398"/>
      <c r="CR121" s="398"/>
      <c r="CS121" s="398"/>
      <c r="CT121" s="398"/>
      <c r="CU121" s="398"/>
      <c r="CV121" s="398"/>
      <c r="CW121" s="398"/>
      <c r="CX121" s="398"/>
      <c r="CY121" s="398"/>
      <c r="CZ121" s="398"/>
      <c r="DA121" s="398"/>
      <c r="DB121" s="398"/>
      <c r="DC121" s="398"/>
      <c r="DD121" s="398"/>
      <c r="DE121" s="398"/>
      <c r="DF121" s="398"/>
      <c r="DG121" s="398"/>
      <c r="DH121" s="398"/>
      <c r="DI121" s="398"/>
      <c r="DJ121" s="398"/>
      <c r="DK121" s="398"/>
    </row>
    <row r="122" spans="1:115" ht="15.75" thickBot="1" x14ac:dyDescent="0.35"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</row>
    <row r="123" spans="1:115" x14ac:dyDescent="0.3">
      <c r="I123" s="709">
        <v>2008</v>
      </c>
      <c r="J123" s="710"/>
      <c r="K123" s="710"/>
      <c r="L123" s="710"/>
      <c r="M123" s="711"/>
      <c r="N123" s="3"/>
      <c r="O123" s="709">
        <v>2009</v>
      </c>
      <c r="P123" s="710"/>
      <c r="Q123" s="710"/>
      <c r="R123" s="710"/>
      <c r="S123" s="711"/>
      <c r="T123" s="3"/>
      <c r="U123" s="709">
        <v>2010</v>
      </c>
      <c r="V123" s="710"/>
      <c r="W123" s="710"/>
      <c r="X123" s="710"/>
      <c r="Y123" s="711"/>
      <c r="AA123" s="709">
        <v>2011</v>
      </c>
      <c r="AB123" s="710"/>
      <c r="AC123" s="710"/>
      <c r="AD123" s="710"/>
      <c r="AE123" s="711"/>
      <c r="AG123" s="709">
        <v>2012</v>
      </c>
      <c r="AH123" s="710"/>
      <c r="AI123" s="710"/>
      <c r="AJ123" s="710"/>
      <c r="AK123" s="711"/>
      <c r="AM123" s="709">
        <v>2013</v>
      </c>
      <c r="AN123" s="710"/>
      <c r="AO123" s="710"/>
      <c r="AP123" s="710"/>
      <c r="AQ123" s="711"/>
      <c r="AS123" s="709">
        <v>2014</v>
      </c>
      <c r="AT123" s="710"/>
      <c r="AU123" s="710"/>
      <c r="AV123" s="710"/>
      <c r="AW123" s="711"/>
      <c r="AY123" s="709">
        <v>2015</v>
      </c>
      <c r="AZ123" s="710"/>
      <c r="BA123" s="710"/>
      <c r="BB123" s="710"/>
      <c r="BC123" s="711"/>
      <c r="BE123" s="709">
        <v>2016</v>
      </c>
      <c r="BF123" s="710"/>
      <c r="BG123" s="710"/>
      <c r="BH123" s="710"/>
      <c r="BI123" s="711"/>
      <c r="BK123" s="709">
        <v>2017</v>
      </c>
      <c r="BL123" s="710"/>
      <c r="BM123" s="710"/>
      <c r="BN123" s="710"/>
      <c r="BO123" s="711"/>
      <c r="BQ123" s="709">
        <v>2018</v>
      </c>
      <c r="BR123" s="710"/>
      <c r="BS123" s="710"/>
      <c r="BT123" s="710"/>
      <c r="BU123" s="711"/>
      <c r="BW123" s="709">
        <v>2019</v>
      </c>
      <c r="BX123" s="710"/>
      <c r="BY123" s="710"/>
      <c r="BZ123" s="710"/>
      <c r="CA123" s="711"/>
      <c r="CC123" s="709">
        <v>2020</v>
      </c>
      <c r="CD123" s="710"/>
      <c r="CE123" s="710"/>
      <c r="CF123" s="710"/>
      <c r="CG123" s="711"/>
      <c r="CI123" s="709">
        <v>2021</v>
      </c>
      <c r="CJ123" s="710"/>
      <c r="CK123" s="710"/>
      <c r="CL123" s="710"/>
      <c r="CM123" s="711"/>
      <c r="CO123" s="709">
        <v>2022</v>
      </c>
      <c r="CP123" s="710"/>
      <c r="CQ123" s="710"/>
      <c r="CR123" s="710"/>
      <c r="CS123" s="711"/>
      <c r="CU123" s="709">
        <v>2023</v>
      </c>
      <c r="CV123" s="710"/>
      <c r="CW123" s="710"/>
      <c r="CX123" s="710"/>
      <c r="CY123" s="711"/>
      <c r="CZ123" s="2"/>
      <c r="DA123" s="709">
        <v>2024</v>
      </c>
      <c r="DB123" s="710"/>
      <c r="DC123" s="710"/>
      <c r="DD123" s="710"/>
      <c r="DE123" s="711"/>
      <c r="DF123" s="2"/>
      <c r="DG123" s="709">
        <v>2025</v>
      </c>
      <c r="DH123" s="710"/>
      <c r="DI123" s="710"/>
      <c r="DJ123" s="710"/>
      <c r="DK123" s="711"/>
    </row>
    <row r="124" spans="1:115" ht="15.75" thickBot="1" x14ac:dyDescent="0.35">
      <c r="B124" s="13" t="s">
        <v>183</v>
      </c>
      <c r="I124" s="51" t="s">
        <v>20</v>
      </c>
      <c r="J124" s="43" t="s">
        <v>19</v>
      </c>
      <c r="K124" s="43" t="s">
        <v>22</v>
      </c>
      <c r="L124" s="43" t="s">
        <v>21</v>
      </c>
      <c r="M124" s="95" t="s">
        <v>39</v>
      </c>
      <c r="N124" s="3"/>
      <c r="O124" s="51" t="s">
        <v>20</v>
      </c>
      <c r="P124" s="43" t="s">
        <v>19</v>
      </c>
      <c r="Q124" s="43" t="s">
        <v>22</v>
      </c>
      <c r="R124" s="43" t="s">
        <v>21</v>
      </c>
      <c r="S124" s="95" t="s">
        <v>39</v>
      </c>
      <c r="T124" s="3"/>
      <c r="U124" s="51" t="s">
        <v>20</v>
      </c>
      <c r="V124" s="43" t="s">
        <v>19</v>
      </c>
      <c r="W124" s="43" t="s">
        <v>22</v>
      </c>
      <c r="X124" s="43" t="s">
        <v>21</v>
      </c>
      <c r="Y124" s="95" t="s">
        <v>39</v>
      </c>
      <c r="AA124" s="51" t="s">
        <v>20</v>
      </c>
      <c r="AB124" s="43" t="s">
        <v>19</v>
      </c>
      <c r="AC124" s="43" t="s">
        <v>22</v>
      </c>
      <c r="AD124" s="43" t="s">
        <v>21</v>
      </c>
      <c r="AE124" s="95" t="s">
        <v>39</v>
      </c>
      <c r="AG124" s="51" t="s">
        <v>20</v>
      </c>
      <c r="AH124" s="43" t="s">
        <v>19</v>
      </c>
      <c r="AI124" s="43" t="s">
        <v>22</v>
      </c>
      <c r="AJ124" s="43" t="s">
        <v>21</v>
      </c>
      <c r="AK124" s="95" t="s">
        <v>39</v>
      </c>
      <c r="AM124" s="51" t="s">
        <v>20</v>
      </c>
      <c r="AN124" s="43" t="s">
        <v>19</v>
      </c>
      <c r="AO124" s="43" t="s">
        <v>22</v>
      </c>
      <c r="AP124" s="43" t="s">
        <v>21</v>
      </c>
      <c r="AQ124" s="95" t="s">
        <v>39</v>
      </c>
      <c r="AS124" s="51" t="s">
        <v>20</v>
      </c>
      <c r="AT124" s="43" t="s">
        <v>19</v>
      </c>
      <c r="AU124" s="43" t="s">
        <v>22</v>
      </c>
      <c r="AV124" s="43" t="s">
        <v>21</v>
      </c>
      <c r="AW124" s="95" t="s">
        <v>39</v>
      </c>
      <c r="AY124" s="51" t="s">
        <v>20</v>
      </c>
      <c r="AZ124" s="43" t="s">
        <v>19</v>
      </c>
      <c r="BA124" s="43" t="s">
        <v>22</v>
      </c>
      <c r="BB124" s="43" t="s">
        <v>21</v>
      </c>
      <c r="BC124" s="95" t="s">
        <v>39</v>
      </c>
      <c r="BE124" s="51" t="s">
        <v>20</v>
      </c>
      <c r="BF124" s="43" t="s">
        <v>19</v>
      </c>
      <c r="BG124" s="43" t="s">
        <v>22</v>
      </c>
      <c r="BH124" s="43" t="s">
        <v>21</v>
      </c>
      <c r="BI124" s="95" t="s">
        <v>39</v>
      </c>
      <c r="BK124" s="51" t="s">
        <v>20</v>
      </c>
      <c r="BL124" s="43" t="s">
        <v>19</v>
      </c>
      <c r="BM124" s="43" t="s">
        <v>22</v>
      </c>
      <c r="BN124" s="43" t="s">
        <v>21</v>
      </c>
      <c r="BO124" s="95" t="s">
        <v>39</v>
      </c>
      <c r="BQ124" s="51" t="s">
        <v>20</v>
      </c>
      <c r="BR124" s="43" t="s">
        <v>19</v>
      </c>
      <c r="BS124" s="43" t="s">
        <v>22</v>
      </c>
      <c r="BT124" s="43" t="s">
        <v>21</v>
      </c>
      <c r="BU124" s="95" t="s">
        <v>39</v>
      </c>
      <c r="BW124" s="51" t="s">
        <v>20</v>
      </c>
      <c r="BX124" s="467" t="s">
        <v>19</v>
      </c>
      <c r="BY124" s="467" t="s">
        <v>22</v>
      </c>
      <c r="BZ124" s="467" t="s">
        <v>21</v>
      </c>
      <c r="CA124" s="95" t="s">
        <v>39</v>
      </c>
      <c r="CC124" s="51" t="s">
        <v>20</v>
      </c>
      <c r="CD124" s="467" t="s">
        <v>19</v>
      </c>
      <c r="CE124" s="467" t="s">
        <v>22</v>
      </c>
      <c r="CF124" s="467" t="s">
        <v>21</v>
      </c>
      <c r="CG124" s="95" t="s">
        <v>39</v>
      </c>
      <c r="CI124" s="51" t="s">
        <v>20</v>
      </c>
      <c r="CJ124" s="467" t="s">
        <v>19</v>
      </c>
      <c r="CK124" s="467" t="s">
        <v>22</v>
      </c>
      <c r="CL124" s="467" t="s">
        <v>21</v>
      </c>
      <c r="CM124" s="95" t="s">
        <v>39</v>
      </c>
      <c r="CO124" s="51" t="s">
        <v>20</v>
      </c>
      <c r="CP124" s="467" t="s">
        <v>19</v>
      </c>
      <c r="CQ124" s="467" t="s">
        <v>22</v>
      </c>
      <c r="CR124" s="467" t="s">
        <v>21</v>
      </c>
      <c r="CS124" s="95" t="s">
        <v>39</v>
      </c>
      <c r="CU124" s="51" t="s">
        <v>20</v>
      </c>
      <c r="CV124" s="467" t="s">
        <v>19</v>
      </c>
      <c r="CW124" s="467" t="s">
        <v>22</v>
      </c>
      <c r="CX124" s="467" t="s">
        <v>21</v>
      </c>
      <c r="CY124" s="95" t="s">
        <v>39</v>
      </c>
      <c r="CZ124" s="2"/>
      <c r="DA124" s="51" t="s">
        <v>20</v>
      </c>
      <c r="DB124" s="570" t="s">
        <v>19</v>
      </c>
      <c r="DC124" s="570" t="s">
        <v>22</v>
      </c>
      <c r="DD124" s="570" t="s">
        <v>21</v>
      </c>
      <c r="DE124" s="95" t="s">
        <v>39</v>
      </c>
      <c r="DF124" s="2"/>
      <c r="DG124" s="51" t="s">
        <v>20</v>
      </c>
      <c r="DH124" s="570" t="s">
        <v>19</v>
      </c>
      <c r="DI124" s="570" t="s">
        <v>22</v>
      </c>
      <c r="DJ124" s="570" t="s">
        <v>21</v>
      </c>
      <c r="DK124" s="95" t="s">
        <v>39</v>
      </c>
    </row>
    <row r="125" spans="1:115" x14ac:dyDescent="0.3">
      <c r="B125" s="13"/>
      <c r="I125" s="23"/>
      <c r="J125" s="23"/>
      <c r="K125" s="23"/>
      <c r="L125" s="23"/>
      <c r="M125" s="23"/>
      <c r="N125" s="3"/>
      <c r="O125" s="23"/>
      <c r="P125" s="23"/>
      <c r="Q125" s="23"/>
      <c r="R125" s="23"/>
      <c r="S125" s="23"/>
      <c r="T125" s="3"/>
      <c r="U125" s="23"/>
      <c r="V125" s="23"/>
      <c r="W125" s="23"/>
      <c r="X125" s="23"/>
      <c r="Y125" s="23"/>
      <c r="AA125" s="23"/>
      <c r="AB125" s="23"/>
      <c r="AC125" s="23"/>
      <c r="AD125" s="23"/>
      <c r="AE125" s="23"/>
      <c r="AG125" s="23"/>
      <c r="AH125" s="23"/>
      <c r="AI125" s="23"/>
      <c r="AJ125" s="23"/>
      <c r="AK125" s="23"/>
      <c r="AM125" s="23"/>
      <c r="AN125" s="23"/>
      <c r="AO125" s="23"/>
      <c r="AP125" s="23"/>
      <c r="AQ125" s="23"/>
      <c r="AS125" s="23"/>
      <c r="AT125" s="23"/>
      <c r="AU125" s="23"/>
      <c r="AV125" s="23"/>
      <c r="AW125" s="23"/>
      <c r="AY125" s="23"/>
      <c r="AZ125" s="23"/>
      <c r="BA125" s="23"/>
      <c r="BB125" s="23"/>
      <c r="BC125" s="23"/>
      <c r="BE125" s="23"/>
      <c r="BF125" s="23"/>
      <c r="BG125" s="23"/>
      <c r="BH125" s="23"/>
      <c r="BI125" s="23"/>
      <c r="BK125" s="23"/>
      <c r="BL125" s="23"/>
      <c r="BM125" s="23"/>
      <c r="BN125" s="23"/>
      <c r="BO125" s="23"/>
      <c r="BQ125" s="23"/>
      <c r="BR125" s="23"/>
      <c r="BS125" s="23"/>
      <c r="BT125" s="23"/>
      <c r="BU125" s="23"/>
      <c r="BW125" s="23"/>
      <c r="BX125" s="23"/>
      <c r="BY125" s="23"/>
      <c r="BZ125" s="23"/>
      <c r="CA125" s="23"/>
      <c r="CC125" s="23"/>
      <c r="CD125" s="23"/>
      <c r="CE125" s="23"/>
      <c r="CF125" s="23"/>
      <c r="CG125" s="23"/>
      <c r="CI125" s="23"/>
      <c r="CJ125" s="23"/>
      <c r="CK125" s="23"/>
      <c r="CL125" s="23"/>
      <c r="CM125" s="23"/>
      <c r="CO125" s="23"/>
      <c r="CP125" s="23"/>
      <c r="CQ125" s="23"/>
      <c r="CR125" s="23"/>
      <c r="CS125" s="23"/>
      <c r="CU125" s="23"/>
      <c r="CV125" s="23"/>
      <c r="CW125" s="23"/>
      <c r="CX125" s="23"/>
      <c r="CY125" s="23"/>
      <c r="CZ125" s="2"/>
      <c r="DA125" s="23"/>
      <c r="DB125" s="23"/>
      <c r="DC125" s="23"/>
      <c r="DD125" s="23"/>
      <c r="DE125" s="23"/>
      <c r="DF125" s="2"/>
      <c r="DG125" s="23"/>
      <c r="DH125" s="23"/>
      <c r="DI125" s="23"/>
      <c r="DJ125" s="23"/>
      <c r="DK125" s="23"/>
    </row>
    <row r="126" spans="1:115" x14ac:dyDescent="0.3">
      <c r="B126" s="6" t="s">
        <v>199</v>
      </c>
      <c r="I126" s="2">
        <f>'TMO Netherlands'!I52</f>
        <v>75</v>
      </c>
      <c r="J126" s="2">
        <f>'TMO Netherlands'!J52</f>
        <v>28</v>
      </c>
      <c r="K126" s="2">
        <f>'TMO Netherlands'!K52</f>
        <v>45</v>
      </c>
      <c r="L126" s="2">
        <f>'TMO Netherlands'!L52</f>
        <v>40</v>
      </c>
      <c r="M126" s="2">
        <f>'TMO Netherlands'!M52</f>
        <v>188</v>
      </c>
      <c r="O126" s="2">
        <f>'TMO Netherlands'!O52</f>
        <v>76</v>
      </c>
      <c r="P126" s="2">
        <f>'TMO Netherlands'!P52</f>
        <v>9</v>
      </c>
      <c r="Q126" s="2">
        <f>'TMO Netherlands'!Q52</f>
        <v>23</v>
      </c>
      <c r="R126" s="2">
        <f>'TMO Netherlands'!R52</f>
        <v>49</v>
      </c>
      <c r="S126" s="2">
        <f>'TMO Netherlands'!S52</f>
        <v>157</v>
      </c>
      <c r="U126" s="2">
        <f>'TMO Netherlands'!U52</f>
        <v>14</v>
      </c>
      <c r="V126" s="2">
        <f>'TMO Netherlands'!V52</f>
        <v>57</v>
      </c>
      <c r="W126" s="356">
        <f>'TMO Netherlands'!W52</f>
        <v>37</v>
      </c>
      <c r="X126" s="356">
        <f>'TMO Netherlands'!X52</f>
        <v>34</v>
      </c>
      <c r="Y126" s="356">
        <f>'TMO Netherlands'!Y52</f>
        <v>142</v>
      </c>
      <c r="Z126" s="356"/>
      <c r="AA126" s="356">
        <f>'TMO Netherlands'!AA52</f>
        <v>54</v>
      </c>
      <c r="AB126" s="356">
        <f>'TMO Netherlands'!AB52</f>
        <v>43</v>
      </c>
      <c r="AC126" s="356">
        <f>'TMO Netherlands'!AC52</f>
        <v>32</v>
      </c>
      <c r="AD126" s="356">
        <f>'TMO Netherlands'!AD52</f>
        <v>41</v>
      </c>
      <c r="AE126" s="356">
        <f>'TMO Netherlands'!AE52</f>
        <v>170</v>
      </c>
      <c r="AF126" s="356"/>
      <c r="AG126" s="356">
        <f>'TMO Netherlands'!AG52</f>
        <v>44</v>
      </c>
      <c r="AH126" s="356">
        <f>'TMO Netherlands'!AH52</f>
        <v>22</v>
      </c>
      <c r="AI126" s="356">
        <f>'TMO Netherlands'!AI52</f>
        <v>22</v>
      </c>
      <c r="AJ126" s="356">
        <f>'TMO Netherlands'!AJ52</f>
        <v>49</v>
      </c>
      <c r="AK126" s="356">
        <f>'TMO Netherlands'!AK52</f>
        <v>137</v>
      </c>
      <c r="AL126" s="356"/>
      <c r="AM126" s="356">
        <f>'TMO Netherlands'!AM52</f>
        <v>52</v>
      </c>
      <c r="AN126" s="356">
        <f>'TMO Netherlands'!AN52</f>
        <v>53</v>
      </c>
      <c r="AO126" s="356">
        <f>'TMO Netherlands'!AO52</f>
        <v>37</v>
      </c>
      <c r="AP126" s="356">
        <f>'TMO Netherlands'!AP52</f>
        <v>53</v>
      </c>
      <c r="AQ126" s="356">
        <f>'TMO Netherlands'!AQ52</f>
        <v>195</v>
      </c>
      <c r="AR126" s="356"/>
      <c r="AS126" s="356">
        <f>'TMO Netherlands'!AS52</f>
        <v>54</v>
      </c>
      <c r="AT126" s="356">
        <f>'TMO Netherlands'!AT52</f>
        <v>46</v>
      </c>
      <c r="AU126" s="356">
        <f>'TMO Netherlands'!AU52</f>
        <v>44</v>
      </c>
      <c r="AV126" s="356">
        <f>'TMO Netherlands'!AV52</f>
        <v>37</v>
      </c>
      <c r="AW126" s="356">
        <f>'TMO Netherlands'!AW52</f>
        <v>181</v>
      </c>
      <c r="AX126" s="356"/>
      <c r="AY126" s="356">
        <f>'TMO Netherlands'!AY52</f>
        <v>46</v>
      </c>
      <c r="AZ126" s="356">
        <f>'TMO Netherlands'!AZ52</f>
        <v>42</v>
      </c>
      <c r="BA126" s="356">
        <f>'TMO Netherlands'!BA52</f>
        <v>41</v>
      </c>
      <c r="BB126" s="356">
        <f>'TMO Netherlands'!BB52</f>
        <v>47</v>
      </c>
      <c r="BC126" s="356">
        <f>'TMO Netherlands'!BC52</f>
        <v>176</v>
      </c>
      <c r="BD126" s="356"/>
      <c r="BE126" s="98">
        <v>0</v>
      </c>
      <c r="BF126" s="98">
        <v>0</v>
      </c>
      <c r="BG126" s="98">
        <v>0</v>
      </c>
      <c r="BH126" s="98">
        <v>0</v>
      </c>
      <c r="BI126" s="98">
        <f t="shared" ref="BI126" si="37">BE126+BF126+BG126+BH126</f>
        <v>0</v>
      </c>
      <c r="BJ126" s="98"/>
      <c r="BK126" s="98">
        <v>0</v>
      </c>
      <c r="BL126" s="98">
        <v>0</v>
      </c>
      <c r="BM126" s="98">
        <v>0</v>
      </c>
      <c r="BN126" s="98">
        <v>0</v>
      </c>
      <c r="BO126" s="98">
        <f t="shared" ref="BO126" si="38">BK126+BL126+BM126+BN126</f>
        <v>0</v>
      </c>
      <c r="BP126" s="98"/>
      <c r="BQ126" s="98">
        <v>0</v>
      </c>
      <c r="BR126" s="98">
        <v>0</v>
      </c>
      <c r="BS126" s="98">
        <v>0</v>
      </c>
      <c r="BT126" s="98">
        <v>0</v>
      </c>
      <c r="BU126" s="98">
        <f t="shared" ref="BU126" si="39">BQ126+BR126+BS126+BT126</f>
        <v>0</v>
      </c>
      <c r="BV126" s="98"/>
      <c r="BW126" s="98">
        <v>0</v>
      </c>
      <c r="BX126" s="98">
        <v>0</v>
      </c>
      <c r="BY126" s="98">
        <v>0</v>
      </c>
      <c r="BZ126" s="98">
        <v>0</v>
      </c>
      <c r="CA126" s="98">
        <f t="shared" ref="CA126" si="40">BW126+BX126+BY126+BZ126</f>
        <v>0</v>
      </c>
      <c r="CB126" s="98"/>
      <c r="CC126" s="98">
        <v>0</v>
      </c>
      <c r="CD126" s="98">
        <v>0</v>
      </c>
      <c r="CE126" s="98">
        <v>0</v>
      </c>
      <c r="CF126" s="98">
        <v>0</v>
      </c>
      <c r="CG126" s="98">
        <f t="shared" ref="CG126" si="41">CC126+CD126+CE126+CF126</f>
        <v>0</v>
      </c>
      <c r="CH126" s="98"/>
      <c r="CI126" s="98">
        <v>0</v>
      </c>
      <c r="CJ126" s="98">
        <v>0</v>
      </c>
      <c r="CK126" s="98">
        <v>0</v>
      </c>
      <c r="CL126" s="98">
        <v>0</v>
      </c>
      <c r="CM126" s="98">
        <f t="shared" ref="CM126" si="42">CI126+CJ126+CK126+CL126</f>
        <v>0</v>
      </c>
      <c r="CN126" s="98"/>
      <c r="CO126" s="98">
        <v>0</v>
      </c>
      <c r="CP126" s="98">
        <v>0</v>
      </c>
      <c r="CQ126" s="98">
        <v>0</v>
      </c>
      <c r="CR126" s="98">
        <v>0</v>
      </c>
      <c r="CS126" s="98">
        <f t="shared" ref="CS126" si="43">CO126+CP126+CQ126+CR126</f>
        <v>0</v>
      </c>
      <c r="CT126" s="98"/>
      <c r="CU126" s="98">
        <v>0</v>
      </c>
      <c r="CV126" s="98">
        <v>0</v>
      </c>
      <c r="CW126" s="98">
        <v>0</v>
      </c>
      <c r="CX126" s="98">
        <v>0</v>
      </c>
      <c r="CY126" s="98">
        <f t="shared" ref="CY126" si="44">CU126+CV126+CW126+CX126</f>
        <v>0</v>
      </c>
      <c r="CZ126" s="98"/>
      <c r="DA126" s="98">
        <v>0</v>
      </c>
      <c r="DB126" s="98">
        <v>0</v>
      </c>
      <c r="DC126" s="98">
        <v>0</v>
      </c>
      <c r="DD126" s="98">
        <v>0</v>
      </c>
      <c r="DE126" s="98">
        <f t="shared" ref="DE126" si="45">DA126+DB126+DC126+DD126</f>
        <v>0</v>
      </c>
      <c r="DF126" s="98"/>
      <c r="DG126" s="98">
        <v>0</v>
      </c>
      <c r="DH126" s="98">
        <v>0</v>
      </c>
      <c r="DI126" s="98">
        <v>0</v>
      </c>
      <c r="DJ126" s="98">
        <v>0</v>
      </c>
      <c r="DK126" s="98">
        <f t="shared" ref="DK126" si="46">DG126+DH126+DI126+DJ126</f>
        <v>0</v>
      </c>
    </row>
    <row r="127" spans="1:115" x14ac:dyDescent="0.3">
      <c r="B127" s="6" t="s">
        <v>200</v>
      </c>
      <c r="I127" s="2">
        <f>'TMO Austria'!I52</f>
        <v>26</v>
      </c>
      <c r="J127" s="2">
        <f>'TMO Austria'!J52</f>
        <v>26</v>
      </c>
      <c r="K127" s="2">
        <f>'TMO Austria'!K52</f>
        <v>24</v>
      </c>
      <c r="L127" s="2">
        <f>'TMO Austria'!L52</f>
        <v>71</v>
      </c>
      <c r="M127" s="2">
        <f>'TMO Austria'!M52</f>
        <v>147</v>
      </c>
      <c r="O127" s="2">
        <f>'TMO Austria'!O52</f>
        <v>45</v>
      </c>
      <c r="P127" s="2">
        <f>'TMO Austria'!P52</f>
        <v>22</v>
      </c>
      <c r="Q127" s="2">
        <f>'TMO Austria'!Q52</f>
        <v>20</v>
      </c>
      <c r="R127" s="2">
        <f>'TMO Austria'!R52</f>
        <v>8</v>
      </c>
      <c r="S127" s="2">
        <f>'TMO Austria'!S52</f>
        <v>95</v>
      </c>
      <c r="U127" s="2">
        <f>'TMO Austria'!U52</f>
        <v>27</v>
      </c>
      <c r="V127" s="2">
        <f>'TMO Austria'!V52</f>
        <v>13</v>
      </c>
      <c r="W127" s="356">
        <f>'TMO Austria'!W52</f>
        <v>14</v>
      </c>
      <c r="X127" s="356">
        <f>'TMO Austria'!X52</f>
        <v>62</v>
      </c>
      <c r="Y127" s="356">
        <f>'TMO Austria'!Y52</f>
        <v>116</v>
      </c>
      <c r="Z127" s="356"/>
      <c r="AA127" s="356">
        <f>'TMO Austria'!AA52</f>
        <v>24</v>
      </c>
      <c r="AB127" s="356">
        <f>'TMO Austria'!AB52</f>
        <v>20</v>
      </c>
      <c r="AC127" s="356">
        <f>'TMO Austria'!AC52</f>
        <v>17</v>
      </c>
      <c r="AD127" s="356">
        <f>'TMO Austria'!AD52</f>
        <v>41</v>
      </c>
      <c r="AE127" s="356">
        <f>'TMO Austria'!AE52</f>
        <v>102</v>
      </c>
      <c r="AF127" s="356"/>
      <c r="AG127" s="356">
        <f>'TMO Austria'!AG52</f>
        <v>27</v>
      </c>
      <c r="AH127" s="356">
        <f>'TMO Austria'!AH52</f>
        <v>16</v>
      </c>
      <c r="AI127" s="356">
        <f>'TMO Austria'!AI52</f>
        <v>24</v>
      </c>
      <c r="AJ127" s="356">
        <f>'TMO Austria'!AJ52</f>
        <v>30</v>
      </c>
      <c r="AK127" s="356">
        <f>'TMO Austria'!AK52</f>
        <v>97</v>
      </c>
      <c r="AL127" s="356"/>
      <c r="AM127" s="356">
        <f>'TMO Austria'!AM52</f>
        <v>37</v>
      </c>
      <c r="AN127" s="356">
        <f>'TMO Austria'!AN52</f>
        <v>19</v>
      </c>
      <c r="AO127" s="356">
        <f>'TMO Austria'!AO52</f>
        <v>13</v>
      </c>
      <c r="AP127" s="356">
        <f>'TMO Austria'!AP52</f>
        <v>668</v>
      </c>
      <c r="AQ127" s="356">
        <f>'TMO Austria'!AQ52</f>
        <v>737</v>
      </c>
      <c r="AR127" s="356"/>
      <c r="AS127" s="356">
        <f>'TMO Austria'!AS52</f>
        <v>26</v>
      </c>
      <c r="AT127" s="356">
        <f>'TMO Austria'!AT52</f>
        <v>18</v>
      </c>
      <c r="AU127" s="356">
        <f>'TMO Austria'!AU52</f>
        <v>17</v>
      </c>
      <c r="AV127" s="356">
        <f>'TMO Austria'!AV52</f>
        <v>33</v>
      </c>
      <c r="AW127" s="356">
        <f>'TMO Austria'!AW52</f>
        <v>94</v>
      </c>
      <c r="AX127" s="356"/>
      <c r="AY127" s="356">
        <f>'TMO Austria'!AY52</f>
        <v>30</v>
      </c>
      <c r="AZ127" s="356">
        <f>'TMO Austria'!AZ52</f>
        <v>27</v>
      </c>
      <c r="BA127" s="356">
        <f>'TMO Austria'!BA52</f>
        <v>33</v>
      </c>
      <c r="BB127" s="356">
        <f>'TMO Austria'!BB52</f>
        <v>39</v>
      </c>
      <c r="BC127" s="356">
        <f>'TMO Austria'!BC52</f>
        <v>129</v>
      </c>
      <c r="BD127" s="356"/>
      <c r="BE127" s="356">
        <f>'TMO Austria'!BE52</f>
        <v>40</v>
      </c>
      <c r="BF127" s="356">
        <f>'TMO Austria'!BF52</f>
        <v>24</v>
      </c>
      <c r="BG127" s="356">
        <f>'TMO Austria'!BG52</f>
        <v>32</v>
      </c>
      <c r="BH127" s="356">
        <f>'TMO Austria'!BH52</f>
        <v>43</v>
      </c>
      <c r="BI127" s="356">
        <f>'TMO Austria'!BI52</f>
        <v>139</v>
      </c>
      <c r="BJ127" s="356"/>
      <c r="BK127" s="356">
        <f>'TMO Austria'!BK52</f>
        <v>45</v>
      </c>
      <c r="BL127" s="356">
        <f>'TMO Austria'!BL52</f>
        <v>30</v>
      </c>
      <c r="BM127" s="356">
        <f>'TMO Austria'!BM52</f>
        <v>34</v>
      </c>
      <c r="BN127" s="356">
        <f>'TMO Austria'!BN52</f>
        <v>48</v>
      </c>
      <c r="BO127" s="356">
        <f>'TMO Austria'!BO52</f>
        <v>157</v>
      </c>
      <c r="BP127" s="356"/>
      <c r="BQ127" s="356">
        <f>'TMO Austria'!BQ52</f>
        <v>45.725019806997942</v>
      </c>
      <c r="BR127" s="356">
        <f>'TMO Austria'!BR52</f>
        <v>30.642737938573497</v>
      </c>
      <c r="BS127" s="356">
        <f>'TMO Austria'!BS52</f>
        <v>34.638218088741013</v>
      </c>
      <c r="BT127" s="356">
        <f>'TMO Austria'!BT52</f>
        <v>46.916013447412077</v>
      </c>
      <c r="BU127" s="356">
        <f>'TMO Austria'!BU52</f>
        <v>157.92198928172454</v>
      </c>
      <c r="BV127" s="356"/>
      <c r="BW127" s="356">
        <f>'TMO Austria'!BW52</f>
        <v>44.132699521070499</v>
      </c>
      <c r="BX127" s="356">
        <f>'TMO Austria'!BX52</f>
        <v>30.120287466064223</v>
      </c>
      <c r="BY127" s="356">
        <f>'TMO Austria'!BY52</f>
        <v>33.034664234383392</v>
      </c>
      <c r="BZ127" s="356">
        <f>'TMO Austria'!BZ52</f>
        <v>45.418217239122882</v>
      </c>
      <c r="CA127" s="356">
        <f>'TMO Austria'!CA52</f>
        <v>152.705868460641</v>
      </c>
      <c r="CB127" s="356"/>
      <c r="CC127" s="356">
        <f>'TMO Austria'!CC52</f>
        <v>42.315857890911957</v>
      </c>
      <c r="CD127" s="356">
        <f>'TMO Austria'!CD52</f>
        <v>28.324133084518451</v>
      </c>
      <c r="CE127" s="356">
        <f>'TMO Austria'!CE52</f>
        <v>31.314023479691844</v>
      </c>
      <c r="CF127" s="356">
        <f>'TMO Austria'!CF52</f>
        <v>42.61077634346762</v>
      </c>
      <c r="CG127" s="356">
        <f>'TMO Austria'!CG52</f>
        <v>144.56479079858985</v>
      </c>
      <c r="CH127" s="356"/>
      <c r="CI127" s="356">
        <f>'TMO Austria'!CI52</f>
        <v>37.68853255858361</v>
      </c>
      <c r="CJ127" s="356">
        <f>'TMO Austria'!CJ52</f>
        <v>26.310589839636407</v>
      </c>
      <c r="CK127" s="356">
        <f>'TMO Austria'!CK52</f>
        <v>29.367430361171202</v>
      </c>
      <c r="CL127" s="356">
        <f>'TMO Austria'!CL52</f>
        <v>40.758385487657648</v>
      </c>
      <c r="CM127" s="356">
        <f>'TMO Austria'!CM52</f>
        <v>134.12493824704887</v>
      </c>
      <c r="CN127" s="356"/>
      <c r="CO127" s="356">
        <f>'TMO Austria'!CO52</f>
        <v>35.417531640708255</v>
      </c>
      <c r="CP127" s="356">
        <f>'TMO Austria'!CP52</f>
        <v>25.376786384726056</v>
      </c>
      <c r="CQ127" s="356">
        <f>'TMO Austria'!CQ52</f>
        <v>27.262049235377511</v>
      </c>
      <c r="CR127" s="356">
        <f>'TMO Austria'!CR52</f>
        <v>38.71356364705256</v>
      </c>
      <c r="CS127" s="356">
        <f>'TMO Austria'!CS52</f>
        <v>126.76993090786436</v>
      </c>
      <c r="CT127" s="356"/>
      <c r="CU127" s="356">
        <f>'TMO Austria'!CU52</f>
        <v>30.624341702093954</v>
      </c>
      <c r="CV127" s="356">
        <f>'TMO Austria'!CV52</f>
        <v>25.687871086049903</v>
      </c>
      <c r="CW127" s="356">
        <f>'TMO Austria'!CW52</f>
        <v>27.657727157685777</v>
      </c>
      <c r="CX127" s="356">
        <f>'TMO Austria'!CX52</f>
        <v>37.97855823010714</v>
      </c>
      <c r="CY127" s="356">
        <f>'TMO Austria'!CY52</f>
        <v>121.94849817593676</v>
      </c>
      <c r="CZ127" s="356"/>
      <c r="DA127" s="356">
        <f>'TMO Austria'!DA52</f>
        <v>30.950637122158057</v>
      </c>
      <c r="DB127" s="356">
        <f>'TMO Austria'!DB52</f>
        <v>26.048450207851477</v>
      </c>
      <c r="DC127" s="356">
        <f>'TMO Austria'!DC52</f>
        <v>28.107903003085607</v>
      </c>
      <c r="DD127" s="356">
        <f>'TMO Austria'!DD52</f>
        <v>38.604596669646263</v>
      </c>
      <c r="DE127" s="356">
        <f>'TMO Austria'!DE52</f>
        <v>123.7115870027414</v>
      </c>
      <c r="DF127" s="356"/>
      <c r="DG127" s="356">
        <f>'TMO Austria'!DG52</f>
        <v>31.167263520932124</v>
      </c>
      <c r="DH127" s="356">
        <f>'TMO Austria'!DH52</f>
        <v>26.308848000396328</v>
      </c>
      <c r="DI127" s="356">
        <f>'TMO Austria'!DI52</f>
        <v>28.440699329018685</v>
      </c>
      <c r="DJ127" s="356">
        <f>'TMO Austria'!DJ52</f>
        <v>39.077350580593318</v>
      </c>
      <c r="DK127" s="356">
        <f>'TMO Austria'!DK52</f>
        <v>124.99416143094045</v>
      </c>
    </row>
    <row r="128" spans="1:115" x14ac:dyDescent="0.3">
      <c r="B128" s="6" t="s">
        <v>201</v>
      </c>
      <c r="I128" s="2">
        <f>'TMO Cz Rep'!I60</f>
        <v>25</v>
      </c>
      <c r="J128" s="2">
        <f>'TMO Cz Rep'!J60</f>
        <v>11</v>
      </c>
      <c r="K128" s="2">
        <f>'TMO Cz Rep'!K60</f>
        <v>24</v>
      </c>
      <c r="L128" s="2">
        <f>'TMO Cz Rep'!L60</f>
        <v>30</v>
      </c>
      <c r="M128" s="2">
        <f>'TMO Cz Rep'!M60</f>
        <v>90</v>
      </c>
      <c r="O128" s="2">
        <f>'TMO Cz Rep'!O60</f>
        <v>27</v>
      </c>
      <c r="P128" s="2">
        <f>'TMO Cz Rep'!P60</f>
        <v>20</v>
      </c>
      <c r="Q128" s="2">
        <f>'TMO Cz Rep'!Q60</f>
        <v>15</v>
      </c>
      <c r="R128" s="2">
        <f>'TMO Cz Rep'!R60</f>
        <v>37</v>
      </c>
      <c r="S128" s="2">
        <f>'TMO Cz Rep'!S60</f>
        <v>99</v>
      </c>
      <c r="U128" s="2">
        <f>'TMO Cz Rep'!U60</f>
        <v>44</v>
      </c>
      <c r="V128" s="2">
        <f>'TMO Cz Rep'!V60</f>
        <v>18</v>
      </c>
      <c r="W128" s="356">
        <f>'TMO Cz Rep'!W60</f>
        <v>18</v>
      </c>
      <c r="X128" s="356">
        <f>'TMO Cz Rep'!X60</f>
        <v>38</v>
      </c>
      <c r="Y128" s="356">
        <f>'TMO Cz Rep'!Y60</f>
        <v>118</v>
      </c>
      <c r="Z128" s="356"/>
      <c r="AA128" s="356">
        <f>'TMO Cz Rep'!AA60</f>
        <v>70</v>
      </c>
      <c r="AB128" s="356">
        <f>'TMO Cz Rep'!AB60</f>
        <v>17</v>
      </c>
      <c r="AC128" s="356">
        <f>'TMO Cz Rep'!AC60</f>
        <v>22</v>
      </c>
      <c r="AD128" s="356">
        <f>'TMO Cz Rep'!AD60</f>
        <v>39</v>
      </c>
      <c r="AE128" s="356">
        <f>'TMO Cz Rep'!AE60</f>
        <v>148</v>
      </c>
      <c r="AF128" s="356"/>
      <c r="AG128" s="356">
        <f>'TMO Cz Rep'!AG60</f>
        <v>55</v>
      </c>
      <c r="AH128" s="356">
        <f>'TMO Cz Rep'!AH60</f>
        <v>22</v>
      </c>
      <c r="AI128" s="356">
        <f>'TMO Cz Rep'!AI60</f>
        <v>20</v>
      </c>
      <c r="AJ128" s="356">
        <f>'TMO Cz Rep'!AJ60</f>
        <v>32</v>
      </c>
      <c r="AK128" s="356">
        <f>'TMO Cz Rep'!AK60</f>
        <v>129</v>
      </c>
      <c r="AL128" s="356"/>
      <c r="AM128" s="356">
        <f>'TMO Cz Rep'!AM60</f>
        <v>46</v>
      </c>
      <c r="AN128" s="356">
        <f>'TMO Cz Rep'!AN60</f>
        <v>20</v>
      </c>
      <c r="AO128" s="356">
        <f>'TMO Cz Rep'!AO60</f>
        <v>23</v>
      </c>
      <c r="AP128" s="356">
        <f>'TMO Cz Rep'!AP60</f>
        <v>31</v>
      </c>
      <c r="AQ128" s="356">
        <f>'TMO Cz Rep'!AQ60</f>
        <v>120</v>
      </c>
      <c r="AR128" s="356"/>
      <c r="AS128" s="356">
        <f>'TMO Cz Rep'!AS60</f>
        <v>133</v>
      </c>
      <c r="AT128" s="356">
        <f>'TMO Cz Rep'!AT60</f>
        <v>14</v>
      </c>
      <c r="AU128" s="356">
        <f>'TMO Cz Rep'!AU60</f>
        <v>18</v>
      </c>
      <c r="AV128" s="356">
        <f>'TMO Cz Rep'!AV60</f>
        <v>21</v>
      </c>
      <c r="AW128" s="356">
        <f>'TMO Cz Rep'!AW60</f>
        <v>186</v>
      </c>
      <c r="AX128" s="356"/>
      <c r="AY128" s="356">
        <f>'TMO Cz Rep'!AY60</f>
        <v>66</v>
      </c>
      <c r="AZ128" s="356">
        <f>'TMO Cz Rep'!AZ60</f>
        <v>-27</v>
      </c>
      <c r="BA128" s="356">
        <f>'TMO Cz Rep'!BA60</f>
        <v>29</v>
      </c>
      <c r="BB128" s="356">
        <f>'TMO Cz Rep'!BB60</f>
        <v>36</v>
      </c>
      <c r="BC128" s="356">
        <f>'TMO Cz Rep'!BC60</f>
        <v>104</v>
      </c>
      <c r="BD128" s="356"/>
      <c r="BE128" s="356">
        <f>'TMO Cz Rep'!BE60</f>
        <v>42</v>
      </c>
      <c r="BF128" s="356">
        <f>'TMO Cz Rep'!BF60</f>
        <v>42</v>
      </c>
      <c r="BG128" s="356">
        <f>'TMO Cz Rep'!BG60</f>
        <v>51</v>
      </c>
      <c r="BH128" s="356">
        <f>'TMO Cz Rep'!BH60</f>
        <v>25</v>
      </c>
      <c r="BI128" s="356">
        <f>'TMO Cz Rep'!BI60</f>
        <v>160</v>
      </c>
      <c r="BJ128" s="356"/>
      <c r="BK128" s="356">
        <f>'TMO Cz Rep'!BK60</f>
        <v>37</v>
      </c>
      <c r="BL128" s="356">
        <f>'TMO Cz Rep'!BL60</f>
        <v>28</v>
      </c>
      <c r="BM128" s="356">
        <f>'TMO Cz Rep'!BM60</f>
        <v>25</v>
      </c>
      <c r="BN128" s="356">
        <f>'TMO Cz Rep'!BN60</f>
        <v>32</v>
      </c>
      <c r="BO128" s="356">
        <f>'TMO Cz Rep'!BO60</f>
        <v>122</v>
      </c>
      <c r="BP128" s="356"/>
      <c r="BQ128" s="356">
        <f>'TMO Cz Rep'!BQ60</f>
        <v>36.10695531942131</v>
      </c>
      <c r="BR128" s="356">
        <f>'TMO Cz Rep'!BR60</f>
        <v>26.424984019787718</v>
      </c>
      <c r="BS128" s="356">
        <f>'TMO Cz Rep'!BS60</f>
        <v>24.133436260276124</v>
      </c>
      <c r="BT128" s="356">
        <f>'TMO Cz Rep'!BT60</f>
        <v>32.286497925512379</v>
      </c>
      <c r="BU128" s="356">
        <f>'TMO Cz Rep'!BU60</f>
        <v>118.95187352499754</v>
      </c>
      <c r="BV128" s="356"/>
      <c r="BW128" s="356">
        <f>'TMO Cz Rep'!BW60</f>
        <v>29.408348663486208</v>
      </c>
      <c r="BX128" s="356">
        <f>'TMO Cz Rep'!BX60</f>
        <v>28.155118799766267</v>
      </c>
      <c r="BY128" s="356">
        <f>'TMO Cz Rep'!BY60</f>
        <v>28.574636041629553</v>
      </c>
      <c r="BZ128" s="356">
        <f>'TMO Cz Rep'!BZ60</f>
        <v>32.924086486925276</v>
      </c>
      <c r="CA128" s="356">
        <f>'TMO Cz Rep'!CA60</f>
        <v>119.0621899918073</v>
      </c>
      <c r="CB128" s="356"/>
      <c r="CC128" s="356">
        <f>'TMO Cz Rep'!CC60</f>
        <v>29.969184203809199</v>
      </c>
      <c r="CD128" s="356">
        <f>'TMO Cz Rep'!CD60</f>
        <v>28.729914522276705</v>
      </c>
      <c r="CE128" s="356">
        <f>'TMO Cz Rep'!CE60</f>
        <v>29.050055786854227</v>
      </c>
      <c r="CF128" s="356">
        <f>'TMO Cz Rep'!CF60</f>
        <v>33.464923281286481</v>
      </c>
      <c r="CG128" s="356">
        <f>'TMO Cz Rep'!CG60</f>
        <v>121.21407779422663</v>
      </c>
      <c r="CH128" s="356"/>
      <c r="CI128" s="356">
        <f>'TMO Cz Rep'!CI60</f>
        <v>30.451274800518465</v>
      </c>
      <c r="CJ128" s="356">
        <f>'TMO Cz Rep'!CJ60</f>
        <v>29.183503785256967</v>
      </c>
      <c r="CK128" s="356">
        <f>'TMO Cz Rep'!CK60</f>
        <v>29.509410694689009</v>
      </c>
      <c r="CL128" s="356">
        <f>'TMO Cz Rep'!CL60</f>
        <v>34.006546712711469</v>
      </c>
      <c r="CM128" s="356">
        <f>'TMO Cz Rep'!CM60</f>
        <v>123.15073599317591</v>
      </c>
      <c r="CN128" s="356"/>
      <c r="CO128" s="356">
        <f>'TMO Cz Rep'!CO60</f>
        <v>30.826091773735644</v>
      </c>
      <c r="CP128" s="356">
        <f>'TMO Cz Rep'!CP60</f>
        <v>29.535625574446875</v>
      </c>
      <c r="CQ128" s="356">
        <f>'TMO Cz Rep'!CQ60</f>
        <v>29.867749020778298</v>
      </c>
      <c r="CR128" s="356">
        <f>'TMO Cz Rep'!CR60</f>
        <v>34.439069237419716</v>
      </c>
      <c r="CS128" s="356">
        <f>'TMO Cz Rep'!CS60</f>
        <v>124.66853560638054</v>
      </c>
      <c r="CT128" s="356"/>
      <c r="CU128" s="356">
        <f>'TMO Cz Rep'!CU60</f>
        <v>31.216772373178671</v>
      </c>
      <c r="CV128" s="356">
        <f>'TMO Cz Rep'!CV60</f>
        <v>29.902871351118268</v>
      </c>
      <c r="CW128" s="356">
        <f>'TMO Cz Rep'!CW60</f>
        <v>30.241281793342726</v>
      </c>
      <c r="CX128" s="356">
        <f>'TMO Cz Rep'!CX60</f>
        <v>34.888610340543472</v>
      </c>
      <c r="CY128" s="356">
        <f>'TMO Cz Rep'!CY60</f>
        <v>126.24953585818312</v>
      </c>
      <c r="CZ128" s="356"/>
      <c r="DA128" s="356">
        <f>'TMO Cz Rep'!DA60</f>
        <v>31.623610208870918</v>
      </c>
      <c r="DB128" s="356">
        <f>'TMO Cz Rep'!DB60</f>
        <v>30.285518535101449</v>
      </c>
      <c r="DC128" s="356">
        <f>'TMO Cz Rep'!DC60</f>
        <v>30.630286184440557</v>
      </c>
      <c r="DD128" s="356">
        <f>'TMO Cz Rep'!DD60</f>
        <v>35.355477573174014</v>
      </c>
      <c r="DE128" s="356">
        <f>'TMO Cz Rep'!DE60</f>
        <v>127.89489250158694</v>
      </c>
      <c r="DF128" s="356"/>
      <c r="DG128" s="356">
        <f>'TMO Cz Rep'!DG60</f>
        <v>32.046903410422047</v>
      </c>
      <c r="DH128" s="356">
        <f>'TMO Cz Rep'!DH60</f>
        <v>30.683848786731382</v>
      </c>
      <c r="DI128" s="356">
        <f>'TMO Cz Rep'!DI60</f>
        <v>31.035043622965581</v>
      </c>
      <c r="DJ128" s="356">
        <f>'TMO Cz Rep'!DJ60</f>
        <v>35.839983264141047</v>
      </c>
      <c r="DK128" s="356">
        <f>'TMO Cz Rep'!DK60</f>
        <v>129.60577908426006</v>
      </c>
    </row>
    <row r="129" spans="1:115" x14ac:dyDescent="0.3">
      <c r="B129" s="6" t="s">
        <v>173</v>
      </c>
      <c r="I129" s="2">
        <f>'PTC (Poland)'!I60</f>
        <v>91</v>
      </c>
      <c r="J129" s="2">
        <f>'PTC (Poland)'!J60</f>
        <v>70</v>
      </c>
      <c r="K129" s="2">
        <f>'PTC (Poland)'!K60</f>
        <v>90</v>
      </c>
      <c r="L129" s="2">
        <f>'PTC (Poland)'!L60</f>
        <v>95</v>
      </c>
      <c r="M129" s="2">
        <f>'PTC (Poland)'!M60</f>
        <v>346</v>
      </c>
      <c r="O129" s="2">
        <f>'PTC (Poland)'!O60</f>
        <v>90</v>
      </c>
      <c r="P129" s="2">
        <f>'PTC (Poland)'!P60</f>
        <v>55</v>
      </c>
      <c r="Q129" s="2">
        <f>'PTC (Poland)'!Q60</f>
        <v>49</v>
      </c>
      <c r="R129" s="2">
        <f>'PTC (Poland)'!R60</f>
        <v>45</v>
      </c>
      <c r="S129" s="2">
        <f>'PTC (Poland)'!S60</f>
        <v>239</v>
      </c>
      <c r="U129" s="2">
        <f>'PTC (Poland)'!U60</f>
        <v>57</v>
      </c>
      <c r="V129" s="2">
        <f>'PTC (Poland)'!V60</f>
        <v>35</v>
      </c>
      <c r="W129" s="356">
        <f>'PTC (Poland)'!W60</f>
        <v>48</v>
      </c>
      <c r="X129" s="356">
        <f>'PTC (Poland)'!X60</f>
        <v>58</v>
      </c>
      <c r="Y129" s="356">
        <f>'PTC (Poland)'!Y60</f>
        <v>198</v>
      </c>
      <c r="Z129" s="356"/>
      <c r="AA129" s="356">
        <f>'PTC (Poland)'!AA60</f>
        <v>39</v>
      </c>
      <c r="AB129" s="356">
        <f>'PTC (Poland)'!AB60</f>
        <v>32</v>
      </c>
      <c r="AC129" s="356">
        <f>'PTC (Poland)'!AC60</f>
        <v>39</v>
      </c>
      <c r="AD129" s="356">
        <f>'PTC (Poland)'!AD60</f>
        <v>55</v>
      </c>
      <c r="AE129" s="356">
        <f>'PTC (Poland)'!AE60</f>
        <v>165</v>
      </c>
      <c r="AF129" s="356"/>
      <c r="AG129" s="356">
        <f>'PTC (Poland)'!AG60</f>
        <v>73</v>
      </c>
      <c r="AH129" s="356">
        <f>'PTC (Poland)'!AH60</f>
        <v>34</v>
      </c>
      <c r="AI129" s="356">
        <f>'PTC (Poland)'!AI60</f>
        <v>51</v>
      </c>
      <c r="AJ129" s="356">
        <f>'PTC (Poland)'!AJ60</f>
        <v>67</v>
      </c>
      <c r="AK129" s="356">
        <f>'PTC (Poland)'!AK60</f>
        <v>225</v>
      </c>
      <c r="AL129" s="356"/>
      <c r="AM129" s="356">
        <f>'PTC (Poland)'!AM60</f>
        <v>85</v>
      </c>
      <c r="AN129" s="356">
        <f>'PTC (Poland)'!AN60</f>
        <v>57</v>
      </c>
      <c r="AO129" s="356">
        <f>'PTC (Poland)'!AO60</f>
        <v>142</v>
      </c>
      <c r="AP129" s="356">
        <f>'PTC (Poland)'!AP60</f>
        <v>55</v>
      </c>
      <c r="AQ129" s="356">
        <f>'PTC (Poland)'!AQ60</f>
        <v>339</v>
      </c>
      <c r="AR129" s="356"/>
      <c r="AS129" s="356">
        <f>'PTC (Poland)'!AS60</f>
        <v>68</v>
      </c>
      <c r="AT129" s="356">
        <f>'PTC (Poland)'!AT60</f>
        <v>52</v>
      </c>
      <c r="AU129" s="356">
        <f>'PTC (Poland)'!AU60</f>
        <v>123</v>
      </c>
      <c r="AV129" s="356">
        <f>'PTC (Poland)'!AV60</f>
        <v>42</v>
      </c>
      <c r="AW129" s="356">
        <f>'PTC (Poland)'!AW60</f>
        <v>285</v>
      </c>
      <c r="AX129" s="356"/>
      <c r="AY129" s="356">
        <f>'PTC (Poland)'!AY60</f>
        <v>62</v>
      </c>
      <c r="AZ129" s="356">
        <f>'PTC (Poland)'!AZ60</f>
        <v>45</v>
      </c>
      <c r="BA129" s="356">
        <f>'PTC (Poland)'!BA60</f>
        <v>34</v>
      </c>
      <c r="BB129" s="356">
        <f>'PTC (Poland)'!BB60</f>
        <v>48</v>
      </c>
      <c r="BC129" s="356">
        <f>'PTC (Poland)'!BC60</f>
        <v>189</v>
      </c>
      <c r="BD129" s="356"/>
      <c r="BE129" s="356">
        <f>'PTC (Poland)'!BE60</f>
        <v>62</v>
      </c>
      <c r="BF129" s="356">
        <f>'PTC (Poland)'!BF60</f>
        <v>35</v>
      </c>
      <c r="BG129" s="356">
        <f>'PTC (Poland)'!BG60</f>
        <v>31</v>
      </c>
      <c r="BH129" s="356">
        <f>'PTC (Poland)'!BH60</f>
        <v>70</v>
      </c>
      <c r="BI129" s="356">
        <f>'PTC (Poland)'!BI60</f>
        <v>198</v>
      </c>
      <c r="BJ129" s="356"/>
      <c r="BK129" s="356">
        <f>'PTC (Poland)'!BK60</f>
        <v>76</v>
      </c>
      <c r="BL129" s="356">
        <f>'PTC (Poland)'!BL60</f>
        <v>34</v>
      </c>
      <c r="BM129" s="356">
        <f>'PTC (Poland)'!BM60</f>
        <v>45</v>
      </c>
      <c r="BN129" s="356">
        <f>'PTC (Poland)'!BN60</f>
        <v>48</v>
      </c>
      <c r="BO129" s="356">
        <f>'PTC (Poland)'!BO60</f>
        <v>203</v>
      </c>
      <c r="BP129" s="356"/>
      <c r="BQ129" s="356">
        <f>'PTC (Poland)'!BQ60</f>
        <v>65.085039022191381</v>
      </c>
      <c r="BR129" s="356">
        <f>'PTC (Poland)'!BR60</f>
        <v>40.980158348229359</v>
      </c>
      <c r="BS129" s="356">
        <f>'PTC (Poland)'!BS60</f>
        <v>40.80291356629666</v>
      </c>
      <c r="BT129" s="356">
        <f>'PTC (Poland)'!BT60</f>
        <v>54.446729978951758</v>
      </c>
      <c r="BU129" s="356">
        <f>'PTC (Poland)'!BU60</f>
        <v>201.31484091566918</v>
      </c>
      <c r="BV129" s="356"/>
      <c r="BW129" s="356">
        <f>'PTC (Poland)'!BW60</f>
        <v>59.906277168793217</v>
      </c>
      <c r="BX129" s="356">
        <f>'PTC (Poland)'!BX60</f>
        <v>41.393356282322486</v>
      </c>
      <c r="BY129" s="356">
        <f>'PTC (Poland)'!BY60</f>
        <v>37.276488716156479</v>
      </c>
      <c r="BZ129" s="356">
        <f>'PTC (Poland)'!BZ60</f>
        <v>60.389363222128161</v>
      </c>
      <c r="CA129" s="356">
        <f>'PTC (Poland)'!CA60</f>
        <v>198.96548538940036</v>
      </c>
      <c r="CB129" s="356"/>
      <c r="CC129" s="356">
        <f>'PTC (Poland)'!CC60</f>
        <v>54.913979289466788</v>
      </c>
      <c r="CD129" s="356">
        <f>'PTC (Poland)'!CD60</f>
        <v>41.843392568734082</v>
      </c>
      <c r="CE129" s="356">
        <f>'PTC (Poland)'!CE60</f>
        <v>37.728726788266492</v>
      </c>
      <c r="CF129" s="356">
        <f>'PTC (Poland)'!CF60</f>
        <v>58.468803635493074</v>
      </c>
      <c r="CG129" s="356">
        <f>'PTC (Poland)'!CG60</f>
        <v>192.95490228196041</v>
      </c>
      <c r="CH129" s="356"/>
      <c r="CI129" s="356">
        <f>'PTC (Poland)'!CI60</f>
        <v>51.825595538094163</v>
      </c>
      <c r="CJ129" s="356">
        <f>'PTC (Poland)'!CJ60</f>
        <v>38.467937755672438</v>
      </c>
      <c r="CK129" s="356">
        <f>'PTC (Poland)'!CK60</f>
        <v>41.93009990258858</v>
      </c>
      <c r="CL129" s="356">
        <f>'PTC (Poland)'!CL60</f>
        <v>55.242508503258911</v>
      </c>
      <c r="CM129" s="356">
        <f>'PTC (Poland)'!CM60</f>
        <v>187.4661416996141</v>
      </c>
      <c r="CN129" s="356"/>
      <c r="CO129" s="356">
        <f>'PTC (Poland)'!CO60</f>
        <v>48.720182653820409</v>
      </c>
      <c r="CP129" s="356">
        <f>'PTC (Poland)'!CP60</f>
        <v>42.843655798188415</v>
      </c>
      <c r="CQ129" s="356">
        <f>'PTC (Poland)'!CQ60</f>
        <v>38.56043505013286</v>
      </c>
      <c r="CR129" s="356">
        <f>'PTC (Poland)'!CR60</f>
        <v>53.94128827309865</v>
      </c>
      <c r="CS129" s="356">
        <f>'PTC (Poland)'!CS60</f>
        <v>184.06556177524033</v>
      </c>
      <c r="CT129" s="356"/>
      <c r="CU129" s="356">
        <f>'PTC (Poland)'!CU60</f>
        <v>49.5982305713583</v>
      </c>
      <c r="CV129" s="356">
        <f>'PTC (Poland)'!CV60</f>
        <v>43.61807440898027</v>
      </c>
      <c r="CW129" s="356">
        <f>'PTC (Poland)'!CW60</f>
        <v>39.221859863739589</v>
      </c>
      <c r="CX129" s="356">
        <f>'PTC (Poland)'!CX60</f>
        <v>54.842440776437073</v>
      </c>
      <c r="CY129" s="356">
        <f>'PTC (Poland)'!CY60</f>
        <v>187.28060562051525</v>
      </c>
      <c r="CZ129" s="356"/>
      <c r="DA129" s="356">
        <f>'PTC (Poland)'!DA60</f>
        <v>50.548559484688013</v>
      </c>
      <c r="DB129" s="356">
        <f>'PTC (Poland)'!DB60</f>
        <v>44.456629363932429</v>
      </c>
      <c r="DC129" s="356">
        <f>'PTC (Poland)'!DC60</f>
        <v>39.941571858196532</v>
      </c>
      <c r="DD129" s="356">
        <f>'PTC (Poland)'!DD60</f>
        <v>55.827783262807905</v>
      </c>
      <c r="DE129" s="356">
        <f>'PTC (Poland)'!DE60</f>
        <v>190.77454396962489</v>
      </c>
      <c r="DF129" s="356"/>
      <c r="DG129" s="356">
        <f>'PTC (Poland)'!DG60</f>
        <v>51.57222091346658</v>
      </c>
      <c r="DH129" s="356">
        <f>'PTC (Poland)'!DH60</f>
        <v>45.360259096828159</v>
      </c>
      <c r="DI129" s="356">
        <f>'PTC (Poland)'!DI60</f>
        <v>40.720340776855544</v>
      </c>
      <c r="DJ129" s="356">
        <f>'PTC (Poland)'!DJ60</f>
        <v>56.898376499613711</v>
      </c>
      <c r="DK129" s="356">
        <f>'PTC (Poland)'!DK60</f>
        <v>194.55119728676399</v>
      </c>
    </row>
    <row r="130" spans="1:115" x14ac:dyDescent="0.3">
      <c r="B130" s="6" t="s">
        <v>202</v>
      </c>
      <c r="I130" s="2">
        <f>Hungary!I60</f>
        <v>59</v>
      </c>
      <c r="J130" s="2">
        <f>Hungary!J60</f>
        <v>34</v>
      </c>
      <c r="K130" s="2">
        <f>Hungary!K60</f>
        <v>22</v>
      </c>
      <c r="L130" s="2">
        <f>Hungary!L60</f>
        <v>54</v>
      </c>
      <c r="M130" s="2">
        <f>Hungary!M60</f>
        <v>169</v>
      </c>
      <c r="O130" s="2">
        <f>Hungary!O60</f>
        <v>30</v>
      </c>
      <c r="P130" s="2">
        <f>Hungary!P60</f>
        <v>36</v>
      </c>
      <c r="Q130" s="2">
        <f>Hungary!Q60</f>
        <v>19</v>
      </c>
      <c r="R130" s="2">
        <f>Hungary!R60</f>
        <v>10</v>
      </c>
      <c r="S130" s="2">
        <f>Hungary!S60</f>
        <v>95</v>
      </c>
      <c r="U130" s="2">
        <f>Hungary!U60</f>
        <v>19</v>
      </c>
      <c r="V130" s="2">
        <f>Hungary!V60</f>
        <v>11</v>
      </c>
      <c r="W130" s="356">
        <f>Hungary!W60</f>
        <v>13</v>
      </c>
      <c r="X130" s="356">
        <f>Hungary!X60</f>
        <v>32</v>
      </c>
      <c r="Y130" s="356">
        <f>Hungary!Y60</f>
        <v>75</v>
      </c>
      <c r="Z130" s="98">
        <f>Y130*0.41</f>
        <v>30.749999999999996</v>
      </c>
      <c r="AA130" s="356">
        <f>Hungary!AA60</f>
        <v>25</v>
      </c>
      <c r="AB130" s="356">
        <f>Hungary!AB60</f>
        <v>14</v>
      </c>
      <c r="AC130" s="356">
        <f>Hungary!AC60</f>
        <v>24</v>
      </c>
      <c r="AD130" s="356">
        <f>Hungary!AD60</f>
        <v>30</v>
      </c>
      <c r="AE130" s="356">
        <f>Hungary!AE60</f>
        <v>93</v>
      </c>
      <c r="AF130" s="98">
        <f>AE130*0.41</f>
        <v>38.129999999999995</v>
      </c>
      <c r="AG130" s="356">
        <f>Hungary!AG60</f>
        <v>40</v>
      </c>
      <c r="AH130" s="356">
        <f>Hungary!AH60</f>
        <v>12</v>
      </c>
      <c r="AI130" s="356">
        <f>Hungary!AI60</f>
        <v>19</v>
      </c>
      <c r="AJ130" s="356">
        <f>Hungary!AJ60</f>
        <v>23</v>
      </c>
      <c r="AK130" s="356">
        <f>Hungary!AK60</f>
        <v>94</v>
      </c>
      <c r="AL130" s="98">
        <f>AK130*0.41</f>
        <v>38.54</v>
      </c>
      <c r="AM130" s="356">
        <f>Hungary!AM60</f>
        <v>28</v>
      </c>
      <c r="AN130" s="356">
        <f>Hungary!AN60</f>
        <v>16</v>
      </c>
      <c r="AO130" s="356">
        <f>Hungary!AO60</f>
        <v>31</v>
      </c>
      <c r="AP130" s="356">
        <f>Hungary!AP60</f>
        <v>95</v>
      </c>
      <c r="AQ130" s="356">
        <f>Hungary!AQ60</f>
        <v>170</v>
      </c>
      <c r="AR130" s="356"/>
      <c r="AS130" s="356">
        <f>Hungary!AS60</f>
        <v>34</v>
      </c>
      <c r="AT130" s="356">
        <f>Hungary!AT60</f>
        <v>14.96</v>
      </c>
      <c r="AU130" s="356">
        <f>Hungary!AU60</f>
        <v>23</v>
      </c>
      <c r="AV130" s="356">
        <f>Hungary!AV60</f>
        <v>219</v>
      </c>
      <c r="AW130" s="356">
        <f>Hungary!AW60</f>
        <v>290.96000000000004</v>
      </c>
      <c r="AX130" s="356"/>
      <c r="AY130" s="356">
        <f>Hungary!AY60</f>
        <v>31</v>
      </c>
      <c r="AZ130" s="356">
        <f>Hungary!AZ60</f>
        <v>20</v>
      </c>
      <c r="BA130" s="356">
        <f>Hungary!BA60</f>
        <v>32</v>
      </c>
      <c r="BB130" s="356">
        <f>Hungary!BB60</f>
        <v>45</v>
      </c>
      <c r="BC130" s="356">
        <f>Hungary!BC60</f>
        <v>128</v>
      </c>
      <c r="BD130" s="356"/>
      <c r="BE130" s="356">
        <f>Hungary!BE60</f>
        <v>35</v>
      </c>
      <c r="BF130" s="356">
        <f>Hungary!BF60</f>
        <v>25.38</v>
      </c>
      <c r="BG130" s="356">
        <f>Hungary!BG60</f>
        <v>31</v>
      </c>
      <c r="BH130" s="356">
        <f>Hungary!BH60</f>
        <v>35</v>
      </c>
      <c r="BI130" s="356">
        <f>Hungary!BI60</f>
        <v>126.38</v>
      </c>
      <c r="BJ130" s="356"/>
      <c r="BK130" s="356">
        <f>Hungary!BK60</f>
        <v>34</v>
      </c>
      <c r="BL130" s="356">
        <f>Hungary!BL60</f>
        <v>22.841999999999999</v>
      </c>
      <c r="BM130" s="356">
        <f>Hungary!BM60</f>
        <v>26</v>
      </c>
      <c r="BN130" s="356">
        <f>Hungary!BN60</f>
        <v>38</v>
      </c>
      <c r="BO130" s="356">
        <f>Hungary!BO60</f>
        <v>120.842</v>
      </c>
      <c r="BP130" s="356"/>
      <c r="BQ130" s="356">
        <f>Hungary!BQ60</f>
        <v>34.790107154251508</v>
      </c>
      <c r="BR130" s="356">
        <f>Hungary!BR60</f>
        <v>24.50962013046238</v>
      </c>
      <c r="BS130" s="356">
        <f>Hungary!BS60</f>
        <v>28.359394972283742</v>
      </c>
      <c r="BT130" s="356">
        <f>Hungary!BT60</f>
        <v>37.728551861411475</v>
      </c>
      <c r="BU130" s="356">
        <f>Hungary!BU60</f>
        <v>125.38767411840911</v>
      </c>
      <c r="BV130" s="356"/>
      <c r="BW130" s="356">
        <f>Hungary!BW60</f>
        <v>32.143008634540415</v>
      </c>
      <c r="BX130" s="356">
        <f>Hungary!BX60</f>
        <v>26.317862297889665</v>
      </c>
      <c r="BY130" s="356">
        <f>Hungary!BY60</f>
        <v>28.934130152204283</v>
      </c>
      <c r="BZ130" s="356">
        <f>Hungary!BZ60</f>
        <v>37.087436479789282</v>
      </c>
      <c r="CA130" s="356">
        <f>Hungary!CA60</f>
        <v>124.48243756442366</v>
      </c>
      <c r="CB130" s="356"/>
      <c r="CC130" s="356">
        <f>Hungary!CC60</f>
        <v>30.228591042732855</v>
      </c>
      <c r="CD130" s="356">
        <f>Hungary!CD60</f>
        <v>26.694951351433144</v>
      </c>
      <c r="CE130" s="356">
        <f>Hungary!CE60</f>
        <v>30.733485210665645</v>
      </c>
      <c r="CF130" s="356">
        <f>Hungary!CF60</f>
        <v>36.392644672525769</v>
      </c>
      <c r="CG130" s="356">
        <f>Hungary!CG60</f>
        <v>124.04967227735742</v>
      </c>
      <c r="CH130" s="356"/>
      <c r="CI130" s="356">
        <f>Hungary!CI60</f>
        <v>29.395844579666395</v>
      </c>
      <c r="CJ130" s="356">
        <f>Hungary!CJ60</f>
        <v>28.366480835739583</v>
      </c>
      <c r="CK130" s="356">
        <f>Hungary!CK60</f>
        <v>29.863785261245209</v>
      </c>
      <c r="CL130" s="356">
        <f>Hungary!CL60</f>
        <v>34.215410674743936</v>
      </c>
      <c r="CM130" s="356">
        <f>Hungary!CM60</f>
        <v>121.84152135139513</v>
      </c>
      <c r="CN130" s="356"/>
      <c r="CO130" s="356">
        <f>Hungary!CO60</f>
        <v>27.398724017098498</v>
      </c>
      <c r="CP130" s="356">
        <f>Hungary!CP60</f>
        <v>28.799965606750167</v>
      </c>
      <c r="CQ130" s="356">
        <f>Hungary!CQ60</f>
        <v>30.357986957321163</v>
      </c>
      <c r="CR130" s="356">
        <f>Hungary!CR60</f>
        <v>32.11492438714577</v>
      </c>
      <c r="CS130" s="356">
        <f>Hungary!CS60</f>
        <v>118.6716009683156</v>
      </c>
      <c r="CT130" s="356"/>
      <c r="CU130" s="356">
        <f>Hungary!CU60</f>
        <v>27.77149707503688</v>
      </c>
      <c r="CV130" s="356">
        <f>Hungary!CV60</f>
        <v>29.158904824163994</v>
      </c>
      <c r="CW130" s="356">
        <f>Hungary!CW60</f>
        <v>30.772425656932256</v>
      </c>
      <c r="CX130" s="356">
        <f>Hungary!CX60</f>
        <v>32.555962049610706</v>
      </c>
      <c r="CY130" s="356">
        <f>Hungary!CY60</f>
        <v>120.25878960574383</v>
      </c>
      <c r="CZ130" s="356"/>
      <c r="DA130" s="356">
        <f>Hungary!DA60</f>
        <v>28.166255130342087</v>
      </c>
      <c r="DB130" s="356">
        <f>Hungary!DB60</f>
        <v>29.539279347021282</v>
      </c>
      <c r="DC130" s="356">
        <f>Hungary!DC60</f>
        <v>31.20984264849352</v>
      </c>
      <c r="DD130" s="356">
        <f>Hungary!DD60</f>
        <v>33.02227027243817</v>
      </c>
      <c r="DE130" s="356">
        <f>Hungary!DE60</f>
        <v>121.93764739829507</v>
      </c>
      <c r="DF130" s="356"/>
      <c r="DG130" s="356">
        <f>Hungary!DG60</f>
        <v>28.583786657513688</v>
      </c>
      <c r="DH130" s="356">
        <f>Hungary!DH60</f>
        <v>29.941846404897969</v>
      </c>
      <c r="DI130" s="356">
        <f>Hungary!DI60</f>
        <v>31.671041194373725</v>
      </c>
      <c r="DJ130" s="356">
        <f>Hungary!DJ60</f>
        <v>33.514739918694175</v>
      </c>
      <c r="DK130" s="356">
        <f>Hungary!DK60</f>
        <v>123.71141417547956</v>
      </c>
    </row>
    <row r="131" spans="1:115" x14ac:dyDescent="0.3">
      <c r="B131" s="6" t="s">
        <v>203</v>
      </c>
      <c r="I131" s="2">
        <f>Slovakia!I52</f>
        <v>22</v>
      </c>
      <c r="J131" s="2">
        <f>Slovakia!J52</f>
        <v>9</v>
      </c>
      <c r="K131" s="2">
        <f>Slovakia!K52</f>
        <v>15</v>
      </c>
      <c r="L131" s="2">
        <f>Slovakia!L52</f>
        <v>18</v>
      </c>
      <c r="M131" s="2">
        <f>Slovakia!M52</f>
        <v>64</v>
      </c>
      <c r="O131" s="2">
        <f>Slovakia!O52</f>
        <v>32</v>
      </c>
      <c r="P131" s="2">
        <f>Slovakia!P52</f>
        <v>6</v>
      </c>
      <c r="Q131" s="2">
        <f>Slovakia!Q52</f>
        <v>21</v>
      </c>
      <c r="R131" s="2">
        <f>Slovakia!R52</f>
        <v>16</v>
      </c>
      <c r="S131" s="2">
        <f>Slovakia!S52</f>
        <v>75</v>
      </c>
      <c r="U131" s="2">
        <f>Slovakia!U52</f>
        <v>28</v>
      </c>
      <c r="V131" s="2">
        <f>Slovakia!V52</f>
        <v>10</v>
      </c>
      <c r="W131" s="356">
        <f>Slovakia!W52</f>
        <v>4</v>
      </c>
      <c r="X131" s="356">
        <f>Slovakia!X52</f>
        <v>20</v>
      </c>
      <c r="Y131" s="356">
        <f>Slovakia!Y52</f>
        <v>62</v>
      </c>
      <c r="Z131" s="98">
        <f>Y131*0.49</f>
        <v>30.38</v>
      </c>
      <c r="AA131" s="356">
        <f>Slovakia!AA52</f>
        <v>20</v>
      </c>
      <c r="AB131" s="356">
        <f>Slovakia!AB52</f>
        <v>13</v>
      </c>
      <c r="AC131" s="356">
        <f>Slovakia!AC52</f>
        <v>56</v>
      </c>
      <c r="AD131" s="356">
        <f>Slovakia!AD52</f>
        <v>15</v>
      </c>
      <c r="AE131" s="356">
        <f>Slovakia!AE52</f>
        <v>104</v>
      </c>
      <c r="AF131" s="98">
        <f>AE131*0.49</f>
        <v>50.96</v>
      </c>
      <c r="AG131" s="356">
        <f>Slovakia!AG52</f>
        <v>17</v>
      </c>
      <c r="AH131" s="356">
        <f>Slovakia!AH52</f>
        <v>11</v>
      </c>
      <c r="AI131" s="356">
        <f>Slovakia!AI52</f>
        <v>8</v>
      </c>
      <c r="AJ131" s="356">
        <f>Slovakia!AJ52</f>
        <v>10.4</v>
      </c>
      <c r="AK131" s="356">
        <f>Slovakia!AK52</f>
        <v>46.4</v>
      </c>
      <c r="AL131" s="98">
        <f>AK131*0.49</f>
        <v>22.736000000000001</v>
      </c>
      <c r="AM131" s="356">
        <f>Slovakia!AM52</f>
        <v>13</v>
      </c>
      <c r="AN131" s="356">
        <f>Slovakia!AN52</f>
        <v>11</v>
      </c>
      <c r="AO131" s="356">
        <f>Slovakia!AO52</f>
        <v>11</v>
      </c>
      <c r="AP131" s="356">
        <f>Slovakia!AP52</f>
        <v>20</v>
      </c>
      <c r="AQ131" s="356">
        <f>Slovakia!AQ52</f>
        <v>55</v>
      </c>
      <c r="AR131" s="356"/>
      <c r="AS131" s="356">
        <f>Slovakia!AS52</f>
        <v>39</v>
      </c>
      <c r="AT131" s="356">
        <f>Slovakia!AT52</f>
        <v>27.5</v>
      </c>
      <c r="AU131" s="356">
        <f>Slovakia!AU52</f>
        <v>13.09</v>
      </c>
      <c r="AV131" s="356">
        <f>Slovakia!AV52</f>
        <v>12</v>
      </c>
      <c r="AW131" s="356">
        <f>Slovakia!AW52</f>
        <v>91.59</v>
      </c>
      <c r="AX131" s="356"/>
      <c r="AY131" s="356">
        <f>Slovakia!AY52</f>
        <v>12</v>
      </c>
      <c r="AZ131" s="356">
        <f>Slovakia!AZ52</f>
        <v>10</v>
      </c>
      <c r="BA131" s="356">
        <f>Slovakia!BA52</f>
        <v>12.5664</v>
      </c>
      <c r="BB131" s="356">
        <f>Slovakia!BB52</f>
        <v>12.96</v>
      </c>
      <c r="BC131" s="356">
        <f>Slovakia!BC52</f>
        <v>47.526400000000002</v>
      </c>
      <c r="BD131" s="356"/>
      <c r="BE131" s="356">
        <f>Slovakia!BE52</f>
        <v>18.36</v>
      </c>
      <c r="BF131" s="356">
        <f>Slovakia!BF52</f>
        <v>10</v>
      </c>
      <c r="BG131" s="356">
        <f>Slovakia!BG52</f>
        <v>15.708</v>
      </c>
      <c r="BH131" s="356">
        <f>Slovakia!BH52</f>
        <v>12</v>
      </c>
      <c r="BI131" s="356">
        <f>Slovakia!BI52</f>
        <v>56.067999999999998</v>
      </c>
      <c r="BJ131" s="356"/>
      <c r="BK131" s="356">
        <f>Slovakia!BK52</f>
        <v>15.7896</v>
      </c>
      <c r="BL131" s="356">
        <f>Slovakia!BL52</f>
        <v>16</v>
      </c>
      <c r="BM131" s="356">
        <f>Slovakia!BM52</f>
        <v>10.23</v>
      </c>
      <c r="BN131" s="356">
        <f>Slovakia!BN52</f>
        <v>15</v>
      </c>
      <c r="BO131" s="356">
        <f>Slovakia!BO52</f>
        <v>57.019599999999997</v>
      </c>
      <c r="BP131" s="356"/>
      <c r="BQ131" s="356">
        <f>Slovakia!BQ52</f>
        <v>15.036726357976461</v>
      </c>
      <c r="BR131" s="356">
        <f>Slovakia!BR52</f>
        <v>14.887502091831857</v>
      </c>
      <c r="BS131" s="356">
        <f>Slovakia!BS52</f>
        <v>11.296489502400245</v>
      </c>
      <c r="BT131" s="356">
        <f>Slovakia!BT52</f>
        <v>14.898942643726723</v>
      </c>
      <c r="BU131" s="356">
        <f>Slovakia!BU52</f>
        <v>56.119660595935287</v>
      </c>
      <c r="BV131" s="356"/>
      <c r="BW131" s="356">
        <f>Slovakia!BW52</f>
        <v>14.359163545908512</v>
      </c>
      <c r="BX131" s="356">
        <f>Slovakia!BX52</f>
        <v>14.171866247032014</v>
      </c>
      <c r="BY131" s="356">
        <f>Slovakia!BY52</f>
        <v>13.351569606452575</v>
      </c>
      <c r="BZ131" s="356">
        <f>Slovakia!BZ52</f>
        <v>14.125866464036839</v>
      </c>
      <c r="CA131" s="356">
        <f>Slovakia!CA52</f>
        <v>56.00846586342994</v>
      </c>
      <c r="CB131" s="356"/>
      <c r="CC131" s="356">
        <f>Slovakia!CC52</f>
        <v>13.565268173946327</v>
      </c>
      <c r="CD131" s="356">
        <f>Slovakia!CD52</f>
        <v>13.383372503696458</v>
      </c>
      <c r="CE131" s="356">
        <f>Slovakia!CE52</f>
        <v>12.554762187537179</v>
      </c>
      <c r="CF131" s="356">
        <f>Slovakia!CF52</f>
        <v>13.355551325836911</v>
      </c>
      <c r="CG131" s="356">
        <f>Slovakia!CG52</f>
        <v>52.858954191016878</v>
      </c>
      <c r="CH131" s="356"/>
      <c r="CI131" s="356">
        <f>Slovakia!CI52</f>
        <v>12.732782883394275</v>
      </c>
      <c r="CJ131" s="356">
        <f>Slovakia!CJ52</f>
        <v>12.557740545462652</v>
      </c>
      <c r="CK131" s="356">
        <f>Slovakia!CK52</f>
        <v>11.719088595425728</v>
      </c>
      <c r="CL131" s="356">
        <f>Slovakia!CL52</f>
        <v>12.545836813100628</v>
      </c>
      <c r="CM131" s="356">
        <f>Slovakia!CM52</f>
        <v>49.555448837383288</v>
      </c>
      <c r="CN131" s="356"/>
      <c r="CO131" s="356">
        <f>Slovakia!CO52</f>
        <v>12.854945896414579</v>
      </c>
      <c r="CP131" s="356">
        <f>Slovakia!CP52</f>
        <v>11.6996506053364</v>
      </c>
      <c r="CQ131" s="356">
        <f>Slovakia!CQ52</f>
        <v>10.849249690819718</v>
      </c>
      <c r="CR131" s="356">
        <f>Slovakia!CR52</f>
        <v>11.700224324849623</v>
      </c>
      <c r="CS131" s="356">
        <f>Slovakia!CS52</f>
        <v>47.104070517420318</v>
      </c>
      <c r="CT131" s="356"/>
      <c r="CU131" s="356">
        <f>Slovakia!CU52</f>
        <v>12.991526400045492</v>
      </c>
      <c r="CV131" s="356">
        <f>Slovakia!CV52</f>
        <v>10.835455603356683</v>
      </c>
      <c r="CW131" s="356">
        <f>Slovakia!CW52</f>
        <v>9.971155194721419</v>
      </c>
      <c r="CX131" s="356">
        <f>Slovakia!CX52</f>
        <v>11.832926034940861</v>
      </c>
      <c r="CY131" s="356">
        <f>Slovakia!CY52</f>
        <v>45.631063233064459</v>
      </c>
      <c r="CZ131" s="356"/>
      <c r="DA131" s="356">
        <f>Slovakia!DA52</f>
        <v>13.14280952570965</v>
      </c>
      <c r="DB131" s="356">
        <f>Slovakia!DB52</f>
        <v>10.9583379441827</v>
      </c>
      <c r="DC131" s="356">
        <f>Slovakia!DC52</f>
        <v>10.090732867141227</v>
      </c>
      <c r="DD131" s="356">
        <f>Slovakia!DD52</f>
        <v>11.979144852400358</v>
      </c>
      <c r="DE131" s="356">
        <f>Slovakia!DE52</f>
        <v>46.171025189433941</v>
      </c>
      <c r="DF131" s="356"/>
      <c r="DG131" s="356">
        <f>Slovakia!DG52</f>
        <v>13.30909245318157</v>
      </c>
      <c r="DH131" s="356">
        <f>Slovakia!DH52</f>
        <v>11.093566369129574</v>
      </c>
      <c r="DI131" s="356">
        <f>Slovakia!DI52</f>
        <v>10.221919654802518</v>
      </c>
      <c r="DJ131" s="356">
        <f>Slovakia!DJ52</f>
        <v>12.139159410812091</v>
      </c>
      <c r="DK131" s="356">
        <f>Slovakia!DK52</f>
        <v>46.763737887925757</v>
      </c>
    </row>
    <row r="132" spans="1:115" x14ac:dyDescent="0.3">
      <c r="B132" s="6" t="s">
        <v>204</v>
      </c>
      <c r="I132" s="2">
        <f>Croatia!I60</f>
        <v>18</v>
      </c>
      <c r="J132" s="2">
        <f>Croatia!J60</f>
        <v>8</v>
      </c>
      <c r="K132" s="2">
        <f>Croatia!K60</f>
        <v>14</v>
      </c>
      <c r="L132" s="2">
        <f>Croatia!L60</f>
        <v>16</v>
      </c>
      <c r="M132" s="2">
        <f>Croatia!M60</f>
        <v>56</v>
      </c>
      <c r="O132" s="2">
        <f>Croatia!O60</f>
        <v>18</v>
      </c>
      <c r="P132" s="2">
        <f>Croatia!P60</f>
        <v>10</v>
      </c>
      <c r="Q132" s="2">
        <f>Croatia!Q60</f>
        <v>17</v>
      </c>
      <c r="R132" s="2">
        <f>Croatia!R60</f>
        <v>11</v>
      </c>
      <c r="S132" s="2">
        <f>Croatia!S60</f>
        <v>56</v>
      </c>
      <c r="U132" s="2">
        <f>Croatia!U60</f>
        <v>11</v>
      </c>
      <c r="V132" s="2">
        <f>Croatia!V60</f>
        <v>11</v>
      </c>
      <c r="W132" s="356">
        <f>Croatia!W60</f>
        <v>6</v>
      </c>
      <c r="X132" s="356">
        <f>Croatia!X60</f>
        <v>23</v>
      </c>
      <c r="Y132" s="356">
        <f>Croatia!Y60</f>
        <v>51</v>
      </c>
      <c r="Z132" s="98">
        <f>Y132*0.49</f>
        <v>24.99</v>
      </c>
      <c r="AA132" s="356">
        <f>Croatia!AA60</f>
        <v>12</v>
      </c>
      <c r="AB132" s="356">
        <f>Croatia!AB60</f>
        <v>10</v>
      </c>
      <c r="AC132" s="356">
        <f>Croatia!AC60</f>
        <v>6</v>
      </c>
      <c r="AD132" s="356">
        <f>Croatia!AD60</f>
        <v>3</v>
      </c>
      <c r="AE132" s="356">
        <f>Croatia!AE60</f>
        <v>31</v>
      </c>
      <c r="AF132" s="98">
        <f>AE132*0.49</f>
        <v>15.19</v>
      </c>
      <c r="AG132" s="356">
        <f>Croatia!AG60</f>
        <v>7</v>
      </c>
      <c r="AH132" s="356">
        <f>Croatia!AH60</f>
        <v>5</v>
      </c>
      <c r="AI132" s="356">
        <f>Croatia!AI60</f>
        <v>8</v>
      </c>
      <c r="AJ132" s="356">
        <f>Croatia!AJ60</f>
        <v>35</v>
      </c>
      <c r="AK132" s="356">
        <f>Croatia!AK60</f>
        <v>55</v>
      </c>
      <c r="AL132" s="98">
        <f>AK132*0.49</f>
        <v>26.95</v>
      </c>
      <c r="AM132" s="356">
        <f>Croatia!AM60</f>
        <v>14</v>
      </c>
      <c r="AN132" s="356">
        <f>Croatia!AN60</f>
        <v>8</v>
      </c>
      <c r="AO132" s="356">
        <f>Croatia!AO60</f>
        <v>12</v>
      </c>
      <c r="AP132" s="356">
        <f>Croatia!AP60</f>
        <v>11</v>
      </c>
      <c r="AQ132" s="356">
        <f>Croatia!AQ60</f>
        <v>45</v>
      </c>
      <c r="AR132" s="356"/>
      <c r="AS132" s="356">
        <f>Croatia!AS60</f>
        <v>9</v>
      </c>
      <c r="AT132" s="356">
        <f>Croatia!AT60</f>
        <v>9.68</v>
      </c>
      <c r="AU132" s="356">
        <f>Croatia!AU60</f>
        <v>8.52</v>
      </c>
      <c r="AV132" s="356">
        <f>Croatia!AV60</f>
        <v>7.28</v>
      </c>
      <c r="AW132" s="356">
        <f>Croatia!AW60</f>
        <v>34.479999999999997</v>
      </c>
      <c r="AX132" s="356"/>
      <c r="AY132" s="356">
        <f>Croatia!AY60</f>
        <v>9.7199999999999989</v>
      </c>
      <c r="AZ132" s="356">
        <f>Croatia!AZ60</f>
        <v>10</v>
      </c>
      <c r="BA132" s="356">
        <f>Croatia!BA60</f>
        <v>10.9908</v>
      </c>
      <c r="BB132" s="356">
        <f>Croatia!BB60</f>
        <v>6.3336000000000006</v>
      </c>
      <c r="BC132" s="356">
        <f>Croatia!BC60</f>
        <v>37.044399999999996</v>
      </c>
      <c r="BD132" s="356"/>
      <c r="BE132" s="356">
        <f>Croatia!BE60</f>
        <v>17</v>
      </c>
      <c r="BF132" s="356">
        <f>Croatia!BF60</f>
        <v>15</v>
      </c>
      <c r="BG132" s="356">
        <f>Croatia!BG60</f>
        <v>9</v>
      </c>
      <c r="BH132" s="356">
        <f>Croatia!BH60</f>
        <v>13</v>
      </c>
      <c r="BI132" s="356">
        <f>Croatia!BI60</f>
        <v>54</v>
      </c>
      <c r="BJ132" s="356"/>
      <c r="BK132" s="356">
        <f>Croatia!BK60</f>
        <v>12</v>
      </c>
      <c r="BL132" s="356">
        <f>Croatia!BL60</f>
        <v>18</v>
      </c>
      <c r="BM132" s="356">
        <f>Croatia!BM60</f>
        <v>12.882</v>
      </c>
      <c r="BN132" s="356">
        <f>Croatia!BN60</f>
        <v>15</v>
      </c>
      <c r="BO132" s="356">
        <f>Croatia!BO60</f>
        <v>57.881999999999998</v>
      </c>
      <c r="BP132" s="356"/>
      <c r="BQ132" s="356">
        <f>Croatia!BQ60</f>
        <v>12.040973375327628</v>
      </c>
      <c r="BR132" s="356">
        <f>Croatia!BR60</f>
        <v>15.731006227070802</v>
      </c>
      <c r="BS132" s="356">
        <f>Croatia!BS60</f>
        <v>11.347958943833953</v>
      </c>
      <c r="BT132" s="356">
        <f>Croatia!BT60</f>
        <v>13.981728875032355</v>
      </c>
      <c r="BU132" s="356">
        <f>Croatia!BU60</f>
        <v>53.101667421264736</v>
      </c>
      <c r="BV132" s="356"/>
      <c r="BW132" s="356">
        <f>Croatia!BW60</f>
        <v>11.692962714269196</v>
      </c>
      <c r="BX132" s="356">
        <f>Croatia!BX60</f>
        <v>13.926057536327191</v>
      </c>
      <c r="BY132" s="356">
        <f>Croatia!BY60</f>
        <v>12.653380840126175</v>
      </c>
      <c r="BZ132" s="356">
        <f>Croatia!BZ60</f>
        <v>13.161049460353308</v>
      </c>
      <c r="CA132" s="356">
        <f>Croatia!CA60</f>
        <v>51.433450551075865</v>
      </c>
      <c r="CB132" s="356"/>
      <c r="CC132" s="356">
        <f>Croatia!CC60</f>
        <v>11.450909264524517</v>
      </c>
      <c r="CD132" s="356">
        <f>Croatia!CD60</f>
        <v>12.175348610889106</v>
      </c>
      <c r="CE132" s="356">
        <f>Croatia!CE60</f>
        <v>12.255973888800492</v>
      </c>
      <c r="CF132" s="356">
        <f>Croatia!CF60</f>
        <v>12.35049812320972</v>
      </c>
      <c r="CG132" s="356">
        <f>Croatia!CG60</f>
        <v>48.232729887423829</v>
      </c>
      <c r="CH132" s="356"/>
      <c r="CI132" s="356">
        <f>Croatia!CI60</f>
        <v>11.700900757605272</v>
      </c>
      <c r="CJ132" s="356">
        <f>Croatia!CJ60</f>
        <v>11.403901427522882</v>
      </c>
      <c r="CK132" s="356">
        <f>Croatia!CK60</f>
        <v>12.529746737808562</v>
      </c>
      <c r="CL132" s="356">
        <f>Croatia!CL60</f>
        <v>11.584717628475888</v>
      </c>
      <c r="CM132" s="356">
        <f>Croatia!CM60</f>
        <v>47.219266551412602</v>
      </c>
      <c r="CN132" s="356"/>
      <c r="CO132" s="356">
        <f>Croatia!CO60</f>
        <v>11.98289449975144</v>
      </c>
      <c r="CP132" s="356">
        <f>Croatia!CP60</f>
        <v>11.678621609299213</v>
      </c>
      <c r="CQ132" s="356">
        <f>Croatia!CQ60</f>
        <v>12.839611677398866</v>
      </c>
      <c r="CR132" s="356">
        <f>Croatia!CR60</f>
        <v>11.998146347818</v>
      </c>
      <c r="CS132" s="356">
        <f>Croatia!CS60</f>
        <v>48.499274134267516</v>
      </c>
      <c r="CT132" s="356"/>
      <c r="CU132" s="356">
        <f>Croatia!CU60</f>
        <v>12.323320610199607</v>
      </c>
      <c r="CV132" s="356">
        <f>Croatia!CV60</f>
        <v>12.010622740635212</v>
      </c>
      <c r="CW132" s="356">
        <f>Croatia!CW60</f>
        <v>13.213911406533384</v>
      </c>
      <c r="CX132" s="356">
        <f>Croatia!CX60</f>
        <v>12.349479660763018</v>
      </c>
      <c r="CY132" s="356">
        <f>Croatia!CY60</f>
        <v>49.897334418131216</v>
      </c>
      <c r="CZ132" s="356"/>
      <c r="DA132" s="356">
        <f>Croatia!DA60</f>
        <v>12.633226585129069</v>
      </c>
      <c r="DB132" s="356">
        <f>Croatia!DB60</f>
        <v>12.312365720522447</v>
      </c>
      <c r="DC132" s="356">
        <f>Croatia!DC60</f>
        <v>13.552484287659144</v>
      </c>
      <c r="DD132" s="356">
        <f>Croatia!DD60</f>
        <v>12.670124784240736</v>
      </c>
      <c r="DE132" s="356">
        <f>Croatia!DE60</f>
        <v>51.168201377551391</v>
      </c>
      <c r="DF132" s="356"/>
      <c r="DG132" s="356">
        <f>Croatia!DG60</f>
        <v>12.902060298945452</v>
      </c>
      <c r="DH132" s="356">
        <f>Croatia!DH60</f>
        <v>12.573423589745913</v>
      </c>
      <c r="DI132" s="356">
        <f>Croatia!DI60</f>
        <v>13.843224566159776</v>
      </c>
      <c r="DJ132" s="356">
        <f>Croatia!DJ60</f>
        <v>12.949748323001748</v>
      </c>
      <c r="DK132" s="356">
        <f>Croatia!DK60</f>
        <v>52.26845677785289</v>
      </c>
    </row>
    <row r="133" spans="1:115" x14ac:dyDescent="0.3">
      <c r="B133" s="6"/>
      <c r="Z133" s="98"/>
      <c r="AF133" s="98"/>
      <c r="AL133" s="98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</row>
    <row r="134" spans="1:115" x14ac:dyDescent="0.3">
      <c r="B134" s="6" t="s">
        <v>205</v>
      </c>
      <c r="I134" s="98">
        <f>O134/(1-4.1%)</f>
        <v>58.394160583941606</v>
      </c>
      <c r="J134" s="98">
        <f>P134/(1-4.1%)</f>
        <v>53.180396246089678</v>
      </c>
      <c r="K134" s="98">
        <f>Q134/(1-4.1%)</f>
        <v>37.53910323253389</v>
      </c>
      <c r="L134" s="98">
        <f>R134/(1-4.1%)</f>
        <v>45.88112617309698</v>
      </c>
      <c r="M134" s="98">
        <f>I134+J134+K134+L134</f>
        <v>194.99478623566216</v>
      </c>
      <c r="O134" s="2">
        <f>Hungary!O103</f>
        <v>56</v>
      </c>
      <c r="P134" s="2">
        <f>Hungary!P103</f>
        <v>51</v>
      </c>
      <c r="Q134" s="2">
        <f>Hungary!Q103</f>
        <v>36</v>
      </c>
      <c r="R134" s="2">
        <f>Hungary!R103</f>
        <v>44</v>
      </c>
      <c r="S134" s="2">
        <f>Hungary!S103</f>
        <v>187</v>
      </c>
      <c r="U134" s="2">
        <f>Hungary!U103</f>
        <v>43</v>
      </c>
      <c r="V134" s="2">
        <f>Hungary!V103</f>
        <v>37</v>
      </c>
      <c r="W134" s="98">
        <f>Hungary!W103</f>
        <v>34</v>
      </c>
      <c r="X134" s="98">
        <f>Hungary!X103</f>
        <v>42</v>
      </c>
      <c r="Y134" s="98">
        <f>Hungary!Y103</f>
        <v>156</v>
      </c>
      <c r="Z134" s="98">
        <f>Y134*0.41</f>
        <v>63.959999999999994</v>
      </c>
      <c r="AA134" s="98">
        <f>Hungary!AA103</f>
        <v>35</v>
      </c>
      <c r="AB134" s="98">
        <f>Hungary!AB103</f>
        <v>27</v>
      </c>
      <c r="AC134" s="98">
        <f>Hungary!AC103</f>
        <v>27</v>
      </c>
      <c r="AD134" s="98">
        <f>Hungary!AD103</f>
        <v>43</v>
      </c>
      <c r="AE134" s="98">
        <f>Hungary!AE103</f>
        <v>132</v>
      </c>
      <c r="AF134" s="98">
        <f>AE134*0.41</f>
        <v>54.12</v>
      </c>
      <c r="AG134" s="98">
        <f>Hungary!AG103</f>
        <v>71</v>
      </c>
      <c r="AH134" s="98">
        <f>Hungary!AH103</f>
        <v>26</v>
      </c>
      <c r="AI134" s="98">
        <f>Hungary!AI103</f>
        <v>30</v>
      </c>
      <c r="AJ134" s="98">
        <f>Hungary!AJ103</f>
        <v>36</v>
      </c>
      <c r="AK134" s="98">
        <f>Hungary!AK103</f>
        <v>163</v>
      </c>
      <c r="AL134" s="98">
        <f>AK134*0.41</f>
        <v>66.83</v>
      </c>
      <c r="AM134" s="98">
        <f>Hungary!AM103</f>
        <v>26</v>
      </c>
      <c r="AN134" s="98">
        <f>Hungary!AN103</f>
        <v>30</v>
      </c>
      <c r="AO134" s="98">
        <f>Hungary!AO103</f>
        <v>41</v>
      </c>
      <c r="AP134" s="98">
        <f>Hungary!AP103</f>
        <v>75</v>
      </c>
      <c r="AQ134" s="98">
        <f>Hungary!AQ103</f>
        <v>172</v>
      </c>
      <c r="AR134" s="98"/>
      <c r="AS134" s="98">
        <f>Hungary!AS103</f>
        <v>30</v>
      </c>
      <c r="AT134" s="98">
        <f>Hungary!AT103</f>
        <v>28.05</v>
      </c>
      <c r="AU134" s="98">
        <f>Hungary!AU103</f>
        <v>21</v>
      </c>
      <c r="AV134" s="98">
        <f>Hungary!AV103</f>
        <v>29.706666666666667</v>
      </c>
      <c r="AW134" s="98">
        <f>Hungary!AW103</f>
        <v>108.75666666666666</v>
      </c>
      <c r="AX134" s="98"/>
      <c r="AY134" s="98">
        <f>Hungary!AY103</f>
        <v>32</v>
      </c>
      <c r="AZ134" s="98">
        <f>Hungary!AZ103</f>
        <v>32</v>
      </c>
      <c r="BA134" s="98">
        <f>Hungary!BA103</f>
        <v>31</v>
      </c>
      <c r="BB134" s="98">
        <f>Hungary!BB103</f>
        <v>48</v>
      </c>
      <c r="BC134" s="98">
        <f>Hungary!BC103</f>
        <v>143</v>
      </c>
      <c r="BD134" s="98"/>
      <c r="BE134" s="98">
        <f>Hungary!BE103</f>
        <v>36</v>
      </c>
      <c r="BF134" s="98">
        <f>Hungary!BF103</f>
        <v>40.607999999999997</v>
      </c>
      <c r="BG134" s="98">
        <f>Hungary!BG103</f>
        <v>30</v>
      </c>
      <c r="BH134" s="98">
        <f>Hungary!BH103</f>
        <v>45</v>
      </c>
      <c r="BI134" s="98">
        <f>Hungary!BI103</f>
        <v>151.608</v>
      </c>
      <c r="BJ134" s="98"/>
      <c r="BK134" s="98">
        <f>Hungary!BK103</f>
        <v>35</v>
      </c>
      <c r="BL134" s="98">
        <f>Hungary!BL103</f>
        <v>35</v>
      </c>
      <c r="BM134" s="98">
        <f>Hungary!BM103</f>
        <v>24</v>
      </c>
      <c r="BN134" s="98">
        <f>Hungary!BN103</f>
        <v>46</v>
      </c>
      <c r="BO134" s="98">
        <f>Hungary!BO103</f>
        <v>140</v>
      </c>
      <c r="BP134" s="98"/>
      <c r="BQ134" s="98">
        <f>Hungary!BQ103</f>
        <v>35.967254056595529</v>
      </c>
      <c r="BR134" s="98">
        <f>Hungary!BR103</f>
        <v>35.392036542699728</v>
      </c>
      <c r="BS134" s="98">
        <f>Hungary!BS103</f>
        <v>23.203125068865774</v>
      </c>
      <c r="BT134" s="98">
        <f>Hungary!BT103</f>
        <v>45.198255271296865</v>
      </c>
      <c r="BU134" s="98">
        <f>Hungary!BU103</f>
        <v>139.7606709394579</v>
      </c>
      <c r="BV134" s="98"/>
      <c r="BW134" s="98">
        <f>Hungary!BW103</f>
        <v>34.489960812788155</v>
      </c>
      <c r="BX134" s="98">
        <f>Hungary!BX103</f>
        <v>33.810530102609974</v>
      </c>
      <c r="BY134" s="98">
        <f>Hungary!BY103</f>
        <v>21.862874856011238</v>
      </c>
      <c r="BZ134" s="98">
        <f>Hungary!BZ103</f>
        <v>43.479525631832239</v>
      </c>
      <c r="CA134" s="98">
        <f>Hungary!CA103</f>
        <v>133.64289140324161</v>
      </c>
      <c r="CB134" s="98"/>
      <c r="CC134" s="98">
        <f>Hungary!CC103</f>
        <v>33.552435033712449</v>
      </c>
      <c r="CD134" s="98">
        <f>Hungary!CD103</f>
        <v>32.260877550076543</v>
      </c>
      <c r="CE134" s="98">
        <f>Hungary!CE103</f>
        <v>20.55105152075555</v>
      </c>
      <c r="CF134" s="98">
        <f>Hungary!CF103</f>
        <v>41.794062936180296</v>
      </c>
      <c r="CG134" s="98">
        <f>Hungary!CG103</f>
        <v>128.15842704072483</v>
      </c>
      <c r="CH134" s="98"/>
      <c r="CI134" s="98">
        <f>Hungary!CI103</f>
        <v>33.1353008857443</v>
      </c>
      <c r="CJ134" s="98">
        <f>Hungary!CJ103</f>
        <v>31.859351847734381</v>
      </c>
      <c r="CK134" s="98">
        <f>Hungary!CK103</f>
        <v>20.294981951900397</v>
      </c>
      <c r="CL134" s="98">
        <f>Hungary!CL103</f>
        <v>41.272716338896579</v>
      </c>
      <c r="CM134" s="98">
        <f>Hungary!CM103</f>
        <v>126.56235102427567</v>
      </c>
      <c r="CN134" s="98"/>
      <c r="CO134" s="98">
        <f>Hungary!CO103</f>
        <v>32.721499268380001</v>
      </c>
      <c r="CP134" s="98">
        <f>Hungary!CP103</f>
        <v>31.461034880476888</v>
      </c>
      <c r="CQ134" s="98">
        <f>Hungary!CQ103</f>
        <v>20.040959302445785</v>
      </c>
      <c r="CR134" s="98">
        <f>Hungary!CR103</f>
        <v>40.755538356012302</v>
      </c>
      <c r="CS134" s="98">
        <f>Hungary!CS103</f>
        <v>124.97903180731498</v>
      </c>
      <c r="CT134" s="98"/>
      <c r="CU134" s="98">
        <f>Hungary!CU103</f>
        <v>32.311007284667191</v>
      </c>
      <c r="CV134" s="98">
        <f>Hungary!CV103</f>
        <v>31.065904599095777</v>
      </c>
      <c r="CW134" s="98">
        <f>Hungary!CW103</f>
        <v>19.788969504936912</v>
      </c>
      <c r="CX134" s="98">
        <f>Hungary!CX103</f>
        <v>40.242500335048398</v>
      </c>
      <c r="CY134" s="98">
        <f>Hungary!CY103</f>
        <v>123.40838172374828</v>
      </c>
      <c r="CZ134" s="98"/>
      <c r="DA134" s="98">
        <f>Hungary!DA103</f>
        <v>31.903802183309796</v>
      </c>
      <c r="DB134" s="98">
        <f>Hungary!DB103</f>
        <v>30.673939094656468</v>
      </c>
      <c r="DC134" s="98">
        <f>Hungary!DC103</f>
        <v>19.538998581420568</v>
      </c>
      <c r="DD134" s="98">
        <f>Hungary!DD103</f>
        <v>39.733573805835228</v>
      </c>
      <c r="DE134" s="98">
        <f>Hungary!DE103</f>
        <v>121.85031366522207</v>
      </c>
      <c r="DF134" s="98"/>
      <c r="DG134" s="98">
        <f>Hungary!DG103</f>
        <v>31.499861357783871</v>
      </c>
      <c r="DH134" s="98">
        <f>Hungary!DH103</f>
        <v>30.285116597646581</v>
      </c>
      <c r="DI134" s="98">
        <f>Hungary!DI103</f>
        <v>19.291032642901772</v>
      </c>
      <c r="DJ134" s="98">
        <f>Hungary!DJ103</f>
        <v>39.228730479405804</v>
      </c>
      <c r="DK134" s="98">
        <f>Hungary!DK103</f>
        <v>120.30474107773802</v>
      </c>
    </row>
    <row r="135" spans="1:115" x14ac:dyDescent="0.3">
      <c r="B135" s="6" t="s">
        <v>208</v>
      </c>
      <c r="I135" s="98">
        <f>O135</f>
        <v>33</v>
      </c>
      <c r="J135" s="98">
        <f>P135</f>
        <v>20</v>
      </c>
      <c r="K135" s="98">
        <f>Q135</f>
        <v>21</v>
      </c>
      <c r="L135" s="98">
        <f>R135</f>
        <v>21</v>
      </c>
      <c r="M135" s="98">
        <f>I135+J135+K135+L135</f>
        <v>95</v>
      </c>
      <c r="O135" s="2">
        <f>Slovakia!O92</f>
        <v>33</v>
      </c>
      <c r="P135" s="2">
        <f>Slovakia!P92</f>
        <v>20</v>
      </c>
      <c r="Q135" s="2">
        <f>Slovakia!Q92</f>
        <v>21</v>
      </c>
      <c r="R135" s="2">
        <f>Slovakia!R92</f>
        <v>21</v>
      </c>
      <c r="S135" s="2">
        <f>Slovakia!S92</f>
        <v>95</v>
      </c>
      <c r="U135" s="2">
        <f>Slovakia!U92</f>
        <v>26</v>
      </c>
      <c r="V135" s="2">
        <f>Slovakia!V92</f>
        <v>16</v>
      </c>
      <c r="W135" s="98">
        <f>Slovakia!W92</f>
        <v>11</v>
      </c>
      <c r="X135" s="98">
        <f>Slovakia!X92</f>
        <v>29</v>
      </c>
      <c r="Y135" s="98">
        <f>Slovakia!Y92</f>
        <v>82</v>
      </c>
      <c r="Z135" s="98">
        <f>Y135*0.49</f>
        <v>40.18</v>
      </c>
      <c r="AA135" s="98">
        <f>Slovakia!AA92</f>
        <v>29</v>
      </c>
      <c r="AB135" s="98">
        <f>Slovakia!AB92</f>
        <v>12</v>
      </c>
      <c r="AC135" s="98">
        <f>Slovakia!AC92</f>
        <v>20</v>
      </c>
      <c r="AD135" s="98">
        <f>Slovakia!AD92</f>
        <v>17</v>
      </c>
      <c r="AE135" s="98">
        <f>Slovakia!AE92</f>
        <v>78</v>
      </c>
      <c r="AF135" s="98">
        <f>AE135*0.49</f>
        <v>38.22</v>
      </c>
      <c r="AG135" s="98">
        <f>Slovakia!AG92</f>
        <v>26</v>
      </c>
      <c r="AH135" s="98">
        <f>Slovakia!AH92</f>
        <v>11</v>
      </c>
      <c r="AI135" s="98">
        <f>Slovakia!AI92</f>
        <v>8</v>
      </c>
      <c r="AJ135" s="98">
        <f>Slovakia!AJ92</f>
        <v>12.4</v>
      </c>
      <c r="AK135" s="98">
        <f>Slovakia!AK92</f>
        <v>57.4</v>
      </c>
      <c r="AL135" s="98">
        <f>AK135*0.49</f>
        <v>28.125999999999998</v>
      </c>
      <c r="AM135" s="98">
        <f>Slovakia!AM92</f>
        <v>23</v>
      </c>
      <c r="AN135" s="98">
        <f>Slovakia!AN92</f>
        <v>11</v>
      </c>
      <c r="AO135" s="98">
        <f>Slovakia!AO92</f>
        <v>10</v>
      </c>
      <c r="AP135" s="98">
        <f>Slovakia!AP92</f>
        <v>16</v>
      </c>
      <c r="AQ135" s="98">
        <f>Slovakia!AQ92</f>
        <v>60</v>
      </c>
      <c r="AR135" s="98"/>
      <c r="AS135" s="98">
        <f>Slovakia!AS92</f>
        <v>35</v>
      </c>
      <c r="AT135" s="98">
        <f>Slovakia!AT92</f>
        <v>27.5</v>
      </c>
      <c r="AU135" s="98">
        <f>Slovakia!AU92</f>
        <v>11.899999999999999</v>
      </c>
      <c r="AV135" s="98">
        <f>Slovakia!AV92</f>
        <v>12</v>
      </c>
      <c r="AW135" s="98">
        <f>Slovakia!AW92</f>
        <v>86.4</v>
      </c>
      <c r="AX135" s="98"/>
      <c r="AY135" s="98">
        <f>Slovakia!AY92</f>
        <v>16</v>
      </c>
      <c r="AZ135" s="98">
        <f>Slovakia!AZ92</f>
        <v>12</v>
      </c>
      <c r="BA135" s="98">
        <f>Slovakia!BA92</f>
        <v>11.423999999999998</v>
      </c>
      <c r="BB135" s="98">
        <f>Slovakia!BB92</f>
        <v>12.96</v>
      </c>
      <c r="BC135" s="98">
        <f>Slovakia!BC92</f>
        <v>52.384</v>
      </c>
      <c r="BD135" s="98"/>
      <c r="BE135" s="98">
        <f>Slovakia!BE92</f>
        <v>24.48</v>
      </c>
      <c r="BF135" s="98">
        <f>Slovakia!BF92</f>
        <v>10</v>
      </c>
      <c r="BG135" s="98">
        <f>Slovakia!BG92</f>
        <v>14.279999999999998</v>
      </c>
      <c r="BH135" s="98">
        <f>Slovakia!BH92</f>
        <v>14</v>
      </c>
      <c r="BI135" s="98">
        <f>Slovakia!BI92</f>
        <v>62.760000000000005</v>
      </c>
      <c r="BJ135" s="98"/>
      <c r="BK135" s="98">
        <f>Slovakia!BK92</f>
        <v>21.052800000000001</v>
      </c>
      <c r="BL135" s="98">
        <f>Slovakia!BL92</f>
        <v>16</v>
      </c>
      <c r="BM135" s="98">
        <f>Slovakia!BM92</f>
        <v>15</v>
      </c>
      <c r="BN135" s="98">
        <f>Slovakia!BN92</f>
        <v>17</v>
      </c>
      <c r="BO135" s="98">
        <f>Slovakia!BO92</f>
        <v>69.052800000000005</v>
      </c>
      <c r="BP135" s="98"/>
      <c r="BQ135" s="98">
        <f>Slovakia!BQ92</f>
        <v>18.683982887323943</v>
      </c>
      <c r="BR135" s="98">
        <f>Slovakia!BR92</f>
        <v>14.058784669397308</v>
      </c>
      <c r="BS135" s="98">
        <f>Slovakia!BS92</f>
        <v>13.5313625</v>
      </c>
      <c r="BT135" s="98">
        <f>Slovakia!BT92</f>
        <v>16.176510726795097</v>
      </c>
      <c r="BU135" s="98">
        <f>Slovakia!BU92</f>
        <v>62.450640783516349</v>
      </c>
      <c r="BV135" s="98"/>
      <c r="BW135" s="98">
        <f>Slovakia!BW92</f>
        <v>18.075145664788735</v>
      </c>
      <c r="BX135" s="98">
        <f>Slovakia!BX92</f>
        <v>13.536234663545931</v>
      </c>
      <c r="BY135" s="98">
        <f>Slovakia!BY92</f>
        <v>12.99009047368421</v>
      </c>
      <c r="BZ135" s="98">
        <f>Slovakia!BZ92</f>
        <v>15.533458896672505</v>
      </c>
      <c r="CA135" s="98">
        <f>Slovakia!CA92</f>
        <v>60.134929698691387</v>
      </c>
      <c r="CB135" s="98"/>
      <c r="CC135" s="98">
        <f>Slovakia!CC92</f>
        <v>17.572981693484152</v>
      </c>
      <c r="CD135" s="98">
        <f>Slovakia!CD92</f>
        <v>13.025514428057344</v>
      </c>
      <c r="CE135" s="98">
        <f>Slovakia!CE92</f>
        <v>12.461729513388155</v>
      </c>
      <c r="CF135" s="98">
        <f>Slovakia!CF92</f>
        <v>14.90688952536121</v>
      </c>
      <c r="CG135" s="98">
        <f>Slovakia!CG92</f>
        <v>57.967115160290859</v>
      </c>
      <c r="CH135" s="98"/>
      <c r="CI135" s="98">
        <f>Slovakia!CI92</f>
        <v>17.481190146623238</v>
      </c>
      <c r="CJ135" s="98">
        <f>Slovakia!CJ92</f>
        <v>12.942260123171444</v>
      </c>
      <c r="CK135" s="98">
        <f>Slovakia!CK92</f>
        <v>12.367487230855261</v>
      </c>
      <c r="CL135" s="98">
        <f>Slovakia!CL92</f>
        <v>14.776660438069181</v>
      </c>
      <c r="CM135" s="98">
        <f>Slovakia!CM92</f>
        <v>57.567597938719125</v>
      </c>
      <c r="CN135" s="98"/>
      <c r="CO135" s="98">
        <f>Slovakia!CO92</f>
        <v>17.404595200298186</v>
      </c>
      <c r="CP135" s="98">
        <f>Slovakia!CP92</f>
        <v>12.88526876719046</v>
      </c>
      <c r="CQ135" s="98">
        <f>Slovakia!CQ92</f>
        <v>12.312754212922695</v>
      </c>
      <c r="CR135" s="98">
        <f>Slovakia!CR92</f>
        <v>14.710938158682465</v>
      </c>
      <c r="CS135" s="98">
        <f>Slovakia!CS92</f>
        <v>57.313556339093807</v>
      </c>
      <c r="CT135" s="98"/>
      <c r="CU135" s="98">
        <f>Slovakia!CU92</f>
        <v>17.413000246272414</v>
      </c>
      <c r="CV135" s="98">
        <f>Slovakia!CV92</f>
        <v>12.891201771699556</v>
      </c>
      <c r="CW135" s="98">
        <f>Slovakia!CW92</f>
        <v>12.318145596424213</v>
      </c>
      <c r="CX135" s="98">
        <f>Slovakia!CX92</f>
        <v>14.717045902876459</v>
      </c>
      <c r="CY135" s="98">
        <f>Slovakia!CY92</f>
        <v>57.33939351727264</v>
      </c>
      <c r="CZ135" s="98"/>
      <c r="DA135" s="98">
        <f>Slovakia!DA92</f>
        <v>17.419832933646102</v>
      </c>
      <c r="DB135" s="98">
        <f>Slovakia!DB92</f>
        <v>12.895964909422116</v>
      </c>
      <c r="DC135" s="98">
        <f>Slovakia!DC92</f>
        <v>12.322413532174465</v>
      </c>
      <c r="DD135" s="98">
        <f>Slovakia!DD92</f>
        <v>14.721804708138466</v>
      </c>
      <c r="DE135" s="98">
        <f>Slovakia!DE92</f>
        <v>57.360016083381147</v>
      </c>
      <c r="DF135" s="98"/>
      <c r="DG135" s="98">
        <f>Slovakia!DG92</f>
        <v>17.425060974742635</v>
      </c>
      <c r="DH135" s="98">
        <f>Slovakia!DH92</f>
        <v>12.899534189721956</v>
      </c>
      <c r="DI135" s="98">
        <f>Slovakia!DI92</f>
        <v>12.325535012080081</v>
      </c>
      <c r="DJ135" s="98">
        <f>Slovakia!DJ92</f>
        <v>14.725186984915428</v>
      </c>
      <c r="DK135" s="98">
        <f>Slovakia!DK92</f>
        <v>57.375317161460103</v>
      </c>
    </row>
    <row r="136" spans="1:115" x14ac:dyDescent="0.3">
      <c r="B136" s="6" t="s">
        <v>209</v>
      </c>
      <c r="I136" s="98">
        <f>O136/(1-8.5%)</f>
        <v>54.644808743169399</v>
      </c>
      <c r="J136" s="98">
        <f>P136/(1-8.5%)</f>
        <v>27.3224043715847</v>
      </c>
      <c r="K136" s="98">
        <f>Q136/(1-8.5%)</f>
        <v>49.180327868852459</v>
      </c>
      <c r="L136" s="98">
        <f>R136/(1-8.5%)</f>
        <v>45.901639344262293</v>
      </c>
      <c r="M136" s="98">
        <f>I136+J136+K136+L136</f>
        <v>177.04918032786887</v>
      </c>
      <c r="O136" s="2">
        <f>Croatia!O103</f>
        <v>50</v>
      </c>
      <c r="P136" s="2">
        <f>Croatia!P103</f>
        <v>25</v>
      </c>
      <c r="Q136" s="2">
        <f>Croatia!Q103</f>
        <v>45</v>
      </c>
      <c r="R136" s="2">
        <f>Croatia!R103</f>
        <v>42</v>
      </c>
      <c r="S136" s="2">
        <f>Croatia!S103</f>
        <v>162</v>
      </c>
      <c r="U136" s="2">
        <f>Croatia!U103</f>
        <v>29</v>
      </c>
      <c r="V136" s="2">
        <f>Croatia!V103</f>
        <v>19</v>
      </c>
      <c r="W136" s="98">
        <f>Croatia!W103</f>
        <v>27</v>
      </c>
      <c r="X136" s="98">
        <f>Croatia!X103</f>
        <v>41</v>
      </c>
      <c r="Y136" s="98">
        <f>Croatia!Y103</f>
        <v>116</v>
      </c>
      <c r="Z136" s="98">
        <f>Y136*0.49</f>
        <v>56.839999999999996</v>
      </c>
      <c r="AA136" s="98">
        <f>Croatia!AA103</f>
        <v>23</v>
      </c>
      <c r="AB136" s="98">
        <f>Croatia!AB103</f>
        <v>23</v>
      </c>
      <c r="AC136" s="98">
        <f>Croatia!AC103</f>
        <v>19</v>
      </c>
      <c r="AD136" s="98">
        <f>Croatia!AD103</f>
        <v>15</v>
      </c>
      <c r="AE136" s="98">
        <f>Croatia!AE103</f>
        <v>80</v>
      </c>
      <c r="AF136" s="98">
        <f>AE136*0.49</f>
        <v>39.200000000000003</v>
      </c>
      <c r="AG136" s="98">
        <f>Croatia!AG103</f>
        <v>13</v>
      </c>
      <c r="AH136" s="98">
        <f>Croatia!AH103</f>
        <v>16</v>
      </c>
      <c r="AI136" s="98">
        <f>Croatia!AI103</f>
        <v>20</v>
      </c>
      <c r="AJ136" s="98">
        <f>Croatia!AJ103</f>
        <v>33</v>
      </c>
      <c r="AK136" s="98">
        <f>Croatia!AK103</f>
        <v>82</v>
      </c>
      <c r="AL136" s="98">
        <f>AK136*0.49</f>
        <v>40.18</v>
      </c>
      <c r="AM136" s="98">
        <f>Croatia!AM103</f>
        <v>26</v>
      </c>
      <c r="AN136" s="98">
        <f>Croatia!AN103</f>
        <v>25</v>
      </c>
      <c r="AO136" s="98">
        <f>Croatia!AO103</f>
        <v>32</v>
      </c>
      <c r="AP136" s="98">
        <f>Croatia!AP103</f>
        <v>32</v>
      </c>
      <c r="AQ136" s="98">
        <f>Croatia!AQ103</f>
        <v>115</v>
      </c>
      <c r="AR136" s="98"/>
      <c r="AS136" s="98">
        <f>Croatia!AS103</f>
        <v>20</v>
      </c>
      <c r="AT136" s="98">
        <f>Croatia!AT103</f>
        <v>30.25</v>
      </c>
      <c r="AU136" s="98">
        <f>Croatia!AU103</f>
        <v>22.72</v>
      </c>
      <c r="AV136" s="98">
        <f>Croatia!AV103</f>
        <v>15.385862068965517</v>
      </c>
      <c r="AW136" s="98">
        <f>Croatia!AW103</f>
        <v>88.355862068965521</v>
      </c>
      <c r="AX136" s="98"/>
      <c r="AY136" s="98">
        <f>Croatia!AY103</f>
        <v>20.314960629921259</v>
      </c>
      <c r="AZ136" s="98">
        <f>Croatia!AZ103</f>
        <v>29</v>
      </c>
      <c r="BA136" s="98">
        <f>Croatia!BA103</f>
        <v>29.308799999999998</v>
      </c>
      <c r="BB136" s="98">
        <f>Croatia!BB103</f>
        <v>13.3857</v>
      </c>
      <c r="BC136" s="98">
        <f>Croatia!BC103</f>
        <v>92.009460629921264</v>
      </c>
      <c r="BD136" s="98"/>
      <c r="BE136" s="98">
        <f>Croatia!BE103</f>
        <v>35</v>
      </c>
      <c r="BF136" s="98">
        <f>Croatia!BF103</f>
        <v>25</v>
      </c>
      <c r="BG136" s="98">
        <f>Croatia!BG103</f>
        <v>26</v>
      </c>
      <c r="BH136" s="98">
        <f>Croatia!BH103</f>
        <v>15</v>
      </c>
      <c r="BI136" s="98">
        <f>Croatia!BI103</f>
        <v>101</v>
      </c>
      <c r="BJ136" s="98"/>
      <c r="BK136" s="98">
        <f>Croatia!BK103</f>
        <v>22</v>
      </c>
      <c r="BL136" s="98">
        <f>Croatia!BL103</f>
        <v>30</v>
      </c>
      <c r="BM136" s="98">
        <f>Croatia!BM103</f>
        <v>37</v>
      </c>
      <c r="BN136" s="98">
        <f>Croatia!BN103</f>
        <v>26</v>
      </c>
      <c r="BO136" s="98">
        <f>Croatia!BO103</f>
        <v>115</v>
      </c>
      <c r="BP136" s="98"/>
      <c r="BQ136" s="98">
        <f>Croatia!BQ103</f>
        <v>20.570176325740089</v>
      </c>
      <c r="BR136" s="98">
        <f>Croatia!BR103</f>
        <v>28.323270199757328</v>
      </c>
      <c r="BS136" s="98">
        <f>Croatia!BS103</f>
        <v>35.077410254857135</v>
      </c>
      <c r="BT136" s="98">
        <f>Croatia!BT103</f>
        <v>24.948769233632142</v>
      </c>
      <c r="BU136" s="98">
        <f>Croatia!BU103</f>
        <v>108.91962601398669</v>
      </c>
      <c r="BV136" s="98"/>
      <c r="BW136" s="98">
        <f>Croatia!BW103</f>
        <v>19.608912094290012</v>
      </c>
      <c r="BX136" s="98">
        <f>Croatia!BX103</f>
        <v>27.258675472477247</v>
      </c>
      <c r="BY136" s="98">
        <f>Croatia!BY103</f>
        <v>33.896274091999999</v>
      </c>
      <c r="BZ136" s="98">
        <f>Croatia!BZ103</f>
        <v>23.935299725378666</v>
      </c>
      <c r="CA136" s="98">
        <f>Croatia!CA103</f>
        <v>104.69916138414592</v>
      </c>
      <c r="CB136" s="98"/>
      <c r="CC136" s="98">
        <f>Croatia!CC103</f>
        <v>18.935676340918818</v>
      </c>
      <c r="CD136" s="98">
        <f>Croatia!CD103</f>
        <v>26.58937112622527</v>
      </c>
      <c r="CE136" s="98">
        <f>Croatia!CE103</f>
        <v>33.2043285410819</v>
      </c>
      <c r="CF136" s="98">
        <f>Croatia!CF103</f>
        <v>23.269340429012672</v>
      </c>
      <c r="CG136" s="98">
        <f>Croatia!CG103</f>
        <v>101.99871643723866</v>
      </c>
      <c r="CH136" s="98"/>
      <c r="CI136" s="98">
        <f>Croatia!CI103</f>
        <v>18.646756689439059</v>
      </c>
      <c r="CJ136" s="98">
        <f>Croatia!CJ103</f>
        <v>26.307060975184431</v>
      </c>
      <c r="CK136" s="98">
        <f>Croatia!CK103</f>
        <v>32.905560848821771</v>
      </c>
      <c r="CL136" s="98">
        <f>Croatia!CL103</f>
        <v>22.956428771822022</v>
      </c>
      <c r="CM136" s="98">
        <f>Croatia!CM103</f>
        <v>100.81580728526727</v>
      </c>
      <c r="CN136" s="98"/>
      <c r="CO136" s="98">
        <f>Croatia!CO103</f>
        <v>18.355641460218866</v>
      </c>
      <c r="CP136" s="98">
        <f>Croatia!CP103</f>
        <v>26.021994966786817</v>
      </c>
      <c r="CQ136" s="98">
        <f>Croatia!CQ103</f>
        <v>32.603493001060393</v>
      </c>
      <c r="CR136" s="98">
        <f>Croatia!CR103</f>
        <v>22.640945966044512</v>
      </c>
      <c r="CS136" s="98">
        <f>Croatia!CS103</f>
        <v>99.622075394110595</v>
      </c>
      <c r="CT136" s="98"/>
      <c r="CU136" s="98">
        <f>Croatia!CU103</f>
        <v>18.062370397497816</v>
      </c>
      <c r="CV136" s="98">
        <f>Croatia!CV103</f>
        <v>25.734201707728186</v>
      </c>
      <c r="CW136" s="98">
        <f>Croatia!CW103</f>
        <v>32.298148827768934</v>
      </c>
      <c r="CX136" s="98">
        <f>Croatia!CX103</f>
        <v>22.322932020060115</v>
      </c>
      <c r="CY136" s="98">
        <f>Croatia!CY103</f>
        <v>98.41765295305504</v>
      </c>
      <c r="CZ136" s="98"/>
      <c r="DA136" s="98">
        <f>Croatia!DA103</f>
        <v>17.766984807596334</v>
      </c>
      <c r="DB136" s="98">
        <f>Croatia!DB103</f>
        <v>25.443711207352173</v>
      </c>
      <c r="DC136" s="98">
        <f>Croatia!DC103</f>
        <v>31.989553565096649</v>
      </c>
      <c r="DD136" s="98">
        <f>Croatia!DD103</f>
        <v>22.002428600933143</v>
      </c>
      <c r="DE136" s="98">
        <f>Croatia!DE103</f>
        <v>97.202678180978296</v>
      </c>
      <c r="DF136" s="98"/>
      <c r="DG136" s="98">
        <f>Croatia!DG103</f>
        <v>17.469527591659286</v>
      </c>
      <c r="DH136" s="98">
        <f>Croatia!DH103</f>
        <v>25.150554908391953</v>
      </c>
      <c r="DI136" s="98">
        <f>Croatia!DI103</f>
        <v>31.677733887107124</v>
      </c>
      <c r="DJ136" s="98">
        <f>Croatia!DJ103</f>
        <v>21.679479069599083</v>
      </c>
      <c r="DK136" s="98">
        <f>Croatia!DK103</f>
        <v>95.977295456757446</v>
      </c>
    </row>
    <row r="137" spans="1:115" x14ac:dyDescent="0.3"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</row>
    <row r="138" spans="1:115" x14ac:dyDescent="0.3">
      <c r="B138" s="1" t="s">
        <v>238</v>
      </c>
      <c r="I138" s="98">
        <f>I140-I126-I127-I128-I129-I130-I131-I132-I134-I135-I136</f>
        <v>94.026076468059699</v>
      </c>
      <c r="J138" s="98">
        <f>J140-J126-J127-J128-J129-J130-J131-J132-J134-J135-J136</f>
        <v>90.107483846220589</v>
      </c>
      <c r="K138" s="98">
        <f>K140-K126-K127-K128-K129-K130-K131-K132-K134-K135-K136</f>
        <v>82.982138315112678</v>
      </c>
      <c r="L138" s="98">
        <f>L140-L126-L127-L128-L129-L130-L131-L132-L134-L135-L136</f>
        <v>260.02137098729429</v>
      </c>
      <c r="M138" s="98">
        <f>I138+J138+K138+L138</f>
        <v>527.13706961668731</v>
      </c>
      <c r="O138" s="98">
        <f>O140-O126-O127-O128-O129-O130-O131-O132-O134-O135-O136</f>
        <v>291</v>
      </c>
      <c r="P138" s="98">
        <f>P140-P126-P127-P128-P129-P130-P131-P132-P134-P135-P136</f>
        <v>272</v>
      </c>
      <c r="Q138" s="98">
        <f>Q140-Q126-Q127-Q128-Q129-Q130-Q131-Q132-Q134-Q135-Q136</f>
        <v>296</v>
      </c>
      <c r="R138" s="98">
        <f>R140-R126-R127-R128-R129-R130-R131-R132-R134-R135-R136</f>
        <v>371</v>
      </c>
      <c r="S138" s="98">
        <f>O138+P138+Q138+R138</f>
        <v>1230</v>
      </c>
      <c r="U138" s="98">
        <f>U140-U126-U127-U128-U129-U130-U131-U132-U134-U135-U136</f>
        <v>270</v>
      </c>
      <c r="V138" s="98">
        <f>V140-V126-V127-V128-V129-V130-V131-V132-V134-V135-V136</f>
        <v>227</v>
      </c>
      <c r="W138" s="98">
        <f>W140-W126-W127-W128-W129-W130-W131-W132-W134-W135-W136</f>
        <v>184</v>
      </c>
      <c r="X138" s="98">
        <f>X140-X126-X127-X128-X129-X130-X131-X132-X134-X135-X136</f>
        <v>215</v>
      </c>
      <c r="Y138" s="98">
        <f>U138+V138+W138+X138</f>
        <v>896</v>
      </c>
      <c r="Z138" s="98">
        <f>Y138*0.7</f>
        <v>627.19999999999993</v>
      </c>
      <c r="AA138" s="98">
        <f>AA140-AA126-AA127-AA128-AA129-AA130-AA131-AA132-AA134-AA135-AA136</f>
        <v>181</v>
      </c>
      <c r="AB138" s="98">
        <f>AB140-AB126-AB127-AB128-AB129-AB130-AB131-AB132-AB134-AB135-AB136</f>
        <v>145</v>
      </c>
      <c r="AC138" s="98">
        <f>AC140-AC126-AC127-AC128-AC129-AC130-AC131-AC132-AC134-AC135-AC136</f>
        <v>175</v>
      </c>
      <c r="AD138" s="98">
        <f>AD140-AD126-AD127-AD128-AD129-AD130-AD131-AD132-AD134-AD135-AD136</f>
        <v>266</v>
      </c>
      <c r="AE138" s="98">
        <f>AA138+AB138+AC138+AD138</f>
        <v>767</v>
      </c>
      <c r="AF138" s="98">
        <f>AE138*0.7</f>
        <v>536.9</v>
      </c>
      <c r="AG138" s="98">
        <f>AG140-AG126-AG127-AG128-AG129-AG130-AG131-AG132-AG134-AG135-AG136</f>
        <v>134</v>
      </c>
      <c r="AH138" s="98">
        <f>AH140-AH126-AH127-AH128-AH129-AH130-AH131-AH132-AH134-AH135-AH136</f>
        <v>115</v>
      </c>
      <c r="AI138" s="98">
        <f>AI140-AI126-AI127-AI128-AI129-AI130-AI131-AI132-AI134-AI135-AI136</f>
        <v>123</v>
      </c>
      <c r="AJ138" s="98">
        <f>AJ140-AJ126-AJ127-AJ128-AJ129-AJ130-AJ131-AJ132-AJ134-AJ135-AJ136</f>
        <v>266.20000000000005</v>
      </c>
      <c r="AK138" s="98">
        <f>AG138+AH138+AI138+AJ138</f>
        <v>638.20000000000005</v>
      </c>
      <c r="AL138" s="98">
        <f>AK138*0.6</f>
        <v>382.92</v>
      </c>
      <c r="AM138" s="98">
        <f>AM140-AM126-AM127-AM128-AM129-AM130-AM131-AM132-AM134-AM135-AM136</f>
        <v>1034</v>
      </c>
      <c r="AN138" s="98">
        <f>AN140-AN126-AN127-AN128-AN129-AN130-AN131-AN132-AN134-AN135-AN136</f>
        <v>272</v>
      </c>
      <c r="AO138" s="98">
        <f>AO140-AO126-AO127-AO128-AO129-AO130-AO131-AO132-AO134-AO135-AO136</f>
        <v>148</v>
      </c>
      <c r="AP138" s="98">
        <f>AJ138*1.05</f>
        <v>279.51000000000005</v>
      </c>
      <c r="AQ138" s="98">
        <f>AM138+AN138+AO138+AP138</f>
        <v>1733.51</v>
      </c>
      <c r="AS138" s="98">
        <v>225</v>
      </c>
      <c r="AT138" s="98">
        <f>AT140-AT126-AT127-AT128-AT129-AT130-AT131-AT132-AT134-AT135-AT136</f>
        <v>154.06</v>
      </c>
      <c r="AU138" s="98">
        <f>AU140-AU126-AU127-AU128-AU129-AU130-AU131-AU132-AU134-AU135-AU136</f>
        <v>154.76999999999998</v>
      </c>
      <c r="AV138" s="98">
        <f>AV140-AV126-AV127-AV128-AV129-AV130-AV131-AV132-AV134-AV135-AV136</f>
        <v>208.62747126436784</v>
      </c>
      <c r="AW138" s="98">
        <f>AS138+AT138+AU138+AV138</f>
        <v>742.45747126436777</v>
      </c>
      <c r="AY138" s="98">
        <f>AY140-AY126-AY127-AY128-AY129-AY130-AY131-AY132-AY134-AY135-AY136</f>
        <v>172.96503937007873</v>
      </c>
      <c r="AZ138" s="98">
        <f>AZ140-AZ126-AZ127-AZ128-AZ129-AZ130-AZ131-AZ132-AZ134-AZ135-AZ136</f>
        <v>103</v>
      </c>
      <c r="BA138" s="98">
        <f>BA140-BA126-BA127-BA128-BA129-BA130-BA131-BA132-BA134-BA135-BA136</f>
        <v>138.71</v>
      </c>
      <c r="BB138" s="98">
        <f>BB140-BB126-BB127-BB128-BB129-BB130-BB131-BB132-BB134-BB135-BB136</f>
        <v>154.36070000000001</v>
      </c>
      <c r="BC138" s="98">
        <f>AY138+AZ138+BA138+BB138</f>
        <v>569.03573937007877</v>
      </c>
      <c r="BE138" s="98">
        <f>BE140-BE126-BE127-BE128-BE129-BE130-BE131-BE132-BE134-BE135-BE136</f>
        <v>138.16</v>
      </c>
      <c r="BF138" s="98">
        <f>BF140-BF126-BF127-BF128-BF129-BF130-BF131-BF132-BF134-BF135-BF136</f>
        <v>144.012</v>
      </c>
      <c r="BG138" s="98">
        <f>BG140-BG126-BG127-BG128-BG129-BG130-BG131-BG132-BG134-BG135-BG136</f>
        <v>123.012</v>
      </c>
      <c r="BH138" s="98">
        <f>BH140-BH126-BH127-BH128-BH129-BH130-BH131-BH132-BH134-BH135-BH136</f>
        <v>141</v>
      </c>
      <c r="BI138" s="98">
        <f>BE138+BF138+BG138+BH138</f>
        <v>546.18399999999997</v>
      </c>
      <c r="BK138" s="98">
        <f>BK140-BK126-BK127-BK128-BK129-BK130-BK131-BK132-BK134-BK135-BK136</f>
        <v>177.1576</v>
      </c>
      <c r="BL138" s="98">
        <f>BL140-BL126-BL127-BL128-BL129-BL130-BL131-BL132-BL134-BL135-BL136</f>
        <v>173.15800000000002</v>
      </c>
      <c r="BM138" s="98">
        <f>BM140-BM126-BM127-BM128-BM129-BM130-BM131-BM132-BM134-BM135-BM136</f>
        <v>165.88800000000001</v>
      </c>
      <c r="BN138" s="98">
        <f>BN140-BN126-BN127-BN128-BN129-BN130-BN131-BN132-BN134-BN135-BN136</f>
        <v>316</v>
      </c>
      <c r="BO138" s="98">
        <f>BK138+BL138+BM138+BN138</f>
        <v>832.20360000000005</v>
      </c>
      <c r="BQ138" s="98">
        <f>BK138*(1+BQ139)</f>
        <v>181.58653999999999</v>
      </c>
      <c r="BR138" s="98">
        <f>BL138*(1+BR139)</f>
        <v>176.62116000000003</v>
      </c>
      <c r="BS138" s="98">
        <f>BM138*(1+BS139)</f>
        <v>167.54688000000002</v>
      </c>
      <c r="BT138" s="98">
        <f>BN138*(1+BT139)</f>
        <v>189.6</v>
      </c>
      <c r="BU138" s="98">
        <f>BQ138+BR138+BS138+BT138</f>
        <v>715.35458000000006</v>
      </c>
      <c r="BW138" s="98">
        <f>BQ138*0.99</f>
        <v>179.77067459999998</v>
      </c>
      <c r="BX138" s="98">
        <f>BR138*0.99</f>
        <v>174.85494840000004</v>
      </c>
      <c r="BY138" s="98">
        <f>BS138*0.99</f>
        <v>165.87141120000001</v>
      </c>
      <c r="BZ138" s="98">
        <f>BT138*0.99</f>
        <v>187.70399999999998</v>
      </c>
      <c r="CA138" s="98">
        <f>BW138+BX138+BY138+BZ138</f>
        <v>708.20103419999998</v>
      </c>
      <c r="CC138" s="98">
        <f>BW138*0.99</f>
        <v>177.97296785399999</v>
      </c>
      <c r="CD138" s="98">
        <f>BX138*0.99</f>
        <v>173.10639891600005</v>
      </c>
      <c r="CE138" s="98">
        <f>BY138*0.99</f>
        <v>164.212697088</v>
      </c>
      <c r="CF138" s="98">
        <f>BZ138*0.99</f>
        <v>185.82695999999999</v>
      </c>
      <c r="CG138" s="98">
        <f>CC138+CD138+CE138+CF138</f>
        <v>701.11902385799999</v>
      </c>
      <c r="CI138" s="98">
        <f>CC138*0.99</f>
        <v>176.19323817545998</v>
      </c>
      <c r="CJ138" s="98">
        <f>CD138*0.99</f>
        <v>171.37533492684005</v>
      </c>
      <c r="CK138" s="98">
        <f>CE138*0.99</f>
        <v>162.57057011711998</v>
      </c>
      <c r="CL138" s="98">
        <f>CF138*0.99</f>
        <v>183.96869039999999</v>
      </c>
      <c r="CM138" s="98">
        <f>CI138+CJ138+CK138+CL138</f>
        <v>694.10783361942003</v>
      </c>
      <c r="CO138" s="98">
        <f>CI138*0.99</f>
        <v>174.43130579370538</v>
      </c>
      <c r="CP138" s="98">
        <f>CJ138*0.99</f>
        <v>169.66158157757164</v>
      </c>
      <c r="CQ138" s="98">
        <f>CK138*0.99</f>
        <v>160.94486441594879</v>
      </c>
      <c r="CR138" s="98">
        <f>CL138*0.99</f>
        <v>182.129003496</v>
      </c>
      <c r="CS138" s="98">
        <f>CO138+CP138+CQ138+CR138</f>
        <v>687.16675528322583</v>
      </c>
      <c r="CU138" s="98">
        <f>CO138*0.99</f>
        <v>172.68699273576831</v>
      </c>
      <c r="CV138" s="98">
        <f>CP138*0.99</f>
        <v>167.96496576179592</v>
      </c>
      <c r="CW138" s="98">
        <f>CQ138*0.99</f>
        <v>159.33541577178929</v>
      </c>
      <c r="CX138" s="98">
        <f>CR138*0.99</f>
        <v>180.30771346103998</v>
      </c>
      <c r="CY138" s="98">
        <f>CU138+CV138+CW138+CX138</f>
        <v>680.29508773039345</v>
      </c>
      <c r="CZ138" s="2"/>
      <c r="DA138" s="98">
        <f>CU138*0.99</f>
        <v>170.96012280841063</v>
      </c>
      <c r="DB138" s="98">
        <f>CV138*0.99</f>
        <v>166.28531610417795</v>
      </c>
      <c r="DC138" s="98">
        <f>CW138*0.99</f>
        <v>157.74206161407139</v>
      </c>
      <c r="DD138" s="98">
        <f>CX138*0.99</f>
        <v>178.50463632642959</v>
      </c>
      <c r="DE138" s="98">
        <f>DA138+DB138+DC138+DD138</f>
        <v>673.49213685308962</v>
      </c>
      <c r="DF138" s="2"/>
      <c r="DG138" s="98">
        <f>DA138*0.99</f>
        <v>169.25052158032653</v>
      </c>
      <c r="DH138" s="98">
        <f>DB138*0.99</f>
        <v>164.62246294313616</v>
      </c>
      <c r="DI138" s="98">
        <f>DC138*0.99</f>
        <v>156.16464099793066</v>
      </c>
      <c r="DJ138" s="98">
        <f>DD138*0.99</f>
        <v>176.7195899631653</v>
      </c>
      <c r="DK138" s="98">
        <f>DG138+DH138+DI138+DJ138</f>
        <v>666.75721548455863</v>
      </c>
    </row>
    <row r="139" spans="1:115" x14ac:dyDescent="0.3">
      <c r="AA139" s="36">
        <f>AA138/U138-1</f>
        <v>-0.32962962962962961</v>
      </c>
      <c r="AB139" s="36">
        <f>AB138/V138-1</f>
        <v>-0.36123348017621149</v>
      </c>
      <c r="AC139" s="36">
        <f>AC138/W138-1</f>
        <v>-4.8913043478260865E-2</v>
      </c>
      <c r="AD139" s="36">
        <f>AD138/X138-1</f>
        <v>0.23720930232558146</v>
      </c>
      <c r="AG139" s="36">
        <f>AG138/AA138-1</f>
        <v>-0.25966850828729282</v>
      </c>
      <c r="AH139" s="36">
        <f>AH138/AB138-1</f>
        <v>-0.2068965517241379</v>
      </c>
      <c r="AI139" s="36">
        <f>AI138/AC138-1</f>
        <v>-0.29714285714285715</v>
      </c>
      <c r="AJ139" s="36">
        <f>AJ138/AD138-1</f>
        <v>7.5187969924828124E-4</v>
      </c>
      <c r="AM139" s="36">
        <f>AM138/AG138-1</f>
        <v>6.7164179104477615</v>
      </c>
      <c r="AN139" s="36">
        <f>AN138/AH138-1</f>
        <v>1.3652173913043479</v>
      </c>
      <c r="AO139" s="36">
        <f>AO138/AI138-1</f>
        <v>0.20325203252032531</v>
      </c>
      <c r="AP139" s="36">
        <f>AP138/AJ138-1</f>
        <v>5.0000000000000044E-2</v>
      </c>
      <c r="AS139" s="36">
        <f>AS138/AM138-1</f>
        <v>-0.78239845261121854</v>
      </c>
      <c r="AT139" s="36">
        <f>AT138/AN138-1</f>
        <v>-0.43360294117647058</v>
      </c>
      <c r="AU139" s="36">
        <f>AU138/AO138-1</f>
        <v>4.5743243243243192E-2</v>
      </c>
      <c r="AV139" s="36">
        <f>AV138/AP138-1</f>
        <v>-0.25359568078291361</v>
      </c>
      <c r="AY139" s="36"/>
      <c r="AZ139" s="36"/>
      <c r="BA139" s="36"/>
      <c r="BB139" s="36"/>
      <c r="BE139" s="36"/>
      <c r="BF139" s="36"/>
      <c r="BG139" s="36"/>
      <c r="BH139" s="36"/>
      <c r="BI139" s="36"/>
      <c r="BK139" s="36">
        <f>BK138/BE138-1</f>
        <v>0.28226404169079333</v>
      </c>
      <c r="BL139" s="36">
        <f>BL138/BF138-1</f>
        <v>0.20238591228508751</v>
      </c>
      <c r="BM139" s="36">
        <f>BM138/BG138-1</f>
        <v>0.34855136084284455</v>
      </c>
      <c r="BN139" s="36">
        <f>BN138/BH138-1</f>
        <v>1.2411347517730498</v>
      </c>
      <c r="BQ139" s="36">
        <v>2.5000000000000001E-2</v>
      </c>
      <c r="BR139" s="36">
        <v>0.02</v>
      </c>
      <c r="BS139" s="36">
        <v>0.01</v>
      </c>
      <c r="BT139" s="36">
        <v>-0.4</v>
      </c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</row>
    <row r="140" spans="1:115" x14ac:dyDescent="0.3">
      <c r="B140" s="13" t="s">
        <v>192</v>
      </c>
      <c r="I140" s="352">
        <f>I62</f>
        <v>556.0650457951707</v>
      </c>
      <c r="J140" s="352">
        <f>J62</f>
        <v>376.61028446389497</v>
      </c>
      <c r="K140" s="352">
        <f>K62</f>
        <v>424.70156941649901</v>
      </c>
      <c r="L140" s="352">
        <f>L62</f>
        <v>696.80413650465357</v>
      </c>
      <c r="M140" s="352">
        <f>M72</f>
        <v>8707</v>
      </c>
      <c r="O140" s="352">
        <f>O62</f>
        <v>748</v>
      </c>
      <c r="P140" s="352">
        <f>P62</f>
        <v>526</v>
      </c>
      <c r="Q140" s="352">
        <f>Q62</f>
        <v>562</v>
      </c>
      <c r="R140" s="352">
        <f>R62</f>
        <v>654</v>
      </c>
      <c r="S140" s="352">
        <f>S72</f>
        <v>9202</v>
      </c>
      <c r="U140" s="352">
        <f>U62</f>
        <v>568</v>
      </c>
      <c r="V140" s="352">
        <f>V62</f>
        <v>454</v>
      </c>
      <c r="W140" s="352">
        <f>W62</f>
        <v>396</v>
      </c>
      <c r="X140" s="352">
        <f>X62</f>
        <v>594</v>
      </c>
      <c r="Y140" s="352">
        <f>U140+V140+W140+X140</f>
        <v>2012</v>
      </c>
      <c r="Z140" s="352"/>
      <c r="AA140" s="352">
        <f>AA62</f>
        <v>512</v>
      </c>
      <c r="AB140" s="352">
        <f>AB62</f>
        <v>356</v>
      </c>
      <c r="AC140" s="352">
        <f>AC62</f>
        <v>437</v>
      </c>
      <c r="AD140" s="352">
        <f>AD62</f>
        <v>565</v>
      </c>
      <c r="AE140" s="352">
        <f>AA140+AB140+AC140+AD140</f>
        <v>1870</v>
      </c>
      <c r="AF140" s="352"/>
      <c r="AG140" s="352">
        <v>507</v>
      </c>
      <c r="AH140" s="352">
        <v>290</v>
      </c>
      <c r="AI140" s="352">
        <v>333</v>
      </c>
      <c r="AJ140" s="352">
        <v>594</v>
      </c>
      <c r="AK140" s="352">
        <f>AG140+AH140+AI140+AJ140</f>
        <v>1724</v>
      </c>
      <c r="AL140" s="352"/>
      <c r="AM140" s="352">
        <v>1384</v>
      </c>
      <c r="AN140" s="352">
        <v>522</v>
      </c>
      <c r="AO140" s="352">
        <v>500</v>
      </c>
      <c r="AP140" s="352">
        <v>1255</v>
      </c>
      <c r="AQ140" s="352">
        <f>AM140+AN140+AO140+AP140</f>
        <v>3661</v>
      </c>
      <c r="AR140" s="352"/>
      <c r="AS140" s="352">
        <v>585</v>
      </c>
      <c r="AT140" s="352">
        <v>422</v>
      </c>
      <c r="AU140" s="352">
        <v>457</v>
      </c>
      <c r="AV140" s="352">
        <v>637</v>
      </c>
      <c r="AW140" s="352">
        <f>AS140+AT140+AU140+AV140</f>
        <v>2101</v>
      </c>
      <c r="AX140" s="352"/>
      <c r="AY140" s="352">
        <v>498</v>
      </c>
      <c r="AZ140" s="352">
        <v>303</v>
      </c>
      <c r="BA140" s="352">
        <v>403</v>
      </c>
      <c r="BB140" s="352">
        <v>463</v>
      </c>
      <c r="BC140" s="352">
        <f>AY140+AZ140+BA140+BB140</f>
        <v>1667</v>
      </c>
      <c r="BD140" s="352"/>
      <c r="BE140" s="352">
        <f>1009-484-23-54</f>
        <v>448</v>
      </c>
      <c r="BF140" s="352">
        <v>371</v>
      </c>
      <c r="BG140" s="352">
        <f>907-515-2-27</f>
        <v>363</v>
      </c>
      <c r="BH140" s="352">
        <v>413</v>
      </c>
      <c r="BI140" s="352">
        <f>BE140+BF140+BG140+BH140</f>
        <v>1595</v>
      </c>
      <c r="BJ140" s="352"/>
      <c r="BK140" s="352">
        <v>475</v>
      </c>
      <c r="BL140" s="352">
        <v>403</v>
      </c>
      <c r="BM140" s="352">
        <v>395</v>
      </c>
      <c r="BN140" s="352">
        <v>601</v>
      </c>
      <c r="BO140" s="352">
        <f>BK140+BL140+BM140+BN140</f>
        <v>1874</v>
      </c>
      <c r="BP140" s="352"/>
      <c r="BQ140" s="352">
        <f>BQ126+BQ127+BQ128+BQ129+BQ130+BQ131+BQ132+BQ134+BQ135+BQ136+BQ138</f>
        <v>465.59277430582574</v>
      </c>
      <c r="BR140" s="352">
        <f>BR126+BR127+BR128+BR129+BR130+BR131+BR132+BR134+BR135+BR136+BR138</f>
        <v>407.57126016781001</v>
      </c>
      <c r="BS140" s="352">
        <f>BS126+BS127+BS128+BS129+BS130+BS131+BS132+BS134+BS135+BS136+BS138</f>
        <v>389.93718915755466</v>
      </c>
      <c r="BT140" s="352">
        <f>BT126+BT127+BT128+BT129+BT130+BT131+BT132+BT134+BT135+BT136+BT138</f>
        <v>476.18199996377086</v>
      </c>
      <c r="BU140" s="352">
        <f>BQ140+BR140+BS140+BT140</f>
        <v>1739.2832235949613</v>
      </c>
      <c r="BV140" s="352"/>
      <c r="BW140" s="352">
        <f>BW126+BW127+BW128+BW129+BW130+BW131+BW132+BW134+BW135+BW136+BW138</f>
        <v>443.58715341993491</v>
      </c>
      <c r="BX140" s="352">
        <f>BX126+BX127+BX128+BX129+BX130+BX131+BX132+BX134+BX135+BX136+BX138</f>
        <v>403.54493726803503</v>
      </c>
      <c r="BY140" s="352">
        <f>BY126+BY127+BY128+BY129+BY130+BY131+BY132+BY134+BY135+BY136+BY138</f>
        <v>388.44552021264792</v>
      </c>
      <c r="BZ140" s="352">
        <f>BZ126+BZ127+BZ128+BZ129+BZ130+BZ131+BZ132+BZ134+BZ135+BZ136+BZ138</f>
        <v>473.75830360623922</v>
      </c>
      <c r="CA140" s="352">
        <f>BW140+BX140+BY140+BZ140</f>
        <v>1709.3359145068571</v>
      </c>
      <c r="CB140" s="352"/>
      <c r="CC140" s="352">
        <f>CC126+CC127+CC128+CC129+CC130+CC131+CC132+CC134+CC135+CC136+CC138</f>
        <v>430.47785078750701</v>
      </c>
      <c r="CD140" s="352">
        <f>CD126+CD127+CD128+CD129+CD130+CD131+CD132+CD134+CD135+CD136+CD138</f>
        <v>396.13327466190714</v>
      </c>
      <c r="CE140" s="352">
        <f>CE126+CE127+CE128+CE129+CE130+CE131+CE132+CE134+CE135+CE136+CE138</f>
        <v>384.06683400504153</v>
      </c>
      <c r="CF140" s="352">
        <f>CF126+CF127+CF128+CF129+CF130+CF131+CF132+CF134+CF135+CF136+CF138</f>
        <v>462.44045027237371</v>
      </c>
      <c r="CG140" s="352">
        <f>CC140+CD140+CE140+CF140</f>
        <v>1673.1184097268294</v>
      </c>
      <c r="CH140" s="352"/>
      <c r="CI140" s="352">
        <f>CI126+CI127+CI128+CI129+CI130+CI131+CI132+CI134+CI135+CI136+CI138</f>
        <v>419.25141701512877</v>
      </c>
      <c r="CJ140" s="352">
        <f>CJ126+CJ127+CJ128+CJ129+CJ130+CJ131+CJ132+CJ134+CJ135+CJ136+CJ138</f>
        <v>388.77416206222131</v>
      </c>
      <c r="CK140" s="352">
        <f>CK126+CK127+CK128+CK129+CK130+CK131+CK132+CK134+CK135+CK136+CK138</f>
        <v>383.05816170162569</v>
      </c>
      <c r="CL140" s="352">
        <f>CL126+CL127+CL128+CL129+CL130+CL131+CL132+CL134+CL135+CL136+CL138</f>
        <v>451.32790176873618</v>
      </c>
      <c r="CM140" s="352">
        <f>CI140+CJ140+CK140+CL140</f>
        <v>1642.4116425477121</v>
      </c>
      <c r="CN140" s="352"/>
      <c r="CO140" s="352">
        <f>CO126+CO127+CO128+CO129+CO130+CO131+CO132+CO134+CO135+CO136+CO138</f>
        <v>410.11341220413124</v>
      </c>
      <c r="CP140" s="352">
        <f>CP126+CP127+CP128+CP129+CP130+CP131+CP132+CP134+CP135+CP136+CP138</f>
        <v>389.96418577077293</v>
      </c>
      <c r="CQ140" s="352">
        <f>CQ126+CQ127+CQ128+CQ129+CQ130+CQ131+CQ132+CQ134+CQ135+CQ136+CQ138</f>
        <v>375.63915256420609</v>
      </c>
      <c r="CR140" s="352">
        <f>CR126+CR127+CR128+CR129+CR130+CR131+CR132+CR134+CR135+CR136+CR138</f>
        <v>443.14364219412357</v>
      </c>
      <c r="CS140" s="352">
        <f>CO140+CP140+CQ140+CR140</f>
        <v>1618.8603927332338</v>
      </c>
      <c r="CT140" s="352"/>
      <c r="CU140" s="352">
        <f>CU126+CU127+CU128+CU129+CU130+CU131+CU132+CU134+CU135+CU136+CU138</f>
        <v>404.9990593961187</v>
      </c>
      <c r="CV140" s="352">
        <f>CV126+CV127+CV128+CV129+CV130+CV131+CV132+CV134+CV135+CV136+CV138</f>
        <v>388.87007385462368</v>
      </c>
      <c r="CW140" s="352">
        <f>CW126+CW127+CW128+CW129+CW130+CW131+CW132+CW134+CW135+CW136+CW138</f>
        <v>374.81904077387446</v>
      </c>
      <c r="CX140" s="352">
        <f>CX126+CX127+CX128+CX129+CX130+CX131+CX132+CX134+CX135+CX136+CX138</f>
        <v>442.03816881142723</v>
      </c>
      <c r="CY140" s="352">
        <f>CU140+CV140+CW140+CX140</f>
        <v>1610.7263428360438</v>
      </c>
      <c r="CZ140" s="352"/>
      <c r="DA140" s="352">
        <f>DA126+DA127+DA128+DA129+DA130+DA131+DA132+DA134+DA135+DA136+DA138</f>
        <v>405.11584078986067</v>
      </c>
      <c r="DB140" s="352">
        <f>DB126+DB127+DB128+DB129+DB130+DB131+DB132+DB134+DB135+DB136+DB138</f>
        <v>388.89951243422047</v>
      </c>
      <c r="DC140" s="352">
        <f>DC126+DC127+DC128+DC129+DC130+DC131+DC132+DC134+DC135+DC136+DC138</f>
        <v>375.12584814177967</v>
      </c>
      <c r="DD140" s="352">
        <f>DD126+DD127+DD128+DD129+DD130+DD131+DD132+DD134+DD135+DD136+DD138</f>
        <v>442.4218408560439</v>
      </c>
      <c r="DE140" s="352">
        <f>DA140+DB140+DC140+DD140</f>
        <v>1611.5630422219047</v>
      </c>
      <c r="DF140" s="352"/>
      <c r="DG140" s="352">
        <f>DG126+DG127+DG128+DG129+DG130+DG131+DG132+DG134+DG135+DG136+DG138</f>
        <v>405.22629875897383</v>
      </c>
      <c r="DH140" s="352">
        <f>DH126+DH127+DH128+DH129+DH130+DH131+DH132+DH134+DH135+DH136+DH138</f>
        <v>388.91946088662598</v>
      </c>
      <c r="DI140" s="352">
        <f>DI126+DI127+DI128+DI129+DI130+DI131+DI132+DI134+DI135+DI136+DI138</f>
        <v>375.39121168419547</v>
      </c>
      <c r="DJ140" s="352">
        <f>DJ126+DJ127+DJ128+DJ129+DJ130+DJ131+DJ132+DJ134+DJ135+DJ136+DJ138</f>
        <v>442.77234449394177</v>
      </c>
      <c r="DK140" s="352">
        <f>DG140+DH140+DI140+DJ140</f>
        <v>1612.3093158237371</v>
      </c>
    </row>
    <row r="141" spans="1:115" ht="16.5" customHeight="1" x14ac:dyDescent="0.3"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</row>
    <row r="142" spans="1:115" x14ac:dyDescent="0.3">
      <c r="A142" s="397"/>
      <c r="B142" s="397"/>
      <c r="C142" s="397"/>
      <c r="D142" s="398"/>
      <c r="E142" s="398"/>
      <c r="F142" s="398"/>
      <c r="G142" s="398"/>
      <c r="H142" s="398"/>
      <c r="I142" s="398"/>
      <c r="J142" s="398"/>
      <c r="K142" s="398"/>
      <c r="L142" s="398"/>
      <c r="M142" s="398"/>
      <c r="N142" s="398"/>
      <c r="O142" s="398"/>
      <c r="P142" s="398"/>
      <c r="Q142" s="398"/>
      <c r="R142" s="398"/>
      <c r="S142" s="398"/>
      <c r="T142" s="398"/>
      <c r="U142" s="398"/>
      <c r="V142" s="398"/>
      <c r="W142" s="398"/>
      <c r="X142" s="398"/>
      <c r="Y142" s="398"/>
      <c r="Z142" s="398"/>
      <c r="AA142" s="398"/>
      <c r="AB142" s="398"/>
      <c r="AC142" s="398"/>
      <c r="AD142" s="398"/>
      <c r="AE142" s="398"/>
      <c r="AF142" s="398"/>
      <c r="AG142" s="398"/>
      <c r="AH142" s="398"/>
      <c r="AI142" s="398"/>
      <c r="AJ142" s="398"/>
      <c r="AK142" s="398"/>
      <c r="AL142" s="398"/>
      <c r="AM142" s="398"/>
      <c r="AN142" s="398"/>
      <c r="AO142" s="398"/>
      <c r="AP142" s="398"/>
      <c r="AQ142" s="398"/>
      <c r="AR142" s="398"/>
      <c r="AS142" s="398"/>
      <c r="AT142" s="398"/>
      <c r="AU142" s="398"/>
      <c r="AV142" s="398"/>
      <c r="AW142" s="398"/>
      <c r="AX142" s="398"/>
      <c r="AY142" s="398"/>
      <c r="AZ142" s="398"/>
      <c r="BA142" s="398"/>
      <c r="BB142" s="398"/>
      <c r="BC142" s="398"/>
      <c r="BD142" s="398"/>
      <c r="BE142" s="398"/>
      <c r="BF142" s="398"/>
      <c r="BG142" s="398"/>
      <c r="BH142" s="398"/>
      <c r="BI142" s="398"/>
      <c r="BJ142" s="398"/>
      <c r="BK142" s="398"/>
      <c r="BL142" s="398"/>
      <c r="BM142" s="398"/>
      <c r="BN142" s="398"/>
      <c r="BO142" s="398"/>
      <c r="BP142" s="398"/>
      <c r="BQ142" s="398"/>
      <c r="BR142" s="398"/>
      <c r="BS142" s="398"/>
      <c r="BT142" s="398"/>
      <c r="BU142" s="398"/>
      <c r="BV142" s="398"/>
      <c r="BW142" s="398"/>
      <c r="BX142" s="398"/>
      <c r="BY142" s="398"/>
      <c r="BZ142" s="398"/>
      <c r="CA142" s="398"/>
      <c r="CB142" s="398"/>
      <c r="CC142" s="398"/>
      <c r="CD142" s="398"/>
      <c r="CE142" s="398"/>
      <c r="CF142" s="398"/>
      <c r="CG142" s="398"/>
      <c r="CH142" s="398"/>
      <c r="CI142" s="398"/>
      <c r="CJ142" s="398"/>
      <c r="CK142" s="398"/>
      <c r="CL142" s="398"/>
      <c r="CM142" s="398"/>
      <c r="CN142" s="398"/>
      <c r="CO142" s="398"/>
      <c r="CP142" s="398"/>
      <c r="CQ142" s="398"/>
      <c r="CR142" s="398"/>
      <c r="CS142" s="398"/>
      <c r="CT142" s="398"/>
      <c r="CU142" s="398"/>
      <c r="CV142" s="398"/>
      <c r="CW142" s="398"/>
      <c r="CX142" s="398"/>
      <c r="CY142" s="398"/>
      <c r="CZ142" s="398"/>
      <c r="DA142" s="398"/>
      <c r="DB142" s="398"/>
      <c r="DC142" s="398"/>
      <c r="DD142" s="398"/>
      <c r="DE142" s="398"/>
      <c r="DF142" s="398"/>
      <c r="DG142" s="398"/>
      <c r="DH142" s="398"/>
      <c r="DI142" s="398"/>
      <c r="DJ142" s="398"/>
      <c r="DK142" s="398"/>
    </row>
    <row r="143" spans="1:115" x14ac:dyDescent="0.3"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</row>
    <row r="144" spans="1:115" x14ac:dyDescent="0.3">
      <c r="B144" s="13" t="s">
        <v>82</v>
      </c>
      <c r="C144" s="3"/>
      <c r="D144" s="3"/>
      <c r="E144" s="3"/>
      <c r="F144" s="3"/>
      <c r="G144" s="3"/>
      <c r="H144" s="3"/>
      <c r="I144" s="352">
        <f>I48</f>
        <v>4686</v>
      </c>
      <c r="J144" s="352">
        <f>J48</f>
        <v>4850</v>
      </c>
      <c r="K144" s="352">
        <f>K48</f>
        <v>5254</v>
      </c>
      <c r="L144" s="352">
        <f>L48</f>
        <v>4669</v>
      </c>
      <c r="M144" s="352">
        <f>I144+J144+K144+L144</f>
        <v>19459</v>
      </c>
      <c r="N144" s="3"/>
      <c r="O144" s="352">
        <f>O48</f>
        <v>4812</v>
      </c>
      <c r="P144" s="352">
        <f>P48</f>
        <v>5258</v>
      </c>
      <c r="Q144" s="352">
        <f>Q48</f>
        <v>5528</v>
      </c>
      <c r="R144" s="352">
        <f>R48</f>
        <v>5070</v>
      </c>
      <c r="S144" s="352">
        <f>O144+P144+Q144+R144</f>
        <v>20668</v>
      </c>
      <c r="T144" s="3"/>
      <c r="U144" s="352">
        <f>U48</f>
        <v>4890</v>
      </c>
      <c r="V144" s="352">
        <f>V48</f>
        <v>5012</v>
      </c>
      <c r="W144" s="352">
        <f>W48</f>
        <v>5021.3769493199998</v>
      </c>
      <c r="X144" s="352">
        <f>X48</f>
        <v>4550.1881583300001</v>
      </c>
      <c r="Y144" s="352">
        <f>U144+V144+W144+X144</f>
        <v>19473.56510765</v>
      </c>
      <c r="AA144" s="352">
        <f>AA48</f>
        <v>4483.4903934062904</v>
      </c>
      <c r="AB144" s="352">
        <f>AB48</f>
        <v>4686.4428158197516</v>
      </c>
      <c r="AC144" s="352">
        <f>AC48</f>
        <v>4908.3222511773256</v>
      </c>
      <c r="AD144" s="352">
        <f>AD48</f>
        <v>4607.3389134814388</v>
      </c>
      <c r="AE144" s="352">
        <f>AA144+AB144+AC144+AD144</f>
        <v>18685.594373884807</v>
      </c>
      <c r="AG144" s="352">
        <f>AG48</f>
        <v>4482.4293507453212</v>
      </c>
      <c r="AH144" s="352">
        <f>AH48</f>
        <v>4701.3899998661755</v>
      </c>
      <c r="AI144" s="352">
        <f>AI48</f>
        <v>4781.7655475601705</v>
      </c>
      <c r="AJ144" s="352">
        <f>AJ48</f>
        <v>4008.1347562730416</v>
      </c>
      <c r="AK144" s="352">
        <f>AG144+AH144+AI144+AJ144</f>
        <v>17973.719654444707</v>
      </c>
      <c r="AM144" s="352">
        <f>AM48</f>
        <v>4287.650493314648</v>
      </c>
      <c r="AN144" s="352">
        <f>AN48</f>
        <v>4417.2278325412608</v>
      </c>
      <c r="AO144" s="352">
        <f>AO48</f>
        <v>4658.9521182909684</v>
      </c>
      <c r="AP144" s="352">
        <f>AP48</f>
        <v>4060.0427094715833</v>
      </c>
      <c r="AQ144" s="352">
        <f>AM144+AN144+AO144+AP144</f>
        <v>17423.87315361846</v>
      </c>
      <c r="AS144" s="352">
        <f>AS48</f>
        <v>4121.2308061819085</v>
      </c>
      <c r="AT144" s="352">
        <f>AT48</f>
        <v>4428.5932850750251</v>
      </c>
      <c r="AU144" s="352">
        <f>AU48</f>
        <v>4575.1195755446242</v>
      </c>
      <c r="AV144" s="352">
        <f>AV48</f>
        <v>4444.3918906932777</v>
      </c>
      <c r="AW144" s="352">
        <f>AS144+AT144+AU144+AV144</f>
        <v>17569.335557494836</v>
      </c>
      <c r="AY144" s="352">
        <f>AY48</f>
        <v>4574.2791756144306</v>
      </c>
      <c r="AZ144" s="352">
        <f>AZ48</f>
        <v>5026.3986160500954</v>
      </c>
      <c r="BA144" s="352">
        <f>BA48</f>
        <v>5165.0109024788635</v>
      </c>
      <c r="BB144" s="352">
        <f>BB48</f>
        <v>5142.9037951975661</v>
      </c>
      <c r="BC144" s="352">
        <f>AY144+AZ144+BA144+BB144</f>
        <v>19908.592489340954</v>
      </c>
      <c r="BE144" s="352">
        <f>BE48</f>
        <v>5162.812730543088</v>
      </c>
      <c r="BF144" s="352">
        <f>BF48</f>
        <v>5456.9343592920904</v>
      </c>
      <c r="BG144" s="352">
        <f>BG48</f>
        <v>5534.5283099045992</v>
      </c>
      <c r="BH144" s="352">
        <f>BH48</f>
        <v>5264.977851483859</v>
      </c>
      <c r="BI144" s="352">
        <f>BE144+BF144+BG144+BH144</f>
        <v>21419.253251223636</v>
      </c>
      <c r="BK144" s="352">
        <f>BK48</f>
        <v>5550.4011962618151</v>
      </c>
      <c r="BL144" s="352">
        <f>BL48</f>
        <v>5943.8116310511377</v>
      </c>
      <c r="BM144" s="352">
        <f>BM48</f>
        <v>5719.8957281848889</v>
      </c>
      <c r="BN144" s="352">
        <f>BN48</f>
        <v>5014.5986583938084</v>
      </c>
      <c r="BO144" s="352">
        <f>BK144+BL144+BM144+BN144</f>
        <v>22228.707213891648</v>
      </c>
      <c r="BQ144" s="352">
        <f>BQ48</f>
        <v>5518.8097690673385</v>
      </c>
      <c r="BR144" s="352">
        <f>BR48</f>
        <v>5967.7684535505086</v>
      </c>
      <c r="BS144" s="352">
        <f>BS48</f>
        <v>5868.8451937845402</v>
      </c>
      <c r="BT144" s="352">
        <f ca="1">BT48</f>
        <v>5183.0948662348846</v>
      </c>
      <c r="BU144" s="352">
        <f ca="1">BQ144+BR144+BS144+BT144</f>
        <v>22538.518282637273</v>
      </c>
      <c r="BW144" s="352">
        <f>BW48</f>
        <v>5739.043699176651</v>
      </c>
      <c r="BX144" s="352">
        <f>BX48</f>
        <v>6225.9620369190861</v>
      </c>
      <c r="BY144" s="352">
        <f>BY48</f>
        <v>6142.4708235792932</v>
      </c>
      <c r="BZ144" s="352">
        <f ca="1">BZ48</f>
        <v>5445.6723117311303</v>
      </c>
      <c r="CA144" s="352">
        <f ca="1">BW144+BX144+BY144+BZ144</f>
        <v>23553.14887140616</v>
      </c>
      <c r="CC144" s="352">
        <f>CC48</f>
        <v>5986.0058579834022</v>
      </c>
      <c r="CD144" s="352">
        <f>CD48</f>
        <v>6496.5105411621826</v>
      </c>
      <c r="CE144" s="352">
        <f>CE48</f>
        <v>6395.6882892566746</v>
      </c>
      <c r="CF144" s="352">
        <f ca="1">CF48</f>
        <v>5701.4666422281207</v>
      </c>
      <c r="CG144" s="352">
        <f ca="1">CC144+CD144+CE144+CF144</f>
        <v>24579.671330630379</v>
      </c>
      <c r="CI144" s="352">
        <f>CI48</f>
        <v>6222.4629186964303</v>
      </c>
      <c r="CJ144" s="352">
        <f>CJ48</f>
        <v>6750.4578478258736</v>
      </c>
      <c r="CK144" s="352">
        <f>CK48</f>
        <v>6646.9229612818663</v>
      </c>
      <c r="CL144" s="352">
        <f ca="1">CL48</f>
        <v>5956.6185308953827</v>
      </c>
      <c r="CM144" s="352">
        <f ca="1">CI144+CJ144+CK144+CL144</f>
        <v>25576.462258699554</v>
      </c>
      <c r="CO144" s="352">
        <f>CO48</f>
        <v>6437.821675860604</v>
      </c>
      <c r="CP144" s="352">
        <f>CP48</f>
        <v>6985.8504685034013</v>
      </c>
      <c r="CQ144" s="352">
        <f>CQ48</f>
        <v>6884.2136956187487</v>
      </c>
      <c r="CR144" s="352">
        <f ca="1">CR48</f>
        <v>6190.1087676378183</v>
      </c>
      <c r="CS144" s="352">
        <f ca="1">CO144+CP144+CQ144+CR144</f>
        <v>26497.994607620574</v>
      </c>
      <c r="CU144" s="352">
        <f>CU48</f>
        <v>6627.0907566626738</v>
      </c>
      <c r="CV144" s="352">
        <f>CV48</f>
        <v>7190.086886200449</v>
      </c>
      <c r="CW144" s="352">
        <f>CW48</f>
        <v>7091.0932122839822</v>
      </c>
      <c r="CX144" s="352">
        <f ca="1">CX48</f>
        <v>6393.705754870125</v>
      </c>
      <c r="CY144" s="352">
        <f ca="1">CU144+CV144+CW144+CX144</f>
        <v>27301.976610017235</v>
      </c>
      <c r="CZ144" s="2"/>
      <c r="DA144" s="352">
        <f>DA48</f>
        <v>6822.853161517347</v>
      </c>
      <c r="DB144" s="352">
        <f>DB48</f>
        <v>7400.8483341337032</v>
      </c>
      <c r="DC144" s="352">
        <f>DC48</f>
        <v>7305.5607143471789</v>
      </c>
      <c r="DD144" s="352">
        <f ca="1">DD48</f>
        <v>6602.4451286619233</v>
      </c>
      <c r="DE144" s="352">
        <f ca="1">DA144+DB144+DC144+DD144</f>
        <v>28131.707338660151</v>
      </c>
      <c r="DF144" s="2"/>
      <c r="DG144" s="352">
        <f>DG48</f>
        <v>6982.6735209527405</v>
      </c>
      <c r="DH144" s="352">
        <f>DH48</f>
        <v>7571.0456478595142</v>
      </c>
      <c r="DI144" s="352">
        <f>DI48</f>
        <v>7479.5188705458131</v>
      </c>
      <c r="DJ144" s="352">
        <f ca="1">DJ48</f>
        <v>6772.5982512567562</v>
      </c>
      <c r="DK144" s="352">
        <f ca="1">DG144+DH144+DI144+DJ144</f>
        <v>28805.836290614825</v>
      </c>
    </row>
    <row r="145" spans="2:115" x14ac:dyDescent="0.3">
      <c r="V145" s="98"/>
      <c r="W145" s="98"/>
      <c r="AJ145" s="98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</row>
    <row r="146" spans="2:115" x14ac:dyDescent="0.3">
      <c r="B146" s="1" t="s">
        <v>292</v>
      </c>
      <c r="I146" s="98">
        <v>2657</v>
      </c>
      <c r="J146" s="98">
        <v>2688</v>
      </c>
      <c r="K146" s="98">
        <v>2581</v>
      </c>
      <c r="L146" s="98">
        <v>2713</v>
      </c>
      <c r="M146" s="98">
        <f>I146+J146+K146+L146</f>
        <v>10639</v>
      </c>
      <c r="N146" s="98"/>
      <c r="O146" s="98">
        <v>2895</v>
      </c>
      <c r="P146" s="98">
        <v>3000</v>
      </c>
      <c r="Q146" s="98">
        <v>2885</v>
      </c>
      <c r="R146" s="98">
        <v>2730</v>
      </c>
      <c r="S146" s="98">
        <f>O146+P146+Q146+R146</f>
        <v>11510</v>
      </c>
      <c r="T146" s="98"/>
      <c r="U146" s="98">
        <v>2660</v>
      </c>
      <c r="V146" s="98">
        <v>2765</v>
      </c>
      <c r="W146" s="98">
        <v>2816</v>
      </c>
      <c r="X146" s="98">
        <v>2868</v>
      </c>
      <c r="Y146" s="98">
        <f>U146+V146+W146+X146</f>
        <v>11109</v>
      </c>
      <c r="AA146" s="98">
        <f>U146*(1+AA147)</f>
        <v>2654.4140000000002</v>
      </c>
      <c r="AB146" s="98">
        <f ca="1">AB158+AB156</f>
        <v>2747.6193000000003</v>
      </c>
      <c r="AC146" s="98">
        <f>AC158+AC156</f>
        <v>2778.1824999999999</v>
      </c>
      <c r="AD146" s="98">
        <v>2899</v>
      </c>
      <c r="AE146" s="98">
        <f ca="1">AA146+AB146+AC146+AD146</f>
        <v>11079.215800000002</v>
      </c>
      <c r="AG146" s="98">
        <v>2734</v>
      </c>
      <c r="AH146" s="98">
        <v>2797</v>
      </c>
      <c r="AI146" s="98">
        <f>13399-10589</f>
        <v>2810</v>
      </c>
      <c r="AJ146" s="98">
        <v>2653</v>
      </c>
      <c r="AK146" s="98">
        <f>AG146+AH146+AI146+AJ146</f>
        <v>10994</v>
      </c>
      <c r="AM146" s="98">
        <v>2373</v>
      </c>
      <c r="AN146" s="98">
        <f>AN161</f>
        <v>2508</v>
      </c>
      <c r="AO146" s="98">
        <f>AO161</f>
        <v>2571</v>
      </c>
      <c r="AP146" s="98">
        <f>AP161</f>
        <v>2721</v>
      </c>
      <c r="AQ146" s="98">
        <f>AM146+AN146+AO146+AP146</f>
        <v>10173</v>
      </c>
      <c r="AS146" s="98">
        <f>AS161</f>
        <v>2496</v>
      </c>
      <c r="AT146" s="98">
        <f>AT161</f>
        <v>2635</v>
      </c>
      <c r="AU146" s="98">
        <f>AU161</f>
        <v>2649</v>
      </c>
      <c r="AV146" s="98">
        <f>AV161</f>
        <v>2734</v>
      </c>
      <c r="AW146" s="98">
        <f>AS146+AT146+AU146+AV146</f>
        <v>10514</v>
      </c>
      <c r="AY146" s="98">
        <f>AY161</f>
        <v>2684</v>
      </c>
      <c r="AZ146" s="98">
        <f>AZ161</f>
        <v>2679</v>
      </c>
      <c r="BA146" s="98">
        <f>BA161</f>
        <v>2775</v>
      </c>
      <c r="BB146" s="98">
        <f>BB161</f>
        <v>3097</v>
      </c>
      <c r="BC146" s="98">
        <f>AY146+AZ146+BA146+BB146</f>
        <v>11235</v>
      </c>
      <c r="BE146" s="98">
        <f>BE161</f>
        <v>3142</v>
      </c>
      <c r="BF146" s="98">
        <f>BF161</f>
        <v>3151</v>
      </c>
      <c r="BG146" s="98">
        <f>BG161</f>
        <v>3163</v>
      </c>
      <c r="BH146" s="98">
        <f>BH161</f>
        <v>3301</v>
      </c>
      <c r="BI146" s="98">
        <f>BE146+BF146+BG146+BH146</f>
        <v>12757</v>
      </c>
      <c r="BK146" s="98">
        <v>3191</v>
      </c>
      <c r="BL146" s="98">
        <f>BL161</f>
        <v>3154</v>
      </c>
      <c r="BM146" s="98">
        <f>BM161</f>
        <v>2975</v>
      </c>
      <c r="BN146" s="98">
        <f>BN161</f>
        <v>3152</v>
      </c>
      <c r="BO146" s="98">
        <f>BK146+BL146+BM146+BN146</f>
        <v>12472</v>
      </c>
      <c r="BQ146" s="98">
        <f>BQ161</f>
        <v>2876.5816666666669</v>
      </c>
      <c r="BR146" s="98">
        <f>BR161</f>
        <v>2850.9045081967211</v>
      </c>
      <c r="BS146" s="98">
        <f>BS161</f>
        <v>2764.2621311475409</v>
      </c>
      <c r="BT146" s="98">
        <f>BT161</f>
        <v>2890.9599180327868</v>
      </c>
      <c r="BU146" s="98">
        <f>BQ146+BR146+BS146+BT146</f>
        <v>11382.708224043716</v>
      </c>
      <c r="BW146" s="98">
        <f>BW161</f>
        <v>2863.3327651639347</v>
      </c>
      <c r="BX146" s="98">
        <f>BX161</f>
        <v>2849.5693770491798</v>
      </c>
      <c r="BY146" s="98">
        <f>BY161</f>
        <v>2755.5141827868847</v>
      </c>
      <c r="BZ146" s="98">
        <f>BZ161</f>
        <v>2872.1067545081964</v>
      </c>
      <c r="CA146" s="98">
        <f>BW146+BX146+BY146+BZ146</f>
        <v>11340.523079508195</v>
      </c>
      <c r="CC146" s="98">
        <f>CC161</f>
        <v>2862.4314039180326</v>
      </c>
      <c r="CD146" s="98">
        <f>CD161</f>
        <v>2847.6051652254091</v>
      </c>
      <c r="CE146" s="98">
        <f>CE161</f>
        <v>2754.6083356065574</v>
      </c>
      <c r="CF146" s="98">
        <f>CF161</f>
        <v>2869.2920028709013</v>
      </c>
      <c r="CG146" s="98">
        <f>CC146+CD146+CE146+CF146</f>
        <v>11333.9369076209</v>
      </c>
      <c r="CI146" s="98">
        <f>CI161</f>
        <v>2878.7427548634832</v>
      </c>
      <c r="CJ146" s="98">
        <f>CJ161</f>
        <v>2862.9980008810444</v>
      </c>
      <c r="CK146" s="98">
        <f>CK161</f>
        <v>2770.2752335517207</v>
      </c>
      <c r="CL146" s="98">
        <f>CL161</f>
        <v>2884.1492468726738</v>
      </c>
      <c r="CM146" s="98">
        <f>CI146+CJ146+CK146+CL146</f>
        <v>11396.165236168921</v>
      </c>
      <c r="CO146" s="98">
        <f>CO161</f>
        <v>2889.4345186942028</v>
      </c>
      <c r="CP146" s="98">
        <f>CP161</f>
        <v>2872.9099718641655</v>
      </c>
      <c r="CQ146" s="98">
        <f>CQ161</f>
        <v>2780.5381719308552</v>
      </c>
      <c r="CR146" s="98">
        <f>CR161</f>
        <v>2893.569684230727</v>
      </c>
      <c r="CS146" s="98">
        <f>CO146+CP146+CQ146+CR146</f>
        <v>11436.452346719951</v>
      </c>
      <c r="CU146" s="98">
        <f>CU161</f>
        <v>2887.3860236452219</v>
      </c>
      <c r="CV146" s="98">
        <f>CV161</f>
        <v>2870.3893988200371</v>
      </c>
      <c r="CW146" s="98">
        <f>CW161</f>
        <v>2778.5494598975092</v>
      </c>
      <c r="CX146" s="98">
        <f>CX161</f>
        <v>2890.6520996706304</v>
      </c>
      <c r="CY146" s="98">
        <f>CU146+CV146+CW146+CX146</f>
        <v>11426.9769820334</v>
      </c>
      <c r="CZ146" s="2"/>
      <c r="DA146" s="98">
        <f>DA161</f>
        <v>2885.6264720481104</v>
      </c>
      <c r="DB146" s="98">
        <f>DB161</f>
        <v>2868.1561167730952</v>
      </c>
      <c r="DC146" s="98">
        <f>DC161</f>
        <v>2776.8388016813569</v>
      </c>
      <c r="DD146" s="98">
        <f>DD161</f>
        <v>2888.0238720789566</v>
      </c>
      <c r="DE146" s="98">
        <f>DA146+DB146+DC146+DD146</f>
        <v>11418.645262581518</v>
      </c>
      <c r="DF146" s="2"/>
      <c r="DG146" s="98">
        <f>DG161</f>
        <v>2884.1556590533633</v>
      </c>
      <c r="DH146" s="98">
        <f>DH161</f>
        <v>2866.2098736660355</v>
      </c>
      <c r="DI146" s="98">
        <f>DI161</f>
        <v>2775.4059984111946</v>
      </c>
      <c r="DJ146" s="98">
        <f>DJ161</f>
        <v>2885.6847096972506</v>
      </c>
      <c r="DK146" s="98">
        <f>DG146+DH146+DI146+DJ146</f>
        <v>11411.456240827845</v>
      </c>
    </row>
    <row r="147" spans="2:115" x14ac:dyDescent="0.3">
      <c r="B147" s="1" t="s">
        <v>74</v>
      </c>
      <c r="I147" s="2" t="s">
        <v>35</v>
      </c>
      <c r="J147" s="2" t="s">
        <v>35</v>
      </c>
      <c r="K147" s="2" t="s">
        <v>35</v>
      </c>
      <c r="L147" s="2" t="s">
        <v>35</v>
      </c>
      <c r="M147" s="2" t="s">
        <v>35</v>
      </c>
      <c r="O147" s="36">
        <f>O146/I146-1</f>
        <v>8.9574708317651464E-2</v>
      </c>
      <c r="P147" s="36">
        <f>P146/J146-1</f>
        <v>0.1160714285714286</v>
      </c>
      <c r="Q147" s="36">
        <f>Q146/K146-1</f>
        <v>0.11778380472685002</v>
      </c>
      <c r="R147" s="36">
        <f>R146/L146-1</f>
        <v>6.2661260597125512E-3</v>
      </c>
      <c r="S147" s="36">
        <f>S146/M146-1</f>
        <v>8.1868596672619587E-2</v>
      </c>
      <c r="U147" s="36">
        <f>U146/O146-1</f>
        <v>-8.1174438687392048E-2</v>
      </c>
      <c r="V147" s="36">
        <f>V146/P146-1</f>
        <v>-7.8333333333333366E-2</v>
      </c>
      <c r="W147" s="36">
        <f>W146/Q146-1</f>
        <v>-2.3916811091854395E-2</v>
      </c>
      <c r="X147" s="36">
        <f>X146/R146-1</f>
        <v>5.0549450549450592E-2</v>
      </c>
      <c r="Y147" s="36">
        <f>Y146/S146-1</f>
        <v>-3.4839270199826244E-2</v>
      </c>
      <c r="AA147" s="357">
        <v>-2.0999999999999999E-3</v>
      </c>
      <c r="AB147" s="357">
        <f ca="1">AB146/V146-1</f>
        <v>-6.2859674502711016E-3</v>
      </c>
      <c r="AC147" s="357">
        <f>AC146/W146-1</f>
        <v>-1.3429509943181817E-2</v>
      </c>
      <c r="AD147" s="357">
        <f>AD146/X146-1</f>
        <v>1.0808926080892567E-2</v>
      </c>
      <c r="AE147" s="36">
        <f ca="1">AE146/Y146-1</f>
        <v>-2.6810874066071078E-3</v>
      </c>
      <c r="AG147" s="357">
        <f>AG146/AA146-1</f>
        <v>2.9982512147690432E-2</v>
      </c>
      <c r="AH147" s="357">
        <f ca="1">AH146/AB146-1</f>
        <v>1.7972176858708E-2</v>
      </c>
      <c r="AI147" s="357">
        <f>AI146/AC146-1</f>
        <v>1.1452631351612119E-2</v>
      </c>
      <c r="AJ147" s="357">
        <f>AJ146/AD146-1</f>
        <v>-8.4856847188685802E-2</v>
      </c>
      <c r="AK147" s="36">
        <f ca="1">AK146/AE146-1</f>
        <v>-7.6915010537119688E-3</v>
      </c>
      <c r="AM147" s="357">
        <f>AM146/AG146-1</f>
        <v>-0.13204096561814194</v>
      </c>
      <c r="AN147" s="357">
        <f>AN146/AH146-1</f>
        <v>-0.103324991061852</v>
      </c>
      <c r="AO147" s="357">
        <f>AO146/AI146-1</f>
        <v>-8.5053380782918131E-2</v>
      </c>
      <c r="AP147" s="357">
        <f>AP146/AJ146-1</f>
        <v>2.5631360723709085E-2</v>
      </c>
      <c r="AQ147" s="36">
        <f>AQ146/AK146-1</f>
        <v>-7.4677096598144477E-2</v>
      </c>
      <c r="AS147" s="357">
        <f>AS146/AM146-1</f>
        <v>5.1833122629582729E-2</v>
      </c>
      <c r="AT147" s="357">
        <f>AT146/AN146-1</f>
        <v>5.0637958532695482E-2</v>
      </c>
      <c r="AU147" s="357">
        <f>AU146/AO146-1</f>
        <v>3.033838973162184E-2</v>
      </c>
      <c r="AV147" s="357">
        <f>AV146/AP146-1</f>
        <v>4.7776552737963662E-3</v>
      </c>
      <c r="AW147" s="36">
        <f>AW146/AQ146-1</f>
        <v>3.3520102231396898E-2</v>
      </c>
      <c r="AY147" s="357">
        <f>AY146/AS146-1</f>
        <v>7.5320512820512775E-2</v>
      </c>
      <c r="AZ147" s="357">
        <f>AZ146/AT146-1</f>
        <v>1.6698292220113764E-2</v>
      </c>
      <c r="BA147" s="357">
        <f>BA146/AU146-1</f>
        <v>4.7565118912797244E-2</v>
      </c>
      <c r="BB147" s="357">
        <v>-2.5000000000000001E-2</v>
      </c>
      <c r="BC147" s="36">
        <f>BC146/AW146-1</f>
        <v>6.8575233022636572E-2</v>
      </c>
      <c r="BE147" s="357">
        <f>BE146/AY146-1</f>
        <v>0.1706408345752608</v>
      </c>
      <c r="BF147" s="357">
        <f>BF146/AZ146-1</f>
        <v>0.17618514371033966</v>
      </c>
      <c r="BG147" s="357">
        <f>BG146/BA146-1</f>
        <v>0.13981981981981972</v>
      </c>
      <c r="BH147" s="357">
        <f>BH146/BB146-1</f>
        <v>6.5870196964804562E-2</v>
      </c>
      <c r="BI147" s="36">
        <f>BI146/BC146-1</f>
        <v>0.13546951490876724</v>
      </c>
      <c r="BK147" s="357">
        <f>BK146/BE146-1</f>
        <v>1.5595162316995648E-2</v>
      </c>
      <c r="BL147" s="357">
        <f>BL146/BF146-1</f>
        <v>9.520787051728874E-4</v>
      </c>
      <c r="BM147" s="357">
        <f>BM146/BG146-1</f>
        <v>-5.9437243123616867E-2</v>
      </c>
      <c r="BN147" s="357">
        <f>BN146/BH146-1</f>
        <v>-4.5137837019085136E-2</v>
      </c>
      <c r="BO147" s="36">
        <f>BO146/BI146-1</f>
        <v>-2.2340675707454682E-2</v>
      </c>
      <c r="BQ147" s="357">
        <f>BQ146/BK146-1</f>
        <v>-9.8532852815209404E-2</v>
      </c>
      <c r="BR147" s="357">
        <f>BR146/BL146-1</f>
        <v>-9.6098760876118905E-2</v>
      </c>
      <c r="BS147" s="357">
        <f>BS146/BM146-1</f>
        <v>-7.0836258437801392E-2</v>
      </c>
      <c r="BT147" s="357">
        <f>BT146/BN146-1</f>
        <v>-8.2817284888075271E-2</v>
      </c>
      <c r="BU147" s="36">
        <f>BU146/BO146-1</f>
        <v>-8.7338981394827209E-2</v>
      </c>
      <c r="BW147" s="357">
        <f>BW146/BQ146-1</f>
        <v>-4.6057797198175709E-3</v>
      </c>
      <c r="BX147" s="357">
        <f>BX146/BR146-1</f>
        <v>-4.6831843848238464E-4</v>
      </c>
      <c r="BY147" s="357">
        <f>BY146/BS146-1</f>
        <v>-3.164659480765164E-3</v>
      </c>
      <c r="BZ147" s="357">
        <f>BZ146/BT146-1</f>
        <v>-6.5214198948214674E-3</v>
      </c>
      <c r="CA147" s="36">
        <f>CA146/BU146-1</f>
        <v>-3.7060727293714013E-3</v>
      </c>
      <c r="CC147" s="357">
        <f>CC146/BW146-1</f>
        <v>-3.1479444403681445E-4</v>
      </c>
      <c r="CD147" s="357">
        <f>CD146/BX146-1</f>
        <v>-6.8930128165700655E-4</v>
      </c>
      <c r="CE147" s="357">
        <f>CE146/BY146-1</f>
        <v>-3.2873979963010669E-4</v>
      </c>
      <c r="CF147" s="357">
        <f>CF146/BZ146-1</f>
        <v>-9.8003029757753879E-4</v>
      </c>
      <c r="CG147" s="36">
        <f>CG146/CA146-1</f>
        <v>-5.8076438283483078E-4</v>
      </c>
      <c r="CI147" s="357">
        <f>CI146/CC146-1</f>
        <v>5.6984250952263338E-3</v>
      </c>
      <c r="CJ147" s="357">
        <f>CJ146/CD146-1</f>
        <v>5.4055372014387704E-3</v>
      </c>
      <c r="CK147" s="357">
        <f>CK146/CE146-1</f>
        <v>5.6875228839796677E-3</v>
      </c>
      <c r="CL147" s="357">
        <f>CL146/CF146-1</f>
        <v>5.1780174297029191E-3</v>
      </c>
      <c r="CM147" s="36">
        <f>CM146/CG146-1</f>
        <v>5.4904424698341003E-3</v>
      </c>
      <c r="CO147" s="357">
        <f>CO146/CI146-1</f>
        <v>3.7140393363235269E-3</v>
      </c>
      <c r="CP147" s="357">
        <f>CP146/CJ146-1</f>
        <v>3.4620949717991678E-3</v>
      </c>
      <c r="CQ147" s="357">
        <f>CQ146/CK146-1</f>
        <v>3.7046638019344602E-3</v>
      </c>
      <c r="CR147" s="357">
        <f>CR146/CL146-1</f>
        <v>3.2662794299802567E-3</v>
      </c>
      <c r="CS147" s="36">
        <f>CS146/CM146-1</f>
        <v>3.5351462282389168E-3</v>
      </c>
      <c r="CU147" s="357">
        <f>CU146/CO146-1</f>
        <v>-7.0896053733948694E-4</v>
      </c>
      <c r="CV147" s="357">
        <f>CV146/CP146-1</f>
        <v>-8.7735886916529005E-4</v>
      </c>
      <c r="CW147" s="357">
        <f>CW146/CQ146-1</f>
        <v>-7.1522558237890888E-4</v>
      </c>
      <c r="CX147" s="357">
        <f>CX146/CR146-1</f>
        <v>-1.0082993943421048E-3</v>
      </c>
      <c r="CY147" s="36">
        <f>CY146/CS146-1</f>
        <v>-8.2852307684977422E-4</v>
      </c>
      <c r="CZ147" s="2"/>
      <c r="DA147" s="357">
        <f>DA146/CU146-1</f>
        <v>-6.0939257262537794E-4</v>
      </c>
      <c r="DB147" s="357">
        <f>DB146/CV146-1</f>
        <v>-7.7804149076776685E-4</v>
      </c>
      <c r="DC147" s="357">
        <f>DC146/CW146-1</f>
        <v>-6.1566592239659101E-4</v>
      </c>
      <c r="DD147" s="357">
        <f>DD146/CX146-1</f>
        <v>-9.092161564421275E-4</v>
      </c>
      <c r="DE147" s="36">
        <f>DE146/CY146-1</f>
        <v>-7.2912717554096673E-4</v>
      </c>
      <c r="DF147" s="2"/>
      <c r="DG147" s="357">
        <f>DG146/DA146-1</f>
        <v>-5.0970318195864284E-4</v>
      </c>
      <c r="DH147" s="357">
        <f>DH146/DB146-1</f>
        <v>-6.7856944595101609E-4</v>
      </c>
      <c r="DI147" s="357">
        <f>DI146/DC146-1</f>
        <v>-5.1598359591298326E-4</v>
      </c>
      <c r="DJ147" s="357">
        <f>DJ146/DD146-1</f>
        <v>-8.0995257841209867E-4</v>
      </c>
      <c r="DK147" s="36">
        <f>DK146/DE146-1</f>
        <v>-6.2958622396569464E-4</v>
      </c>
    </row>
    <row r="148" spans="2:115" x14ac:dyDescent="0.3">
      <c r="B148" s="1" t="s">
        <v>294</v>
      </c>
      <c r="I148" s="2" t="s">
        <v>35</v>
      </c>
      <c r="J148" s="36">
        <f>J146/I146-1</f>
        <v>1.1667293940534451E-2</v>
      </c>
      <c r="K148" s="36">
        <f>K146/J146-1</f>
        <v>-3.9806547619047672E-2</v>
      </c>
      <c r="L148" s="36">
        <f>L146/K146-1</f>
        <v>5.1142967841921738E-2</v>
      </c>
      <c r="M148" s="2" t="s">
        <v>35</v>
      </c>
      <c r="O148" s="36">
        <f>O146/L146-1</f>
        <v>6.7084408403980778E-2</v>
      </c>
      <c r="P148" s="36">
        <f>P146/O146-1</f>
        <v>3.6269430051813378E-2</v>
      </c>
      <c r="Q148" s="36">
        <f>Q146/P146-1</f>
        <v>-3.833333333333333E-2</v>
      </c>
      <c r="R148" s="36">
        <f>R146/Q146-1</f>
        <v>-5.3726169844020788E-2</v>
      </c>
      <c r="S148" s="36" t="s">
        <v>35</v>
      </c>
      <c r="U148" s="36">
        <f>U146/R146-1</f>
        <v>-2.5641025641025661E-2</v>
      </c>
      <c r="V148" s="36">
        <f>V146/U146-1</f>
        <v>3.9473684210526327E-2</v>
      </c>
      <c r="W148" s="36">
        <f>W146/V146-1</f>
        <v>1.8444846292947625E-2</v>
      </c>
      <c r="X148" s="36">
        <f>X146/W146-1</f>
        <v>1.8465909090909172E-2</v>
      </c>
      <c r="Y148" s="36" t="s">
        <v>35</v>
      </c>
      <c r="AA148" s="36">
        <f>AA146/X146-1</f>
        <v>-7.4472105997210547E-2</v>
      </c>
      <c r="AB148" s="36">
        <f ca="1">AB146/AA146-1</f>
        <v>3.5113324447505256E-2</v>
      </c>
      <c r="AC148" s="36">
        <f ca="1">AC146/AB146-1</f>
        <v>1.112352064203348E-2</v>
      </c>
      <c r="AD148" s="36">
        <f>AD146/AC146-1</f>
        <v>4.3487963803673813E-2</v>
      </c>
      <c r="AE148" s="36" t="s">
        <v>35</v>
      </c>
      <c r="AG148" s="36">
        <f>AG146/AD146-1</f>
        <v>-5.6916177992411221E-2</v>
      </c>
      <c r="AH148" s="36">
        <f>AH146/AG146-1</f>
        <v>2.3043160204827995E-2</v>
      </c>
      <c r="AI148" s="36">
        <f>AI146/AH146-1</f>
        <v>4.6478369681801635E-3</v>
      </c>
      <c r="AJ148" s="36">
        <f>AJ146/AI146-1</f>
        <v>-5.5871886120996472E-2</v>
      </c>
      <c r="AK148" s="36" t="s">
        <v>35</v>
      </c>
      <c r="AM148" s="36">
        <f>AM146/AJ146-1</f>
        <v>-0.10554089709762537</v>
      </c>
      <c r="AN148" s="36">
        <f>AN146/AM146-1</f>
        <v>5.689001264222493E-2</v>
      </c>
      <c r="AO148" s="36">
        <f>AO146/AN146-1</f>
        <v>2.5119617224880431E-2</v>
      </c>
      <c r="AP148" s="36">
        <f>AP146/AO146-1</f>
        <v>5.8343057176196034E-2</v>
      </c>
      <c r="AQ148" s="36" t="s">
        <v>35</v>
      </c>
      <c r="AS148" s="36">
        <f>AS146/AP146-1</f>
        <v>-8.2690187431091466E-2</v>
      </c>
      <c r="AT148" s="36">
        <f>AT146/AS146-1</f>
        <v>5.5689102564102644E-2</v>
      </c>
      <c r="AU148" s="36">
        <f>AU146/AT146-1</f>
        <v>5.3130929791271875E-3</v>
      </c>
      <c r="AV148" s="36">
        <f>AV146/AU146-1</f>
        <v>3.208758021895064E-2</v>
      </c>
      <c r="AW148" s="36" t="s">
        <v>35</v>
      </c>
      <c r="AY148" s="36">
        <f>AY146/AV146-1</f>
        <v>-1.8288222384784225E-2</v>
      </c>
      <c r="AZ148" s="36">
        <f>AZ146/AY146-1</f>
        <v>-1.8628912071535497E-3</v>
      </c>
      <c r="BA148" s="36">
        <f>BA146/AZ146-1</f>
        <v>3.5834266517357216E-2</v>
      </c>
      <c r="BB148" s="36">
        <f>BB146/BA146-1</f>
        <v>0.11603603603603596</v>
      </c>
      <c r="BC148" s="36" t="s">
        <v>35</v>
      </c>
      <c r="BE148" s="36">
        <f>BE146/BB146-1</f>
        <v>1.4530190506942153E-2</v>
      </c>
      <c r="BF148" s="36">
        <f>BF146/BE146-1</f>
        <v>2.8644175684278128E-3</v>
      </c>
      <c r="BG148" s="36">
        <f>BG146/BF146-1</f>
        <v>3.8083148206917716E-3</v>
      </c>
      <c r="BH148" s="36">
        <f>BH146/BG146-1</f>
        <v>4.3629465697123004E-2</v>
      </c>
      <c r="BI148" s="36" t="s">
        <v>35</v>
      </c>
      <c r="BK148" s="36">
        <f>BK146/BH146-1</f>
        <v>-3.3323235383217242E-2</v>
      </c>
      <c r="BL148" s="36">
        <f>BL146/BK146-1</f>
        <v>-1.1595111250391699E-2</v>
      </c>
      <c r="BM148" s="36">
        <f>BM146/BL146-1</f>
        <v>-5.6753329105897254E-2</v>
      </c>
      <c r="BN148" s="36">
        <f>BN146/BM146-1</f>
        <v>5.9495798319327831E-2</v>
      </c>
      <c r="BO148" s="36" t="s">
        <v>35</v>
      </c>
      <c r="BQ148" s="36">
        <f>BQ146/BN146-1</f>
        <v>-8.737891285956001E-2</v>
      </c>
      <c r="BR148" s="36">
        <f>BR146/BQ146-1</f>
        <v>-8.9262748099553368E-3</v>
      </c>
      <c r="BS148" s="36">
        <f>BS146/BR146-1</f>
        <v>-3.0391188761346499E-2</v>
      </c>
      <c r="BT148" s="36">
        <f>BT146/BS146-1</f>
        <v>4.5834215741561879E-2</v>
      </c>
      <c r="BU148" s="36" t="s">
        <v>35</v>
      </c>
      <c r="BW148" s="36">
        <f>BW146/BT146-1</f>
        <v>-9.5563942953770242E-3</v>
      </c>
      <c r="BX148" s="36">
        <f>BX146/BW146-1</f>
        <v>-4.8067721231020988E-3</v>
      </c>
      <c r="BY148" s="36">
        <f>BY146/BX146-1</f>
        <v>-3.3006809737579412E-2</v>
      </c>
      <c r="BZ148" s="36">
        <f>BZ146/BY146-1</f>
        <v>4.2312455675111771E-2</v>
      </c>
      <c r="CA148" s="36" t="s">
        <v>35</v>
      </c>
      <c r="CC148" s="36">
        <f>CC146/BZ146-1</f>
        <v>-3.368729443979368E-3</v>
      </c>
      <c r="CD148" s="36">
        <f>CD146/CC146-1</f>
        <v>-5.1795961546291513E-3</v>
      </c>
      <c r="CE148" s="36">
        <f>CE146/CD146-1</f>
        <v>-3.2657908741885011E-2</v>
      </c>
      <c r="CF148" s="36">
        <f>CF146/CE146-1</f>
        <v>4.1633384239030402E-2</v>
      </c>
      <c r="CG148" s="36" t="s">
        <v>35</v>
      </c>
      <c r="CI148" s="36">
        <f>CI146/CF146-1</f>
        <v>3.2937574785438795E-3</v>
      </c>
      <c r="CJ148" s="36">
        <f>CJ146/CI146-1</f>
        <v>-5.4693160602276025E-3</v>
      </c>
      <c r="CK148" s="36">
        <f>CK146/CJ146-1</f>
        <v>-3.2386598698563418E-2</v>
      </c>
      <c r="CL148" s="36">
        <f>CL146/CK146-1</f>
        <v>4.1105667748022823E-2</v>
      </c>
      <c r="CM148" s="36" t="s">
        <v>35</v>
      </c>
      <c r="CO148" s="36">
        <f>CO146/CL146-1</f>
        <v>1.8325236903948827E-3</v>
      </c>
      <c r="CP148" s="36">
        <f>CP146/CO146-1</f>
        <v>-5.718955291468264E-3</v>
      </c>
      <c r="CQ148" s="36">
        <f>CQ146/CP146-1</f>
        <v>-3.2152695642381102E-2</v>
      </c>
      <c r="CR148" s="36">
        <f>CR146/CQ146-1</f>
        <v>4.0650947877971744E-2</v>
      </c>
      <c r="CS148" s="36" t="s">
        <v>35</v>
      </c>
      <c r="CU148" s="36">
        <f>CU146/CR146-1</f>
        <v>-2.1370353094326555E-3</v>
      </c>
      <c r="CV148" s="36">
        <f>CV146/CU146-1</f>
        <v>-5.8865093499784749E-3</v>
      </c>
      <c r="CW148" s="36">
        <f>CW146/CV146-1</f>
        <v>-3.1995637581535674E-2</v>
      </c>
      <c r="CX148" s="36">
        <f>CX146/CW146-1</f>
        <v>4.0345742046735467E-2</v>
      </c>
      <c r="CY148" s="36" t="s">
        <v>35</v>
      </c>
      <c r="CZ148" s="2"/>
      <c r="DA148" s="36">
        <f>DA146/CX146-1</f>
        <v>-1.7385792026278768E-3</v>
      </c>
      <c r="DB148" s="36">
        <f>DB146/DA146-1</f>
        <v>-6.0542677454076266E-3</v>
      </c>
      <c r="DC148" s="36">
        <f>DC146/DB146-1</f>
        <v>-3.1838334935016532E-2</v>
      </c>
      <c r="DD148" s="36">
        <f>DD146/DC146-1</f>
        <v>4.0040160174324102E-2</v>
      </c>
      <c r="DE148" s="36" t="s">
        <v>35</v>
      </c>
      <c r="DF148" s="2"/>
      <c r="DG148" s="36">
        <f>DG146/DD146-1</f>
        <v>-1.3393978709770327E-3</v>
      </c>
      <c r="DH148" s="36">
        <f>DH146/DG146-1</f>
        <v>-6.2221972420233307E-3</v>
      </c>
      <c r="DI148" s="36">
        <f>DI146/DH146-1</f>
        <v>-3.1680818661997678E-2</v>
      </c>
      <c r="DJ148" s="36">
        <f>DJ146/DI146-1</f>
        <v>3.9734262788646335E-2</v>
      </c>
      <c r="DK148" s="36" t="s">
        <v>35</v>
      </c>
    </row>
    <row r="149" spans="2:115" x14ac:dyDescent="0.3"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</row>
    <row r="150" spans="2:115" x14ac:dyDescent="0.3">
      <c r="B150" s="13" t="s">
        <v>166</v>
      </c>
      <c r="C150" s="3"/>
      <c r="D150" s="3"/>
      <c r="E150" s="3"/>
      <c r="F150" s="3"/>
      <c r="G150" s="3"/>
      <c r="H150" s="3"/>
      <c r="I150" s="352">
        <f>I144-I146</f>
        <v>2029</v>
      </c>
      <c r="J150" s="352">
        <f>J144-J146</f>
        <v>2162</v>
      </c>
      <c r="K150" s="352">
        <f>K144-K146</f>
        <v>2673</v>
      </c>
      <c r="L150" s="352">
        <f>L144-L146</f>
        <v>1956</v>
      </c>
      <c r="M150" s="352">
        <f>I150+J150+K150+L150</f>
        <v>8820</v>
      </c>
      <c r="N150" s="3"/>
      <c r="O150" s="352">
        <f>O144-O146</f>
        <v>1917</v>
      </c>
      <c r="P150" s="352">
        <f>P144-P146</f>
        <v>2258</v>
      </c>
      <c r="Q150" s="352">
        <f>Q144-Q146</f>
        <v>2643</v>
      </c>
      <c r="R150" s="352">
        <f>R144-R146</f>
        <v>2340</v>
      </c>
      <c r="S150" s="352">
        <f>O150+P150+Q150+R150</f>
        <v>9158</v>
      </c>
      <c r="T150" s="3"/>
      <c r="U150" s="352">
        <f>U144-U146</f>
        <v>2230</v>
      </c>
      <c r="V150" s="352">
        <f>V144-V146</f>
        <v>2247</v>
      </c>
      <c r="W150" s="352">
        <f>W144-W146</f>
        <v>2205.3769493199998</v>
      </c>
      <c r="X150" s="352">
        <f>X144-X146</f>
        <v>1682.1881583300001</v>
      </c>
      <c r="Y150" s="352">
        <f>U150+V150+W150+X150</f>
        <v>8364.5651076499998</v>
      </c>
      <c r="AA150" s="352">
        <f>AA144-AA146</f>
        <v>1829.0763934062902</v>
      </c>
      <c r="AB150" s="352">
        <f ca="1">AB144-AB146</f>
        <v>1938.8235158197513</v>
      </c>
      <c r="AC150" s="352">
        <f>AC144-AC146</f>
        <v>2130.1397511773257</v>
      </c>
      <c r="AD150" s="352">
        <f>AD144-AD146</f>
        <v>1708.3389134814388</v>
      </c>
      <c r="AE150" s="352">
        <f ca="1">AA150+AB150+AC150+AD150</f>
        <v>7606.3785738848055</v>
      </c>
      <c r="AG150" s="352">
        <f>AG144-AG146</f>
        <v>1748.4293507453212</v>
      </c>
      <c r="AH150" s="352">
        <f>AH144-AH146</f>
        <v>1904.3899998661755</v>
      </c>
      <c r="AI150" s="352">
        <f>AI144-AI146</f>
        <v>1971.7655475601705</v>
      </c>
      <c r="AJ150" s="352">
        <f>AJ144-AJ146</f>
        <v>1355.1347562730416</v>
      </c>
      <c r="AK150" s="352">
        <f>AG150+AH150+AI150+AJ150</f>
        <v>6979.7196544447088</v>
      </c>
      <c r="AM150" s="352">
        <f>AM144-AM146</f>
        <v>1914.650493314648</v>
      </c>
      <c r="AN150" s="352">
        <f>AN144-AN146</f>
        <v>1909.2278325412608</v>
      </c>
      <c r="AO150" s="352">
        <f>AO144-AO146</f>
        <v>2087.9521182909684</v>
      </c>
      <c r="AP150" s="352">
        <f>AP144-AP146</f>
        <v>1339.0427094715833</v>
      </c>
      <c r="AQ150" s="352">
        <f>AM150+AN150+AO150+AP150</f>
        <v>7250.8731536184605</v>
      </c>
      <c r="AS150" s="352">
        <f>AS144-AS146</f>
        <v>1625.2308061819085</v>
      </c>
      <c r="AT150" s="352">
        <f>AT144-AT146</f>
        <v>1793.5932850750251</v>
      </c>
      <c r="AU150" s="352">
        <f>AU144-AU146</f>
        <v>1926.1195755446242</v>
      </c>
      <c r="AV150" s="352">
        <f>AV144-AV146</f>
        <v>1710.3918906932777</v>
      </c>
      <c r="AW150" s="352">
        <f>AS150+AT150+AU150+AV150</f>
        <v>7055.3355574948355</v>
      </c>
      <c r="AY150" s="352">
        <f>AY144-AY146</f>
        <v>1890.2791756144306</v>
      </c>
      <c r="AZ150" s="352">
        <f>AZ144-AZ146</f>
        <v>2347.3986160500954</v>
      </c>
      <c r="BA150" s="352">
        <f>BA144-BA146</f>
        <v>2390.0109024788635</v>
      </c>
      <c r="BB150" s="352">
        <f>BB144-BB146</f>
        <v>2045.9037951975661</v>
      </c>
      <c r="BC150" s="352">
        <f>AY150+AZ150+BA150+BB150</f>
        <v>8673.5924893409556</v>
      </c>
      <c r="BE150" s="352">
        <f>BE144-BE146</f>
        <v>2020.812730543088</v>
      </c>
      <c r="BF150" s="352">
        <f>BF144-BF146</f>
        <v>2305.9343592920904</v>
      </c>
      <c r="BG150" s="352">
        <f>BG144-BG146</f>
        <v>2371.5283099045992</v>
      </c>
      <c r="BH150" s="352">
        <f>BH144-BH146</f>
        <v>1963.977851483859</v>
      </c>
      <c r="BI150" s="352">
        <f>BE150+BF150+BG150+BH150</f>
        <v>8662.2532512236357</v>
      </c>
      <c r="BK150" s="352">
        <f>BK144-BK146</f>
        <v>2359.4011962618151</v>
      </c>
      <c r="BL150" s="352">
        <f>BL144-BL146</f>
        <v>2789.8116310511377</v>
      </c>
      <c r="BM150" s="352">
        <f>BM144-BM146</f>
        <v>2744.8957281848889</v>
      </c>
      <c r="BN150" s="352">
        <f>BN144-BN146</f>
        <v>1862.5986583938084</v>
      </c>
      <c r="BO150" s="352">
        <f>BK150+BL150+BM150+BN150</f>
        <v>9756.7072138916501</v>
      </c>
      <c r="BQ150" s="352">
        <f>BQ144-BQ146</f>
        <v>2642.2281024006716</v>
      </c>
      <c r="BR150" s="352">
        <f>BR144-BR146</f>
        <v>3116.8639453537876</v>
      </c>
      <c r="BS150" s="352">
        <f>BS144-BS146</f>
        <v>3104.5830626369993</v>
      </c>
      <c r="BT150" s="352">
        <f ca="1">BT144-BT146</f>
        <v>2292.1349482020978</v>
      </c>
      <c r="BU150" s="352">
        <f ca="1">BQ150+BR150+BS150+BT150</f>
        <v>11155.810058593555</v>
      </c>
      <c r="BW150" s="352">
        <f>BW144-BW146</f>
        <v>2875.7109340127163</v>
      </c>
      <c r="BX150" s="352">
        <f>BX144-BX146</f>
        <v>3376.3926598699063</v>
      </c>
      <c r="BY150" s="352">
        <f>BY144-BY146</f>
        <v>3386.9566407924085</v>
      </c>
      <c r="BZ150" s="352">
        <f ca="1">BZ144-BZ146</f>
        <v>2573.5655572229339</v>
      </c>
      <c r="CA150" s="352">
        <f ca="1">BW150+BX150+BY150+BZ150</f>
        <v>12212.625791897965</v>
      </c>
      <c r="CC150" s="352">
        <f>CC144-CC146</f>
        <v>3123.5744540653695</v>
      </c>
      <c r="CD150" s="352">
        <f>CD144-CD146</f>
        <v>3648.9053759367735</v>
      </c>
      <c r="CE150" s="352">
        <f>CE144-CE146</f>
        <v>3641.0799536501172</v>
      </c>
      <c r="CF150" s="352">
        <f ca="1">CF144-CF146</f>
        <v>2832.1746393572193</v>
      </c>
      <c r="CG150" s="352">
        <f ca="1">CC150+CD150+CE150+CF150</f>
        <v>13245.73442300948</v>
      </c>
      <c r="CI150" s="352">
        <f>CI144-CI146</f>
        <v>3343.720163832947</v>
      </c>
      <c r="CJ150" s="352">
        <f>CJ144-CJ146</f>
        <v>3887.4598469448292</v>
      </c>
      <c r="CK150" s="352">
        <f>CK144-CK146</f>
        <v>3876.6477277301456</v>
      </c>
      <c r="CL150" s="352">
        <f ca="1">CL144-CL146</f>
        <v>3072.469284022709</v>
      </c>
      <c r="CM150" s="352">
        <f ca="1">CI150+CJ150+CK150+CL150</f>
        <v>14180.297022530631</v>
      </c>
      <c r="CO150" s="352">
        <f>CO144-CO146</f>
        <v>3548.3871571664013</v>
      </c>
      <c r="CP150" s="352">
        <f>CP144-CP146</f>
        <v>4112.9404966392358</v>
      </c>
      <c r="CQ150" s="352">
        <f>CQ144-CQ146</f>
        <v>4103.6755236878935</v>
      </c>
      <c r="CR150" s="352">
        <f ca="1">CR144-CR146</f>
        <v>3296.5390834070913</v>
      </c>
      <c r="CS150" s="352">
        <f ca="1">CO150+CP150+CQ150+CR150</f>
        <v>15061.542260900622</v>
      </c>
      <c r="CU150" s="352">
        <f>CU144-CU146</f>
        <v>3739.7047330174519</v>
      </c>
      <c r="CV150" s="352">
        <f>CV144-CV146</f>
        <v>4319.697487380412</v>
      </c>
      <c r="CW150" s="352">
        <f>CW144-CW146</f>
        <v>4312.543752386473</v>
      </c>
      <c r="CX150" s="352">
        <f ca="1">CX144-CX146</f>
        <v>3503.0536551994946</v>
      </c>
      <c r="CY150" s="352">
        <f ca="1">CU150+CV150+CW150+CX150</f>
        <v>15874.999627983831</v>
      </c>
      <c r="CZ150" s="2"/>
      <c r="DA150" s="352">
        <f>DA144-DA146</f>
        <v>3937.2266894692366</v>
      </c>
      <c r="DB150" s="352">
        <f>DB144-DB146</f>
        <v>4532.6922173606081</v>
      </c>
      <c r="DC150" s="352">
        <f>DC144-DC146</f>
        <v>4528.7219126658219</v>
      </c>
      <c r="DD150" s="352">
        <f ca="1">DD144-DD146</f>
        <v>3714.4212565829666</v>
      </c>
      <c r="DE150" s="352">
        <f ca="1">DA150+DB150+DC150+DD150</f>
        <v>16713.062076078633</v>
      </c>
      <c r="DF150" s="2"/>
      <c r="DG150" s="352">
        <f>DG144-DG146</f>
        <v>4098.5178618993777</v>
      </c>
      <c r="DH150" s="352">
        <f>DH144-DH146</f>
        <v>4704.8357741934788</v>
      </c>
      <c r="DI150" s="352">
        <f>DI144-DI146</f>
        <v>4704.1128721346186</v>
      </c>
      <c r="DJ150" s="352">
        <f ca="1">DJ144-DJ146</f>
        <v>3886.9135415595056</v>
      </c>
      <c r="DK150" s="352">
        <f ca="1">DG150+DH150+DI150+DJ150</f>
        <v>17394.380049786978</v>
      </c>
    </row>
    <row r="151" spans="2:115" x14ac:dyDescent="0.3"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</row>
    <row r="152" spans="2:115" x14ac:dyDescent="0.3">
      <c r="B152" s="1" t="s">
        <v>246</v>
      </c>
      <c r="I152" s="2">
        <v>-5</v>
      </c>
      <c r="J152" s="2">
        <v>-5</v>
      </c>
      <c r="K152" s="2">
        <v>-5</v>
      </c>
      <c r="L152" s="2">
        <v>-5</v>
      </c>
      <c r="M152" s="2">
        <f>I152+J152+K152+L152</f>
        <v>-20</v>
      </c>
      <c r="O152" s="2">
        <f>S152-P152-Q152-R152</f>
        <v>-5</v>
      </c>
      <c r="P152" s="2">
        <v>-9</v>
      </c>
      <c r="Q152" s="2">
        <v>-7</v>
      </c>
      <c r="R152" s="2">
        <v>-3</v>
      </c>
      <c r="S152" s="2">
        <v>-24</v>
      </c>
      <c r="U152" s="2">
        <v>-3</v>
      </c>
      <c r="V152" s="2">
        <v>23</v>
      </c>
      <c r="W152" s="356">
        <v>53</v>
      </c>
      <c r="X152" s="356">
        <v>-16</v>
      </c>
      <c r="Y152" s="356">
        <f>U152+V152+W152+X152</f>
        <v>57</v>
      </c>
      <c r="AA152" s="356">
        <v>30</v>
      </c>
      <c r="AB152" s="356">
        <v>-9</v>
      </c>
      <c r="AC152" s="356">
        <v>30</v>
      </c>
      <c r="AD152" s="356">
        <f>AC152</f>
        <v>30</v>
      </c>
      <c r="AE152" s="356">
        <f>AA152+AB152+AC152+AD152</f>
        <v>81</v>
      </c>
      <c r="AG152" s="356">
        <v>-3.3629983786799915</v>
      </c>
      <c r="AH152" s="356">
        <f>AG152</f>
        <v>-3.3629983786799915</v>
      </c>
      <c r="AI152" s="356">
        <f>AH152</f>
        <v>-3.3629983786799915</v>
      </c>
      <c r="AJ152" s="356">
        <f>AI152</f>
        <v>-3.3629983786799915</v>
      </c>
      <c r="AK152" s="356">
        <f>AG152+AH152+AI152+AJ152</f>
        <v>-13.451993514719966</v>
      </c>
      <c r="AM152" s="356">
        <v>80</v>
      </c>
      <c r="AN152" s="356">
        <v>-6</v>
      </c>
      <c r="AO152" s="356">
        <v>29</v>
      </c>
      <c r="AP152" s="356">
        <v>-32</v>
      </c>
      <c r="AQ152" s="356">
        <f>AM152+AN152+AO152+AP152</f>
        <v>71</v>
      </c>
      <c r="AS152" s="356">
        <v>26.835524969619446</v>
      </c>
      <c r="AT152" s="356">
        <v>-6</v>
      </c>
      <c r="AU152" s="356">
        <v>11</v>
      </c>
      <c r="AV152" s="356">
        <v>166</v>
      </c>
      <c r="AW152" s="356">
        <f>AS152+AT152+AU152+AV152</f>
        <v>197.83552496961946</v>
      </c>
      <c r="AY152" s="356">
        <v>2</v>
      </c>
      <c r="AZ152" s="356">
        <v>-13</v>
      </c>
      <c r="BA152" s="356">
        <f>300/2</f>
        <v>150</v>
      </c>
      <c r="BB152" s="356">
        <f>300/2</f>
        <v>150</v>
      </c>
      <c r="BC152" s="356">
        <f>AY152+AZ152+BA152+BB152</f>
        <v>289</v>
      </c>
      <c r="BE152" s="356">
        <v>85.5988508322271</v>
      </c>
      <c r="BF152" s="356">
        <f>BE152</f>
        <v>85.5988508322271</v>
      </c>
      <c r="BG152" s="356">
        <f>BF152</f>
        <v>85.5988508322271</v>
      </c>
      <c r="BH152" s="356">
        <f>BG152</f>
        <v>85.5988508322271</v>
      </c>
      <c r="BI152" s="356">
        <f>BE152+BF152+BG152+BH152</f>
        <v>342.3954033289084</v>
      </c>
      <c r="BK152" s="356">
        <v>85.235583782190588</v>
      </c>
      <c r="BL152" s="356">
        <f>BK152</f>
        <v>85.235583782190588</v>
      </c>
      <c r="BM152" s="356">
        <f>BL152</f>
        <v>85.235583782190588</v>
      </c>
      <c r="BN152" s="356">
        <f>BM152</f>
        <v>85.235583782190588</v>
      </c>
      <c r="BO152" s="356">
        <f>BK152+BL152+BM152+BN152</f>
        <v>340.94233512876235</v>
      </c>
      <c r="BQ152" s="356">
        <v>87.685101567873147</v>
      </c>
      <c r="BR152" s="356">
        <f>BQ152</f>
        <v>87.685101567873147</v>
      </c>
      <c r="BS152" s="356">
        <f>BR152</f>
        <v>87.685101567873147</v>
      </c>
      <c r="BT152" s="356">
        <f>BS152</f>
        <v>87.685101567873147</v>
      </c>
      <c r="BU152" s="356">
        <f>BQ152+BR152+BS152+BT152</f>
        <v>350.74040627149259</v>
      </c>
      <c r="BW152" s="356">
        <v>94.412638767237155</v>
      </c>
      <c r="BX152" s="356">
        <f>BW152</f>
        <v>94.412638767237155</v>
      </c>
      <c r="BY152" s="356">
        <f>BX152</f>
        <v>94.412638767237155</v>
      </c>
      <c r="BZ152" s="356">
        <f>BY152</f>
        <v>94.412638767237155</v>
      </c>
      <c r="CA152" s="356">
        <f>BW152+BX152+BY152+BZ152</f>
        <v>377.65055506894862</v>
      </c>
      <c r="CC152" s="356">
        <v>102.03326220008118</v>
      </c>
      <c r="CD152" s="356">
        <f>CC152</f>
        <v>102.03326220008118</v>
      </c>
      <c r="CE152" s="356">
        <f>CD152</f>
        <v>102.03326220008118</v>
      </c>
      <c r="CF152" s="356">
        <f>CE152</f>
        <v>102.03326220008118</v>
      </c>
      <c r="CG152" s="356">
        <f>CC152+CD152+CE152+CF152</f>
        <v>408.13304880032473</v>
      </c>
      <c r="CI152" s="356">
        <v>104.91386577429132</v>
      </c>
      <c r="CJ152" s="356">
        <f>CI152</f>
        <v>104.91386577429132</v>
      </c>
      <c r="CK152" s="356">
        <f>CJ152</f>
        <v>104.91386577429132</v>
      </c>
      <c r="CL152" s="356">
        <f>CK152</f>
        <v>104.91386577429132</v>
      </c>
      <c r="CM152" s="356">
        <f>CI152+CJ152+CK152+CL152</f>
        <v>419.6554630971653</v>
      </c>
      <c r="CO152" s="356">
        <v>107.77444076554745</v>
      </c>
      <c r="CP152" s="356">
        <f>CO152</f>
        <v>107.77444076554745</v>
      </c>
      <c r="CQ152" s="356">
        <f>CP152</f>
        <v>107.77444076554745</v>
      </c>
      <c r="CR152" s="356">
        <f>CQ152</f>
        <v>107.77444076554745</v>
      </c>
      <c r="CS152" s="356">
        <f>CO152+CP152+CQ152+CR152</f>
        <v>431.09776306218981</v>
      </c>
      <c r="CU152" s="356">
        <v>111.13135458445132</v>
      </c>
      <c r="CV152" s="356">
        <f>CU152</f>
        <v>111.13135458445132</v>
      </c>
      <c r="CW152" s="356">
        <f>CV152</f>
        <v>111.13135458445132</v>
      </c>
      <c r="CX152" s="356">
        <f>CW152</f>
        <v>111.13135458445132</v>
      </c>
      <c r="CY152" s="356">
        <f>CU152+CV152+CW152+CX152</f>
        <v>444.52541833780526</v>
      </c>
      <c r="CZ152" s="2"/>
      <c r="DA152" s="356">
        <v>0</v>
      </c>
      <c r="DB152" s="356">
        <f>DA152</f>
        <v>0</v>
      </c>
      <c r="DC152" s="356">
        <f>DB152</f>
        <v>0</v>
      </c>
      <c r="DD152" s="356">
        <f>DC152</f>
        <v>0</v>
      </c>
      <c r="DE152" s="356">
        <f>DA152+DB152+DC152+DD152</f>
        <v>0</v>
      </c>
      <c r="DF152" s="2"/>
      <c r="DG152" s="356">
        <v>0</v>
      </c>
      <c r="DH152" s="356">
        <f>DG152</f>
        <v>0</v>
      </c>
      <c r="DI152" s="356">
        <f>DH152</f>
        <v>0</v>
      </c>
      <c r="DJ152" s="356">
        <f>DI152</f>
        <v>0</v>
      </c>
      <c r="DK152" s="356">
        <f>DG152+DH152+DI152+DJ152</f>
        <v>0</v>
      </c>
    </row>
    <row r="153" spans="2:115" x14ac:dyDescent="0.3"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</row>
    <row r="154" spans="2:115" x14ac:dyDescent="0.3">
      <c r="B154" s="2" t="s">
        <v>475</v>
      </c>
      <c r="L154" s="2" t="s">
        <v>10</v>
      </c>
      <c r="M154" s="2">
        <v>10975</v>
      </c>
      <c r="R154" s="2">
        <v>726</v>
      </c>
      <c r="U154" s="2">
        <v>651</v>
      </c>
      <c r="V154" s="2">
        <v>670</v>
      </c>
      <c r="W154" s="2">
        <v>723</v>
      </c>
      <c r="X154" s="2">
        <v>729</v>
      </c>
      <c r="AA154" s="2">
        <v>735</v>
      </c>
      <c r="AB154" s="2">
        <v>755</v>
      </c>
      <c r="AC154" s="2">
        <v>731</v>
      </c>
      <c r="AD154" s="2">
        <v>745</v>
      </c>
      <c r="AG154" s="2">
        <v>745</v>
      </c>
      <c r="AH154" s="2">
        <v>819</v>
      </c>
      <c r="AI154" s="2">
        <v>825</v>
      </c>
      <c r="AJ154" s="356">
        <v>796</v>
      </c>
      <c r="AM154" s="356">
        <v>755</v>
      </c>
      <c r="AN154" s="356">
        <v>888</v>
      </c>
      <c r="AO154" s="356">
        <v>987</v>
      </c>
      <c r="AP154" s="356">
        <v>997</v>
      </c>
      <c r="AS154" s="2">
        <v>1055</v>
      </c>
      <c r="AT154" s="356">
        <f>'US Metro PF'!AC297</f>
        <v>1129</v>
      </c>
      <c r="AU154" s="356">
        <f>'US Metro PF'!AD297</f>
        <v>1138</v>
      </c>
      <c r="AV154" s="356">
        <f>'US Metro PF'!AE297</f>
        <v>1090</v>
      </c>
      <c r="AY154" s="356">
        <f>'US Metro PF'!AH297</f>
        <v>1087</v>
      </c>
      <c r="AZ154" s="356">
        <f>'US Metro PF'!AI297</f>
        <v>1075</v>
      </c>
      <c r="BA154" s="356">
        <f>'US Metro PF'!AJ297</f>
        <v>1157</v>
      </c>
      <c r="BB154" s="356">
        <f>'US Metro PF'!AK297</f>
        <v>1369</v>
      </c>
      <c r="BE154" s="356">
        <f>'US Metro PF'!AN297</f>
        <v>1552</v>
      </c>
      <c r="BF154" s="356">
        <f>'US Metro PF'!AO297</f>
        <v>1575</v>
      </c>
      <c r="BG154" s="356">
        <f>'US Metro PF'!AP297</f>
        <v>1568</v>
      </c>
      <c r="BH154" s="356">
        <f>'US Metro PF'!AQ297</f>
        <v>1548</v>
      </c>
      <c r="BK154" s="356">
        <f>'US Metro PF'!AT297</f>
        <v>1564</v>
      </c>
      <c r="BL154" s="356">
        <f>'US Metro PF'!AU297</f>
        <v>1519</v>
      </c>
      <c r="BM154" s="356">
        <f>'US Metro PF'!AV297</f>
        <v>1416</v>
      </c>
      <c r="BN154" s="356">
        <f>'US Metro PF'!AW297</f>
        <v>1485</v>
      </c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</row>
    <row r="155" spans="2:115" x14ac:dyDescent="0.3">
      <c r="B155" s="2" t="s">
        <v>207</v>
      </c>
      <c r="X155" s="36">
        <f>X154/R154-1</f>
        <v>4.1322314049587749E-3</v>
      </c>
      <c r="AA155" s="36">
        <f>AA154/U154-1</f>
        <v>0.12903225806451624</v>
      </c>
      <c r="AB155" s="36">
        <f>AB154/V154-1</f>
        <v>0.12686567164179108</v>
      </c>
      <c r="AC155" s="36">
        <f>AC154/W154-1</f>
        <v>1.1065006915629283E-2</v>
      </c>
      <c r="AD155" s="36">
        <f>AD154/X154-1</f>
        <v>2.1947873799725626E-2</v>
      </c>
      <c r="AG155" s="36">
        <f>AG154/AA154-1</f>
        <v>1.3605442176870763E-2</v>
      </c>
      <c r="AH155" s="36">
        <f>AH154/AB154-1</f>
        <v>8.4768211920529746E-2</v>
      </c>
      <c r="AI155" s="36">
        <f>AI154/AC154-1</f>
        <v>0.12859097127222974</v>
      </c>
      <c r="AJ155" s="36">
        <f>AJ154/AD154-1</f>
        <v>6.8456375838926276E-2</v>
      </c>
      <c r="AM155" s="472">
        <f>AM154/AG154-1</f>
        <v>1.3422818791946289E-2</v>
      </c>
      <c r="AN155" s="399">
        <f>AN154/AH154-1</f>
        <v>8.4249084249084172E-2</v>
      </c>
      <c r="AO155" s="399">
        <f>AO154/AI154-1</f>
        <v>0.1963636363636363</v>
      </c>
      <c r="AP155" s="399">
        <f>AP154/AJ154-1</f>
        <v>0.25251256281407031</v>
      </c>
      <c r="AS155" s="472">
        <f>AS154/AM154-1</f>
        <v>0.39735099337748347</v>
      </c>
      <c r="AT155" s="472">
        <f>AT154/AN154-1</f>
        <v>0.27139639639639634</v>
      </c>
      <c r="AU155" s="472">
        <f>AU154/AO154-1</f>
        <v>0.15298885511651461</v>
      </c>
      <c r="AV155" s="472">
        <f>AV154/AP154-1</f>
        <v>9.3279839518555674E-2</v>
      </c>
      <c r="AY155" s="472">
        <f>AY154/AS154-1</f>
        <v>3.0331753554502461E-2</v>
      </c>
      <c r="AZ155" s="472">
        <f>AZ154/AT154-1</f>
        <v>-4.7829937998228544E-2</v>
      </c>
      <c r="BA155" s="472">
        <f>BA154/AU154-1</f>
        <v>1.6695957820738183E-2</v>
      </c>
      <c r="BB155" s="472">
        <f>BB154/AV154-1</f>
        <v>0.25596330275229362</v>
      </c>
      <c r="BE155" s="472">
        <f>BE154/AY154-1</f>
        <v>0.42778288868445258</v>
      </c>
      <c r="BF155" s="472">
        <f>BF154/AZ154-1</f>
        <v>0.46511627906976738</v>
      </c>
      <c r="BG155" s="472">
        <f>BG154/BA154-1</f>
        <v>0.3552290406222991</v>
      </c>
      <c r="BH155" s="472">
        <f>BH154/BB154-1</f>
        <v>0.13075237399561734</v>
      </c>
      <c r="BK155" s="472">
        <f>BK154/BE154-1</f>
        <v>7.7319587628865705E-3</v>
      </c>
      <c r="BL155" s="472">
        <f>BL154/BF154-1</f>
        <v>-3.5555555555555562E-2</v>
      </c>
      <c r="BM155" s="472">
        <f>BM154/BG154-1</f>
        <v>-9.6938775510204134E-2</v>
      </c>
      <c r="BN155" s="472">
        <f>BN154/BH154-1</f>
        <v>-4.0697674418604612E-2</v>
      </c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</row>
    <row r="156" spans="2:115" x14ac:dyDescent="0.3">
      <c r="B156" s="2" t="s">
        <v>365</v>
      </c>
      <c r="L156" s="2" t="s">
        <v>11</v>
      </c>
      <c r="M156" s="2">
        <v>335</v>
      </c>
      <c r="R156" s="356">
        <v>490.99380000000002</v>
      </c>
      <c r="S156" s="356"/>
      <c r="T156" s="356"/>
      <c r="U156" s="356">
        <v>470.61441000000002</v>
      </c>
      <c r="V156" s="356">
        <v>527.07560000000001</v>
      </c>
      <c r="W156" s="356">
        <v>559.75382999999988</v>
      </c>
      <c r="X156" s="356">
        <v>536.15034000000003</v>
      </c>
      <c r="Y156" s="356"/>
      <c r="Z156" s="356"/>
      <c r="AA156" s="356">
        <v>536.84400000000005</v>
      </c>
      <c r="AB156" s="356">
        <v>524.61930000000007</v>
      </c>
      <c r="AC156" s="356">
        <v>517.1825</v>
      </c>
      <c r="AD156" s="356">
        <v>552.8347</v>
      </c>
      <c r="AG156" s="356">
        <v>568.22640000000001</v>
      </c>
      <c r="AH156" s="356">
        <v>638.54154000000005</v>
      </c>
      <c r="AI156" s="356">
        <v>659.64525000000003</v>
      </c>
      <c r="AJ156" s="356">
        <v>614.10604000000001</v>
      </c>
      <c r="AM156" s="356">
        <v>569.81132075471703</v>
      </c>
      <c r="AN156" s="356">
        <v>683.07692307692309</v>
      </c>
      <c r="AO156" s="356">
        <v>759.23076923076917</v>
      </c>
      <c r="AP156" s="356">
        <v>766.92307692307691</v>
      </c>
      <c r="AS156" s="356">
        <f>AS154/'US Metro PF'!AB304</f>
        <v>770.30824999999993</v>
      </c>
      <c r="AT156" s="356">
        <f>AT154/'US Metro PF'!AC304</f>
        <v>823.06358</v>
      </c>
      <c r="AU156" s="356">
        <f>AU154/'US Metro PF'!AD304</f>
        <v>858.22270000000003</v>
      </c>
      <c r="AV156" s="356">
        <f>AV154/'US Metro PF'!AE304</f>
        <v>871.96729999999991</v>
      </c>
      <c r="AY156" s="356">
        <f>AY154/'US Metro PF'!AH304</f>
        <v>964.56032000000005</v>
      </c>
      <c r="AZ156" s="356">
        <f>AZ154/'US Metro PF'!AI304</f>
        <v>973.26464650122671</v>
      </c>
      <c r="BA156" s="356">
        <f>BA154/'US Metro PF'!AJ304</f>
        <v>1040.4114885887452</v>
      </c>
      <c r="BB156" s="356">
        <f>BB154/'US Metro PF'!AK304</f>
        <v>1249.9885866637449</v>
      </c>
      <c r="BE156" s="356">
        <f>BE154/'US Metro PF'!AN304</f>
        <v>1407.7352877149699</v>
      </c>
      <c r="BF156" s="356">
        <f>BF154/'US Metro PF'!AO304</f>
        <v>1394.6075175986186</v>
      </c>
      <c r="BG156" s="356">
        <f>BG154/'US Metro PF'!AP304</f>
        <v>1404.3761363534586</v>
      </c>
      <c r="BH156" s="356">
        <f>BH154/'US Metro PF'!AQ304</f>
        <v>1436.2323950195766</v>
      </c>
      <c r="BK156" s="356">
        <f>BK154/'US Metro PF'!AT304</f>
        <v>1468.9721890879036</v>
      </c>
      <c r="BL156" s="356">
        <f>BL154/'US Metro PF'!AU304</f>
        <v>1403.9855072463768</v>
      </c>
      <c r="BM156" s="356">
        <f>BM154/'US Metro PF'!AV304</f>
        <v>1205.5886184260937</v>
      </c>
      <c r="BN156" s="356">
        <f>BN154/'US Metro PF'!AW304</f>
        <v>1261.1250764318229</v>
      </c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</row>
    <row r="157" spans="2:115" x14ac:dyDescent="0.3">
      <c r="B157" s="2"/>
      <c r="L157" s="2" t="s">
        <v>12</v>
      </c>
      <c r="M157" s="2">
        <f>M154-M156</f>
        <v>10640</v>
      </c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</row>
    <row r="158" spans="2:115" x14ac:dyDescent="0.3">
      <c r="B158" s="2" t="s">
        <v>206</v>
      </c>
      <c r="U158" s="98">
        <f>U146-U156</f>
        <v>2189.3855899999999</v>
      </c>
      <c r="V158" s="98">
        <v>2245</v>
      </c>
      <c r="W158" s="98">
        <v>2264</v>
      </c>
      <c r="X158" s="98">
        <v>2340</v>
      </c>
      <c r="AA158" s="98">
        <v>2190</v>
      </c>
      <c r="AB158" s="98">
        <f ca="1">AB146-AB156</f>
        <v>2223</v>
      </c>
      <c r="AC158" s="356">
        <v>2261</v>
      </c>
      <c r="AD158" s="356">
        <f>AD146-AD154</f>
        <v>2154</v>
      </c>
      <c r="AG158" s="356">
        <f>AG146-AG154</f>
        <v>1989</v>
      </c>
      <c r="AH158" s="356">
        <f>AH146-AH154</f>
        <v>1978</v>
      </c>
      <c r="AI158" s="356">
        <f>AI146-AI154</f>
        <v>1985</v>
      </c>
      <c r="AJ158" s="356">
        <f>AJ146-AJ154</f>
        <v>1857</v>
      </c>
      <c r="AM158" s="356">
        <f>AM146-AM154</f>
        <v>1618</v>
      </c>
      <c r="AN158" s="356">
        <f>AN146-AN154</f>
        <v>1620</v>
      </c>
      <c r="AO158" s="356">
        <f>AO146-AO154</f>
        <v>1584</v>
      </c>
      <c r="AP158" s="356">
        <f>AP146-AP154</f>
        <v>1724</v>
      </c>
      <c r="AS158" s="356">
        <f>AS146-AS154</f>
        <v>1441</v>
      </c>
      <c r="AT158" s="356">
        <f>AT146-AT154</f>
        <v>1506</v>
      </c>
      <c r="AU158" s="356">
        <f>AU146-AU154</f>
        <v>1511</v>
      </c>
      <c r="AV158" s="356">
        <f>AV146-AV154</f>
        <v>1644</v>
      </c>
      <c r="AY158" s="356">
        <f>AY146-AY154</f>
        <v>1597</v>
      </c>
      <c r="AZ158" s="356">
        <f>AZ146-AZ154</f>
        <v>1604</v>
      </c>
      <c r="BA158" s="356">
        <f>BA146-BA154</f>
        <v>1618</v>
      </c>
      <c r="BB158" s="356">
        <f>BB146-BB154</f>
        <v>1728</v>
      </c>
      <c r="BE158" s="356">
        <f>BE146-BE154</f>
        <v>1590</v>
      </c>
      <c r="BF158" s="356">
        <f>BF146-BF154</f>
        <v>1576</v>
      </c>
      <c r="BG158" s="356">
        <f>BG146-BG154</f>
        <v>1595</v>
      </c>
      <c r="BH158" s="356">
        <f>BB158*(1+BH159)</f>
        <v>1693.44</v>
      </c>
      <c r="BK158" s="356">
        <f>BK146-BK154</f>
        <v>1627</v>
      </c>
      <c r="BL158" s="356">
        <f>BL146-BL154</f>
        <v>1635</v>
      </c>
      <c r="BM158" s="356">
        <f>BM146-BM154</f>
        <v>1559</v>
      </c>
      <c r="BN158" s="356">
        <f>BN146-BN154</f>
        <v>1667</v>
      </c>
      <c r="BQ158" s="356">
        <f>BK158*(1+BQ159)</f>
        <v>1618.865</v>
      </c>
      <c r="BR158" s="356">
        <f>BL158*(1+BR159)</f>
        <v>1643.1749999999997</v>
      </c>
      <c r="BS158" s="356">
        <f>BM158*(1+BS159)</f>
        <v>1574.59</v>
      </c>
      <c r="BT158" s="356">
        <f>BN158*(1+BT159)</f>
        <v>1692.0049999999999</v>
      </c>
      <c r="BW158" s="356">
        <f>BQ158*(1+BW159)</f>
        <v>1610.770675</v>
      </c>
      <c r="BX158" s="356">
        <f>BR158*(1+BX159)</f>
        <v>1626.7432499999998</v>
      </c>
      <c r="BY158" s="356">
        <f>BS158*(1+BY159)</f>
        <v>1550.9711499999999</v>
      </c>
      <c r="BZ158" s="356">
        <f>BT158*(1+BZ159)</f>
        <v>1658.1648999999998</v>
      </c>
      <c r="CC158" s="356">
        <f>BW158*(1+CC159)</f>
        <v>1578.5552614999999</v>
      </c>
      <c r="CD158" s="356">
        <f>BX158*(1+CD159)</f>
        <v>1594.2083849999997</v>
      </c>
      <c r="CE158" s="356">
        <f>BY158*(1+CE159)</f>
        <v>1519.9517269999999</v>
      </c>
      <c r="CF158" s="356">
        <f>BZ158*(1+CF159)</f>
        <v>1625.0016019999998</v>
      </c>
      <c r="CI158" s="356">
        <f>CC158*(1+CI159)</f>
        <v>1562.769708885</v>
      </c>
      <c r="CJ158" s="356">
        <f>CD158*(1+CJ159)</f>
        <v>1578.2663011499997</v>
      </c>
      <c r="CK158" s="356">
        <f>CE158*(1+CK159)</f>
        <v>1504.7522097299998</v>
      </c>
      <c r="CL158" s="356">
        <f>CF158*(1+CL159)</f>
        <v>1608.7515859799998</v>
      </c>
      <c r="CO158" s="356">
        <f>CI158*(1+CO159)</f>
        <v>1547.14201179615</v>
      </c>
      <c r="CP158" s="356">
        <f>CJ158*(1+CP159)</f>
        <v>1562.4836381384996</v>
      </c>
      <c r="CQ158" s="356">
        <f>CK158*(1+CQ159)</f>
        <v>1489.7046876326997</v>
      </c>
      <c r="CR158" s="356">
        <f>CL158*(1+CR159)</f>
        <v>1592.6640701201998</v>
      </c>
      <c r="CU158" s="356">
        <f>CO158*(1+CU159)</f>
        <v>1531.6705916781884</v>
      </c>
      <c r="CV158" s="356">
        <f>CP158*(1+CV159)</f>
        <v>1546.8588017571146</v>
      </c>
      <c r="CW158" s="356">
        <f>CQ158*(1+CW159)</f>
        <v>1474.8076407563726</v>
      </c>
      <c r="CX158" s="356">
        <f>CR158*(1+CX159)</f>
        <v>1576.7374294189979</v>
      </c>
      <c r="CZ158" s="2"/>
      <c r="DA158" s="356">
        <f>CU158*(1+DA159)</f>
        <v>1516.3538857614064</v>
      </c>
      <c r="DB158" s="356">
        <f>CV158*(1+DB159)</f>
        <v>1531.3902137395435</v>
      </c>
      <c r="DC158" s="356">
        <f>CW158*(1+DC159)</f>
        <v>1460.0595643488089</v>
      </c>
      <c r="DD158" s="356">
        <f>CX158*(1+DD159)</f>
        <v>1560.9700551248079</v>
      </c>
      <c r="DE158" s="2"/>
      <c r="DF158" s="2"/>
      <c r="DG158" s="356">
        <f>DA158*(1+DG159)</f>
        <v>1501.1903469037923</v>
      </c>
      <c r="DH158" s="356">
        <f>DB158*(1+DH159)</f>
        <v>1516.0763116021481</v>
      </c>
      <c r="DI158" s="356">
        <f>DC158*(1+DI159)</f>
        <v>1445.4589687053208</v>
      </c>
      <c r="DJ158" s="356">
        <f>DD158*(1+DJ159)</f>
        <v>1545.3603545735598</v>
      </c>
      <c r="DK158" s="2"/>
    </row>
    <row r="159" spans="2:115" x14ac:dyDescent="0.3">
      <c r="B159" s="2" t="s">
        <v>207</v>
      </c>
      <c r="AA159" s="36">
        <f>AA158/U158-1</f>
        <v>2.806312432157565E-4</v>
      </c>
      <c r="AB159" s="36">
        <f ca="1">AB158/V158-1</f>
        <v>-9.7995545657015848E-3</v>
      </c>
      <c r="AC159" s="36">
        <f>AC158/W158-1</f>
        <v>-1.3250883392226243E-3</v>
      </c>
      <c r="AD159" s="36">
        <f>AD158/X158-1</f>
        <v>-7.9487179487179538E-2</v>
      </c>
      <c r="AG159" s="357">
        <f>AG158/AA158-1</f>
        <v>-9.1780821917808231E-2</v>
      </c>
      <c r="AH159" s="357">
        <f ca="1">AH158/AB158-1</f>
        <v>-0.11021142600089973</v>
      </c>
      <c r="AI159" s="357">
        <f>AI158/AC158-1</f>
        <v>-0.12206988058381252</v>
      </c>
      <c r="AJ159" s="357">
        <f>AJ158/AD158-1</f>
        <v>-0.13788300835654599</v>
      </c>
      <c r="AM159" s="357">
        <f>AM158/AG158-1</f>
        <v>-0.18652589240824535</v>
      </c>
      <c r="AN159" s="357">
        <f>AN158/AH158-1</f>
        <v>-0.18099089989888772</v>
      </c>
      <c r="AO159" s="357">
        <f>AO158/AI158-1</f>
        <v>-0.2020151133501259</v>
      </c>
      <c r="AP159" s="357">
        <f>AP158/AJ158-1</f>
        <v>-7.162089391491655E-2</v>
      </c>
      <c r="AS159" s="357">
        <f>AS158/AM158-1</f>
        <v>-0.10939431396786159</v>
      </c>
      <c r="AT159" s="357">
        <f>AT158/AN158-1</f>
        <v>-7.0370370370370416E-2</v>
      </c>
      <c r="AU159" s="357">
        <f>AU158/AO158-1</f>
        <v>-4.6085858585858563E-2</v>
      </c>
      <c r="AV159" s="357">
        <f>AV158/AP158-1</f>
        <v>-4.6403712296983812E-2</v>
      </c>
      <c r="AY159" s="357">
        <f>AY158/AS158-1</f>
        <v>0.10825815405968076</v>
      </c>
      <c r="AZ159" s="357">
        <f>AZ158/AT158-1</f>
        <v>6.5073041168658641E-2</v>
      </c>
      <c r="BA159" s="357">
        <f>BA158/AU158-1</f>
        <v>7.0814030443415055E-2</v>
      </c>
      <c r="BB159" s="357">
        <f>BB158/AV158-1</f>
        <v>5.1094890510948954E-2</v>
      </c>
      <c r="BE159" s="357">
        <f>BE158/AY158-1</f>
        <v>-4.3832185347526531E-3</v>
      </c>
      <c r="BF159" s="357">
        <f>BF158/AZ158-1</f>
        <v>-1.7456359102244412E-2</v>
      </c>
      <c r="BG159" s="357">
        <f>BG158/BA158-1</f>
        <v>-1.4215080346106301E-2</v>
      </c>
      <c r="BH159" s="357">
        <v>-0.02</v>
      </c>
      <c r="BK159" s="357">
        <f>BK158/BE158-1</f>
        <v>2.3270440251572433E-2</v>
      </c>
      <c r="BL159" s="357">
        <f>BL158/BF158-1</f>
        <v>3.7436548223350297E-2</v>
      </c>
      <c r="BM159" s="357">
        <f>BM158/BG158-1</f>
        <v>-2.2570532915360486E-2</v>
      </c>
      <c r="BN159" s="357">
        <f>BN158/BH158-1</f>
        <v>-1.5613189720332654E-2</v>
      </c>
      <c r="BQ159" s="357">
        <v>-5.0000000000000001E-3</v>
      </c>
      <c r="BR159" s="357">
        <v>5.0000000000000001E-3</v>
      </c>
      <c r="BS159" s="357">
        <v>0.01</v>
      </c>
      <c r="BT159" s="357">
        <v>1.4999999999999999E-2</v>
      </c>
      <c r="BW159" s="357">
        <v>-5.0000000000000001E-3</v>
      </c>
      <c r="BX159" s="357">
        <v>-0.01</v>
      </c>
      <c r="BY159" s="357">
        <v>-1.4999999999999999E-2</v>
      </c>
      <c r="BZ159" s="357">
        <v>-0.02</v>
      </c>
      <c r="CC159" s="357">
        <v>-0.02</v>
      </c>
      <c r="CD159" s="357">
        <v>-0.02</v>
      </c>
      <c r="CE159" s="357">
        <v>-0.02</v>
      </c>
      <c r="CF159" s="357">
        <v>-0.02</v>
      </c>
      <c r="CI159" s="357">
        <v>-0.01</v>
      </c>
      <c r="CJ159" s="357">
        <v>-0.01</v>
      </c>
      <c r="CK159" s="357">
        <v>-0.01</v>
      </c>
      <c r="CL159" s="357">
        <v>-0.01</v>
      </c>
      <c r="CM159" s="357"/>
      <c r="CO159" s="357">
        <v>-0.01</v>
      </c>
      <c r="CP159" s="357">
        <v>-0.01</v>
      </c>
      <c r="CQ159" s="357">
        <v>-0.01</v>
      </c>
      <c r="CR159" s="357">
        <v>-0.01</v>
      </c>
      <c r="CU159" s="357">
        <v>-0.01</v>
      </c>
      <c r="CV159" s="357">
        <v>-0.01</v>
      </c>
      <c r="CW159" s="357">
        <v>-0.01</v>
      </c>
      <c r="CX159" s="357">
        <v>-0.01</v>
      </c>
      <c r="CZ159" s="2"/>
      <c r="DA159" s="357">
        <v>-0.01</v>
      </c>
      <c r="DB159" s="357">
        <v>-0.01</v>
      </c>
      <c r="DC159" s="357">
        <v>-0.01</v>
      </c>
      <c r="DD159" s="357">
        <v>-0.01</v>
      </c>
      <c r="DE159" s="2"/>
      <c r="DF159" s="2"/>
      <c r="DG159" s="357">
        <v>-0.01</v>
      </c>
      <c r="DH159" s="357">
        <v>-0.01</v>
      </c>
      <c r="DI159" s="357">
        <v>-0.01</v>
      </c>
      <c r="DJ159" s="357">
        <v>-0.01</v>
      </c>
      <c r="DK159" s="2"/>
    </row>
    <row r="160" spans="2:115" x14ac:dyDescent="0.3"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</row>
    <row r="161" spans="1:121" x14ac:dyDescent="0.3">
      <c r="AG161" s="356">
        <f>AG154+AG158</f>
        <v>2734</v>
      </c>
      <c r="AH161" s="356">
        <f>AH154+AH158</f>
        <v>2797</v>
      </c>
      <c r="AI161" s="356">
        <f>AI154+AI158</f>
        <v>2810</v>
      </c>
      <c r="AJ161" s="356">
        <f>AJ154+AJ158</f>
        <v>2653</v>
      </c>
      <c r="AK161" s="352">
        <f>AG161+AH161+AI161+AJ161</f>
        <v>10994</v>
      </c>
      <c r="AL161" s="3" t="s">
        <v>80</v>
      </c>
      <c r="AM161" s="352">
        <f>AM146</f>
        <v>2373</v>
      </c>
      <c r="AN161" s="352">
        <v>2508</v>
      </c>
      <c r="AO161" s="352">
        <v>2571</v>
      </c>
      <c r="AP161" s="352">
        <v>2721</v>
      </c>
      <c r="AQ161" s="352">
        <f>AM161+AN161+AO161+AP161</f>
        <v>10173</v>
      </c>
      <c r="AR161" s="352"/>
      <c r="AS161" s="352">
        <v>2496</v>
      </c>
      <c r="AT161" s="352">
        <v>2635</v>
      </c>
      <c r="AU161" s="352">
        <v>2649</v>
      </c>
      <c r="AV161" s="352">
        <v>2734</v>
      </c>
      <c r="AW161" s="352">
        <f>AS161+AT161+AU161+AV161</f>
        <v>10514</v>
      </c>
      <c r="AX161" s="352"/>
      <c r="AY161" s="352">
        <v>2684</v>
      </c>
      <c r="AZ161" s="352">
        <v>2679</v>
      </c>
      <c r="BA161" s="352">
        <v>2775</v>
      </c>
      <c r="BB161" s="352">
        <v>3097</v>
      </c>
      <c r="BC161" s="352">
        <f>AY161+AZ161+BA161+BB161</f>
        <v>11235</v>
      </c>
      <c r="BD161" s="352"/>
      <c r="BE161" s="352">
        <v>3142</v>
      </c>
      <c r="BF161" s="352">
        <v>3151</v>
      </c>
      <c r="BG161" s="352">
        <v>3163</v>
      </c>
      <c r="BH161" s="352">
        <v>3301</v>
      </c>
      <c r="BI161" s="352">
        <f>BE161+BF161+BG161+BH161</f>
        <v>12757</v>
      </c>
      <c r="BJ161" s="352"/>
      <c r="BK161" s="352">
        <v>3191</v>
      </c>
      <c r="BL161" s="352">
        <v>3154</v>
      </c>
      <c r="BM161" s="352">
        <v>2975</v>
      </c>
      <c r="BN161" s="352">
        <v>3152</v>
      </c>
      <c r="BO161" s="352">
        <f>BK161+BL161+BM161+BN161</f>
        <v>12472</v>
      </c>
      <c r="BP161" s="352"/>
      <c r="BQ161" s="352">
        <f>BQ158+('US Metro PF'!AZ228/'US Metro PF'!AZ304)</f>
        <v>2876.5816666666669</v>
      </c>
      <c r="BR161" s="352">
        <f>BR158+('US Metro PF'!BA228/'US Metro PF'!BA304)</f>
        <v>2850.9045081967211</v>
      </c>
      <c r="BS161" s="352">
        <f>BS158+('US Metro PF'!BB228/'US Metro PF'!BB304)</f>
        <v>2764.2621311475409</v>
      </c>
      <c r="BT161" s="352">
        <f>BT158+('US Metro PF'!BC228/'US Metro PF'!BC304)</f>
        <v>2890.9599180327868</v>
      </c>
      <c r="BU161" s="352">
        <f>BQ161+BR161+BS161+BT161</f>
        <v>11382.708224043716</v>
      </c>
      <c r="BV161" s="352"/>
      <c r="BW161" s="352">
        <f>BW158+('US Metro PF'!BF228/'US Metro PF'!BF304)</f>
        <v>2863.3327651639347</v>
      </c>
      <c r="BX161" s="352">
        <f>BX158+('US Metro PF'!BG228/'US Metro PF'!BG304)</f>
        <v>2849.5693770491798</v>
      </c>
      <c r="BY161" s="352">
        <f>BY158+('US Metro PF'!BH228/'US Metro PF'!BH304)</f>
        <v>2755.5141827868847</v>
      </c>
      <c r="BZ161" s="352">
        <f>BZ158+('US Metro PF'!BI228/'US Metro PF'!BI304)</f>
        <v>2872.1067545081964</v>
      </c>
      <c r="CA161" s="352">
        <f>BW161+BX161+BY161+BZ161</f>
        <v>11340.523079508195</v>
      </c>
      <c r="CB161" s="352"/>
      <c r="CC161" s="352">
        <f>CC158+('US Metro PF'!BL228/'US Metro PF'!BL304)</f>
        <v>2862.4314039180326</v>
      </c>
      <c r="CD161" s="352">
        <f>CD158+('US Metro PF'!BM228/'US Metro PF'!BM304)</f>
        <v>2847.6051652254091</v>
      </c>
      <c r="CE161" s="352">
        <f>CE158+('US Metro PF'!BN228/'US Metro PF'!BN304)</f>
        <v>2754.6083356065574</v>
      </c>
      <c r="CF161" s="352">
        <f>CF158+('US Metro PF'!BO228/'US Metro PF'!BO304)</f>
        <v>2869.2920028709013</v>
      </c>
      <c r="CG161" s="352">
        <f>CC161+CD161+CE161+CF161</f>
        <v>11333.9369076209</v>
      </c>
      <c r="CH161" s="352"/>
      <c r="CI161" s="352">
        <f>CI158+('US Metro PF'!BR228/'US Metro PF'!BR304)</f>
        <v>2878.7427548634832</v>
      </c>
      <c r="CJ161" s="352">
        <f>CJ158+('US Metro PF'!BS228/'US Metro PF'!BS304)</f>
        <v>2862.9980008810444</v>
      </c>
      <c r="CK161" s="352">
        <f>CK158+('US Metro PF'!BT228/'US Metro PF'!BT304)</f>
        <v>2770.2752335517207</v>
      </c>
      <c r="CL161" s="352">
        <f>CL158+('US Metro PF'!BU228/'US Metro PF'!BU304)</f>
        <v>2884.1492468726738</v>
      </c>
      <c r="CM161" s="352">
        <f>CI161+CJ161+CK161+CL161</f>
        <v>11396.165236168921</v>
      </c>
      <c r="CN161" s="352"/>
      <c r="CO161" s="352">
        <f>CO158+('US Metro PF'!BX228/'US Metro PF'!BX304)</f>
        <v>2889.4345186942028</v>
      </c>
      <c r="CP161" s="352">
        <f>CP158+('US Metro PF'!BY228/'US Metro PF'!BY304)</f>
        <v>2872.9099718641655</v>
      </c>
      <c r="CQ161" s="352">
        <f>CQ158+('US Metro PF'!BZ228/'US Metro PF'!BZ304)</f>
        <v>2780.5381719308552</v>
      </c>
      <c r="CR161" s="352">
        <f>CR158+('US Metro PF'!CA228/'US Metro PF'!CA304)</f>
        <v>2893.569684230727</v>
      </c>
      <c r="CS161" s="352">
        <f>CO161+CP161+CQ161+CR161</f>
        <v>11436.452346719951</v>
      </c>
      <c r="CT161" s="352"/>
      <c r="CU161" s="352">
        <f>CU158+('US Metro PF'!CD228/'US Metro PF'!CD304)</f>
        <v>2887.3860236452219</v>
      </c>
      <c r="CV161" s="352">
        <f>CV158+('US Metro PF'!CE228/'US Metro PF'!CE304)</f>
        <v>2870.3893988200371</v>
      </c>
      <c r="CW161" s="352">
        <f>CW158+('US Metro PF'!CF228/'US Metro PF'!CF304)</f>
        <v>2778.5494598975092</v>
      </c>
      <c r="CX161" s="352">
        <f>CX158+('US Metro PF'!CG228/'US Metro PF'!CG304)</f>
        <v>2890.6520996706304</v>
      </c>
      <c r="CY161" s="352">
        <f>CU161+CV161+CW161+CX161</f>
        <v>11426.9769820334</v>
      </c>
      <c r="CZ161" s="352"/>
      <c r="DA161" s="352">
        <f>DA158+('US Metro PF'!CJ228/'US Metro PF'!CJ304)</f>
        <v>2885.6264720481104</v>
      </c>
      <c r="DB161" s="352">
        <f>DB158+('US Metro PF'!CK228/'US Metro PF'!CK304)</f>
        <v>2868.1561167730952</v>
      </c>
      <c r="DC161" s="352">
        <f>DC158+('US Metro PF'!CL228/'US Metro PF'!CL304)</f>
        <v>2776.8388016813569</v>
      </c>
      <c r="DD161" s="352">
        <f>DD158+('US Metro PF'!CM228/'US Metro PF'!CM304)</f>
        <v>2888.0238720789566</v>
      </c>
      <c r="DE161" s="352">
        <f>DA161+DB161+DC161+DD161</f>
        <v>11418.645262581518</v>
      </c>
      <c r="DF161" s="352"/>
      <c r="DG161" s="352">
        <f>DG158+('US Metro PF'!CP228/'US Metro PF'!CP304)</f>
        <v>2884.1556590533633</v>
      </c>
      <c r="DH161" s="352">
        <f>DH158+('US Metro PF'!CQ228/'US Metro PF'!CQ304)</f>
        <v>2866.2098736660355</v>
      </c>
      <c r="DI161" s="352">
        <f>DI158+('US Metro PF'!CR228/'US Metro PF'!CR304)</f>
        <v>2775.4059984111946</v>
      </c>
      <c r="DJ161" s="352">
        <f>DJ158+('US Metro PF'!CS228/'US Metro PF'!CS304)</f>
        <v>2885.6847096972506</v>
      </c>
      <c r="DK161" s="352">
        <f>DG161+DH161+DI161+DJ161</f>
        <v>11411.456240827845</v>
      </c>
    </row>
    <row r="162" spans="1:121" x14ac:dyDescent="0.3">
      <c r="AP162" s="2">
        <v>2721</v>
      </c>
      <c r="AS162" s="569">
        <f>AS161/AM161-1</f>
        <v>5.1833122629582729E-2</v>
      </c>
      <c r="AT162" s="569">
        <f>AT161/AN161-1</f>
        <v>5.0637958532695482E-2</v>
      </c>
      <c r="AU162" s="569">
        <f>AU161/AO161-1</f>
        <v>3.033838973162184E-2</v>
      </c>
      <c r="AV162" s="569">
        <f>AV161/AP161-1</f>
        <v>4.7776552737963662E-3</v>
      </c>
      <c r="AW162" s="455"/>
      <c r="AX162" s="455"/>
      <c r="AY162" s="569">
        <f>AY161/AS161-1</f>
        <v>7.5320512820512775E-2</v>
      </c>
      <c r="AZ162" s="569">
        <f>AZ161/AT161-1</f>
        <v>1.6698292220113764E-2</v>
      </c>
      <c r="BA162" s="569">
        <f>BA161/AU161-1</f>
        <v>4.7565118912797244E-2</v>
      </c>
      <c r="BB162" s="569">
        <f>BB161/AV161-1</f>
        <v>0.13277249451353335</v>
      </c>
      <c r="BE162" s="569">
        <f>BE161/AY161-1</f>
        <v>0.1706408345752608</v>
      </c>
      <c r="BF162" s="569">
        <f>BF161/AZ161-1</f>
        <v>0.17618514371033966</v>
      </c>
      <c r="BG162" s="569">
        <f>BG161/BA161-1</f>
        <v>0.13981981981981972</v>
      </c>
      <c r="BH162" s="569">
        <f>BH161/BB161-1</f>
        <v>6.5870196964804562E-2</v>
      </c>
      <c r="BK162" s="569">
        <f>BK161/BE161-1</f>
        <v>1.5595162316995648E-2</v>
      </c>
      <c r="BL162" s="569">
        <f>BL161/BF161-1</f>
        <v>9.520787051728874E-4</v>
      </c>
      <c r="BM162" s="569">
        <f>BM161/BG161-1</f>
        <v>-5.9437243123616867E-2</v>
      </c>
      <c r="BN162" s="569">
        <f>BN161/BH161-1</f>
        <v>-4.5137837019085136E-2</v>
      </c>
      <c r="BQ162" s="569">
        <f>BQ161/BK161-1</f>
        <v>-9.8532852815209404E-2</v>
      </c>
      <c r="BR162" s="569">
        <f>BR161/BL161-1</f>
        <v>-9.6098760876118905E-2</v>
      </c>
      <c r="BS162" s="569">
        <f>BS161/BM161-1</f>
        <v>-7.0836258437801392E-2</v>
      </c>
      <c r="BT162" s="569">
        <f>BT161/BN161-1</f>
        <v>-8.2817284888075271E-2</v>
      </c>
      <c r="BW162" s="569">
        <f>BW161/BQ161-1</f>
        <v>-4.6057797198175709E-3</v>
      </c>
      <c r="BX162" s="569">
        <f>BX161/BR161-1</f>
        <v>-4.6831843848238464E-4</v>
      </c>
      <c r="BY162" s="569">
        <f>BY161/BS161-1</f>
        <v>-3.164659480765164E-3</v>
      </c>
      <c r="BZ162" s="569">
        <f>BZ161/BT161-1</f>
        <v>-6.5214198948214674E-3</v>
      </c>
      <c r="CC162" s="569">
        <f>CC161/BW161-1</f>
        <v>-3.1479444403681445E-4</v>
      </c>
      <c r="CD162" s="569">
        <f>CD161/BX161-1</f>
        <v>-6.8930128165700655E-4</v>
      </c>
      <c r="CE162" s="569">
        <f>CE161/BY161-1</f>
        <v>-3.2873979963010669E-4</v>
      </c>
      <c r="CF162" s="569">
        <f>CF161/BZ161-1</f>
        <v>-9.8003029757753879E-4</v>
      </c>
      <c r="CI162" s="569">
        <f>CI161/CC161-1</f>
        <v>5.6984250952263338E-3</v>
      </c>
      <c r="CJ162" s="569">
        <f>CJ161/CD161-1</f>
        <v>5.4055372014387704E-3</v>
      </c>
      <c r="CK162" s="569">
        <f>CK161/CE161-1</f>
        <v>5.6875228839796677E-3</v>
      </c>
      <c r="CL162" s="569">
        <f>CL161/CF161-1</f>
        <v>5.1780174297029191E-3</v>
      </c>
      <c r="CO162" s="569">
        <f>CO161/CI161-1</f>
        <v>3.7140393363235269E-3</v>
      </c>
      <c r="CP162" s="569">
        <f>CP161/CJ161-1</f>
        <v>3.4620949717991678E-3</v>
      </c>
      <c r="CQ162" s="569">
        <f>CQ161/CK161-1</f>
        <v>3.7046638019344602E-3</v>
      </c>
      <c r="CR162" s="569">
        <f>CR161/CL161-1</f>
        <v>3.2662794299802567E-3</v>
      </c>
      <c r="CU162" s="569">
        <f>CU161/CO161-1</f>
        <v>-7.0896053733948694E-4</v>
      </c>
      <c r="CV162" s="569">
        <f>CV161/CP161-1</f>
        <v>-8.7735886916529005E-4</v>
      </c>
      <c r="CW162" s="569">
        <f>CW161/CQ161-1</f>
        <v>-7.1522558237890888E-4</v>
      </c>
      <c r="CX162" s="569">
        <f>CX161/CR161-1</f>
        <v>-1.0082993943421048E-3</v>
      </c>
      <c r="DA162" s="569">
        <f>DA161/CU161-1</f>
        <v>-6.0939257262537794E-4</v>
      </c>
      <c r="DB162" s="569">
        <f>DB161/CV161-1</f>
        <v>-7.7804149076776685E-4</v>
      </c>
      <c r="DC162" s="569">
        <f>DC161/CW161-1</f>
        <v>-6.1566592239659101E-4</v>
      </c>
      <c r="DD162" s="569">
        <f>DD161/CX161-1</f>
        <v>-9.092161564421275E-4</v>
      </c>
      <c r="DG162" s="569">
        <f>DG161/DA161-1</f>
        <v>-5.0970318195864284E-4</v>
      </c>
      <c r="DH162" s="569">
        <f>DH161/DB161-1</f>
        <v>-6.7856944595101609E-4</v>
      </c>
      <c r="DI162" s="569">
        <f>DI161/DC161-1</f>
        <v>-5.1598359591298326E-4</v>
      </c>
      <c r="DJ162" s="569">
        <f>DJ161/DD161-1</f>
        <v>-8.0995257841209867E-4</v>
      </c>
    </row>
    <row r="163" spans="1:121" x14ac:dyDescent="0.3">
      <c r="AP163" s="2">
        <f>3438-717</f>
        <v>2721</v>
      </c>
      <c r="BK163" s="98">
        <f>BK161-BE161</f>
        <v>49</v>
      </c>
      <c r="BL163" s="98">
        <f>BL161-BF161</f>
        <v>3</v>
      </c>
      <c r="BM163" s="98">
        <f>BM161-BG161</f>
        <v>-188</v>
      </c>
      <c r="BN163" s="98">
        <f>BN161-BH161</f>
        <v>-149</v>
      </c>
      <c r="BP163" s="98"/>
      <c r="BQ163" s="98">
        <f>BQ161-BK161</f>
        <v>-314.41833333333307</v>
      </c>
      <c r="BR163" s="98">
        <f>BR161-BL161</f>
        <v>-303.09549180327895</v>
      </c>
      <c r="BS163" s="98">
        <f>BS161-BM161</f>
        <v>-210.73786885245909</v>
      </c>
    </row>
    <row r="164" spans="1:121" x14ac:dyDescent="0.3"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</row>
    <row r="165" spans="1:121" x14ac:dyDescent="0.3">
      <c r="A165" s="397"/>
      <c r="B165" s="397"/>
      <c r="C165" s="397"/>
      <c r="D165" s="398"/>
      <c r="E165" s="398"/>
      <c r="F165" s="398"/>
      <c r="G165" s="398"/>
      <c r="H165" s="398"/>
      <c r="I165" s="398"/>
      <c r="J165" s="398"/>
      <c r="K165" s="398"/>
      <c r="L165" s="398"/>
      <c r="M165" s="398"/>
      <c r="N165" s="398"/>
      <c r="O165" s="398"/>
      <c r="P165" s="398"/>
      <c r="Q165" s="398"/>
      <c r="R165" s="398"/>
      <c r="S165" s="398"/>
      <c r="T165" s="398"/>
      <c r="U165" s="398"/>
      <c r="V165" s="398"/>
      <c r="W165" s="398"/>
      <c r="X165" s="398"/>
      <c r="Y165" s="398"/>
      <c r="Z165" s="398"/>
      <c r="AA165" s="398"/>
      <c r="AB165" s="398"/>
      <c r="AC165" s="398"/>
      <c r="AD165" s="398"/>
      <c r="AE165" s="398"/>
      <c r="AF165" s="398"/>
      <c r="AG165" s="398"/>
      <c r="AH165" s="398"/>
      <c r="AI165" s="398"/>
      <c r="AJ165" s="398"/>
      <c r="AK165" s="398"/>
      <c r="AL165" s="398"/>
      <c r="AM165" s="398"/>
      <c r="AN165" s="398"/>
      <c r="AO165" s="398"/>
      <c r="AP165" s="398"/>
      <c r="AQ165" s="398"/>
      <c r="AR165" s="398"/>
      <c r="AS165" s="398"/>
      <c r="AT165" s="398"/>
      <c r="AU165" s="398"/>
      <c r="AV165" s="398"/>
      <c r="AW165" s="398"/>
      <c r="AX165" s="398"/>
      <c r="AY165" s="398"/>
      <c r="AZ165" s="398"/>
      <c r="BA165" s="398"/>
      <c r="BB165" s="398"/>
      <c r="BC165" s="398"/>
      <c r="BD165" s="398"/>
      <c r="BE165" s="398"/>
      <c r="BF165" s="398"/>
      <c r="BG165" s="398"/>
      <c r="BH165" s="398"/>
      <c r="BI165" s="398"/>
      <c r="BJ165" s="398"/>
      <c r="BK165" s="398"/>
      <c r="BL165" s="398"/>
      <c r="BM165" s="398"/>
      <c r="BN165" s="398"/>
      <c r="BO165" s="398"/>
      <c r="BP165" s="398"/>
      <c r="BQ165" s="398"/>
      <c r="BR165" s="398"/>
      <c r="BS165" s="398"/>
      <c r="BT165" s="398"/>
      <c r="BU165" s="398"/>
      <c r="BV165" s="398"/>
      <c r="BW165" s="398"/>
      <c r="BX165" s="398"/>
      <c r="BY165" s="398"/>
      <c r="BZ165" s="398"/>
      <c r="CA165" s="398"/>
      <c r="CB165" s="398"/>
      <c r="CC165" s="398"/>
      <c r="CD165" s="398"/>
      <c r="CE165" s="398"/>
      <c r="CF165" s="398"/>
      <c r="CG165" s="398"/>
      <c r="CH165" s="398"/>
      <c r="CI165" s="398"/>
      <c r="CJ165" s="398"/>
      <c r="CK165" s="398"/>
      <c r="CL165" s="398"/>
      <c r="CM165" s="398"/>
      <c r="CN165" s="398"/>
      <c r="CO165" s="398"/>
      <c r="CP165" s="398"/>
      <c r="CQ165" s="398"/>
      <c r="CR165" s="398"/>
      <c r="CS165" s="398"/>
      <c r="CT165" s="398"/>
      <c r="CU165" s="398"/>
      <c r="CV165" s="398"/>
      <c r="CW165" s="398"/>
      <c r="CX165" s="398"/>
      <c r="CY165" s="398"/>
      <c r="CZ165" s="398"/>
      <c r="DA165" s="398"/>
      <c r="DB165" s="398"/>
      <c r="DC165" s="398"/>
      <c r="DD165" s="398"/>
      <c r="DE165" s="398"/>
      <c r="DF165" s="398"/>
      <c r="DG165" s="398"/>
      <c r="DH165" s="398"/>
      <c r="DI165" s="398"/>
      <c r="DJ165" s="398"/>
      <c r="DK165" s="398"/>
    </row>
    <row r="166" spans="1:121" x14ac:dyDescent="0.3">
      <c r="A166" s="397"/>
      <c r="B166" s="397"/>
      <c r="C166" s="397"/>
      <c r="D166" s="398"/>
      <c r="E166" s="398"/>
      <c r="F166" s="398"/>
      <c r="G166" s="398"/>
      <c r="H166" s="398"/>
      <c r="I166" s="398"/>
      <c r="J166" s="398"/>
      <c r="K166" s="398"/>
      <c r="L166" s="398"/>
      <c r="M166" s="398"/>
      <c r="N166" s="398"/>
      <c r="O166" s="398"/>
      <c r="P166" s="398"/>
      <c r="Q166" s="398"/>
      <c r="R166" s="398"/>
      <c r="S166" s="398"/>
      <c r="T166" s="398"/>
      <c r="U166" s="398"/>
      <c r="V166" s="398"/>
      <c r="W166" s="398"/>
      <c r="X166" s="398"/>
      <c r="Y166" s="398"/>
      <c r="Z166" s="398"/>
      <c r="AA166" s="398"/>
      <c r="AB166" s="398"/>
      <c r="AC166" s="398"/>
      <c r="AD166" s="398"/>
      <c r="AE166" s="398"/>
      <c r="AF166" s="398"/>
      <c r="AG166" s="398"/>
      <c r="AH166" s="398"/>
      <c r="AI166" s="398"/>
      <c r="AJ166" s="398"/>
      <c r="AK166" s="398"/>
      <c r="AL166" s="398"/>
      <c r="AM166" s="398"/>
      <c r="AN166" s="398"/>
      <c r="AO166" s="398"/>
      <c r="AP166" s="398"/>
      <c r="AQ166" s="398"/>
      <c r="AR166" s="398"/>
      <c r="AS166" s="398"/>
      <c r="AT166" s="398"/>
      <c r="AU166" s="398"/>
      <c r="AV166" s="398"/>
      <c r="AW166" s="398"/>
      <c r="AX166" s="398"/>
      <c r="AY166" s="398"/>
      <c r="AZ166" s="398"/>
      <c r="BA166" s="398"/>
      <c r="BB166" s="398"/>
      <c r="BC166" s="398"/>
      <c r="BD166" s="398"/>
      <c r="BE166" s="398"/>
      <c r="BF166" s="398"/>
      <c r="BG166" s="398"/>
      <c r="BH166" s="398"/>
      <c r="BI166" s="398"/>
      <c r="BJ166" s="398"/>
      <c r="BK166" s="398"/>
      <c r="BL166" s="398"/>
      <c r="BM166" s="398"/>
      <c r="BN166" s="398"/>
      <c r="BO166" s="398"/>
      <c r="BP166" s="398"/>
      <c r="BQ166" s="398"/>
      <c r="BR166" s="398"/>
      <c r="BS166" s="398"/>
      <c r="BT166" s="398"/>
      <c r="BU166" s="398"/>
      <c r="BV166" s="398"/>
      <c r="BW166" s="398"/>
      <c r="BX166" s="398"/>
      <c r="BY166" s="398"/>
      <c r="BZ166" s="398"/>
      <c r="CA166" s="398"/>
      <c r="CB166" s="398"/>
      <c r="CC166" s="398"/>
      <c r="CD166" s="398"/>
      <c r="CE166" s="398"/>
      <c r="CF166" s="398"/>
      <c r="CG166" s="398"/>
      <c r="CH166" s="398"/>
      <c r="CI166" s="398"/>
      <c r="CJ166" s="398"/>
      <c r="CK166" s="398"/>
      <c r="CL166" s="398"/>
      <c r="CM166" s="398"/>
      <c r="CN166" s="398"/>
      <c r="CO166" s="398"/>
      <c r="CP166" s="398"/>
      <c r="CQ166" s="398"/>
      <c r="CR166" s="398"/>
      <c r="CS166" s="398"/>
      <c r="CT166" s="398"/>
      <c r="CU166" s="398"/>
      <c r="CV166" s="398"/>
      <c r="CW166" s="398"/>
      <c r="CX166" s="398"/>
      <c r="CY166" s="398"/>
      <c r="CZ166" s="398"/>
      <c r="DA166" s="398"/>
      <c r="DB166" s="398"/>
      <c r="DC166" s="398"/>
      <c r="DD166" s="398"/>
      <c r="DE166" s="398"/>
      <c r="DF166" s="398"/>
      <c r="DG166" s="398"/>
      <c r="DH166" s="398"/>
      <c r="DI166" s="398"/>
      <c r="DJ166" s="398"/>
      <c r="DK166" s="398"/>
    </row>
    <row r="167" spans="1:121" x14ac:dyDescent="0.3"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</row>
    <row r="168" spans="1:121" x14ac:dyDescent="0.3">
      <c r="B168" s="351" t="s">
        <v>592</v>
      </c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</row>
    <row r="169" spans="1:121" x14ac:dyDescent="0.3"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</row>
    <row r="170" spans="1:121" x14ac:dyDescent="0.3">
      <c r="B170" s="13" t="s">
        <v>589</v>
      </c>
      <c r="BE170" s="98"/>
      <c r="BF170" s="98"/>
      <c r="BG170" s="98"/>
      <c r="BH170" s="98"/>
    </row>
    <row r="171" spans="1:121" x14ac:dyDescent="0.3">
      <c r="B171" s="13"/>
      <c r="BE171" s="98"/>
      <c r="BF171" s="98"/>
      <c r="BG171" s="98"/>
      <c r="BH171" s="98"/>
    </row>
    <row r="172" spans="1:121" x14ac:dyDescent="0.3">
      <c r="B172" s="13" t="s">
        <v>199</v>
      </c>
      <c r="I172" s="352">
        <f>'TMO Netherlands'!I32</f>
        <v>416</v>
      </c>
      <c r="J172" s="352">
        <f>'TMO Netherlands'!J32</f>
        <v>447</v>
      </c>
      <c r="K172" s="352">
        <f>'TMO Netherlands'!K32</f>
        <v>477</v>
      </c>
      <c r="L172" s="352">
        <f>'TMO Netherlands'!L32</f>
        <v>466</v>
      </c>
      <c r="M172" s="352">
        <f>I172+J172+K172+L172</f>
        <v>1806</v>
      </c>
      <c r="O172" s="352">
        <f>'TMO Netherlands'!O32</f>
        <v>444</v>
      </c>
      <c r="P172" s="352">
        <f>'TMO Netherlands'!P32</f>
        <v>465</v>
      </c>
      <c r="Q172" s="352">
        <f>'TMO Netherlands'!Q32</f>
        <v>452</v>
      </c>
      <c r="R172" s="352">
        <f>'TMO Netherlands'!R32</f>
        <v>446</v>
      </c>
      <c r="S172" s="352">
        <f>O172+P172+Q172+R172</f>
        <v>1807</v>
      </c>
      <c r="U172" s="352">
        <f>'TMO Netherlands'!U32</f>
        <v>442</v>
      </c>
      <c r="V172" s="352">
        <f>'TMO Netherlands'!V32</f>
        <v>448</v>
      </c>
      <c r="W172" s="352">
        <f>'TMO Netherlands'!W32</f>
        <v>450</v>
      </c>
      <c r="X172" s="352">
        <f>'TMO Netherlands'!X32</f>
        <v>427</v>
      </c>
      <c r="Y172" s="352">
        <f>U172+V172+W172+X172</f>
        <v>1767</v>
      </c>
      <c r="AA172" s="352">
        <f>'TMO Netherlands'!AA32</f>
        <v>418</v>
      </c>
      <c r="AB172" s="352">
        <f>'TMO Netherlands'!AB32</f>
        <v>436</v>
      </c>
      <c r="AC172" s="352">
        <f>'TMO Netherlands'!AC32</f>
        <v>428</v>
      </c>
      <c r="AD172" s="352">
        <f>'TMO Netherlands'!AD32</f>
        <v>418</v>
      </c>
      <c r="AE172" s="352">
        <f>AA172+AB172+AC172+AD172</f>
        <v>1700</v>
      </c>
      <c r="AG172" s="352">
        <f>'TMO Netherlands'!AG32</f>
        <v>421</v>
      </c>
      <c r="AH172" s="352">
        <f>'TMO Netherlands'!AH32</f>
        <v>419</v>
      </c>
      <c r="AI172" s="352">
        <f>'TMO Netherlands'!AI32</f>
        <v>413</v>
      </c>
      <c r="AJ172" s="352">
        <f>'TMO Netherlands'!AJ32</f>
        <v>411</v>
      </c>
      <c r="AK172" s="352">
        <f>AG172+AH172+AI172+AJ172</f>
        <v>1664</v>
      </c>
      <c r="AM172" s="352">
        <f>'TMO Netherlands'!AM32</f>
        <v>393</v>
      </c>
      <c r="AN172" s="352">
        <f>'TMO Netherlands'!AN32</f>
        <v>406</v>
      </c>
      <c r="AO172" s="352">
        <f>'TMO Netherlands'!AO32</f>
        <v>412</v>
      </c>
      <c r="AP172" s="352">
        <f>'TMO Netherlands'!AP32</f>
        <v>455</v>
      </c>
      <c r="AQ172" s="352">
        <f>AM172+AN172+AO172+AP172</f>
        <v>1666</v>
      </c>
      <c r="AS172" s="352">
        <f>'TMO Netherlands'!AS32</f>
        <v>393</v>
      </c>
      <c r="AT172" s="352">
        <f>'TMO Netherlands'!AT32</f>
        <v>379</v>
      </c>
      <c r="AU172" s="352">
        <f>'TMO Netherlands'!AU32</f>
        <v>376</v>
      </c>
      <c r="AV172" s="352">
        <f>'TMO Netherlands'!AV32</f>
        <v>403</v>
      </c>
      <c r="AW172" s="352">
        <f>AS172+AT172+AU172+AV172</f>
        <v>1551</v>
      </c>
      <c r="AY172" s="352">
        <f>'TMO Netherlands'!AY32</f>
        <v>346</v>
      </c>
      <c r="AZ172" s="352">
        <f>'TMO Netherlands'!AZ32</f>
        <v>362</v>
      </c>
      <c r="BA172" s="352">
        <f>'TMO Netherlands'!BA32</f>
        <v>346</v>
      </c>
      <c r="BB172" s="352">
        <f>'TMO Netherlands'!BB32</f>
        <v>340</v>
      </c>
      <c r="BC172" s="352">
        <f>AY172+AZ172+BA172+BB172</f>
        <v>1394</v>
      </c>
      <c r="BE172" s="352">
        <f>'TMO Netherlands'!BE32</f>
        <v>324</v>
      </c>
      <c r="BF172" s="352">
        <f>'TMO Netherlands'!BF32</f>
        <v>319</v>
      </c>
      <c r="BG172" s="352">
        <f>'TMO Netherlands'!BG32</f>
        <v>332</v>
      </c>
      <c r="BH172" s="352">
        <f>'TMO Netherlands'!BH32</f>
        <v>356</v>
      </c>
      <c r="BI172" s="352">
        <f>BE172+BF172+BG172+BH172</f>
        <v>1331</v>
      </c>
      <c r="BK172" s="352">
        <f>'TMO Netherlands'!BK32</f>
        <v>341</v>
      </c>
      <c r="BL172" s="352">
        <f>'TMO Netherlands'!BL32</f>
        <v>345</v>
      </c>
      <c r="BM172" s="352">
        <f>'TMO Netherlands'!BM32</f>
        <v>327</v>
      </c>
      <c r="BN172" s="352">
        <f>'TMO Netherlands'!BN32</f>
        <v>342</v>
      </c>
      <c r="BO172" s="352">
        <f>BK172+BL172+BM172+BN172</f>
        <v>1355</v>
      </c>
      <c r="BQ172" s="352">
        <f>'TMO Netherlands'!BQ32</f>
        <v>325.07129679955079</v>
      </c>
      <c r="BR172" s="352">
        <f>'TMO Netherlands'!BR32</f>
        <v>331.08485831473951</v>
      </c>
      <c r="BS172" s="352">
        <f>'TMO Netherlands'!BS32</f>
        <v>314.93588091530404</v>
      </c>
      <c r="BT172" s="352">
        <f>'TMO Netherlands'!BT32</f>
        <v>336.54445977866936</v>
      </c>
      <c r="BU172" s="352">
        <f>BQ172+BR172+BS172+BT172</f>
        <v>1307.6364958082636</v>
      </c>
      <c r="BW172" s="352">
        <f>'TMO Netherlands'!BW32</f>
        <v>323.93429569822877</v>
      </c>
      <c r="BX172" s="352">
        <f>'TMO Netherlands'!BX32</f>
        <v>331.03860026381415</v>
      </c>
      <c r="BY172" s="352">
        <f>'TMO Netherlands'!BY32</f>
        <v>315.43392991446052</v>
      </c>
      <c r="BZ172" s="352">
        <f>'TMO Netherlands'!BZ32</f>
        <v>336.97738858885577</v>
      </c>
      <c r="CA172" s="352">
        <f>BW172+BX172+BY172+BZ172</f>
        <v>1307.3842144653593</v>
      </c>
      <c r="CC172" s="352">
        <f>'TMO Netherlands'!CC32</f>
        <v>323.63050198373543</v>
      </c>
      <c r="CD172" s="352">
        <f>'TMO Netherlands'!CD32</f>
        <v>331.83072244524215</v>
      </c>
      <c r="CE172" s="352">
        <f>'TMO Netherlands'!CE32</f>
        <v>316.64826256434372</v>
      </c>
      <c r="CF172" s="352">
        <f>'TMO Netherlands'!CF32</f>
        <v>335.0617932514885</v>
      </c>
      <c r="CG172" s="352">
        <f>CC172+CD172+CE172+CF172</f>
        <v>1307.1712802448099</v>
      </c>
      <c r="CI172" s="352">
        <f>'TMO Netherlands'!CI32</f>
        <v>325.52809690874329</v>
      </c>
      <c r="CJ172" s="352">
        <f>'TMO Netherlands'!CJ32</f>
        <v>334.79879289350168</v>
      </c>
      <c r="CK172" s="352">
        <f>'TMO Netherlands'!CK32</f>
        <v>319.88499494932398</v>
      </c>
      <c r="CL172" s="352">
        <f>'TMO Netherlands'!CL32</f>
        <v>338.96150350113641</v>
      </c>
      <c r="CM172" s="352">
        <f>CI172+CJ172+CK172+CL172</f>
        <v>1319.1733882527053</v>
      </c>
      <c r="CO172" s="352">
        <f>'TMO Netherlands'!CO32</f>
        <v>328.76936665085731</v>
      </c>
      <c r="CP172" s="352">
        <f>'TMO Netherlands'!CP32</f>
        <v>339.10106378578075</v>
      </c>
      <c r="CQ172" s="352">
        <f>'TMO Netherlands'!CQ32</f>
        <v>324.40441197021522</v>
      </c>
      <c r="CR172" s="352">
        <f>'TMO Netherlands'!CR32</f>
        <v>344.11281824268337</v>
      </c>
      <c r="CS172" s="352">
        <f>CO172+CP172+CQ172+CR172</f>
        <v>1336.3876606495369</v>
      </c>
      <c r="CU172" s="352">
        <f>'TMO Netherlands'!CU32</f>
        <v>332.51322109850503</v>
      </c>
      <c r="CV172" s="352">
        <f>'TMO Netherlands'!CV32</f>
        <v>343.83796418599087</v>
      </c>
      <c r="CW172" s="352">
        <f>'TMO Netherlands'!CW32</f>
        <v>329.3105349323364</v>
      </c>
      <c r="CX172" s="352">
        <f>'TMO Netherlands'!CX32</f>
        <v>349.62121814651027</v>
      </c>
      <c r="CY172" s="352">
        <f>CU172+CV172+CW172+CX172</f>
        <v>1355.2829383633425</v>
      </c>
      <c r="DA172" s="352">
        <f>'TMO Netherlands'!DA32</f>
        <v>336.57376436204902</v>
      </c>
      <c r="DB172" s="352">
        <f>'TMO Netherlands'!DB32</f>
        <v>348.81995255492302</v>
      </c>
      <c r="DC172" s="352">
        <f>'TMO Netherlands'!DC32</f>
        <v>334.41856874556333</v>
      </c>
      <c r="DD172" s="352">
        <f>'TMO Netherlands'!DD32</f>
        <v>355.30531540022764</v>
      </c>
      <c r="DE172" s="352">
        <f>DA172+DB172+DC172+DD172</f>
        <v>1375.117601062763</v>
      </c>
      <c r="DG172" s="352">
        <f>'TMO Netherlands'!DG32</f>
        <v>340.77596514465984</v>
      </c>
      <c r="DH172" s="352">
        <f>'TMO Netherlands'!DH32</f>
        <v>353.86788553195828</v>
      </c>
      <c r="DI172" s="352">
        <f>'TMO Netherlands'!DI32</f>
        <v>339.55354984788943</v>
      </c>
      <c r="DJ172" s="352">
        <f>'TMO Netherlands'!DJ32</f>
        <v>360.99314272156266</v>
      </c>
      <c r="DK172" s="352">
        <f>DG172+DH172+DI172+DJ172</f>
        <v>1395.1905432460701</v>
      </c>
    </row>
    <row r="173" spans="1:121" x14ac:dyDescent="0.3">
      <c r="B173" s="1" t="s">
        <v>588</v>
      </c>
      <c r="I173" s="2" t="s">
        <v>35</v>
      </c>
      <c r="J173" s="2" t="s">
        <v>35</v>
      </c>
      <c r="K173" s="2" t="s">
        <v>35</v>
      </c>
      <c r="L173" s="2" t="s">
        <v>35</v>
      </c>
      <c r="M173" s="2" t="s">
        <v>35</v>
      </c>
      <c r="O173" s="36">
        <f>O172/I172-1</f>
        <v>6.7307692307692291E-2</v>
      </c>
      <c r="P173" s="36">
        <f>P172/J172-1</f>
        <v>4.0268456375838868E-2</v>
      </c>
      <c r="Q173" s="36">
        <f>Q172/K172-1</f>
        <v>-5.2410901467505266E-2</v>
      </c>
      <c r="R173" s="36">
        <f>R172/L172-1</f>
        <v>-4.2918454935622297E-2</v>
      </c>
      <c r="S173" s="36">
        <f>S172/M172-1</f>
        <v>5.5370985603553358E-4</v>
      </c>
      <c r="U173" s="36">
        <f>U172/O172-1</f>
        <v>-4.5045045045044585E-3</v>
      </c>
      <c r="V173" s="36">
        <f>V172/P172-1</f>
        <v>-3.6559139784946182E-2</v>
      </c>
      <c r="W173" s="36">
        <f>W172/Q172-1</f>
        <v>-4.4247787610619538E-3</v>
      </c>
      <c r="X173" s="36">
        <f>X172/R172-1</f>
        <v>-4.2600896860986559E-2</v>
      </c>
      <c r="Y173" s="36">
        <f>Y172/S172-1</f>
        <v>-2.2136137244050946E-2</v>
      </c>
      <c r="AA173" s="36">
        <f>AA172/U172-1</f>
        <v>-5.4298642533936681E-2</v>
      </c>
      <c r="AB173" s="36">
        <f>AB172/V172-1</f>
        <v>-2.6785714285714302E-2</v>
      </c>
      <c r="AC173" s="36">
        <f>AC172/W172-1</f>
        <v>-4.8888888888888871E-2</v>
      </c>
      <c r="AD173" s="36">
        <f>AD172/X172-1</f>
        <v>-2.1077283372365363E-2</v>
      </c>
      <c r="AE173" s="36">
        <f>AE172/Y172-1</f>
        <v>-3.7917374080362221E-2</v>
      </c>
      <c r="AG173" s="36">
        <f>AG172/AA172-1</f>
        <v>7.1770334928229484E-3</v>
      </c>
      <c r="AH173" s="36">
        <f>AH172/AB172-1</f>
        <v>-3.8990825688073438E-2</v>
      </c>
      <c r="AI173" s="36">
        <f>AI172/AC172-1</f>
        <v>-3.5046728971962593E-2</v>
      </c>
      <c r="AJ173" s="36">
        <f>AJ172/AD172-1</f>
        <v>-1.674641148325362E-2</v>
      </c>
      <c r="AK173" s="36">
        <f>AK172/AE172-1</f>
        <v>-2.1176470588235241E-2</v>
      </c>
      <c r="AM173" s="36">
        <f>AM172/AG172-1</f>
        <v>-6.6508313539192399E-2</v>
      </c>
      <c r="AN173" s="36">
        <f>AN172/AH172-1</f>
        <v>-3.1026252983293534E-2</v>
      </c>
      <c r="AO173" s="36">
        <f>AO172/AI172-1</f>
        <v>-2.421307506053294E-3</v>
      </c>
      <c r="AP173" s="36">
        <f>AP172/AJ172-1</f>
        <v>0.1070559610705597</v>
      </c>
      <c r="AQ173" s="36">
        <f>AQ172/AK172-1</f>
        <v>1.2019230769231282E-3</v>
      </c>
      <c r="AS173" s="36">
        <f>AS172/AM172-1</f>
        <v>0</v>
      </c>
      <c r="AT173" s="36">
        <f>AT172/AN172-1</f>
        <v>-6.6502463054187166E-2</v>
      </c>
      <c r="AU173" s="36">
        <f>AU172/AO172-1</f>
        <v>-8.737864077669899E-2</v>
      </c>
      <c r="AV173" s="36">
        <f>AV172/AP172-1</f>
        <v>-0.11428571428571432</v>
      </c>
      <c r="AW173" s="36">
        <f>AW172/AQ172-1</f>
        <v>-6.9027611044417791E-2</v>
      </c>
      <c r="AY173" s="36">
        <f>AY172/AS172-1</f>
        <v>-0.11959287531806617</v>
      </c>
      <c r="AZ173" s="36">
        <f>AZ172/AT172-1</f>
        <v>-4.4854881266490731E-2</v>
      </c>
      <c r="BA173" s="36">
        <f>BA172/AU172-1</f>
        <v>-7.9787234042553168E-2</v>
      </c>
      <c r="BB173" s="36">
        <f>BB172/AV172-1</f>
        <v>-0.15632754342431765</v>
      </c>
      <c r="BC173" s="36">
        <f>BC172/AW172-1</f>
        <v>-0.1012250161186331</v>
      </c>
      <c r="BE173" s="36">
        <f>BE172/AY172-1</f>
        <v>-6.3583815028901758E-2</v>
      </c>
      <c r="BF173" s="36">
        <f>BF172/AZ172-1</f>
        <v>-0.11878453038674031</v>
      </c>
      <c r="BG173" s="36">
        <f>BG172/BA172-1</f>
        <v>-4.0462427745664775E-2</v>
      </c>
      <c r="BH173" s="36">
        <f>BH172/BB172-1</f>
        <v>4.705882352941182E-2</v>
      </c>
      <c r="BI173" s="36">
        <f>BI172/BC172-1</f>
        <v>-4.5193687230989932E-2</v>
      </c>
      <c r="BK173" s="36">
        <f>BK172/BE172-1</f>
        <v>5.2469135802469147E-2</v>
      </c>
      <c r="BL173" s="36">
        <f>BL172/BF172-1</f>
        <v>8.1504702194357348E-2</v>
      </c>
      <c r="BM173" s="36">
        <f>BM172/BG172-1</f>
        <v>-1.5060240963855387E-2</v>
      </c>
      <c r="BN173" s="36">
        <f>BN172/BH172-1</f>
        <v>-3.9325842696629199E-2</v>
      </c>
      <c r="BO173" s="36">
        <f>BO172/BI172-1</f>
        <v>1.8031555221637907E-2</v>
      </c>
      <c r="BQ173" s="36">
        <f>BQ172/BK172-1</f>
        <v>-4.6711739590760137E-2</v>
      </c>
      <c r="BR173" s="36">
        <f>BR172/BL172-1</f>
        <v>-4.0333744015247808E-2</v>
      </c>
      <c r="BS173" s="36">
        <f>BS172/BM172-1</f>
        <v>-3.6893330534238378E-2</v>
      </c>
      <c r="BT173" s="36">
        <f>BT172/BN172-1</f>
        <v>-1.5951871992194833E-2</v>
      </c>
      <c r="BU173" s="36">
        <f>BU172/BO172-1</f>
        <v>-3.4954615639657849E-2</v>
      </c>
      <c r="BW173" s="36">
        <f>BW172/BQ172-1</f>
        <v>-3.4976976205411958E-3</v>
      </c>
      <c r="BX173" s="36">
        <f>BX172/BR172-1</f>
        <v>-1.3971660063472058E-4</v>
      </c>
      <c r="BY173" s="36">
        <f>BY172/BS172-1</f>
        <v>1.5814298380640857E-3</v>
      </c>
      <c r="BZ173" s="36">
        <f>BZ172/BT172-1</f>
        <v>1.286394108140021E-3</v>
      </c>
      <c r="CA173" s="36">
        <f>CA172/BU172-1</f>
        <v>-1.9292926108516184E-4</v>
      </c>
      <c r="CC173" s="36">
        <f>CC172/BW172-1</f>
        <v>-9.3782510381779094E-4</v>
      </c>
      <c r="CD173" s="36">
        <f>CD172/BX172-1</f>
        <v>2.3928393268843884E-3</v>
      </c>
      <c r="CE173" s="36">
        <f>CE172/BY172-1</f>
        <v>3.8497210817254324E-3</v>
      </c>
      <c r="CF173" s="36">
        <f>CF172/BZ172-1</f>
        <v>-5.6846405789692245E-3</v>
      </c>
      <c r="CG173" s="36">
        <f>CG172/CA172-1</f>
        <v>-1.628704233945788E-4</v>
      </c>
      <c r="CI173" s="36">
        <f>CI172/CC172-1</f>
        <v>5.8634613034813654E-3</v>
      </c>
      <c r="CJ173" s="36">
        <f>CJ172/CD172-1</f>
        <v>8.9445317973815275E-3</v>
      </c>
      <c r="CK173" s="36">
        <f>CK172/CE172-1</f>
        <v>1.022185423904709E-2</v>
      </c>
      <c r="CL173" s="36">
        <f>CL172/CF172-1</f>
        <v>1.1638779258609455E-2</v>
      </c>
      <c r="CM173" s="36">
        <f>CM172/CG172-1</f>
        <v>9.1817409005863215E-3</v>
      </c>
      <c r="CO173" s="36">
        <f>CO172/CI172-1</f>
        <v>9.9569584711536319E-3</v>
      </c>
      <c r="CP173" s="36">
        <f>CP172/CJ172-1</f>
        <v>1.2850317813563938E-2</v>
      </c>
      <c r="CQ173" s="36">
        <f>CQ172/CK172-1</f>
        <v>1.4128255755188501E-2</v>
      </c>
      <c r="CR173" s="36">
        <f>CR172/CL172-1</f>
        <v>1.5197344501776788E-2</v>
      </c>
      <c r="CS173" s="36">
        <f>CS172/CM172-1</f>
        <v>1.3049287190088465E-2</v>
      </c>
      <c r="CU173" s="36">
        <f>CU172/CO172-1</f>
        <v>1.1387479575077242E-2</v>
      </c>
      <c r="CV173" s="36">
        <f>CV172/CP172-1</f>
        <v>1.3968993040972988E-2</v>
      </c>
      <c r="CW173" s="36">
        <f>CW172/CQ172-1</f>
        <v>1.5123477921661577E-2</v>
      </c>
      <c r="CX173" s="36">
        <f>CX172/CR172-1</f>
        <v>1.6007540584966229E-2</v>
      </c>
      <c r="CY173" s="36">
        <f>CY172/CS172-1</f>
        <v>1.4139069276217109E-2</v>
      </c>
      <c r="DA173" s="36">
        <f>DA172/CU172-1</f>
        <v>1.2211674621927626E-2</v>
      </c>
      <c r="DB173" s="36">
        <f>DB172/CV172-1</f>
        <v>1.4489349309424249E-2</v>
      </c>
      <c r="DC173" s="36">
        <f>DC172/CW172-1</f>
        <v>1.5511297913006317E-2</v>
      </c>
      <c r="DD173" s="36">
        <f>DD172/CX172-1</f>
        <v>1.6257872688194341E-2</v>
      </c>
      <c r="DE173" s="36">
        <f>DE172/CY172-1</f>
        <v>1.4635071495383123E-2</v>
      </c>
      <c r="DG173" s="36">
        <f>DG172/DA172-1</f>
        <v>1.2485229769990447E-2</v>
      </c>
      <c r="DH173" s="36">
        <f>DH172/DB172-1</f>
        <v>1.4471457094302753E-2</v>
      </c>
      <c r="DI173" s="36">
        <f>DI172/DC172-1</f>
        <v>1.5354952093682872E-2</v>
      </c>
      <c r="DJ173" s="36">
        <f>DJ172/DD172-1</f>
        <v>1.6008280976399281E-2</v>
      </c>
      <c r="DK173" s="36">
        <f>DK172/DE172-1</f>
        <v>1.459725493135533E-2</v>
      </c>
    </row>
    <row r="174" spans="1:121" x14ac:dyDescent="0.3">
      <c r="BK174" s="98">
        <f>BK175-BE175</f>
        <v>3</v>
      </c>
      <c r="BL174" s="98">
        <f>BL175-BF175</f>
        <v>-37</v>
      </c>
      <c r="BM174" s="98">
        <f>BM175-BG175</f>
        <v>-38.299999999999955</v>
      </c>
      <c r="BN174" s="98">
        <f>BN175-BH175</f>
        <v>-35.299999999999955</v>
      </c>
      <c r="BQ174" s="98">
        <f>BQ175-BK175</f>
        <v>-34.289999999999992</v>
      </c>
    </row>
    <row r="175" spans="1:121" x14ac:dyDescent="0.3">
      <c r="B175" s="13" t="s">
        <v>594</v>
      </c>
      <c r="BE175" s="352">
        <f>BE178-BE172</f>
        <v>251</v>
      </c>
      <c r="BF175" s="352">
        <f>BF178-BF172</f>
        <v>254</v>
      </c>
      <c r="BG175" s="352">
        <f>BG178-BG172</f>
        <v>256.29999999999995</v>
      </c>
      <c r="BH175" s="352">
        <f>BH178-BH172</f>
        <v>254.29999999999995</v>
      </c>
      <c r="BI175" s="352">
        <f>BE175+BF175+BG175+BH175</f>
        <v>1015.5999999999999</v>
      </c>
      <c r="BK175" s="352">
        <f>BK178-BK172</f>
        <v>254</v>
      </c>
      <c r="BL175" s="352">
        <f>BL178-BL172</f>
        <v>217</v>
      </c>
      <c r="BM175" s="352">
        <f>BM178-BM172</f>
        <v>218</v>
      </c>
      <c r="BN175" s="352">
        <f>BN178-BN172</f>
        <v>219</v>
      </c>
      <c r="BO175" s="670">
        <f>BK175+BL175+BM175+BN175</f>
        <v>908</v>
      </c>
      <c r="BQ175" s="670">
        <f>BK175*(1+BQ176)</f>
        <v>219.71</v>
      </c>
      <c r="BR175" s="670">
        <f>BL175*(1+BR176)</f>
        <v>219.71249999999998</v>
      </c>
      <c r="BS175" s="670">
        <f>BM175*(1+BS176)</f>
        <v>221.26999999999998</v>
      </c>
      <c r="BT175" s="670">
        <f>BN175*(1+BT176)</f>
        <v>222.28499999999997</v>
      </c>
      <c r="BU175" s="670">
        <f>BQ175+BR175+BS175+BT175</f>
        <v>882.97749999999996</v>
      </c>
      <c r="BW175" s="670">
        <f>BQ175*(1+BW176)</f>
        <v>223.00564999999997</v>
      </c>
      <c r="BX175" s="670">
        <f>BR175*(1+BX176)</f>
        <v>223.00818749999996</v>
      </c>
      <c r="BY175" s="670">
        <f>BS175*(1+BY176)</f>
        <v>225.142225</v>
      </c>
      <c r="BZ175" s="670">
        <f>BT175*(1+BZ176)</f>
        <v>226.17498749999999</v>
      </c>
      <c r="CA175" s="670">
        <f>BW175+BX175+BY175+BZ175</f>
        <v>897.33105</v>
      </c>
      <c r="CC175" s="670">
        <f>BW175*(1+CC176)</f>
        <v>228.58079124999995</v>
      </c>
      <c r="CD175" s="670">
        <f>BX175*(1+CD176)</f>
        <v>228.58339218749995</v>
      </c>
      <c r="CE175" s="670">
        <f>BY175*(1+CE176)</f>
        <v>230.77078062499999</v>
      </c>
      <c r="CF175" s="670">
        <f>BZ175*(1+CF176)</f>
        <v>231.82936218749995</v>
      </c>
      <c r="CG175" s="670">
        <f>CC175+CD175+CE175+CF175</f>
        <v>919.76432624999984</v>
      </c>
      <c r="CI175" s="670">
        <f>CC175*(1+CI176)</f>
        <v>236.58111894374991</v>
      </c>
      <c r="CJ175" s="670">
        <f>CD175*(1+CJ176)</f>
        <v>236.58381091406244</v>
      </c>
      <c r="CK175" s="670">
        <f>CE175*(1+CK176)</f>
        <v>238.84775794687496</v>
      </c>
      <c r="CL175" s="670">
        <f>CF175*(1+CL176)</f>
        <v>239.94338986406242</v>
      </c>
      <c r="CM175" s="670">
        <f>CI175+CJ175+CK175+CL175</f>
        <v>951.95607766874969</v>
      </c>
      <c r="CO175" s="670">
        <f>CI175*(1+CO176)</f>
        <v>246.04436370149992</v>
      </c>
      <c r="CP175" s="670">
        <f>CJ175*(1+CP176)</f>
        <v>246.04716335062494</v>
      </c>
      <c r="CQ175" s="670">
        <f>CK175*(1+CQ176)</f>
        <v>248.40166826474996</v>
      </c>
      <c r="CR175" s="670">
        <f>CL175*(1+CR176)</f>
        <v>249.54112545862492</v>
      </c>
      <c r="CS175" s="670">
        <f>CO175+CP175+CQ175+CR175</f>
        <v>990.03432077549974</v>
      </c>
      <c r="CU175" s="670">
        <f>CO175*(1+CU176)</f>
        <v>258.34658188657494</v>
      </c>
      <c r="CV175" s="670">
        <f>CP175*(1+CV176)</f>
        <v>258.34952151815622</v>
      </c>
      <c r="CW175" s="670">
        <f>CQ175*(1+CW176)</f>
        <v>260.82175167798749</v>
      </c>
      <c r="CX175" s="670">
        <f>CR175*(1+CX176)</f>
        <v>262.01818173155618</v>
      </c>
      <c r="CY175" s="670">
        <f>CU175+CV175+CW175+CX175</f>
        <v>1039.5360368142747</v>
      </c>
      <c r="DA175" s="670">
        <f>CU175*(1+DA176)</f>
        <v>267.38871225260505</v>
      </c>
      <c r="DB175" s="670">
        <f>CV175*(1+DB176)</f>
        <v>267.39175477129169</v>
      </c>
      <c r="DC175" s="670">
        <f>CW175*(1+DC176)</f>
        <v>269.95051298671706</v>
      </c>
      <c r="DD175" s="670">
        <f>CX175*(1+DD176)</f>
        <v>271.1888180921606</v>
      </c>
      <c r="DE175" s="670">
        <f>DA175+DB175+DC175+DD175</f>
        <v>1075.9197981027744</v>
      </c>
      <c r="DG175" s="670">
        <f>DA175*(1+DG176)</f>
        <v>274.07343005892017</v>
      </c>
      <c r="DH175" s="670">
        <f>DB175*(1+DH176)</f>
        <v>274.07654864057395</v>
      </c>
      <c r="DI175" s="670">
        <f>DC175*(1+DI176)</f>
        <v>276.69927581138495</v>
      </c>
      <c r="DJ175" s="670">
        <f>DD175*(1+DJ176)</f>
        <v>277.96853854446459</v>
      </c>
      <c r="DK175" s="670">
        <f>DG175+DH175+DI175+DJ175</f>
        <v>1102.8177930553436</v>
      </c>
      <c r="DM175" s="670"/>
      <c r="DN175" s="670"/>
      <c r="DO175" s="670"/>
      <c r="DP175" s="670"/>
      <c r="DQ175" s="670"/>
    </row>
    <row r="176" spans="1:121" x14ac:dyDescent="0.3">
      <c r="B176" s="1" t="s">
        <v>588</v>
      </c>
      <c r="BE176" s="2" t="s">
        <v>35</v>
      </c>
      <c r="BF176" s="2" t="s">
        <v>35</v>
      </c>
      <c r="BG176" s="2" t="s">
        <v>35</v>
      </c>
      <c r="BH176" s="2" t="s">
        <v>35</v>
      </c>
      <c r="BI176" s="2" t="s">
        <v>35</v>
      </c>
      <c r="BK176" s="36">
        <f>BK175/BE175-1</f>
        <v>1.195219123505975E-2</v>
      </c>
      <c r="BL176" s="36">
        <f>BL175/BF175-1</f>
        <v>-0.14566929133858264</v>
      </c>
      <c r="BM176" s="36">
        <f>BM175/BG175-1</f>
        <v>-0.1494342567303939</v>
      </c>
      <c r="BN176" s="36">
        <f>BN175/BH175-1</f>
        <v>-0.13881242626818702</v>
      </c>
      <c r="BO176" s="36">
        <f>BO175/BI175-1</f>
        <v>-0.10594722331626616</v>
      </c>
      <c r="BQ176" s="36">
        <v>-0.13500000000000001</v>
      </c>
      <c r="BR176" s="36">
        <v>1.2500000000000001E-2</v>
      </c>
      <c r="BS176" s="36">
        <v>1.4999999999999999E-2</v>
      </c>
      <c r="BT176" s="36">
        <v>1.4999999999999999E-2</v>
      </c>
      <c r="BU176" s="36">
        <f>BU175/BO175-1</f>
        <v>-2.7557819383259963E-2</v>
      </c>
      <c r="BW176" s="36">
        <v>1.4999999999999999E-2</v>
      </c>
      <c r="BX176" s="36">
        <v>1.4999999999999999E-2</v>
      </c>
      <c r="BY176" s="36">
        <v>1.7500000000000002E-2</v>
      </c>
      <c r="BZ176" s="36">
        <v>1.7500000000000002E-2</v>
      </c>
      <c r="CA176" s="36">
        <f>CA175/BU175-1</f>
        <v>1.6255850234009328E-2</v>
      </c>
      <c r="CC176" s="36">
        <v>2.5000000000000001E-2</v>
      </c>
      <c r="CD176" s="36">
        <v>2.5000000000000001E-2</v>
      </c>
      <c r="CE176" s="36">
        <v>2.5000000000000001E-2</v>
      </c>
      <c r="CF176" s="36">
        <v>2.5000000000000001E-2</v>
      </c>
      <c r="CG176" s="36">
        <f>CG175/CA175-1</f>
        <v>2.4999999999999911E-2</v>
      </c>
      <c r="CI176" s="36">
        <v>3.5000000000000003E-2</v>
      </c>
      <c r="CJ176" s="36">
        <v>3.5000000000000003E-2</v>
      </c>
      <c r="CK176" s="36">
        <v>3.5000000000000003E-2</v>
      </c>
      <c r="CL176" s="36">
        <v>3.5000000000000003E-2</v>
      </c>
      <c r="CM176" s="36">
        <f>CM175/CG175-1</f>
        <v>3.499999999999992E-2</v>
      </c>
      <c r="CO176" s="36">
        <v>0.04</v>
      </c>
      <c r="CP176" s="36">
        <v>0.04</v>
      </c>
      <c r="CQ176" s="36">
        <v>0.04</v>
      </c>
      <c r="CR176" s="36">
        <v>0.04</v>
      </c>
      <c r="CS176" s="36">
        <f>CS175/CM175-1</f>
        <v>4.0000000000000036E-2</v>
      </c>
      <c r="CU176" s="36">
        <v>0.05</v>
      </c>
      <c r="CV176" s="36">
        <v>0.05</v>
      </c>
      <c r="CW176" s="36">
        <v>0.05</v>
      </c>
      <c r="CX176" s="36">
        <v>0.05</v>
      </c>
      <c r="CY176" s="36">
        <f>CY175/CS175-1</f>
        <v>5.0000000000000044E-2</v>
      </c>
      <c r="DA176" s="36">
        <v>3.5000000000000003E-2</v>
      </c>
      <c r="DB176" s="36">
        <v>3.5000000000000003E-2</v>
      </c>
      <c r="DC176" s="36">
        <v>3.5000000000000003E-2</v>
      </c>
      <c r="DD176" s="36">
        <v>3.5000000000000003E-2</v>
      </c>
      <c r="DE176" s="36">
        <f>DE175/CY175-1</f>
        <v>3.5000000000000142E-2</v>
      </c>
      <c r="DG176" s="36">
        <v>2.5000000000000001E-2</v>
      </c>
      <c r="DH176" s="36">
        <v>2.5000000000000001E-2</v>
      </c>
      <c r="DI176" s="36">
        <v>2.5000000000000001E-2</v>
      </c>
      <c r="DJ176" s="36">
        <v>2.5000000000000001E-2</v>
      </c>
      <c r="DK176" s="36">
        <f>DK175/DE175-1</f>
        <v>2.4999999999999911E-2</v>
      </c>
      <c r="DM176" s="36"/>
      <c r="DN176" s="36"/>
      <c r="DO176" s="36"/>
      <c r="DP176" s="36"/>
      <c r="DQ176" s="36"/>
    </row>
    <row r="177" spans="1:121" x14ac:dyDescent="0.3">
      <c r="DA177" s="2"/>
      <c r="DB177" s="2"/>
      <c r="DC177" s="2"/>
      <c r="DD177" s="2"/>
      <c r="DE177" s="2"/>
      <c r="DG177" s="2"/>
      <c r="DH177" s="2"/>
      <c r="DI177" s="2"/>
      <c r="DJ177" s="2"/>
      <c r="DK177" s="2"/>
      <c r="DM177" s="2"/>
      <c r="DN177" s="2"/>
      <c r="DO177" s="2"/>
      <c r="DP177" s="2"/>
      <c r="DQ177" s="2"/>
    </row>
    <row r="178" spans="1:121" x14ac:dyDescent="0.3">
      <c r="B178" s="13" t="s">
        <v>80</v>
      </c>
      <c r="BE178" s="3">
        <v>575</v>
      </c>
      <c r="BF178" s="3">
        <v>573</v>
      </c>
      <c r="BG178" s="670">
        <v>588.29999999999995</v>
      </c>
      <c r="BH178" s="670">
        <v>610.29999999999995</v>
      </c>
      <c r="BI178" s="352">
        <f>BE178+BF178+BG178+BH178</f>
        <v>2346.6</v>
      </c>
      <c r="BK178" s="3">
        <v>595</v>
      </c>
      <c r="BL178" s="352">
        <v>562</v>
      </c>
      <c r="BM178" s="352">
        <v>545</v>
      </c>
      <c r="BN178" s="352">
        <v>561</v>
      </c>
      <c r="BO178" s="670">
        <f>BK178+BL178+BM178+BN178</f>
        <v>2263</v>
      </c>
      <c r="BQ178" s="352">
        <f>BQ172+BQ175</f>
        <v>544.78129679955077</v>
      </c>
      <c r="BR178" s="352">
        <f>BR172+BR175</f>
        <v>550.79735831473954</v>
      </c>
      <c r="BS178" s="352">
        <f>BS172+BS175</f>
        <v>536.20588091530408</v>
      </c>
      <c r="BT178" s="352">
        <f>BT172+BT175</f>
        <v>558.82945977866939</v>
      </c>
      <c r="BU178" s="670">
        <f>BQ178+BR178+BS178+BT178</f>
        <v>2190.613995808264</v>
      </c>
      <c r="BW178" s="352">
        <f>BW172+BW175</f>
        <v>546.93994569822871</v>
      </c>
      <c r="BX178" s="352">
        <f>BX172+BX175</f>
        <v>554.04678776381411</v>
      </c>
      <c r="BY178" s="352">
        <f>BY172+BY175</f>
        <v>540.57615491446052</v>
      </c>
      <c r="BZ178" s="352">
        <f>BZ172+BZ175</f>
        <v>563.15237608885582</v>
      </c>
      <c r="CA178" s="670">
        <f>BW178+BX178+BY178+BZ178</f>
        <v>2204.7152644653593</v>
      </c>
      <c r="CC178" s="352">
        <f>CC172+CC175</f>
        <v>552.21129323373543</v>
      </c>
      <c r="CD178" s="352">
        <f>CD172+CD175</f>
        <v>560.4141146327421</v>
      </c>
      <c r="CE178" s="352">
        <f>CE172+CE175</f>
        <v>547.41904318934371</v>
      </c>
      <c r="CF178" s="352">
        <f>CF172+CF175</f>
        <v>566.89115543898845</v>
      </c>
      <c r="CG178" s="670">
        <f>CC178+CD178+CE178+CF178</f>
        <v>2226.9356064948097</v>
      </c>
      <c r="CI178" s="352">
        <f>CI172+CI175</f>
        <v>562.10921585249321</v>
      </c>
      <c r="CJ178" s="352">
        <f>CJ172+CJ175</f>
        <v>571.38260380756412</v>
      </c>
      <c r="CK178" s="352">
        <f>CK172+CK175</f>
        <v>558.73275289619892</v>
      </c>
      <c r="CL178" s="352">
        <f>CL172+CL175</f>
        <v>578.90489336519886</v>
      </c>
      <c r="CM178" s="670">
        <f>CI178+CJ178+CK178+CL178</f>
        <v>2271.1294659214554</v>
      </c>
      <c r="CO178" s="352">
        <f>CO172+CO175</f>
        <v>574.8137303523572</v>
      </c>
      <c r="CP178" s="352">
        <f>CP172+CP175</f>
        <v>585.14822713640569</v>
      </c>
      <c r="CQ178" s="352">
        <f>CQ172+CQ175</f>
        <v>572.80608023496518</v>
      </c>
      <c r="CR178" s="352">
        <f>CR172+CR175</f>
        <v>593.65394370130832</v>
      </c>
      <c r="CS178" s="670">
        <f>CO178+CP178+CQ178+CR178</f>
        <v>2326.4219814250364</v>
      </c>
      <c r="CU178" s="352">
        <f>CU172+CU175</f>
        <v>590.85980298508002</v>
      </c>
      <c r="CV178" s="352">
        <f>CV172+CV175</f>
        <v>602.18748570414709</v>
      </c>
      <c r="CW178" s="352">
        <f>CW172+CW175</f>
        <v>590.13228661032394</v>
      </c>
      <c r="CX178" s="352">
        <f>CX172+CX175</f>
        <v>611.63939987806646</v>
      </c>
      <c r="CY178" s="670">
        <f>CU178+CV178+CW178+CX178</f>
        <v>2394.8189751776176</v>
      </c>
      <c r="DA178" s="352">
        <f>DA172+DA175</f>
        <v>603.96247661465407</v>
      </c>
      <c r="DB178" s="352">
        <f>DB172+DB175</f>
        <v>616.21170732621476</v>
      </c>
      <c r="DC178" s="352">
        <f>DC172+DC175</f>
        <v>604.36908173228039</v>
      </c>
      <c r="DD178" s="352">
        <f>DD172+DD175</f>
        <v>626.4941334923883</v>
      </c>
      <c r="DE178" s="670">
        <f>DA178+DB178+DC178+DD178</f>
        <v>2451.0373991655374</v>
      </c>
      <c r="DG178" s="352">
        <f>DG172+DG175</f>
        <v>614.84939520358</v>
      </c>
      <c r="DH178" s="352">
        <f>DH172+DH175</f>
        <v>627.94443417253228</v>
      </c>
      <c r="DI178" s="352">
        <f>DI172+DI175</f>
        <v>616.25282565927432</v>
      </c>
      <c r="DJ178" s="352">
        <f>DJ172+DJ175</f>
        <v>638.9616812660272</v>
      </c>
      <c r="DK178" s="670">
        <f>DG178+DH178+DI178+DJ178</f>
        <v>2498.0083363014137</v>
      </c>
      <c r="DM178" s="352"/>
      <c r="DN178" s="352"/>
      <c r="DO178" s="352"/>
      <c r="DP178" s="352"/>
      <c r="DQ178" s="670"/>
    </row>
    <row r="179" spans="1:121" x14ac:dyDescent="0.3">
      <c r="B179" s="1" t="s">
        <v>588</v>
      </c>
      <c r="BE179" s="2" t="s">
        <v>35</v>
      </c>
      <c r="BF179" s="2" t="s">
        <v>35</v>
      </c>
      <c r="BG179" s="2" t="s">
        <v>35</v>
      </c>
      <c r="BH179" s="2" t="s">
        <v>35</v>
      </c>
      <c r="BI179" s="2" t="s">
        <v>35</v>
      </c>
      <c r="BK179" s="36">
        <f>BK178/BE178-1</f>
        <v>3.4782608695652195E-2</v>
      </c>
      <c r="BL179" s="36">
        <f>BL178/BF178-1</f>
        <v>-1.919720767888311E-2</v>
      </c>
      <c r="BM179" s="36">
        <f>BM178/BG178-1</f>
        <v>-7.3601903790582957E-2</v>
      </c>
      <c r="BN179" s="36">
        <f>BN178/BH178-1</f>
        <v>-8.0779944289693484E-2</v>
      </c>
      <c r="BO179" s="36">
        <f>BO178/BI178-1</f>
        <v>-3.5626012102616511E-2</v>
      </c>
      <c r="BQ179" s="36">
        <f>BQ178/BK178-1</f>
        <v>-8.4401181849494522E-2</v>
      </c>
      <c r="BR179" s="36">
        <f>BR178/BL178-1</f>
        <v>-1.9933526130356705E-2</v>
      </c>
      <c r="BS179" s="36">
        <f>BS178/BM178-1</f>
        <v>-1.6135998320543021E-2</v>
      </c>
      <c r="BT179" s="36">
        <f>BT178/BN178-1</f>
        <v>-3.8690556529957787E-3</v>
      </c>
      <c r="BU179" s="36">
        <f>BU178/BO178-1</f>
        <v>-3.1986745113449455E-2</v>
      </c>
      <c r="BW179" s="36">
        <f>BW178/BQ178-1</f>
        <v>3.9624137454046249E-3</v>
      </c>
      <c r="BX179" s="36">
        <f>BX178/BR178-1</f>
        <v>5.8995007873980931E-3</v>
      </c>
      <c r="BY179" s="36">
        <f>BY178/BS178-1</f>
        <v>8.1503656612202935E-3</v>
      </c>
      <c r="BZ179" s="36">
        <f>BZ178/BT178-1</f>
        <v>7.7356628834466257E-3</v>
      </c>
      <c r="CA179" s="36">
        <f>CA178/BU178-1</f>
        <v>6.4371307241157805E-3</v>
      </c>
      <c r="CC179" s="36">
        <f>CC178/BW178-1</f>
        <v>9.6378909183114647E-3</v>
      </c>
      <c r="CD179" s="36">
        <f>CD178/BX178-1</f>
        <v>1.1492399215284888E-2</v>
      </c>
      <c r="CE179" s="36">
        <f>CE178/BY178-1</f>
        <v>1.2658509282500674E-2</v>
      </c>
      <c r="CF179" s="36">
        <f>CF178/BZ178-1</f>
        <v>6.6390190450740239E-3</v>
      </c>
      <c r="CG179" s="36">
        <f>CG178/CA178-1</f>
        <v>1.0078554082510349E-2</v>
      </c>
      <c r="CI179" s="36">
        <f>CI178/CC178-1</f>
        <v>1.7924158270642643E-2</v>
      </c>
      <c r="CJ179" s="36">
        <f>CJ178/CD178-1</f>
        <v>1.9572114421154474E-2</v>
      </c>
      <c r="CK179" s="36">
        <f>CK178/CE178-1</f>
        <v>2.0667365974226692E-2</v>
      </c>
      <c r="CL179" s="36">
        <f>CL178/CF178-1</f>
        <v>2.119231850937453E-2</v>
      </c>
      <c r="CM179" s="36">
        <f>CM178/CG178-1</f>
        <v>1.9845144735103792E-2</v>
      </c>
      <c r="CO179" s="36">
        <f>CO178/CI178-1</f>
        <v>2.2601505439821645E-2</v>
      </c>
      <c r="CP179" s="36">
        <f>CP178/CJ178-1</f>
        <v>2.4091778848551959E-2</v>
      </c>
      <c r="CQ179" s="36">
        <f>CQ178/CK178-1</f>
        <v>2.518794050611306E-2</v>
      </c>
      <c r="CR179" s="36">
        <f>CR178/CL178-1</f>
        <v>2.5477501581257389E-2</v>
      </c>
      <c r="CS179" s="36">
        <f>CS178/CM178-1</f>
        <v>2.4345822786966176E-2</v>
      </c>
      <c r="CU179" s="36">
        <f>CU178/CO178-1</f>
        <v>2.7915256343801431E-2</v>
      </c>
      <c r="CV179" s="36">
        <f>CV178/CP178-1</f>
        <v>2.911955941681299E-2</v>
      </c>
      <c r="CW179" s="36">
        <f>CW178/CQ178-1</f>
        <v>3.0247944240137103E-2</v>
      </c>
      <c r="CX179" s="36">
        <f>CX178/CR178-1</f>
        <v>3.0296195902654199E-2</v>
      </c>
      <c r="CY179" s="36">
        <f>CY178/CS178-1</f>
        <v>2.9400080595303191E-2</v>
      </c>
      <c r="DA179" s="36">
        <f>DA178/CU178-1</f>
        <v>2.2175605047725533E-2</v>
      </c>
      <c r="DB179" s="36">
        <f>DB178/CV178-1</f>
        <v>2.3288796188896121E-2</v>
      </c>
      <c r="DC179" s="36">
        <f>DC178/CW178-1</f>
        <v>2.4124752102162583E-2</v>
      </c>
      <c r="DD179" s="36">
        <f>DD178/CX178-1</f>
        <v>2.4286750685589054E-2</v>
      </c>
      <c r="DE179" s="36">
        <f>DE178/CY178-1</f>
        <v>2.3475020271104263E-2</v>
      </c>
      <c r="DG179" s="36">
        <f>DG178/DA178-1</f>
        <v>1.802581950115445E-2</v>
      </c>
      <c r="DH179" s="36">
        <f>DH178/DB178-1</f>
        <v>1.9040090778584151E-2</v>
      </c>
      <c r="DI179" s="36">
        <f>DI178/DC178-1</f>
        <v>1.9663057370393533E-2</v>
      </c>
      <c r="DJ179" s="36">
        <f>DJ178/DD178-1</f>
        <v>1.9900502027271338E-2</v>
      </c>
      <c r="DK179" s="36">
        <f>DK178/DE178-1</f>
        <v>1.9163696625709381E-2</v>
      </c>
      <c r="DM179" s="36"/>
      <c r="DN179" s="36"/>
      <c r="DO179" s="36"/>
      <c r="DP179" s="36"/>
      <c r="DQ179" s="36"/>
    </row>
    <row r="181" spans="1:121" x14ac:dyDescent="0.3">
      <c r="A181" s="397"/>
      <c r="B181" s="397"/>
      <c r="C181" s="397"/>
      <c r="D181" s="398"/>
      <c r="E181" s="398"/>
      <c r="F181" s="398"/>
      <c r="G181" s="398"/>
      <c r="H181" s="398"/>
      <c r="I181" s="398"/>
      <c r="J181" s="398"/>
      <c r="K181" s="398"/>
      <c r="L181" s="398"/>
      <c r="M181" s="398"/>
      <c r="N181" s="398"/>
      <c r="O181" s="398"/>
      <c r="P181" s="398"/>
      <c r="Q181" s="398"/>
      <c r="R181" s="398"/>
      <c r="S181" s="398"/>
      <c r="T181" s="398"/>
      <c r="U181" s="398"/>
      <c r="V181" s="398"/>
      <c r="W181" s="398"/>
      <c r="X181" s="398"/>
      <c r="Y181" s="398"/>
      <c r="Z181" s="398"/>
      <c r="AA181" s="398"/>
      <c r="AB181" s="398"/>
      <c r="AC181" s="398"/>
      <c r="AD181" s="398"/>
      <c r="AE181" s="398"/>
      <c r="AF181" s="398"/>
      <c r="AG181" s="398"/>
      <c r="AH181" s="398"/>
      <c r="AI181" s="398"/>
      <c r="AJ181" s="398"/>
      <c r="AK181" s="398"/>
      <c r="AL181" s="398"/>
      <c r="AM181" s="398"/>
      <c r="AN181" s="398"/>
      <c r="AO181" s="398"/>
      <c r="AP181" s="398"/>
      <c r="AQ181" s="398"/>
      <c r="AR181" s="398"/>
      <c r="AS181" s="398"/>
      <c r="AT181" s="398"/>
      <c r="AU181" s="398"/>
      <c r="AV181" s="398"/>
      <c r="AW181" s="398"/>
      <c r="AX181" s="398"/>
      <c r="AY181" s="398"/>
      <c r="AZ181" s="398"/>
      <c r="BA181" s="398"/>
      <c r="BB181" s="398"/>
      <c r="BC181" s="398"/>
      <c r="BD181" s="398"/>
      <c r="BE181" s="398"/>
      <c r="BF181" s="398"/>
      <c r="BG181" s="398"/>
      <c r="BH181" s="398"/>
      <c r="BI181" s="398"/>
      <c r="BJ181" s="398"/>
      <c r="BK181" s="398"/>
      <c r="BL181" s="398"/>
      <c r="BM181" s="398"/>
      <c r="BN181" s="398"/>
      <c r="BO181" s="398"/>
      <c r="BP181" s="398"/>
      <c r="BQ181" s="398"/>
      <c r="BR181" s="398"/>
      <c r="BS181" s="398"/>
      <c r="BT181" s="398"/>
      <c r="BU181" s="398"/>
      <c r="BV181" s="398"/>
      <c r="BW181" s="398"/>
      <c r="BX181" s="398"/>
      <c r="BY181" s="398"/>
      <c r="BZ181" s="398"/>
      <c r="CA181" s="398"/>
      <c r="CB181" s="398"/>
      <c r="CC181" s="398"/>
      <c r="CD181" s="398"/>
      <c r="CE181" s="398"/>
      <c r="CF181" s="398"/>
      <c r="CG181" s="398"/>
      <c r="CH181" s="398"/>
      <c r="CI181" s="398"/>
      <c r="CJ181" s="398"/>
      <c r="CK181" s="398"/>
      <c r="CL181" s="398"/>
      <c r="CM181" s="398"/>
      <c r="CN181" s="398"/>
      <c r="CO181" s="398"/>
      <c r="CP181" s="398"/>
      <c r="CQ181" s="398"/>
      <c r="CR181" s="398"/>
      <c r="CS181" s="398"/>
      <c r="CT181" s="398"/>
      <c r="CU181" s="398"/>
      <c r="CV181" s="398"/>
      <c r="CW181" s="398"/>
      <c r="CX181" s="398"/>
      <c r="CY181" s="398"/>
      <c r="CZ181" s="398"/>
      <c r="DA181" s="398"/>
      <c r="DB181" s="398"/>
      <c r="DC181" s="398"/>
      <c r="DD181" s="398"/>
      <c r="DE181" s="398"/>
      <c r="DF181" s="398"/>
      <c r="DG181" s="398"/>
      <c r="DH181" s="398"/>
      <c r="DI181" s="398"/>
      <c r="DJ181" s="398"/>
      <c r="DK181" s="398"/>
    </row>
    <row r="183" spans="1:121" x14ac:dyDescent="0.3">
      <c r="B183" s="13" t="s">
        <v>590</v>
      </c>
    </row>
    <row r="184" spans="1:121" x14ac:dyDescent="0.3">
      <c r="B184" s="13"/>
    </row>
    <row r="185" spans="1:121" x14ac:dyDescent="0.3">
      <c r="B185" s="13" t="s">
        <v>199</v>
      </c>
      <c r="I185" s="352">
        <f>'TMO Netherlands'!I46</f>
        <v>62</v>
      </c>
      <c r="J185" s="352">
        <f>'TMO Netherlands'!J46</f>
        <v>114</v>
      </c>
      <c r="K185" s="352">
        <f>'TMO Netherlands'!K46</f>
        <v>91</v>
      </c>
      <c r="L185" s="352">
        <f>'TMO Netherlands'!L46</f>
        <v>85</v>
      </c>
      <c r="M185" s="352">
        <f>I185+J185+K185+L185</f>
        <v>352</v>
      </c>
      <c r="O185" s="352">
        <f>'TMO Netherlands'!O46</f>
        <v>64</v>
      </c>
      <c r="P185" s="352">
        <f>'TMO Netherlands'!P46</f>
        <v>103</v>
      </c>
      <c r="Q185" s="352">
        <f>'TMO Netherlands'!Q46</f>
        <v>128</v>
      </c>
      <c r="R185" s="352">
        <f>'TMO Netherlands'!R46</f>
        <v>135</v>
      </c>
      <c r="S185" s="352">
        <f>O185+P185+Q185+R185</f>
        <v>430</v>
      </c>
      <c r="U185" s="352">
        <f>'TMO Netherlands'!U46</f>
        <v>102</v>
      </c>
      <c r="V185" s="352">
        <f>'TMO Netherlands'!V46</f>
        <v>139</v>
      </c>
      <c r="W185" s="352">
        <f>'TMO Netherlands'!W46</f>
        <v>98</v>
      </c>
      <c r="X185" s="352">
        <f>'TMO Netherlands'!X46</f>
        <v>122</v>
      </c>
      <c r="Y185" s="352">
        <f>U185+V185+W185+X185</f>
        <v>461</v>
      </c>
      <c r="AA185" s="352">
        <f>'TMO Netherlands'!AA46</f>
        <v>82</v>
      </c>
      <c r="AB185" s="352">
        <f>'TMO Netherlands'!AB46</f>
        <v>128</v>
      </c>
      <c r="AC185" s="352">
        <f>'TMO Netherlands'!AC46</f>
        <v>121</v>
      </c>
      <c r="AD185" s="352">
        <f>'TMO Netherlands'!AD46</f>
        <v>127</v>
      </c>
      <c r="AE185" s="352">
        <f>AA185+AB185+AC185+AD185</f>
        <v>458</v>
      </c>
      <c r="AG185" s="352">
        <f>'TMO Netherlands'!AG46</f>
        <v>115</v>
      </c>
      <c r="AH185" s="352">
        <f>'TMO Netherlands'!AH46</f>
        <v>133</v>
      </c>
      <c r="AI185" s="352">
        <f>'TMO Netherlands'!AI46</f>
        <v>143</v>
      </c>
      <c r="AJ185" s="352">
        <f>'TMO Netherlands'!AJ46</f>
        <v>134</v>
      </c>
      <c r="AK185" s="352">
        <f>AG185+AH185+AI185+AJ185</f>
        <v>525</v>
      </c>
      <c r="AM185" s="352">
        <f>'TMO Netherlands'!AM46</f>
        <v>114</v>
      </c>
      <c r="AN185" s="352">
        <f>'TMO Netherlands'!AN46</f>
        <v>108</v>
      </c>
      <c r="AO185" s="352">
        <f>'TMO Netherlands'!AO46</f>
        <v>116</v>
      </c>
      <c r="AP185" s="352">
        <f>'TMO Netherlands'!AP46</f>
        <v>157</v>
      </c>
      <c r="AQ185" s="352">
        <f>AM185+AN185+AO185+AP185</f>
        <v>495</v>
      </c>
      <c r="AS185" s="352">
        <f>'TMO Netherlands'!AS46</f>
        <v>148</v>
      </c>
      <c r="AT185" s="352">
        <f>'TMO Netherlands'!AT46</f>
        <v>150</v>
      </c>
      <c r="AU185" s="352">
        <f>'TMO Netherlands'!AU46</f>
        <v>161</v>
      </c>
      <c r="AV185" s="352">
        <f>'TMO Netherlands'!AV46</f>
        <v>171</v>
      </c>
      <c r="AW185" s="352">
        <f>AS185+AT185+AU185+AV185</f>
        <v>630</v>
      </c>
      <c r="AY185" s="352">
        <f>'TMO Netherlands'!AY46</f>
        <v>133</v>
      </c>
      <c r="AZ185" s="352">
        <f>'TMO Netherlands'!AZ46</f>
        <v>124</v>
      </c>
      <c r="BA185" s="352">
        <f>'TMO Netherlands'!BA46</f>
        <v>125</v>
      </c>
      <c r="BB185" s="352">
        <f>'TMO Netherlands'!BB46</f>
        <v>118</v>
      </c>
      <c r="BC185" s="352">
        <f>AY185+AZ185+BA185+BB185</f>
        <v>500</v>
      </c>
      <c r="BD185" s="352"/>
      <c r="BE185" s="352">
        <f>'TMO Netherlands'!BE46</f>
        <v>88</v>
      </c>
      <c r="BF185" s="352">
        <f>'TMO Netherlands'!BF46</f>
        <v>102</v>
      </c>
      <c r="BG185" s="352">
        <f>'TMO Netherlands'!BG46</f>
        <v>91</v>
      </c>
      <c r="BH185" s="352">
        <f>'TMO Netherlands'!BH46</f>
        <v>77</v>
      </c>
      <c r="BI185" s="352">
        <f>BE185+BF185+BG185+BH185</f>
        <v>358</v>
      </c>
      <c r="BK185" s="352">
        <f>'TMO Netherlands'!BK46</f>
        <v>110</v>
      </c>
      <c r="BL185" s="352">
        <f>'TMO Netherlands'!BL46</f>
        <v>119</v>
      </c>
      <c r="BM185" s="352">
        <f>'TMO Netherlands'!BM46</f>
        <v>98</v>
      </c>
      <c r="BN185" s="352">
        <f>'TMO Netherlands'!BN46</f>
        <v>94</v>
      </c>
      <c r="BO185" s="352">
        <f>BK185+BL185+BM185+BN185</f>
        <v>421</v>
      </c>
      <c r="BQ185" s="352">
        <f>'TMO Netherlands'!BQ46</f>
        <v>94.358873181518192</v>
      </c>
      <c r="BR185" s="352">
        <f>'TMO Netherlands'!BR46</f>
        <v>111.37833195426418</v>
      </c>
      <c r="BS185" s="352">
        <f>'TMO Netherlands'!BS46</f>
        <v>94.075379951130884</v>
      </c>
      <c r="BT185" s="352">
        <f>'TMO Netherlands'!BT46</f>
        <v>88.237840071699736</v>
      </c>
      <c r="BU185" s="352">
        <f>BQ185+BR185+BS185+BT185</f>
        <v>388.050425158613</v>
      </c>
      <c r="BW185" s="352">
        <f>'TMO Netherlands'!BW46</f>
        <v>92.918738063329329</v>
      </c>
      <c r="BX185" s="352">
        <f>'TMO Netherlands'!BX46</f>
        <v>110.22959369382448</v>
      </c>
      <c r="BY185" s="352">
        <f>'TMO Netherlands'!BY46</f>
        <v>93.422874710444631</v>
      </c>
      <c r="BZ185" s="352">
        <f>'TMO Netherlands'!BZ46</f>
        <v>87.931391069359847</v>
      </c>
      <c r="CA185" s="352">
        <f>BW185+BX185+BY185+BZ185</f>
        <v>384.50259753695832</v>
      </c>
      <c r="CC185" s="352">
        <f>'TMO Netherlands'!CC46</f>
        <v>93.388356735496544</v>
      </c>
      <c r="CD185" s="352">
        <f>'TMO Netherlands'!CD46</f>
        <v>111.07204771383856</v>
      </c>
      <c r="CE185" s="352">
        <f>'TMO Netherlands'!CE46</f>
        <v>94.340724533233839</v>
      </c>
      <c r="CF185" s="352">
        <f>'TMO Netherlands'!CF46</f>
        <v>88.173756141885775</v>
      </c>
      <c r="CG185" s="352">
        <f>CC185+CD185+CE185+CF185</f>
        <v>386.97488512445466</v>
      </c>
      <c r="CI185" s="352">
        <f>'TMO Netherlands'!CI46</f>
        <v>94.564181823957028</v>
      </c>
      <c r="CJ185" s="352">
        <f>'TMO Netherlands'!CJ46</f>
        <v>112.72515160156073</v>
      </c>
      <c r="CK185" s="352">
        <f>'TMO Netherlands'!CK46</f>
        <v>95.942506189381589</v>
      </c>
      <c r="CL185" s="352">
        <f>'TMO Netherlands'!CL46</f>
        <v>89.80160746457787</v>
      </c>
      <c r="CM185" s="352">
        <f>CI185+CJ185+CK185+CL185</f>
        <v>393.03344707947724</v>
      </c>
      <c r="CO185" s="352">
        <f>'TMO Netherlands'!CO46</f>
        <v>96.175727942596183</v>
      </c>
      <c r="CP185" s="352">
        <f>'TMO Netherlands'!CP46</f>
        <v>114.88080161510229</v>
      </c>
      <c r="CQ185" s="352">
        <f>'TMO Netherlands'!CQ46</f>
        <v>97.983348422184179</v>
      </c>
      <c r="CR185" s="352">
        <f>'TMO Netherlands'!CR46</f>
        <v>91.83704395589109</v>
      </c>
      <c r="CS185" s="352">
        <f>CO185+CP185+CQ185+CR185</f>
        <v>400.87692193577374</v>
      </c>
      <c r="CU185" s="352">
        <f>'TMO Netherlands'!CU46</f>
        <v>97.960316615750472</v>
      </c>
      <c r="CV185" s="352">
        <f>'TMO Netherlands'!CV46</f>
        <v>117.21327286644853</v>
      </c>
      <c r="CW185" s="352">
        <f>'TMO Netherlands'!CW46</f>
        <v>100.17049066740472</v>
      </c>
      <c r="CX185" s="352">
        <f>'TMO Netherlands'!CX46</f>
        <v>94.001769401913577</v>
      </c>
      <c r="CY185" s="352">
        <f>CU185+CV185+CW185+CX185</f>
        <v>409.34584955151735</v>
      </c>
      <c r="DA185" s="352">
        <f>'TMO Netherlands'!DA46</f>
        <v>99.860855195224531</v>
      </c>
      <c r="DB185" s="352">
        <f>'TMO Netherlands'!DB46</f>
        <v>119.65448269160869</v>
      </c>
      <c r="DC185" s="352">
        <f>'TMO Netherlands'!DC46</f>
        <v>102.44387709084012</v>
      </c>
      <c r="DD185" s="352">
        <f>'TMO Netherlands'!DD46</f>
        <v>96.239459309252879</v>
      </c>
      <c r="DE185" s="352">
        <f>DA185+DB185+DC185+DD185</f>
        <v>418.19867428692623</v>
      </c>
      <c r="DG185" s="352">
        <f>'TMO Netherlands'!DG46</f>
        <v>101.82196447803911</v>
      </c>
      <c r="DH185" s="352">
        <f>'TMO Netherlands'!DH46</f>
        <v>122.13838011825266</v>
      </c>
      <c r="DI185" s="352">
        <f>'TMO Netherlands'!DI46</f>
        <v>104.7449656173011</v>
      </c>
      <c r="DJ185" s="352">
        <f>'TMO Netherlands'!DJ46</f>
        <v>98.495043193340365</v>
      </c>
      <c r="DK185" s="352">
        <f>DG185+DH185+DI185+DJ185</f>
        <v>427.20035340693323</v>
      </c>
    </row>
    <row r="186" spans="1:121" x14ac:dyDescent="0.3">
      <c r="B186" s="1" t="s">
        <v>588</v>
      </c>
      <c r="I186" s="2" t="s">
        <v>35</v>
      </c>
      <c r="J186" s="2" t="s">
        <v>35</v>
      </c>
      <c r="K186" s="2" t="s">
        <v>35</v>
      </c>
      <c r="L186" s="2" t="s">
        <v>35</v>
      </c>
      <c r="M186" s="2" t="s">
        <v>35</v>
      </c>
      <c r="O186" s="36">
        <f>O185/I185-1</f>
        <v>3.2258064516129004E-2</v>
      </c>
      <c r="P186" s="36">
        <f>P185/J185-1</f>
        <v>-9.6491228070175405E-2</v>
      </c>
      <c r="Q186" s="36">
        <f>Q185/K185-1</f>
        <v>0.4065934065934067</v>
      </c>
      <c r="R186" s="36">
        <f>R185/L185-1</f>
        <v>0.58823529411764697</v>
      </c>
      <c r="S186" s="36">
        <f>S185/M185-1</f>
        <v>0.22159090909090917</v>
      </c>
      <c r="U186" s="36">
        <f>U185/O185-1</f>
        <v>0.59375</v>
      </c>
      <c r="V186" s="36">
        <f>V185/P185-1</f>
        <v>0.34951456310679618</v>
      </c>
      <c r="W186" s="36">
        <f>W185/Q185-1</f>
        <v>-0.234375</v>
      </c>
      <c r="X186" s="36">
        <f>X185/R185-1</f>
        <v>-9.6296296296296324E-2</v>
      </c>
      <c r="Y186" s="36">
        <f>Y185/S185-1</f>
        <v>7.2093023255813904E-2</v>
      </c>
      <c r="AA186" s="36">
        <f>AA185/U185-1</f>
        <v>-0.19607843137254899</v>
      </c>
      <c r="AB186" s="36">
        <f>AB185/V185-1</f>
        <v>-7.9136690647481966E-2</v>
      </c>
      <c r="AC186" s="36">
        <f>AC185/W185-1</f>
        <v>0.23469387755102034</v>
      </c>
      <c r="AD186" s="36">
        <f>AD185/X185-1</f>
        <v>4.0983606557376984E-2</v>
      </c>
      <c r="AE186" s="36">
        <f>AE185/Y185-1</f>
        <v>-6.5075921908893664E-3</v>
      </c>
      <c r="AG186" s="36">
        <f>AG185/AA185-1</f>
        <v>0.40243902439024382</v>
      </c>
      <c r="AH186" s="36">
        <f>AH185/AB185-1</f>
        <v>3.90625E-2</v>
      </c>
      <c r="AI186" s="36">
        <f>AI185/AC185-1</f>
        <v>0.18181818181818188</v>
      </c>
      <c r="AJ186" s="36">
        <f>AJ185/AD185-1</f>
        <v>5.5118110236220375E-2</v>
      </c>
      <c r="AK186" s="36">
        <f>AK185/AE185-1</f>
        <v>0.14628820960698685</v>
      </c>
      <c r="AM186" s="36">
        <f>AM185/AG185-1</f>
        <v>-8.6956521739129933E-3</v>
      </c>
      <c r="AN186" s="36">
        <f>AN185/AH185-1</f>
        <v>-0.18796992481203012</v>
      </c>
      <c r="AO186" s="36">
        <f>AO185/AI185-1</f>
        <v>-0.18881118881118886</v>
      </c>
      <c r="AP186" s="36">
        <f>AP185/AJ185-1</f>
        <v>0.17164179104477606</v>
      </c>
      <c r="AQ186" s="36">
        <f>AQ185/AK185-1</f>
        <v>-5.7142857142857162E-2</v>
      </c>
      <c r="AS186" s="36">
        <f>AS185/AM185-1</f>
        <v>0.29824561403508776</v>
      </c>
      <c r="AT186" s="36">
        <f>AT185/AN185-1</f>
        <v>0.38888888888888884</v>
      </c>
      <c r="AU186" s="36">
        <f>AU185/AO185-1</f>
        <v>0.38793103448275867</v>
      </c>
      <c r="AV186" s="36">
        <f>AV185/AP185-1</f>
        <v>8.9171974522292974E-2</v>
      </c>
      <c r="AW186" s="36">
        <f>AW185/AQ185-1</f>
        <v>0.27272727272727271</v>
      </c>
      <c r="AY186" s="36">
        <f>AY185/AS185-1</f>
        <v>-0.10135135135135132</v>
      </c>
      <c r="AZ186" s="36">
        <f>AZ185/AT185-1</f>
        <v>-0.17333333333333334</v>
      </c>
      <c r="BA186" s="36">
        <f>BA185/AU185-1</f>
        <v>-0.22360248447204967</v>
      </c>
      <c r="BB186" s="36">
        <f>BB185/AV185-1</f>
        <v>-0.3099415204678363</v>
      </c>
      <c r="BC186" s="36">
        <f>BC185/AW185-1</f>
        <v>-0.20634920634920639</v>
      </c>
      <c r="BD186" s="36"/>
      <c r="BE186" s="36">
        <f>BE185/AY185-1</f>
        <v>-0.33834586466165417</v>
      </c>
      <c r="BF186" s="36">
        <f>BF185/AZ185-1</f>
        <v>-0.17741935483870963</v>
      </c>
      <c r="BG186" s="36">
        <f>BG185/BA185-1</f>
        <v>-0.27200000000000002</v>
      </c>
      <c r="BH186" s="36">
        <f>BH185/BB185-1</f>
        <v>-0.34745762711864403</v>
      </c>
      <c r="BI186" s="36">
        <f>BI185/BC185-1</f>
        <v>-0.28400000000000003</v>
      </c>
      <c r="BK186" s="36">
        <f>BK185/BE185-1</f>
        <v>0.25</v>
      </c>
      <c r="BL186" s="36">
        <f>BL185/BF185-1</f>
        <v>0.16666666666666674</v>
      </c>
      <c r="BM186" s="36">
        <f>BM185/BG185-1</f>
        <v>7.6923076923076872E-2</v>
      </c>
      <c r="BN186" s="36">
        <f>BN185/BH185-1</f>
        <v>0.22077922077922074</v>
      </c>
      <c r="BO186" s="36">
        <f>BO185/BI185-1</f>
        <v>0.17597765363128492</v>
      </c>
      <c r="BQ186" s="36">
        <f>BQ185/BK185-1</f>
        <v>-0.14219206198619827</v>
      </c>
      <c r="BR186" s="36">
        <f>BR185/BL185-1</f>
        <v>-6.4047630636435482E-2</v>
      </c>
      <c r="BS186" s="36">
        <f>BS185/BM185-1</f>
        <v>-4.004714335580728E-2</v>
      </c>
      <c r="BT186" s="36">
        <f>BT185/BN185-1</f>
        <v>-6.1299573705321908E-2</v>
      </c>
      <c r="BU186" s="36">
        <f>BU185/BO185-1</f>
        <v>-7.8265023376216214E-2</v>
      </c>
      <c r="BW186" s="36">
        <f>BW185/BQ185-1</f>
        <v>-1.5262317889473631E-2</v>
      </c>
      <c r="BX186" s="36">
        <f>BX185/BR185-1</f>
        <v>-1.031383968752031E-2</v>
      </c>
      <c r="BY186" s="36">
        <f>BY185/BS185-1</f>
        <v>-6.9359830491804164E-3</v>
      </c>
      <c r="BZ186" s="36">
        <f>BZ185/BT185-1</f>
        <v>-3.4729884830688729E-3</v>
      </c>
      <c r="CA186" s="36">
        <f>CA185/BU185-1</f>
        <v>-9.1426974218737911E-3</v>
      </c>
      <c r="CC186" s="36">
        <f>CC185/BW185-1</f>
        <v>5.0540793165652076E-3</v>
      </c>
      <c r="CD186" s="36">
        <f>CD185/BX185-1</f>
        <v>7.6427209044613864E-3</v>
      </c>
      <c r="CE186" s="36">
        <f>CE185/BY185-1</f>
        <v>9.8246797225411964E-3</v>
      </c>
      <c r="CF186" s="36">
        <f>CF185/BZ185-1</f>
        <v>2.756297490332571E-3</v>
      </c>
      <c r="CG186" s="36">
        <f>CG185/CA185-1</f>
        <v>6.4298332529697522E-3</v>
      </c>
      <c r="CI186" s="36">
        <f>CI185/CC185-1</f>
        <v>1.2590703269260484E-2</v>
      </c>
      <c r="CJ186" s="36">
        <f>CJ185/CD185-1</f>
        <v>1.4883167473252579E-2</v>
      </c>
      <c r="CK186" s="36">
        <f>CK185/CE185-1</f>
        <v>1.697868724321161E-2</v>
      </c>
      <c r="CL186" s="36">
        <f>CL185/CF185-1</f>
        <v>1.8461857517702018E-2</v>
      </c>
      <c r="CM186" s="36">
        <f>CM185/CG185-1</f>
        <v>1.5656214880906516E-2</v>
      </c>
      <c r="CO186" s="36">
        <f>CO185/CI185-1</f>
        <v>1.7041823738709549E-2</v>
      </c>
      <c r="CP186" s="36">
        <f>CP185/CJ185-1</f>
        <v>1.912306156092769E-2</v>
      </c>
      <c r="CQ186" s="36">
        <f>CQ185/CK185-1</f>
        <v>2.1271512636684253E-2</v>
      </c>
      <c r="CR186" s="36">
        <f>CR185/CL185-1</f>
        <v>2.2665924906924317E-2</v>
      </c>
      <c r="CS186" s="36">
        <f>CS185/CM185-1</f>
        <v>1.9956252870027225E-2</v>
      </c>
      <c r="CU186" s="36">
        <f>CU185/CO185-1</f>
        <v>1.8555499514591123E-2</v>
      </c>
      <c r="CV186" s="36">
        <f>CV185/CP185-1</f>
        <v>2.0303403341151549E-2</v>
      </c>
      <c r="CW186" s="36">
        <f>CW185/CQ185-1</f>
        <v>2.2321570761153486E-2</v>
      </c>
      <c r="CX186" s="36">
        <f>CX185/CR185-1</f>
        <v>2.3571375479617851E-2</v>
      </c>
      <c r="CY186" s="36">
        <f>CY185/CS185-1</f>
        <v>2.1126004397679976E-2</v>
      </c>
      <c r="DA186" s="36">
        <f>DA185/CU185-1</f>
        <v>1.9401106949550995E-2</v>
      </c>
      <c r="DB186" s="36">
        <f>DB185/CV185-1</f>
        <v>2.082707670778583E-2</v>
      </c>
      <c r="DC186" s="36">
        <f>DC185/CW185-1</f>
        <v>2.2695171085701293E-2</v>
      </c>
      <c r="DD186" s="36">
        <f>DD185/CX185-1</f>
        <v>2.3804763693030528E-2</v>
      </c>
      <c r="DE186" s="36">
        <f>DE185/CY185-1</f>
        <v>2.1626760708843396E-2</v>
      </c>
      <c r="DG186" s="36">
        <f>DG185/DA185-1</f>
        <v>1.9638418667461632E-2</v>
      </c>
      <c r="DH186" s="36">
        <f>DH185/DB185-1</f>
        <v>2.075891659693041E-2</v>
      </c>
      <c r="DI186" s="36">
        <f>DI185/DC185-1</f>
        <v>2.2461942985821715E-2</v>
      </c>
      <c r="DJ186" s="36">
        <f>DJ185/DD185-1</f>
        <v>2.343720445102937E-2</v>
      </c>
      <c r="DK186" s="36">
        <f>DK185/DE185-1</f>
        <v>2.1524886790604603E-2</v>
      </c>
    </row>
    <row r="187" spans="1:121" x14ac:dyDescent="0.3">
      <c r="BK187" s="98">
        <f>BK188-BE188</f>
        <v>-7</v>
      </c>
      <c r="BL187" s="98">
        <f>BL188-BF188</f>
        <v>-37</v>
      </c>
      <c r="BM187" s="98">
        <f>BM188-BG188</f>
        <v>-38</v>
      </c>
      <c r="BN187" s="98">
        <f>BN188-BH188</f>
        <v>-10</v>
      </c>
      <c r="BQ187" s="98">
        <f>BQ188-BK188</f>
        <v>-1.2800000000000011</v>
      </c>
    </row>
    <row r="188" spans="1:121" x14ac:dyDescent="0.3">
      <c r="B188" s="13" t="s">
        <v>594</v>
      </c>
      <c r="BE188" s="352">
        <f>BE191-BE185</f>
        <v>135</v>
      </c>
      <c r="BF188" s="352">
        <f>BF191-BF185</f>
        <v>154</v>
      </c>
      <c r="BG188" s="352">
        <f>BG191-BG185</f>
        <v>160</v>
      </c>
      <c r="BH188" s="352">
        <f>BH191-BH185</f>
        <v>136</v>
      </c>
      <c r="BI188" s="352">
        <f>BE188+BF188+BG188+BH188</f>
        <v>585</v>
      </c>
      <c r="BJ188" s="2">
        <f>BI188/4</f>
        <v>146.25</v>
      </c>
      <c r="BK188" s="352">
        <f>BK191-BK185</f>
        <v>128</v>
      </c>
      <c r="BL188" s="352">
        <f>BL191-BL185</f>
        <v>117</v>
      </c>
      <c r="BM188" s="352">
        <f>BM191-BM185</f>
        <v>122</v>
      </c>
      <c r="BN188" s="352">
        <f>BN191-BN185</f>
        <v>126</v>
      </c>
      <c r="BO188" s="670">
        <f>BK188+BL188+BM188+BN188</f>
        <v>493</v>
      </c>
      <c r="BP188" s="2">
        <f>BO188/4</f>
        <v>123.25</v>
      </c>
      <c r="BQ188" s="670">
        <f>BK188*(1+BQ189)</f>
        <v>126.72</v>
      </c>
      <c r="BR188" s="670">
        <f>BL188*(1+BR189)</f>
        <v>126.36000000000001</v>
      </c>
      <c r="BS188" s="670">
        <f>BM188*(1+BS189)</f>
        <v>127.49</v>
      </c>
      <c r="BT188" s="670">
        <f>BN188*(1+BT189)</f>
        <v>129.14999999999998</v>
      </c>
      <c r="BU188" s="670">
        <f>BQ188+BR188+BS188+BT188</f>
        <v>509.71999999999997</v>
      </c>
      <c r="BW188" s="670">
        <f>BQ188*(1+BW189)</f>
        <v>129.88799999999998</v>
      </c>
      <c r="BX188" s="670">
        <f>BR188*(1+BX189)</f>
        <v>129.51900000000001</v>
      </c>
      <c r="BY188" s="670">
        <f>BS188*(1+BY189)</f>
        <v>130.67724999999999</v>
      </c>
      <c r="BZ188" s="670">
        <f>BT188*(1+BZ189)</f>
        <v>132.37874999999997</v>
      </c>
      <c r="CA188" s="670">
        <f>BW188+BX188+BY188+BZ188</f>
        <v>522.46299999999997</v>
      </c>
      <c r="CC188" s="670">
        <f>BW188*(1+CC189)</f>
        <v>133.78463999999997</v>
      </c>
      <c r="CD188" s="670">
        <f>BX188*(1+CD189)</f>
        <v>133.40457000000001</v>
      </c>
      <c r="CE188" s="670">
        <f>BY188*(1+CE189)</f>
        <v>134.5975675</v>
      </c>
      <c r="CF188" s="670">
        <f>BZ188*(1+CF189)</f>
        <v>136.35011249999997</v>
      </c>
      <c r="CG188" s="670">
        <f>CC188+CD188+CE188+CF188</f>
        <v>538.13688999999999</v>
      </c>
      <c r="CI188" s="670">
        <f>CC188*(1+CI189)</f>
        <v>139.13602559999998</v>
      </c>
      <c r="CJ188" s="670">
        <f>CD188*(1+CJ189)</f>
        <v>138.74075280000002</v>
      </c>
      <c r="CK188" s="670">
        <f>CE188*(1+CK189)</f>
        <v>139.98147019999999</v>
      </c>
      <c r="CL188" s="670">
        <f>CF188*(1+CL189)</f>
        <v>141.80411699999996</v>
      </c>
      <c r="CM188" s="670">
        <f>CI188+CJ188+CK188+CL188</f>
        <v>559.66236559999993</v>
      </c>
      <c r="CO188" s="670">
        <f>CI188*(1+CO189)</f>
        <v>145.39714675199997</v>
      </c>
      <c r="CP188" s="670">
        <f>CJ188*(1+CP189)</f>
        <v>144.984086676</v>
      </c>
      <c r="CQ188" s="670">
        <f>CK188*(1+CQ189)</f>
        <v>146.28063635899997</v>
      </c>
      <c r="CR188" s="670">
        <f>CL188*(1+CR189)</f>
        <v>148.18530226499996</v>
      </c>
      <c r="CS188" s="670">
        <f>CO188+CP188+CQ188+CR188</f>
        <v>584.84717205199991</v>
      </c>
      <c r="CU188" s="670">
        <f>CO188*(1+CU189)</f>
        <v>153.39398982335996</v>
      </c>
      <c r="CV188" s="670">
        <f>CP188*(1+CV189)</f>
        <v>152.95821144318001</v>
      </c>
      <c r="CW188" s="670">
        <f>CQ188*(1+CW189)</f>
        <v>154.32607135874497</v>
      </c>
      <c r="CX188" s="670">
        <f>CR188*(1+CX189)</f>
        <v>156.33549388957496</v>
      </c>
      <c r="CY188" s="670">
        <f>CU188+CV188+CW188+CX188</f>
        <v>617.01376651485987</v>
      </c>
      <c r="DA188" s="670">
        <f>CU188*(1+DA189)</f>
        <v>159.52974941629435</v>
      </c>
      <c r="DB188" s="670">
        <f>CV188*(1+DB189)</f>
        <v>159.07653990090722</v>
      </c>
      <c r="DC188" s="670">
        <f>CW188*(1+DC189)</f>
        <v>160.49911421309477</v>
      </c>
      <c r="DD188" s="670">
        <f>CX188*(1+DD189)</f>
        <v>162.58891364515796</v>
      </c>
      <c r="DE188" s="670">
        <f>DA188+DB188+DC188+DD188</f>
        <v>641.69431717545433</v>
      </c>
      <c r="DG188" s="670">
        <f>DA188*(1+DG189)</f>
        <v>164.31564189878318</v>
      </c>
      <c r="DH188" s="670">
        <f>DB188*(1+DH189)</f>
        <v>163.84883609793445</v>
      </c>
      <c r="DI188" s="670">
        <f>DC188*(1+DI189)</f>
        <v>165.31408763948761</v>
      </c>
      <c r="DJ188" s="670">
        <f>DD188*(1+DJ189)</f>
        <v>167.46658105451272</v>
      </c>
      <c r="DK188" s="670">
        <f>DG188+DH188+DI188+DJ188</f>
        <v>660.94514669071805</v>
      </c>
    </row>
    <row r="189" spans="1:121" x14ac:dyDescent="0.3">
      <c r="B189" s="1" t="s">
        <v>588</v>
      </c>
      <c r="BE189" s="2" t="s">
        <v>35</v>
      </c>
      <c r="BF189" s="2" t="s">
        <v>35</v>
      </c>
      <c r="BG189" s="2" t="s">
        <v>35</v>
      </c>
      <c r="BH189" s="2" t="s">
        <v>35</v>
      </c>
      <c r="BI189" s="2" t="s">
        <v>35</v>
      </c>
      <c r="BK189" s="36">
        <f>BK188/BE188-1</f>
        <v>-5.1851851851851816E-2</v>
      </c>
      <c r="BL189" s="36">
        <f>BL188/BF188-1</f>
        <v>-0.24025974025974028</v>
      </c>
      <c r="BM189" s="36">
        <f>BM188/BG188-1</f>
        <v>-0.23750000000000004</v>
      </c>
      <c r="BN189" s="36">
        <f>BN188/BH188-1</f>
        <v>-7.3529411764705843E-2</v>
      </c>
      <c r="BO189" s="36">
        <f>BO188/BI188-1</f>
        <v>-0.15726495726495726</v>
      </c>
      <c r="BQ189" s="36">
        <v>-0.01</v>
      </c>
      <c r="BR189" s="36">
        <v>0.08</v>
      </c>
      <c r="BS189" s="36">
        <v>4.4999999999999998E-2</v>
      </c>
      <c r="BT189" s="36">
        <v>2.5000000000000001E-2</v>
      </c>
      <c r="BU189" s="36">
        <f>BU188/BO188-1</f>
        <v>3.3914807302231287E-2</v>
      </c>
      <c r="BW189" s="36">
        <v>2.5000000000000001E-2</v>
      </c>
      <c r="BX189" s="36">
        <v>2.5000000000000001E-2</v>
      </c>
      <c r="BY189" s="36">
        <v>2.5000000000000001E-2</v>
      </c>
      <c r="BZ189" s="36">
        <v>2.5000000000000001E-2</v>
      </c>
      <c r="CA189" s="36">
        <f>CA188/BU188-1</f>
        <v>2.4999999999999911E-2</v>
      </c>
      <c r="CC189" s="36">
        <v>0.03</v>
      </c>
      <c r="CD189" s="36">
        <v>0.03</v>
      </c>
      <c r="CE189" s="36">
        <v>0.03</v>
      </c>
      <c r="CF189" s="36">
        <v>0.03</v>
      </c>
      <c r="CG189" s="36">
        <f>CG188/CA188-1</f>
        <v>3.0000000000000027E-2</v>
      </c>
      <c r="CI189" s="36">
        <v>0.04</v>
      </c>
      <c r="CJ189" s="36">
        <v>0.04</v>
      </c>
      <c r="CK189" s="36">
        <v>0.04</v>
      </c>
      <c r="CL189" s="36">
        <v>0.04</v>
      </c>
      <c r="CM189" s="36">
        <f>CM188/CG188-1</f>
        <v>3.9999999999999813E-2</v>
      </c>
      <c r="CO189" s="36">
        <v>4.4999999999999998E-2</v>
      </c>
      <c r="CP189" s="36">
        <v>4.4999999999999998E-2</v>
      </c>
      <c r="CQ189" s="36">
        <v>4.4999999999999998E-2</v>
      </c>
      <c r="CR189" s="36">
        <v>4.4999999999999998E-2</v>
      </c>
      <c r="CS189" s="36">
        <f>CS188/CM188-1</f>
        <v>4.4999999999999929E-2</v>
      </c>
      <c r="CU189" s="36">
        <v>5.5E-2</v>
      </c>
      <c r="CV189" s="36">
        <v>5.5E-2</v>
      </c>
      <c r="CW189" s="36">
        <v>5.5E-2</v>
      </c>
      <c r="CX189" s="36">
        <v>5.5E-2</v>
      </c>
      <c r="CY189" s="36">
        <f>CY188/CS188-1</f>
        <v>5.4999999999999938E-2</v>
      </c>
      <c r="DA189" s="36">
        <v>0.04</v>
      </c>
      <c r="DB189" s="36">
        <v>0.04</v>
      </c>
      <c r="DC189" s="36">
        <v>0.04</v>
      </c>
      <c r="DD189" s="36">
        <v>0.04</v>
      </c>
      <c r="DE189" s="36">
        <f>DE188/CY188-1</f>
        <v>4.0000000000000036E-2</v>
      </c>
      <c r="DG189" s="36">
        <v>0.03</v>
      </c>
      <c r="DH189" s="36">
        <v>0.03</v>
      </c>
      <c r="DI189" s="36">
        <v>0.03</v>
      </c>
      <c r="DJ189" s="36">
        <v>0.03</v>
      </c>
      <c r="DK189" s="36">
        <f>DK188/DE188-1</f>
        <v>3.0000000000000027E-2</v>
      </c>
    </row>
    <row r="190" spans="1:121" x14ac:dyDescent="0.3">
      <c r="DA190" s="2"/>
      <c r="DB190" s="2"/>
      <c r="DC190" s="2"/>
      <c r="DD190" s="2"/>
      <c r="DE190" s="2"/>
      <c r="DG190" s="2"/>
      <c r="DH190" s="2"/>
      <c r="DI190" s="2"/>
      <c r="DJ190" s="2"/>
      <c r="DK190" s="2"/>
    </row>
    <row r="191" spans="1:121" x14ac:dyDescent="0.3">
      <c r="B191" s="13" t="s">
        <v>80</v>
      </c>
      <c r="BE191" s="3">
        <v>223</v>
      </c>
      <c r="BF191" s="3">
        <v>256</v>
      </c>
      <c r="BG191" s="670">
        <v>251</v>
      </c>
      <c r="BH191" s="670">
        <v>213</v>
      </c>
      <c r="BI191" s="352">
        <f>BE191+BF191+BG191+BH191</f>
        <v>943</v>
      </c>
      <c r="BK191" s="3">
        <v>238</v>
      </c>
      <c r="BL191" s="352">
        <v>236</v>
      </c>
      <c r="BM191" s="352">
        <v>220</v>
      </c>
      <c r="BN191" s="352">
        <v>220</v>
      </c>
      <c r="BO191" s="670">
        <f>BK191+BL191+BM191+BN191</f>
        <v>914</v>
      </c>
      <c r="BQ191" s="352">
        <f>BQ185+BQ188</f>
        <v>221.07887318151819</v>
      </c>
      <c r="BR191" s="352">
        <f>BR185+BR188</f>
        <v>237.7383319542642</v>
      </c>
      <c r="BS191" s="352">
        <f>BS185+BS188</f>
        <v>221.56537995113086</v>
      </c>
      <c r="BT191" s="352">
        <f>BT185+BT188</f>
        <v>217.38784007169971</v>
      </c>
      <c r="BU191" s="670">
        <f>BQ191+BR191+BS191+BT191</f>
        <v>897.77042515861285</v>
      </c>
      <c r="BW191" s="352">
        <f>BW185+BW188</f>
        <v>222.80673806332931</v>
      </c>
      <c r="BX191" s="352">
        <f>BX185+BX188</f>
        <v>239.74859369382449</v>
      </c>
      <c r="BY191" s="352">
        <f>BY185+BY188</f>
        <v>224.10012471044462</v>
      </c>
      <c r="BZ191" s="352">
        <f>BZ185+BZ188</f>
        <v>220.31014106935982</v>
      </c>
      <c r="CA191" s="670">
        <f>BW191+BX191+BY191+BZ191</f>
        <v>906.96559753695828</v>
      </c>
      <c r="CC191" s="352">
        <f>CC185+CC188</f>
        <v>227.1729967354965</v>
      </c>
      <c r="CD191" s="352">
        <f>CD185+CD188</f>
        <v>244.47661771383855</v>
      </c>
      <c r="CE191" s="352">
        <f>CE185+CE188</f>
        <v>228.93829203323384</v>
      </c>
      <c r="CF191" s="352">
        <f>CF185+CF188</f>
        <v>224.52386864188574</v>
      </c>
      <c r="CG191" s="670">
        <f>CC191+CD191+CE191+CF191</f>
        <v>925.11177512445465</v>
      </c>
      <c r="CI191" s="352">
        <f>CI185+CI188</f>
        <v>233.70020742395701</v>
      </c>
      <c r="CJ191" s="352">
        <f>CJ185+CJ188</f>
        <v>251.46590440156075</v>
      </c>
      <c r="CK191" s="352">
        <f>CK185+CK188</f>
        <v>235.92397638938158</v>
      </c>
      <c r="CL191" s="352">
        <f>CL185+CL188</f>
        <v>231.60572446457783</v>
      </c>
      <c r="CM191" s="670">
        <f>CI191+CJ191+CK191+CL191</f>
        <v>952.69581267947717</v>
      </c>
      <c r="CO191" s="352">
        <f>CO185+CO188</f>
        <v>241.57287469459615</v>
      </c>
      <c r="CP191" s="352">
        <f>CP185+CP188</f>
        <v>259.86488829110226</v>
      </c>
      <c r="CQ191" s="352">
        <f>CQ185+CQ188</f>
        <v>244.26398478118415</v>
      </c>
      <c r="CR191" s="352">
        <f>CR185+CR188</f>
        <v>240.02234622089105</v>
      </c>
      <c r="CS191" s="670">
        <f>CO191+CP191+CQ191+CR191</f>
        <v>985.72409398777359</v>
      </c>
      <c r="CU191" s="352">
        <f>CU185+CU188</f>
        <v>251.35430643911042</v>
      </c>
      <c r="CV191" s="352">
        <f>CV185+CV188</f>
        <v>270.17148430962857</v>
      </c>
      <c r="CW191" s="352">
        <f>CW185+CW188</f>
        <v>254.49656202614969</v>
      </c>
      <c r="CX191" s="352">
        <f>CX185+CX188</f>
        <v>250.33726329148854</v>
      </c>
      <c r="CY191" s="670">
        <f>CU191+CV191+CW191+CX191</f>
        <v>1026.3596160663772</v>
      </c>
      <c r="DA191" s="352">
        <f>DA185+DA188</f>
        <v>259.39060461151888</v>
      </c>
      <c r="DB191" s="352">
        <f>DB185+DB188</f>
        <v>278.7310225925159</v>
      </c>
      <c r="DC191" s="352">
        <f>DC185+DC188</f>
        <v>262.94299130393489</v>
      </c>
      <c r="DD191" s="352">
        <f>DD185+DD188</f>
        <v>258.82837295441084</v>
      </c>
      <c r="DE191" s="670">
        <f>DA191+DB191+DC191+DD191</f>
        <v>1059.8929914623805</v>
      </c>
      <c r="DG191" s="352">
        <f>DG185+DG188</f>
        <v>266.1376063768223</v>
      </c>
      <c r="DH191" s="352">
        <f>DH185+DH188</f>
        <v>285.98721621618711</v>
      </c>
      <c r="DI191" s="352">
        <f>DI185+DI188</f>
        <v>270.05905325678873</v>
      </c>
      <c r="DJ191" s="352">
        <f>DJ185+DJ188</f>
        <v>265.96162424785308</v>
      </c>
      <c r="DK191" s="670">
        <f>DG191+DH191+DI191+DJ191</f>
        <v>1088.1455000976512</v>
      </c>
    </row>
    <row r="192" spans="1:121" x14ac:dyDescent="0.3">
      <c r="B192" s="1" t="s">
        <v>588</v>
      </c>
      <c r="BE192" s="2" t="s">
        <v>35</v>
      </c>
      <c r="BF192" s="2" t="s">
        <v>35</v>
      </c>
      <c r="BG192" s="2" t="s">
        <v>35</v>
      </c>
      <c r="BH192" s="2" t="s">
        <v>35</v>
      </c>
      <c r="BI192" s="2" t="s">
        <v>35</v>
      </c>
      <c r="BK192" s="36">
        <f>BK191/BE191-1</f>
        <v>6.7264573991031362E-2</v>
      </c>
      <c r="BL192" s="36">
        <f>BL191/BF191-1</f>
        <v>-7.8125E-2</v>
      </c>
      <c r="BM192" s="36">
        <f>BM191/BG191-1</f>
        <v>-0.12350597609561753</v>
      </c>
      <c r="BN192" s="36">
        <f>BN191/BH191-1</f>
        <v>3.2863849765258246E-2</v>
      </c>
      <c r="BO192" s="36">
        <f>BO191/BI191-1</f>
        <v>-3.0752916224814464E-2</v>
      </c>
      <c r="BQ192" s="36">
        <f>BQ191/BK191-1</f>
        <v>-7.1097171506226076E-2</v>
      </c>
      <c r="BR192" s="36">
        <f>BR191/BL191-1</f>
        <v>7.3658133655263303E-3</v>
      </c>
      <c r="BS192" s="36">
        <f>BS191/BM191-1</f>
        <v>7.1153634142311351E-3</v>
      </c>
      <c r="BT192" s="36">
        <f>BT191/BN191-1</f>
        <v>-1.1873454219546775E-2</v>
      </c>
      <c r="BU192" s="36">
        <f>BU191/BO191-1</f>
        <v>-1.7756646434778034E-2</v>
      </c>
      <c r="BW192" s="36">
        <f>BW191/BQ191-1</f>
        <v>7.8156038021437446E-3</v>
      </c>
      <c r="BX192" s="36">
        <f>BX191/BR191-1</f>
        <v>8.4557745611970603E-3</v>
      </c>
      <c r="BY192" s="36">
        <f>BY191/BS191-1</f>
        <v>1.1440166148126707E-2</v>
      </c>
      <c r="BZ192" s="36">
        <f>BZ191/BT191-1</f>
        <v>1.3442798809244705E-2</v>
      </c>
      <c r="CA192" s="36">
        <f>CA191/BU191-1</f>
        <v>1.0242231332938889E-2</v>
      </c>
      <c r="CC192" s="36">
        <f>CC191/BW191-1</f>
        <v>1.9596618621678052E-2</v>
      </c>
      <c r="CD192" s="36">
        <f>CD191/BX191-1</f>
        <v>1.9720758095674418E-2</v>
      </c>
      <c r="CE192" s="36">
        <f>CE191/BY191-1</f>
        <v>2.1589311157414581E-2</v>
      </c>
      <c r="CF192" s="36">
        <f>CF191/BZ191-1</f>
        <v>1.912634412593528E-2</v>
      </c>
      <c r="CG192" s="36">
        <f>CG191/CA191-1</f>
        <v>2.0007569897662947E-2</v>
      </c>
      <c r="CI192" s="36">
        <f>CI191/CC191-1</f>
        <v>2.8732335190613911E-2</v>
      </c>
      <c r="CJ192" s="36">
        <f>CJ191/CD191-1</f>
        <v>2.8588773654841804E-2</v>
      </c>
      <c r="CK192" s="36">
        <f>CK191/CE191-1</f>
        <v>3.051339421687338E-2</v>
      </c>
      <c r="CL192" s="36">
        <f>CL191/CF191-1</f>
        <v>3.1541661318813308E-2</v>
      </c>
      <c r="CM192" s="36">
        <f>CM191/CG191-1</f>
        <v>2.9816978117386483E-2</v>
      </c>
      <c r="CO192" s="36">
        <f>CO191/CI191-1</f>
        <v>3.3687035871377224E-2</v>
      </c>
      <c r="CP192" s="36">
        <f>CP191/CJ191-1</f>
        <v>3.3400090201212151E-2</v>
      </c>
      <c r="CQ192" s="36">
        <f>CQ191/CK191-1</f>
        <v>3.5350406175071347E-2</v>
      </c>
      <c r="CR192" s="36">
        <f>CR191/CL191-1</f>
        <v>3.6340301068855885E-2</v>
      </c>
      <c r="CS192" s="36">
        <f>CS191/CM191-1</f>
        <v>3.4668233940698956E-2</v>
      </c>
      <c r="CU192" s="36">
        <f>CU191/CO191-1</f>
        <v>4.049060457172704E-2</v>
      </c>
      <c r="CV192" s="36">
        <f>CV191/CP191-1</f>
        <v>3.9661364358623219E-2</v>
      </c>
      <c r="CW192" s="36">
        <f>CW191/CQ191-1</f>
        <v>4.1891469404022219E-2</v>
      </c>
      <c r="CX192" s="36">
        <f>CX191/CR191-1</f>
        <v>4.297481977409201E-2</v>
      </c>
      <c r="CY192" s="36">
        <f>CY191/CS191-1</f>
        <v>4.1224032491902873E-2</v>
      </c>
      <c r="DA192" s="36">
        <f>DA191/CU191-1</f>
        <v>3.1971993184669145E-2</v>
      </c>
      <c r="DB192" s="36">
        <f>DB191/CV191-1</f>
        <v>3.1681871625940161E-2</v>
      </c>
      <c r="DC192" s="36">
        <f>DC191/CW191-1</f>
        <v>3.3188775559637396E-2</v>
      </c>
      <c r="DD192" s="36">
        <f>DD191/CX191-1</f>
        <v>3.3918680548310487E-2</v>
      </c>
      <c r="DE192" s="36">
        <f>DE191/CY191-1</f>
        <v>3.2672150064246619E-2</v>
      </c>
      <c r="DG192" s="36">
        <f>DG191/DA191-1</f>
        <v>2.6010972045067637E-2</v>
      </c>
      <c r="DH192" s="36">
        <f>DH191/DB191-1</f>
        <v>2.6032960221579637E-2</v>
      </c>
      <c r="DI192" s="36">
        <f>DI191/DC191-1</f>
        <v>2.7063136072063676E-2</v>
      </c>
      <c r="DJ192" s="36">
        <f>DJ191/DD191-1</f>
        <v>2.755977334331372E-2</v>
      </c>
      <c r="DK192" s="36">
        <f>DK191/DE191-1</f>
        <v>2.6656000995241458E-2</v>
      </c>
    </row>
    <row r="194" spans="1:115" x14ac:dyDescent="0.3">
      <c r="A194" s="397"/>
      <c r="B194" s="397"/>
      <c r="C194" s="397"/>
      <c r="D194" s="398"/>
      <c r="E194" s="398"/>
      <c r="F194" s="398"/>
      <c r="G194" s="398"/>
      <c r="H194" s="398"/>
      <c r="I194" s="398"/>
      <c r="J194" s="398"/>
      <c r="K194" s="398"/>
      <c r="L194" s="398"/>
      <c r="M194" s="398"/>
      <c r="N194" s="398"/>
      <c r="O194" s="398"/>
      <c r="P194" s="398"/>
      <c r="Q194" s="398"/>
      <c r="R194" s="398"/>
      <c r="S194" s="398"/>
      <c r="T194" s="398"/>
      <c r="U194" s="398"/>
      <c r="V194" s="398"/>
      <c r="W194" s="398"/>
      <c r="X194" s="398"/>
      <c r="Y194" s="398"/>
      <c r="Z194" s="398"/>
      <c r="AA194" s="398"/>
      <c r="AB194" s="398"/>
      <c r="AC194" s="398"/>
      <c r="AD194" s="398"/>
      <c r="AE194" s="398"/>
      <c r="AF194" s="398"/>
      <c r="AG194" s="398"/>
      <c r="AH194" s="398"/>
      <c r="AI194" s="398"/>
      <c r="AJ194" s="398"/>
      <c r="AK194" s="398"/>
      <c r="AL194" s="398"/>
      <c r="AM194" s="398"/>
      <c r="AN194" s="398"/>
      <c r="AO194" s="398"/>
      <c r="AP194" s="398"/>
      <c r="AQ194" s="398"/>
      <c r="AR194" s="398"/>
      <c r="AS194" s="398"/>
      <c r="AT194" s="398"/>
      <c r="AU194" s="398"/>
      <c r="AV194" s="398"/>
      <c r="AW194" s="398"/>
      <c r="AX194" s="398"/>
      <c r="AY194" s="398"/>
      <c r="AZ194" s="398"/>
      <c r="BA194" s="398"/>
      <c r="BB194" s="398"/>
      <c r="BC194" s="398"/>
      <c r="BD194" s="398"/>
      <c r="BE194" s="398"/>
      <c r="BF194" s="398"/>
      <c r="BG194" s="398"/>
      <c r="BH194" s="398"/>
      <c r="BI194" s="398"/>
      <c r="BJ194" s="398"/>
      <c r="BK194" s="398"/>
      <c r="BL194" s="398"/>
      <c r="BM194" s="398"/>
      <c r="BN194" s="398"/>
      <c r="BO194" s="398"/>
      <c r="BP194" s="398"/>
      <c r="BQ194" s="398"/>
      <c r="BR194" s="398"/>
      <c r="BS194" s="398"/>
      <c r="BT194" s="398"/>
      <c r="BU194" s="398"/>
      <c r="BV194" s="398"/>
      <c r="BW194" s="398"/>
      <c r="BX194" s="398"/>
      <c r="BY194" s="398"/>
      <c r="BZ194" s="398"/>
      <c r="CA194" s="398"/>
      <c r="CB194" s="398"/>
      <c r="CC194" s="398"/>
      <c r="CD194" s="398"/>
      <c r="CE194" s="398"/>
      <c r="CF194" s="398"/>
      <c r="CG194" s="398"/>
      <c r="CH194" s="398"/>
      <c r="CI194" s="398"/>
      <c r="CJ194" s="398"/>
      <c r="CK194" s="398"/>
      <c r="CL194" s="398"/>
      <c r="CM194" s="398"/>
      <c r="CN194" s="398"/>
      <c r="CO194" s="398"/>
      <c r="CP194" s="398"/>
      <c r="CQ194" s="398"/>
      <c r="CR194" s="398"/>
      <c r="CS194" s="398"/>
      <c r="CT194" s="398"/>
      <c r="CU194" s="398"/>
      <c r="CV194" s="398"/>
      <c r="CW194" s="398"/>
      <c r="CX194" s="398"/>
      <c r="CY194" s="398"/>
      <c r="CZ194" s="398"/>
      <c r="DA194" s="398"/>
      <c r="DB194" s="398"/>
      <c r="DC194" s="398"/>
      <c r="DD194" s="398"/>
      <c r="DE194" s="398"/>
      <c r="DF194" s="398"/>
      <c r="DG194" s="398"/>
      <c r="DH194" s="398"/>
      <c r="DI194" s="398"/>
      <c r="DJ194" s="398"/>
      <c r="DK194" s="398"/>
    </row>
    <row r="196" spans="1:115" x14ac:dyDescent="0.3">
      <c r="B196" s="13" t="s">
        <v>591</v>
      </c>
    </row>
    <row r="197" spans="1:115" x14ac:dyDescent="0.3">
      <c r="B197" s="13"/>
    </row>
    <row r="198" spans="1:115" x14ac:dyDescent="0.3">
      <c r="B198" s="13" t="s">
        <v>199</v>
      </c>
      <c r="I198" s="352">
        <f>'TMO Netherlands'!I52</f>
        <v>75</v>
      </c>
      <c r="J198" s="352">
        <f>'TMO Netherlands'!J52</f>
        <v>28</v>
      </c>
      <c r="K198" s="352">
        <f>'TMO Netherlands'!K52</f>
        <v>45</v>
      </c>
      <c r="L198" s="352">
        <f>'TMO Netherlands'!L52</f>
        <v>40</v>
      </c>
      <c r="M198" s="352">
        <f>'TMO Netherlands'!M52</f>
        <v>188</v>
      </c>
      <c r="O198" s="352">
        <f>'TMO Netherlands'!O52</f>
        <v>76</v>
      </c>
      <c r="P198" s="352">
        <f>'TMO Netherlands'!P52</f>
        <v>9</v>
      </c>
      <c r="Q198" s="352">
        <f>'TMO Netherlands'!Q52</f>
        <v>23</v>
      </c>
      <c r="R198" s="352">
        <f>'TMO Netherlands'!R52</f>
        <v>49</v>
      </c>
      <c r="S198" s="352">
        <f>'TMO Netherlands'!S52</f>
        <v>157</v>
      </c>
      <c r="U198" s="352">
        <f>'TMO Netherlands'!U52</f>
        <v>14</v>
      </c>
      <c r="V198" s="352">
        <f>'TMO Netherlands'!V52</f>
        <v>57</v>
      </c>
      <c r="W198" s="352">
        <f>'TMO Netherlands'!W52</f>
        <v>37</v>
      </c>
      <c r="X198" s="352">
        <f>'TMO Netherlands'!X52</f>
        <v>34</v>
      </c>
      <c r="Y198" s="352">
        <f>'TMO Netherlands'!Y52</f>
        <v>142</v>
      </c>
      <c r="AA198" s="352">
        <f>'TMO Netherlands'!AA52</f>
        <v>54</v>
      </c>
      <c r="AB198" s="352">
        <f>'TMO Netherlands'!AB52</f>
        <v>43</v>
      </c>
      <c r="AC198" s="352">
        <f>'TMO Netherlands'!AC52</f>
        <v>32</v>
      </c>
      <c r="AD198" s="352">
        <f>'TMO Netherlands'!AD52</f>
        <v>41</v>
      </c>
      <c r="AE198" s="352">
        <f>'TMO Netherlands'!AE52</f>
        <v>170</v>
      </c>
      <c r="AF198" s="352"/>
      <c r="AG198" s="352">
        <f>'TMO Netherlands'!AG52</f>
        <v>44</v>
      </c>
      <c r="AH198" s="352">
        <f>'TMO Netherlands'!AH52</f>
        <v>22</v>
      </c>
      <c r="AI198" s="352">
        <f>'TMO Netherlands'!AI52</f>
        <v>22</v>
      </c>
      <c r="AJ198" s="352">
        <f>'TMO Netherlands'!AJ52</f>
        <v>49</v>
      </c>
      <c r="AK198" s="352">
        <f>'TMO Netherlands'!AK52</f>
        <v>137</v>
      </c>
      <c r="AM198" s="352">
        <f>'TMO Netherlands'!AM52</f>
        <v>52</v>
      </c>
      <c r="AN198" s="352">
        <f>'TMO Netherlands'!AN52</f>
        <v>53</v>
      </c>
      <c r="AO198" s="352">
        <f>'TMO Netherlands'!AO52</f>
        <v>37</v>
      </c>
      <c r="AP198" s="352">
        <f>'TMO Netherlands'!AP52</f>
        <v>53</v>
      </c>
      <c r="AQ198" s="352">
        <f>'TMO Netherlands'!AQ52</f>
        <v>195</v>
      </c>
      <c r="AS198" s="352">
        <f>'TMO Netherlands'!AS52</f>
        <v>54</v>
      </c>
      <c r="AT198" s="352">
        <f>'TMO Netherlands'!AT52</f>
        <v>46</v>
      </c>
      <c r="AU198" s="352">
        <f>'TMO Netherlands'!AU52</f>
        <v>44</v>
      </c>
      <c r="AV198" s="352">
        <f>'TMO Netherlands'!AV52</f>
        <v>37</v>
      </c>
      <c r="AW198" s="352">
        <f>'TMO Netherlands'!AW52</f>
        <v>181</v>
      </c>
      <c r="AY198" s="352">
        <f>'TMO Netherlands'!AY52</f>
        <v>46</v>
      </c>
      <c r="AZ198" s="352">
        <f>'TMO Netherlands'!AZ52</f>
        <v>42</v>
      </c>
      <c r="BA198" s="352">
        <f>'TMO Netherlands'!BA52</f>
        <v>41</v>
      </c>
      <c r="BB198" s="352">
        <f>'TMO Netherlands'!BB52</f>
        <v>47</v>
      </c>
      <c r="BC198" s="352">
        <f>'TMO Netherlands'!BC52</f>
        <v>176</v>
      </c>
      <c r="BE198" s="352">
        <f>'TMO Netherlands'!BE52</f>
        <v>54</v>
      </c>
      <c r="BF198" s="352">
        <f>'TMO Netherlands'!BF52</f>
        <v>13</v>
      </c>
      <c r="BG198" s="352">
        <f>'TMO Netherlands'!BG52</f>
        <v>27</v>
      </c>
      <c r="BH198" s="352">
        <f>'TMO Netherlands'!BH52</f>
        <v>29</v>
      </c>
      <c r="BI198" s="352">
        <f>BE198+BF198+BG198+BH198</f>
        <v>123</v>
      </c>
      <c r="BK198" s="352">
        <f>'TMO Netherlands'!BK52</f>
        <v>41</v>
      </c>
      <c r="BL198" s="352">
        <f>'TMO Netherlands'!BL52</f>
        <v>36</v>
      </c>
      <c r="BM198" s="352">
        <f>'TMO Netherlands'!BM52</f>
        <v>48</v>
      </c>
      <c r="BN198" s="352">
        <f>'TMO Netherlands'!BN52</f>
        <v>47</v>
      </c>
      <c r="BO198" s="352">
        <f>BK198+BL198+BM198+BN198</f>
        <v>172</v>
      </c>
      <c r="BQ198" s="352">
        <f>'TMO Netherlands'!BQ52</f>
        <v>37.383199131948345</v>
      </c>
      <c r="BR198" s="352">
        <f>'TMO Netherlands'!BR52</f>
        <v>33.108485831473949</v>
      </c>
      <c r="BS198" s="352">
        <f>'TMO Netherlands'!BS52</f>
        <v>39.366985114413005</v>
      </c>
      <c r="BT198" s="352">
        <f>'TMO Netherlands'!BT52</f>
        <v>47.116224369013715</v>
      </c>
      <c r="BU198" s="352">
        <f>BQ198+BR198+BS198+BT198</f>
        <v>156.97489444684902</v>
      </c>
      <c r="BW198" s="352">
        <f>'TMO Netherlands'!BW52</f>
        <v>35.632772526805162</v>
      </c>
      <c r="BX198" s="352">
        <f>'TMO Netherlands'!BX52</f>
        <v>33.103860026381419</v>
      </c>
      <c r="BY198" s="352">
        <f>'TMO Netherlands'!BY52</f>
        <v>36.274901940162962</v>
      </c>
      <c r="BZ198" s="352">
        <f>'TMO Netherlands'!BZ52</f>
        <v>43.807060516551253</v>
      </c>
      <c r="CA198" s="352">
        <f>BW198+BX198+BY198+BZ198</f>
        <v>148.8185950099008</v>
      </c>
      <c r="CC198" s="352">
        <f>'TMO Netherlands'!CC52</f>
        <v>33.981202708292216</v>
      </c>
      <c r="CD198" s="352">
        <f>'TMO Netherlands'!CD52</f>
        <v>33.183072244524219</v>
      </c>
      <c r="CE198" s="352">
        <f>'TMO Netherlands'!CE52</f>
        <v>33.248067569256087</v>
      </c>
      <c r="CF198" s="352">
        <f>'TMO Netherlands'!CF52</f>
        <v>40.207415190178615</v>
      </c>
      <c r="CG198" s="352">
        <f>CC198+CD198+CE198+CF198</f>
        <v>140.61975771225113</v>
      </c>
      <c r="CI198" s="352">
        <f>'TMO Netherlands'!CI52</f>
        <v>32.552809690874334</v>
      </c>
      <c r="CJ198" s="352">
        <f>'TMO Netherlands'!CJ52</f>
        <v>33.479879289350173</v>
      </c>
      <c r="CK198" s="352">
        <f>'TMO Netherlands'!CK52</f>
        <v>31.988499494932398</v>
      </c>
      <c r="CL198" s="352">
        <f>'TMO Netherlands'!CL52</f>
        <v>40.675380420136371</v>
      </c>
      <c r="CM198" s="352">
        <f>CI198+CJ198+CK198+CL198</f>
        <v>138.69656889529327</v>
      </c>
      <c r="CO198" s="352">
        <f>'TMO Netherlands'!CO52</f>
        <v>32.876936665085729</v>
      </c>
      <c r="CP198" s="352">
        <f>'TMO Netherlands'!CP52</f>
        <v>33.910106378578078</v>
      </c>
      <c r="CQ198" s="352">
        <f>'TMO Netherlands'!CQ52</f>
        <v>32.440441197021521</v>
      </c>
      <c r="CR198" s="352">
        <f>'TMO Netherlands'!CR52</f>
        <v>41.293538189122003</v>
      </c>
      <c r="CS198" s="352">
        <f>CO198+CP198+CQ198+CR198</f>
        <v>140.52102242980732</v>
      </c>
      <c r="CU198" s="352">
        <f>'TMO Netherlands'!CU52</f>
        <v>33.251322109850506</v>
      </c>
      <c r="CV198" s="352">
        <f>'TMO Netherlands'!CV52</f>
        <v>34.38379641859909</v>
      </c>
      <c r="CW198" s="352">
        <f>'TMO Netherlands'!CW52</f>
        <v>32.931053493233641</v>
      </c>
      <c r="CX198" s="352">
        <f>'TMO Netherlands'!CX52</f>
        <v>38.458333996116131</v>
      </c>
      <c r="CY198" s="352">
        <f>CU198+CV198+CW198+CX198</f>
        <v>139.02450601779935</v>
      </c>
      <c r="DA198" s="352">
        <f>'TMO Netherlands'!DA52</f>
        <v>33.657376436204906</v>
      </c>
      <c r="DB198" s="352">
        <f>'TMO Netherlands'!DB52</f>
        <v>34.881995255492306</v>
      </c>
      <c r="DC198" s="352">
        <f>'TMO Netherlands'!DC52</f>
        <v>33.441856874556336</v>
      </c>
      <c r="DD198" s="352">
        <f>'TMO Netherlands'!DD52</f>
        <v>39.083584694025042</v>
      </c>
      <c r="DE198" s="352">
        <f>DA198+DB198+DC198+DD198</f>
        <v>141.06481326027858</v>
      </c>
      <c r="DG198" s="352">
        <f>'TMO Netherlands'!DG52</f>
        <v>34.077596514465988</v>
      </c>
      <c r="DH198" s="352">
        <f>'TMO Netherlands'!DH52</f>
        <v>35.386788553195828</v>
      </c>
      <c r="DI198" s="352">
        <f>'TMO Netherlands'!DI52</f>
        <v>33.955354984788947</v>
      </c>
      <c r="DJ198" s="352">
        <f>'TMO Netherlands'!DJ52</f>
        <v>39.709245699371891</v>
      </c>
      <c r="DK198" s="352">
        <f>DG198+DH198+DI198+DJ198</f>
        <v>143.12898575182265</v>
      </c>
    </row>
    <row r="199" spans="1:115" x14ac:dyDescent="0.3">
      <c r="B199" s="1" t="s">
        <v>588</v>
      </c>
      <c r="I199" s="2" t="s">
        <v>35</v>
      </c>
      <c r="J199" s="2" t="s">
        <v>35</v>
      </c>
      <c r="K199" s="2" t="s">
        <v>35</v>
      </c>
      <c r="L199" s="2" t="s">
        <v>35</v>
      </c>
      <c r="M199" s="2" t="s">
        <v>35</v>
      </c>
      <c r="O199" s="36">
        <f>O198/I198-1</f>
        <v>1.3333333333333419E-2</v>
      </c>
      <c r="P199" s="36">
        <f>P198/J198-1</f>
        <v>-0.6785714285714286</v>
      </c>
      <c r="Q199" s="36">
        <f>Q198/K198-1</f>
        <v>-0.48888888888888893</v>
      </c>
      <c r="R199" s="36">
        <f>R198/L198-1</f>
        <v>0.22500000000000009</v>
      </c>
      <c r="S199" s="36">
        <f>S198/M198-1</f>
        <v>-0.16489361702127658</v>
      </c>
      <c r="U199" s="36">
        <f>U198/O198-1</f>
        <v>-0.81578947368421051</v>
      </c>
      <c r="V199" s="36">
        <f>V198/P198-1</f>
        <v>5.333333333333333</v>
      </c>
      <c r="W199" s="36">
        <f>W198/Q198-1</f>
        <v>0.60869565217391308</v>
      </c>
      <c r="X199" s="36">
        <f>X198/R198-1</f>
        <v>-0.30612244897959184</v>
      </c>
      <c r="Y199" s="36">
        <f>Y198/S198-1</f>
        <v>-9.5541401273885329E-2</v>
      </c>
      <c r="AA199" s="36">
        <f>AA198/U198-1</f>
        <v>2.8571428571428572</v>
      </c>
      <c r="AB199" s="36">
        <f>AB198/V198-1</f>
        <v>-0.24561403508771928</v>
      </c>
      <c r="AC199" s="36">
        <f>AC198/W198-1</f>
        <v>-0.13513513513513509</v>
      </c>
      <c r="AD199" s="36">
        <f>AD198/X198-1</f>
        <v>0.20588235294117641</v>
      </c>
      <c r="AE199" s="36">
        <f>AE198/Y198-1</f>
        <v>0.19718309859154926</v>
      </c>
      <c r="AF199" s="36"/>
      <c r="AG199" s="36">
        <f>AG198/AA198-1</f>
        <v>-0.18518518518518523</v>
      </c>
      <c r="AH199" s="36">
        <f>AH198/AB198-1</f>
        <v>-0.48837209302325579</v>
      </c>
      <c r="AI199" s="36">
        <f>AI198/AC198-1</f>
        <v>-0.3125</v>
      </c>
      <c r="AJ199" s="36">
        <f>AJ198/AD198-1</f>
        <v>0.19512195121951215</v>
      </c>
      <c r="AK199" s="36">
        <f>AK198/AE198-1</f>
        <v>-0.19411764705882351</v>
      </c>
      <c r="AM199" s="36">
        <f>AM198/AG198-1</f>
        <v>0.18181818181818188</v>
      </c>
      <c r="AN199" s="36">
        <f>AN198/AH198-1</f>
        <v>1.4090909090909092</v>
      </c>
      <c r="AO199" s="36">
        <f>AO198/AI198-1</f>
        <v>0.68181818181818188</v>
      </c>
      <c r="AP199" s="36">
        <f>AP198/AJ198-1</f>
        <v>8.163265306122458E-2</v>
      </c>
      <c r="AQ199" s="36">
        <f>AQ198/AK198-1</f>
        <v>0.42335766423357657</v>
      </c>
      <c r="AS199" s="36">
        <f>AS198/AM198-1</f>
        <v>3.8461538461538547E-2</v>
      </c>
      <c r="AT199" s="36">
        <f>AT198/AN198-1</f>
        <v>-0.13207547169811318</v>
      </c>
      <c r="AU199" s="36">
        <f>AU198/AO198-1</f>
        <v>0.18918918918918926</v>
      </c>
      <c r="AV199" s="36">
        <f>AV198/AP198-1</f>
        <v>-0.30188679245283023</v>
      </c>
      <c r="AW199" s="36">
        <f>AW198/AQ198-1</f>
        <v>-7.1794871794871762E-2</v>
      </c>
      <c r="AY199" s="36">
        <f>AY198/AS198-1</f>
        <v>-0.14814814814814814</v>
      </c>
      <c r="AZ199" s="36">
        <f>AZ198/AT198-1</f>
        <v>-8.6956521739130488E-2</v>
      </c>
      <c r="BA199" s="36">
        <f>BA198/AU198-1</f>
        <v>-6.8181818181818232E-2</v>
      </c>
      <c r="BB199" s="36">
        <f>BB198/AV198-1</f>
        <v>0.27027027027027017</v>
      </c>
      <c r="BC199" s="36">
        <f>BC198/AW198-1</f>
        <v>-2.7624309392265234E-2</v>
      </c>
      <c r="BE199" s="36">
        <f>BE198/AY198-1</f>
        <v>0.17391304347826098</v>
      </c>
      <c r="BF199" s="36">
        <f>BF198/AZ198-1</f>
        <v>-0.69047619047619047</v>
      </c>
      <c r="BG199" s="36">
        <f>BG198/BA198-1</f>
        <v>-0.34146341463414631</v>
      </c>
      <c r="BH199" s="36">
        <f>BH198/BB198-1</f>
        <v>-0.38297872340425532</v>
      </c>
      <c r="BI199" s="36">
        <f>BI198/BC198-1</f>
        <v>-0.30113636363636365</v>
      </c>
      <c r="BK199" s="36">
        <f>BK198/BE198-1</f>
        <v>-0.2407407407407407</v>
      </c>
      <c r="BL199" s="36">
        <f>BL198/BF198-1</f>
        <v>1.7692307692307692</v>
      </c>
      <c r="BM199" s="36">
        <f>BM198/BG198-1</f>
        <v>0.77777777777777768</v>
      </c>
      <c r="BN199" s="36">
        <f>BN198/BH198-1</f>
        <v>0.6206896551724137</v>
      </c>
      <c r="BO199" s="36">
        <f>BO198/BI198-1</f>
        <v>0.39837398373983746</v>
      </c>
      <c r="BQ199" s="36">
        <f>BQ198/BK198-1</f>
        <v>-8.8214655318333057E-2</v>
      </c>
      <c r="BR199" s="36">
        <f>BR198/BL198-1</f>
        <v>-8.031983801461251E-2</v>
      </c>
      <c r="BS199" s="36">
        <f>BS198/BM198-1</f>
        <v>-0.17985447678306243</v>
      </c>
      <c r="BT199" s="36">
        <f>BT198/BN198-1</f>
        <v>2.4728589151854496E-3</v>
      </c>
      <c r="BU199" s="36">
        <f>BU198/BO198-1</f>
        <v>-8.7355264843900993E-2</v>
      </c>
      <c r="BW199" s="36">
        <f>BW198/BQ198-1</f>
        <v>-4.6823884680517791E-2</v>
      </c>
      <c r="BX199" s="36">
        <f>BX198/BR198-1</f>
        <v>-1.3971660063449853E-4</v>
      </c>
      <c r="BY199" s="36">
        <f>BY198/BS198-1</f>
        <v>-7.8545084548980904E-2</v>
      </c>
      <c r="BZ199" s="36">
        <f>BZ198/BT198-1</f>
        <v>-7.0234062613870107E-2</v>
      </c>
      <c r="CA199" s="36">
        <f>CA198/BU198-1</f>
        <v>-5.1959260528185336E-2</v>
      </c>
      <c r="CC199" s="36">
        <f>CC198/BW198-1</f>
        <v>-4.6349742144553452E-2</v>
      </c>
      <c r="CD199" s="36">
        <f>CD198/BX198-1</f>
        <v>2.3928393268843884E-3</v>
      </c>
      <c r="CE199" s="36">
        <f>CE198/BY198-1</f>
        <v>-8.3441559012337851E-2</v>
      </c>
      <c r="CF199" s="36">
        <f>CF198/BZ198-1</f>
        <v>-8.2170437457510181E-2</v>
      </c>
      <c r="CG199" s="36">
        <f>CG198/CA198-1</f>
        <v>-5.5092828265877691E-2</v>
      </c>
      <c r="CI199" s="36">
        <f>CI198/CC198-1</f>
        <v>-4.2034798758588954E-2</v>
      </c>
      <c r="CJ199" s="36">
        <f>CJ198/CD198-1</f>
        <v>8.9445317973815275E-3</v>
      </c>
      <c r="CK199" s="36">
        <f>CK198/CE198-1</f>
        <v>-3.7883948343764517E-2</v>
      </c>
      <c r="CL199" s="36">
        <f>CL198/CF198-1</f>
        <v>1.1638779258609677E-2</v>
      </c>
      <c r="CM199" s="36">
        <f>CM198/CG198-1</f>
        <v>-1.3676519205027104E-2</v>
      </c>
      <c r="CO199" s="36">
        <f>CO198/CI198-1</f>
        <v>9.9569584711534098E-3</v>
      </c>
      <c r="CP199" s="36">
        <f>CP198/CJ198-1</f>
        <v>1.2850317813563938E-2</v>
      </c>
      <c r="CQ199" s="36">
        <f>CQ198/CK198-1</f>
        <v>1.4128255755188501E-2</v>
      </c>
      <c r="CR199" s="36">
        <f>CR198/CL198-1</f>
        <v>1.5197344501776566E-2</v>
      </c>
      <c r="CS199" s="36">
        <f>CS198/CM198-1</f>
        <v>1.3154280232349436E-2</v>
      </c>
      <c r="CU199" s="36">
        <f>CU198/CO198-1</f>
        <v>1.1387479575077464E-2</v>
      </c>
      <c r="CV199" s="36">
        <f>CV198/CP198-1</f>
        <v>1.3968993040972988E-2</v>
      </c>
      <c r="CW199" s="36">
        <f>CW198/CQ198-1</f>
        <v>1.5123477921661799E-2</v>
      </c>
      <c r="CX199" s="36">
        <f>CX198/CR198-1</f>
        <v>-6.8659754463780809E-2</v>
      </c>
      <c r="CY199" s="36">
        <f>CY198/CS198-1</f>
        <v>-1.0649768882485144E-2</v>
      </c>
      <c r="DA199" s="36">
        <f>DA198/CU198-1</f>
        <v>1.2211674621927626E-2</v>
      </c>
      <c r="DB199" s="36">
        <f>DB198/CV198-1</f>
        <v>1.4489349309424249E-2</v>
      </c>
      <c r="DC199" s="36">
        <f>DC198/CW198-1</f>
        <v>1.5511297913006317E-2</v>
      </c>
      <c r="DD199" s="36">
        <f>DD198/CX198-1</f>
        <v>1.6257872688194341E-2</v>
      </c>
      <c r="DE199" s="36">
        <f>DE198/CY198-1</f>
        <v>1.4675881978807537E-2</v>
      </c>
      <c r="DG199" s="36">
        <f>DG198/DA198-1</f>
        <v>1.2485229769990447E-2</v>
      </c>
      <c r="DH199" s="36">
        <f>DH198/DB198-1</f>
        <v>1.4471457094302531E-2</v>
      </c>
      <c r="DI199" s="36">
        <f>DI198/DC198-1</f>
        <v>1.5354952093682872E-2</v>
      </c>
      <c r="DJ199" s="36">
        <f>DJ198/DD198-1</f>
        <v>1.6008280976399281E-2</v>
      </c>
      <c r="DK199" s="36">
        <f>DK198/DE198-1</f>
        <v>1.4632794981520147E-2</v>
      </c>
    </row>
    <row r="201" spans="1:115" x14ac:dyDescent="0.3">
      <c r="B201" s="13" t="s">
        <v>594</v>
      </c>
      <c r="BE201" s="352">
        <f>BE206-BE198</f>
        <v>39</v>
      </c>
      <c r="BF201" s="352">
        <f>BF206-BF198</f>
        <v>27</v>
      </c>
      <c r="BG201" s="352">
        <f>BG206-BG198</f>
        <v>42</v>
      </c>
      <c r="BH201" s="352">
        <f>BH206-BH198</f>
        <v>40</v>
      </c>
      <c r="BI201" s="352">
        <f>BE201+BF201+BG201+BH201</f>
        <v>148</v>
      </c>
      <c r="BK201" s="352">
        <f>BK206-BK198</f>
        <v>40</v>
      </c>
      <c r="BL201" s="352">
        <f>BL206-BL198</f>
        <v>21</v>
      </c>
      <c r="BM201" s="352">
        <f>BM206-BM198</f>
        <v>28</v>
      </c>
      <c r="BN201" s="352">
        <f>BN206-BN198</f>
        <v>29</v>
      </c>
      <c r="BO201" s="670">
        <f>BK201+BL201+BM201+BN201</f>
        <v>118</v>
      </c>
      <c r="BQ201" s="670">
        <f>BQ204*BQ175</f>
        <v>39.547800000000002</v>
      </c>
      <c r="BR201" s="670">
        <f>BR204*BR175</f>
        <v>43.942499999999995</v>
      </c>
      <c r="BS201" s="670">
        <f>BS204*BS175</f>
        <v>48.679399999999994</v>
      </c>
      <c r="BT201" s="670">
        <f>BT204*BT175</f>
        <v>53.348399999999991</v>
      </c>
      <c r="BU201" s="670">
        <f>BQ201+BR201+BS201+BT201</f>
        <v>185.51809999999998</v>
      </c>
      <c r="BW201" s="670">
        <f>BW204*BW175</f>
        <v>42.371073499999994</v>
      </c>
      <c r="BX201" s="670">
        <f>BX204*BX175</f>
        <v>44.601637499999995</v>
      </c>
      <c r="BY201" s="670">
        <f>BY204*BY175</f>
        <v>49.5312895</v>
      </c>
      <c r="BZ201" s="670">
        <f>BZ204*BZ175</f>
        <v>56.543746874999997</v>
      </c>
      <c r="CA201" s="670">
        <f>BW201+BX201+BY201+BZ201</f>
        <v>193.04774737499997</v>
      </c>
      <c r="CC201" s="670">
        <f>CC204*CC175</f>
        <v>41.14454242499999</v>
      </c>
      <c r="CD201" s="670">
        <f>CD204*CD175</f>
        <v>45.716678437499993</v>
      </c>
      <c r="CE201" s="670">
        <f>CE204*CE175</f>
        <v>48.461863931249994</v>
      </c>
      <c r="CF201" s="670">
        <f>CF204*CF175</f>
        <v>46.365872437499995</v>
      </c>
      <c r="CG201" s="670">
        <f>CC201+CD201+CE201+CF201</f>
        <v>181.68895723124996</v>
      </c>
      <c r="CI201" s="670">
        <f>CI204*CI175</f>
        <v>40.218790220437491</v>
      </c>
      <c r="CJ201" s="670">
        <f>CJ204*CJ175</f>
        <v>42.585085964531238</v>
      </c>
      <c r="CK201" s="670">
        <f>CK204*CK175</f>
        <v>47.769551589374998</v>
      </c>
      <c r="CL201" s="670">
        <f>CL204*CL175</f>
        <v>41.990093226210924</v>
      </c>
      <c r="CM201" s="670">
        <f>CI201+CJ201+CK201+CL201</f>
        <v>172.56352100055463</v>
      </c>
      <c r="CO201" s="670">
        <f>CO204*CO175</f>
        <v>39.367098192239986</v>
      </c>
      <c r="CP201" s="670">
        <f>CP204*CP175</f>
        <v>43.058253586359363</v>
      </c>
      <c r="CQ201" s="670">
        <f>CQ204*CQ175</f>
        <v>44.71230028765499</v>
      </c>
      <c r="CR201" s="670">
        <f>CR204*CR175</f>
        <v>39.926580073379988</v>
      </c>
      <c r="CS201" s="670">
        <f>CO201+CP201+CQ201+CR201</f>
        <v>167.06423213963433</v>
      </c>
      <c r="CU201" s="670">
        <f>CU204*CU175</f>
        <v>37.460254373553362</v>
      </c>
      <c r="CV201" s="670">
        <f>CV204*CV175</f>
        <v>38.752428227723435</v>
      </c>
      <c r="CW201" s="670">
        <f>CW204*CW175</f>
        <v>39.123262751698121</v>
      </c>
      <c r="CX201" s="670">
        <f>CX204*CX175</f>
        <v>32.752272716444523</v>
      </c>
      <c r="CY201" s="670">
        <f>CU201+CV201+CW201+CX201</f>
        <v>148.08821806941944</v>
      </c>
      <c r="DA201" s="670">
        <f>DA204*DA175</f>
        <v>26.738871225260507</v>
      </c>
      <c r="DB201" s="670">
        <f>DB204*DB175</f>
        <v>24.065257929416251</v>
      </c>
      <c r="DC201" s="670">
        <f>DC204*DC175</f>
        <v>24.295546168804535</v>
      </c>
      <c r="DD201" s="670">
        <f>DD204*DD175</f>
        <v>24.406993628294455</v>
      </c>
      <c r="DE201" s="670">
        <f>DA201+DB201+DC201+DD201</f>
        <v>99.506668951775751</v>
      </c>
      <c r="DG201" s="670">
        <f>DG204*DG175</f>
        <v>20.555507254419012</v>
      </c>
      <c r="DH201" s="670">
        <f>DH204*DH175</f>
        <v>20.555741148043044</v>
      </c>
      <c r="DI201" s="670">
        <f>DI204*DI175</f>
        <v>20.752445685853871</v>
      </c>
      <c r="DJ201" s="670">
        <f>DJ204*DJ175</f>
        <v>20.847640390834844</v>
      </c>
      <c r="DK201" s="670">
        <f>DG201+DH201+DI201+DJ201</f>
        <v>82.711334479150764</v>
      </c>
    </row>
    <row r="202" spans="1:115" x14ac:dyDescent="0.3">
      <c r="B202" s="1" t="s">
        <v>588</v>
      </c>
      <c r="BE202" s="2" t="s">
        <v>35</v>
      </c>
      <c r="BF202" s="2" t="s">
        <v>35</v>
      </c>
      <c r="BG202" s="2" t="s">
        <v>35</v>
      </c>
      <c r="BH202" s="2" t="s">
        <v>35</v>
      </c>
      <c r="BI202" s="2" t="s">
        <v>35</v>
      </c>
      <c r="BK202" s="36">
        <f>BK201/BE201-1</f>
        <v>2.564102564102555E-2</v>
      </c>
      <c r="BL202" s="36">
        <f>BL201/BF201-1</f>
        <v>-0.22222222222222221</v>
      </c>
      <c r="BM202" s="36">
        <f>BM201/BG201-1</f>
        <v>-0.33333333333333337</v>
      </c>
      <c r="BN202" s="36">
        <f>BN201/BH201-1</f>
        <v>-0.27500000000000002</v>
      </c>
      <c r="BO202" s="36">
        <f>BO201/BI201-1</f>
        <v>-0.20270270270270274</v>
      </c>
      <c r="BQ202" s="36">
        <f>BQ201/BK201-1</f>
        <v>-1.1304999999999898E-2</v>
      </c>
      <c r="BR202" s="36">
        <f>BR201/BL201-1</f>
        <v>1.0924999999999998</v>
      </c>
      <c r="BS202" s="36">
        <f>BS201/BM201-1</f>
        <v>0.73854999999999982</v>
      </c>
      <c r="BT202" s="36">
        <f>BT201/BN201-1</f>
        <v>0.83959999999999968</v>
      </c>
      <c r="BU202" s="36">
        <f>BU201/BO201-1</f>
        <v>0.57218728813559294</v>
      </c>
      <c r="BW202" s="36">
        <f>BW201/BQ201-1</f>
        <v>7.1388888888888724E-2</v>
      </c>
      <c r="BX202" s="36">
        <f>BX201/BR201-1</f>
        <v>1.4999999999999902E-2</v>
      </c>
      <c r="BY202" s="36">
        <f>BY201/BS201-1</f>
        <v>1.7500000000000071E-2</v>
      </c>
      <c r="BZ202" s="36">
        <f>BZ201/BT201-1</f>
        <v>5.9895833333333481E-2</v>
      </c>
      <c r="CA202" s="36">
        <f>CA201/BU201-1</f>
        <v>4.0587130716625452E-2</v>
      </c>
      <c r="CC202" s="36">
        <f>CC201/BW201-1</f>
        <v>-2.8947368421052722E-2</v>
      </c>
      <c r="CD202" s="36">
        <f>CD201/BX201-1</f>
        <v>2.4999999999999911E-2</v>
      </c>
      <c r="CE202" s="36">
        <f>CE201/BY201-1</f>
        <v>-2.1590909090909216E-2</v>
      </c>
      <c r="CF202" s="36">
        <f>CF201/BZ201-1</f>
        <v>-0.18000000000000005</v>
      </c>
      <c r="CG202" s="36">
        <f>CG201/CA201-1</f>
        <v>-5.883927835575975E-2</v>
      </c>
      <c r="CI202" s="36">
        <f>CI201/CC201-1</f>
        <v>-2.2499999999999964E-2</v>
      </c>
      <c r="CJ202" s="36">
        <f>CJ201/CD201-1</f>
        <v>-6.8500000000000116E-2</v>
      </c>
      <c r="CK202" s="36">
        <f>CK201/CE201-1</f>
        <v>-1.4285714285714235E-2</v>
      </c>
      <c r="CL202" s="36">
        <f>CL201/CF201-1</f>
        <v>-9.4375000000000209E-2</v>
      </c>
      <c r="CM202" s="36">
        <f>CM201/CG201-1</f>
        <v>-5.0225596369517733E-2</v>
      </c>
      <c r="CO202" s="36">
        <f>CO201/CI201-1</f>
        <v>-2.1176470588235463E-2</v>
      </c>
      <c r="CP202" s="36">
        <f>CP201/CJ201-1</f>
        <v>1.1111111111111072E-2</v>
      </c>
      <c r="CQ202" s="36">
        <f>CQ201/CK201-1</f>
        <v>-6.4000000000000168E-2</v>
      </c>
      <c r="CR202" s="36">
        <f>CR201/CL201-1</f>
        <v>-4.9142857142857155E-2</v>
      </c>
      <c r="CS202" s="36">
        <f>CS201/CM201-1</f>
        <v>-3.1868200353321607E-2</v>
      </c>
      <c r="CU202" s="36">
        <f>CU201/CO201-1</f>
        <v>-4.8437500000000022E-2</v>
      </c>
      <c r="CV202" s="36">
        <f>CV201/CP201-1</f>
        <v>-9.9999999999999867E-2</v>
      </c>
      <c r="CW202" s="36">
        <f>CW201/CQ201-1</f>
        <v>-0.12499999999999989</v>
      </c>
      <c r="CX202" s="36">
        <f>CX201/CR201-1</f>
        <v>-0.1796875</v>
      </c>
      <c r="CY202" s="36">
        <f>CY201/CS201-1</f>
        <v>-0.11358513924365632</v>
      </c>
      <c r="DA202" s="36">
        <f>DA201/CU201-1</f>
        <v>-0.28620689655172404</v>
      </c>
      <c r="DB202" s="36">
        <f>DB201/CV201-1</f>
        <v>-0.379</v>
      </c>
      <c r="DC202" s="36">
        <f>DC201/CW201-1</f>
        <v>-0.379</v>
      </c>
      <c r="DD202" s="36">
        <f>DD201/CX201-1</f>
        <v>-0.25480000000000014</v>
      </c>
      <c r="DE202" s="36">
        <f>DE201/CY201-1</f>
        <v>-0.32805816526788156</v>
      </c>
      <c r="DG202" s="36">
        <f>DG201/DA201-1</f>
        <v>-0.23125000000000007</v>
      </c>
      <c r="DH202" s="36">
        <f>DH201/DB201-1</f>
        <v>-0.14583333333333348</v>
      </c>
      <c r="DI202" s="36">
        <f>DI201/DC201-1</f>
        <v>-0.14583333333333337</v>
      </c>
      <c r="DJ202" s="36">
        <f>DJ201/DD201-1</f>
        <v>-0.14583333333333348</v>
      </c>
      <c r="DK202" s="36">
        <f>DK201/DE201-1</f>
        <v>-0.16878601856087216</v>
      </c>
    </row>
    <row r="203" spans="1:115" x14ac:dyDescent="0.3">
      <c r="BK203" s="36"/>
      <c r="BL203" s="36"/>
      <c r="BM203" s="36"/>
      <c r="BN203" s="36"/>
      <c r="BO203" s="36"/>
      <c r="BQ203" s="36"/>
      <c r="BR203" s="36"/>
      <c r="BS203" s="36"/>
      <c r="BT203" s="36"/>
      <c r="BU203" s="36"/>
      <c r="BW203" s="36"/>
      <c r="BX203" s="36"/>
      <c r="BY203" s="36"/>
      <c r="BZ203" s="36"/>
      <c r="CA203" s="36"/>
      <c r="CC203" s="36"/>
      <c r="CD203" s="36"/>
      <c r="CE203" s="36"/>
      <c r="CF203" s="36"/>
      <c r="CG203" s="36"/>
      <c r="CI203" s="36"/>
      <c r="CJ203" s="36"/>
      <c r="CK203" s="36"/>
      <c r="CL203" s="36"/>
      <c r="CM203" s="36"/>
      <c r="CO203" s="36"/>
      <c r="CP203" s="36"/>
      <c r="CQ203" s="36"/>
      <c r="CR203" s="36"/>
      <c r="CS203" s="36"/>
      <c r="CU203" s="36"/>
      <c r="CV203" s="36"/>
      <c r="CW203" s="36"/>
      <c r="CX203" s="36"/>
      <c r="CY203" s="36"/>
      <c r="DA203" s="36"/>
      <c r="DB203" s="36"/>
      <c r="DC203" s="36"/>
      <c r="DD203" s="36"/>
      <c r="DE203" s="36"/>
      <c r="DG203" s="36"/>
      <c r="DH203" s="36"/>
      <c r="DI203" s="36"/>
      <c r="DJ203" s="36"/>
      <c r="DK203" s="36"/>
    </row>
    <row r="204" spans="1:115" x14ac:dyDescent="0.3">
      <c r="B204" s="1" t="s">
        <v>595</v>
      </c>
      <c r="BE204" s="36">
        <f>BE201/BE175</f>
        <v>0.15537848605577689</v>
      </c>
      <c r="BF204" s="36">
        <f>BF201/BF175</f>
        <v>0.1062992125984252</v>
      </c>
      <c r="BG204" s="36">
        <f>BG201/BG175</f>
        <v>0.16387046429964888</v>
      </c>
      <c r="BH204" s="36">
        <f>BH201/BH175</f>
        <v>0.157294534014943</v>
      </c>
      <c r="BI204" s="36">
        <f>BI201/BI175</f>
        <v>0.14572666404096102</v>
      </c>
      <c r="BK204" s="36">
        <f>BK201/BK175</f>
        <v>0.15748031496062992</v>
      </c>
      <c r="BL204" s="36">
        <f>BL201/BL175</f>
        <v>9.6774193548387094E-2</v>
      </c>
      <c r="BM204" s="36">
        <f>BM201/BM175</f>
        <v>0.12844036697247707</v>
      </c>
      <c r="BN204" s="36">
        <f>BN201/BN175</f>
        <v>0.13242009132420091</v>
      </c>
      <c r="BO204" s="36">
        <f>BO201/BO175</f>
        <v>0.12995594713656389</v>
      </c>
      <c r="BQ204" s="36">
        <v>0.18</v>
      </c>
      <c r="BR204" s="36">
        <v>0.2</v>
      </c>
      <c r="BS204" s="36">
        <v>0.22</v>
      </c>
      <c r="BT204" s="36">
        <v>0.24</v>
      </c>
      <c r="BU204" s="36">
        <f>BU201/BU175</f>
        <v>0.21010512725409197</v>
      </c>
      <c r="BW204" s="36">
        <v>0.19</v>
      </c>
      <c r="BX204" s="36">
        <v>0.2</v>
      </c>
      <c r="BY204" s="36">
        <v>0.22</v>
      </c>
      <c r="BZ204" s="36">
        <v>0.25</v>
      </c>
      <c r="CA204" s="36">
        <f>CA201/CA175</f>
        <v>0.21513548135328647</v>
      </c>
      <c r="CC204" s="36">
        <v>0.18</v>
      </c>
      <c r="CD204" s="36">
        <v>0.2</v>
      </c>
      <c r="CE204" s="36">
        <v>0.21</v>
      </c>
      <c r="CF204" s="36">
        <v>0.2</v>
      </c>
      <c r="CG204" s="36">
        <f>CG201/CG175</f>
        <v>0.19753859988462452</v>
      </c>
      <c r="CI204" s="36">
        <v>0.17</v>
      </c>
      <c r="CJ204" s="36">
        <v>0.18</v>
      </c>
      <c r="CK204" s="36">
        <v>0.2</v>
      </c>
      <c r="CL204" s="36">
        <v>0.17499999999999999</v>
      </c>
      <c r="CM204" s="36">
        <f>CM201/CM175</f>
        <v>0.18127256608639589</v>
      </c>
      <c r="CO204" s="36">
        <v>0.16</v>
      </c>
      <c r="CP204" s="36">
        <v>0.17499999999999999</v>
      </c>
      <c r="CQ204" s="36">
        <v>0.18</v>
      </c>
      <c r="CR204" s="36">
        <v>0.16</v>
      </c>
      <c r="CS204" s="36">
        <f>CS201/CS175</f>
        <v>0.16874589964595563</v>
      </c>
      <c r="CU204" s="36">
        <v>0.14499999999999999</v>
      </c>
      <c r="CV204" s="36">
        <v>0.15</v>
      </c>
      <c r="CW204" s="36">
        <v>0.15</v>
      </c>
      <c r="CX204" s="36">
        <v>0.125</v>
      </c>
      <c r="CY204" s="36">
        <f>CY201/CY175</f>
        <v>0.14245606965511784</v>
      </c>
      <c r="DA204" s="36">
        <v>0.1</v>
      </c>
      <c r="DB204" s="36">
        <v>0.09</v>
      </c>
      <c r="DC204" s="36">
        <v>0.09</v>
      </c>
      <c r="DD204" s="36">
        <v>0.09</v>
      </c>
      <c r="DE204" s="36">
        <f>DE201/DE175</f>
        <v>9.2485210447136548E-2</v>
      </c>
      <c r="DG204" s="36">
        <v>7.4999999999999997E-2</v>
      </c>
      <c r="DH204" s="36">
        <v>7.4999999999999997E-2</v>
      </c>
      <c r="DI204" s="36">
        <v>7.4999999999999997E-2</v>
      </c>
      <c r="DJ204" s="36">
        <v>7.4999999999999997E-2</v>
      </c>
      <c r="DK204" s="36">
        <f>DK201/DK175</f>
        <v>7.4999999999999997E-2</v>
      </c>
    </row>
    <row r="205" spans="1:115" x14ac:dyDescent="0.3">
      <c r="BE205" s="36"/>
      <c r="BF205" s="36"/>
      <c r="BG205" s="36"/>
      <c r="BH205" s="36"/>
      <c r="BI205" s="36"/>
    </row>
    <row r="206" spans="1:115" x14ac:dyDescent="0.3">
      <c r="B206" s="13" t="s">
        <v>80</v>
      </c>
      <c r="BE206" s="3">
        <v>93</v>
      </c>
      <c r="BF206" s="3">
        <v>40</v>
      </c>
      <c r="BG206" s="670">
        <v>69</v>
      </c>
      <c r="BH206" s="670">
        <v>69</v>
      </c>
      <c r="BI206" s="352">
        <f>BE206+BF206+BG206+BH206</f>
        <v>271</v>
      </c>
      <c r="BK206" s="3">
        <v>81</v>
      </c>
      <c r="BL206" s="352">
        <v>57</v>
      </c>
      <c r="BM206" s="352">
        <v>76</v>
      </c>
      <c r="BN206" s="352">
        <v>76</v>
      </c>
      <c r="BO206" s="670">
        <f>BK206+BL206+BM206+BN206</f>
        <v>290</v>
      </c>
      <c r="BQ206" s="352">
        <f>BQ198+BQ201</f>
        <v>76.93099913194834</v>
      </c>
      <c r="BR206" s="352">
        <f>BR198+BR201</f>
        <v>77.050985831473952</v>
      </c>
      <c r="BS206" s="352">
        <f>BS198+BS201</f>
        <v>88.046385114412999</v>
      </c>
      <c r="BT206" s="352">
        <f>BT198+BT201</f>
        <v>100.46462436901371</v>
      </c>
      <c r="BU206" s="670">
        <f>BQ206+BR206+BS206+BT206</f>
        <v>342.49299444684902</v>
      </c>
      <c r="BW206" s="352">
        <f>BW198+BW201</f>
        <v>78.003846026805149</v>
      </c>
      <c r="BX206" s="352">
        <f>BX198+BX201</f>
        <v>77.705497526381407</v>
      </c>
      <c r="BY206" s="352">
        <f>BY198+BY201</f>
        <v>85.806191440162962</v>
      </c>
      <c r="BZ206" s="352">
        <f>BZ198+BZ201</f>
        <v>100.35080739155126</v>
      </c>
      <c r="CA206" s="670">
        <f>BW206+BX206+BY206+BZ206</f>
        <v>341.8663423849008</v>
      </c>
      <c r="CC206" s="352">
        <f>CC198+CC201</f>
        <v>75.125745133292213</v>
      </c>
      <c r="CD206" s="352">
        <f>CD198+CD201</f>
        <v>78.899750682024205</v>
      </c>
      <c r="CE206" s="352">
        <f>CE198+CE201</f>
        <v>81.709931500506087</v>
      </c>
      <c r="CF206" s="352">
        <f>CF198+CF201</f>
        <v>86.57328762767861</v>
      </c>
      <c r="CG206" s="670">
        <f>CC206+CD206+CE206+CF206</f>
        <v>322.30871494350112</v>
      </c>
      <c r="CI206" s="352">
        <f>CI198+CI201</f>
        <v>72.771599911311824</v>
      </c>
      <c r="CJ206" s="352">
        <f>CJ198+CJ201</f>
        <v>76.064965253881411</v>
      </c>
      <c r="CK206" s="352">
        <f>CK198+CK201</f>
        <v>79.758051084307397</v>
      </c>
      <c r="CL206" s="352">
        <f>CL198+CL201</f>
        <v>82.665473646347294</v>
      </c>
      <c r="CM206" s="670">
        <f>CI206+CJ206+CK206+CL206</f>
        <v>311.26008989584795</v>
      </c>
      <c r="CO206" s="352">
        <f>CO198+CO201</f>
        <v>72.244034857325715</v>
      </c>
      <c r="CP206" s="352">
        <f>CP198+CP201</f>
        <v>76.968359964937434</v>
      </c>
      <c r="CQ206" s="352">
        <f>CQ198+CQ201</f>
        <v>77.152741484676511</v>
      </c>
      <c r="CR206" s="352">
        <f>CR198+CR201</f>
        <v>81.220118262501984</v>
      </c>
      <c r="CS206" s="670">
        <f>CO206+CP206+CQ206+CR206</f>
        <v>307.58525456944164</v>
      </c>
      <c r="CU206" s="352">
        <f>CU198+CU201</f>
        <v>70.71157648340386</v>
      </c>
      <c r="CV206" s="352">
        <f>CV198+CV201</f>
        <v>73.136224646322518</v>
      </c>
      <c r="CW206" s="352">
        <f>CW198+CW201</f>
        <v>72.054316244931755</v>
      </c>
      <c r="CX206" s="352">
        <f>CX198+CX201</f>
        <v>71.210606712560661</v>
      </c>
      <c r="CY206" s="670">
        <f>CU206+CV206+CW206+CX206</f>
        <v>287.11272408721879</v>
      </c>
      <c r="DA206" s="352">
        <f>DA198+DA201</f>
        <v>60.396247661465409</v>
      </c>
      <c r="DB206" s="352">
        <f>DB198+DB201</f>
        <v>58.947253184908561</v>
      </c>
      <c r="DC206" s="352">
        <f>DC198+DC201</f>
        <v>57.737403043360871</v>
      </c>
      <c r="DD206" s="352">
        <f>DD198+DD201</f>
        <v>63.490578322319493</v>
      </c>
      <c r="DE206" s="670">
        <f>DA206+DB206+DC206+DD206</f>
        <v>240.57148221205432</v>
      </c>
      <c r="DG206" s="352">
        <f>DG198+DG201</f>
        <v>54.633103768885</v>
      </c>
      <c r="DH206" s="352">
        <f>DH198+DH201</f>
        <v>55.942529701238868</v>
      </c>
      <c r="DI206" s="352">
        <f>DI198+DI201</f>
        <v>54.707800670642818</v>
      </c>
      <c r="DJ206" s="352">
        <f>DJ198+DJ201</f>
        <v>60.556886090206731</v>
      </c>
      <c r="DK206" s="670">
        <f>DG206+DH206+DI206+DJ206</f>
        <v>225.84032023097342</v>
      </c>
    </row>
    <row r="207" spans="1:115" x14ac:dyDescent="0.3">
      <c r="B207" s="1" t="s">
        <v>588</v>
      </c>
      <c r="BE207" s="2" t="s">
        <v>35</v>
      </c>
      <c r="BF207" s="2" t="s">
        <v>35</v>
      </c>
      <c r="BG207" s="2" t="s">
        <v>35</v>
      </c>
      <c r="BH207" s="2" t="s">
        <v>35</v>
      </c>
      <c r="BI207" s="2" t="s">
        <v>35</v>
      </c>
      <c r="BK207" s="36">
        <f>BK206/BE206-1</f>
        <v>-0.12903225806451613</v>
      </c>
      <c r="BL207" s="36">
        <f>BL206/BF206-1</f>
        <v>0.42500000000000004</v>
      </c>
      <c r="BM207" s="36">
        <f>BM206/BG206-1</f>
        <v>0.10144927536231885</v>
      </c>
      <c r="BN207" s="36">
        <f>BN206/BH206-1</f>
        <v>0.10144927536231885</v>
      </c>
      <c r="BO207" s="36">
        <f>BO206/BI206-1</f>
        <v>7.0110701107011009E-2</v>
      </c>
      <c r="BQ207" s="36">
        <f>BQ206/BK206-1</f>
        <v>-5.0234578617921688E-2</v>
      </c>
      <c r="BR207" s="36">
        <f>BR206/BL206-1</f>
        <v>0.35177168125392888</v>
      </c>
      <c r="BS207" s="36">
        <f>BS206/BM206-1</f>
        <v>0.15850506729490799</v>
      </c>
      <c r="BT207" s="36">
        <f>BT206/BN206-1</f>
        <v>0.32190295222386456</v>
      </c>
      <c r="BU207" s="36">
        <f>BU206/BO206-1</f>
        <v>0.18101032567878983</v>
      </c>
      <c r="BW207" s="36">
        <f>BW206/BQ206-1</f>
        <v>1.3945573396449973E-2</v>
      </c>
      <c r="BX207" s="36">
        <f>BX206/BR206-1</f>
        <v>8.4945271996779148E-3</v>
      </c>
      <c r="BY207" s="36">
        <f>BY206/BS206-1</f>
        <v>-2.5443335025498115E-2</v>
      </c>
      <c r="BZ207" s="36">
        <f>BZ206/BT206-1</f>
        <v>-1.1329060171906269E-3</v>
      </c>
      <c r="CA207" s="36">
        <f>CA206/BU206-1</f>
        <v>-1.8296784813374156E-3</v>
      </c>
      <c r="CC207" s="36">
        <f>CC206/BW206-1</f>
        <v>-3.6896910089842305E-2</v>
      </c>
      <c r="CD207" s="36">
        <f>CD206/BX206-1</f>
        <v>1.5368966079103208E-2</v>
      </c>
      <c r="CE207" s="36">
        <f>CE206/BY206-1</f>
        <v>-4.7738512465192007E-2</v>
      </c>
      <c r="CF207" s="36">
        <f>CF206/BZ206-1</f>
        <v>-0.13729356167624218</v>
      </c>
      <c r="CG207" s="36">
        <f>CG206/CA206-1</f>
        <v>-5.7208402865761232E-2</v>
      </c>
      <c r="CI207" s="36">
        <f>CI206/CC206-1</f>
        <v>-3.133606485770668E-2</v>
      </c>
      <c r="CJ207" s="36">
        <f>CJ206/CD206-1</f>
        <v>-3.5928952926192803E-2</v>
      </c>
      <c r="CK207" s="36">
        <f>CK206/CE206-1</f>
        <v>-2.388792133777029E-2</v>
      </c>
      <c r="CL207" s="36">
        <f>CL206/CF206-1</f>
        <v>-4.5138796139260084E-2</v>
      </c>
      <c r="CM207" s="36">
        <f>CM206/CG206-1</f>
        <v>-3.4279634820268301E-2</v>
      </c>
      <c r="CO207" s="36">
        <f>CO206/CI206-1</f>
        <v>-7.2496008694197256E-3</v>
      </c>
      <c r="CP207" s="36">
        <f>CP206/CJ206-1</f>
        <v>1.1876620307927244E-2</v>
      </c>
      <c r="CQ207" s="36">
        <f>CQ206/CK206-1</f>
        <v>-3.2665161249702201E-2</v>
      </c>
      <c r="CR207" s="36">
        <f>CR206/CL206-1</f>
        <v>-1.7484390037232567E-2</v>
      </c>
      <c r="CS207" s="36">
        <f>CS206/CM206-1</f>
        <v>-1.1806317114526177E-2</v>
      </c>
      <c r="CU207" s="36">
        <f>CU206/CO206-1</f>
        <v>-2.121224786168574E-2</v>
      </c>
      <c r="CV207" s="36">
        <f>CV206/CP206-1</f>
        <v>-4.9788449700118642E-2</v>
      </c>
      <c r="CW207" s="36">
        <f>CW206/CQ206-1</f>
        <v>-6.6082230412478182E-2</v>
      </c>
      <c r="CX207" s="36">
        <f>CX206/CR206-1</f>
        <v>-0.12323931267362553</v>
      </c>
      <c r="CY207" s="36">
        <f>CY206/CS206-1</f>
        <v>-6.6558881409579662E-2</v>
      </c>
      <c r="DA207" s="36">
        <f>DA206/CU206-1</f>
        <v>-0.14587892584122319</v>
      </c>
      <c r="DB207" s="36">
        <f>DB206/CV206-1</f>
        <v>-0.19400743653408437</v>
      </c>
      <c r="DC207" s="36">
        <f>DC206/CW206-1</f>
        <v>-0.19869612186595309</v>
      </c>
      <c r="DD207" s="36">
        <f>DD206/CX206-1</f>
        <v>-0.10841121493884776</v>
      </c>
      <c r="DE207" s="36">
        <f>DE206/CY206-1</f>
        <v>-0.16210093796130831</v>
      </c>
      <c r="DG207" s="36">
        <f>DG206/DA206-1</f>
        <v>-9.5422217699419498E-2</v>
      </c>
      <c r="DH207" s="36">
        <f>DH206/DB206-1</f>
        <v>-5.097308731662753E-2</v>
      </c>
      <c r="DI207" s="36">
        <f>DI206/DC206-1</f>
        <v>-5.2472092838031115E-2</v>
      </c>
      <c r="DJ207" s="36">
        <f>DJ206/DD206-1</f>
        <v>-4.6206733497046293E-2</v>
      </c>
      <c r="DK207" s="36">
        <f>DK206/DE206-1</f>
        <v>-6.1234032586189757E-2</v>
      </c>
    </row>
    <row r="209" spans="1:115" x14ac:dyDescent="0.3">
      <c r="A209" s="397"/>
      <c r="B209" s="397"/>
      <c r="C209" s="397"/>
      <c r="D209" s="398"/>
      <c r="E209" s="398"/>
      <c r="F209" s="398"/>
      <c r="G209" s="398"/>
      <c r="H209" s="398"/>
      <c r="I209" s="398"/>
      <c r="J209" s="398"/>
      <c r="K209" s="398"/>
      <c r="L209" s="398"/>
      <c r="M209" s="398"/>
      <c r="N209" s="398"/>
      <c r="O209" s="398"/>
      <c r="P209" s="398"/>
      <c r="Q209" s="398"/>
      <c r="R209" s="398"/>
      <c r="S209" s="398"/>
      <c r="T209" s="398"/>
      <c r="U209" s="398"/>
      <c r="V209" s="398"/>
      <c r="W209" s="398"/>
      <c r="X209" s="398"/>
      <c r="Y209" s="398"/>
      <c r="Z209" s="398"/>
      <c r="AA209" s="398"/>
      <c r="AB209" s="398"/>
      <c r="AC209" s="398"/>
      <c r="AD209" s="398"/>
      <c r="AE209" s="398"/>
      <c r="AF209" s="398"/>
      <c r="AG209" s="398"/>
      <c r="AH209" s="398"/>
      <c r="AI209" s="398"/>
      <c r="AJ209" s="398"/>
      <c r="AK209" s="398"/>
      <c r="AL209" s="398"/>
      <c r="AM209" s="398"/>
      <c r="AN209" s="398"/>
      <c r="AO209" s="398"/>
      <c r="AP209" s="398"/>
      <c r="AQ209" s="398"/>
      <c r="AR209" s="398"/>
      <c r="AS209" s="398"/>
      <c r="AT209" s="398"/>
      <c r="AU209" s="398"/>
      <c r="AV209" s="398"/>
      <c r="AW209" s="398"/>
      <c r="AX209" s="398"/>
      <c r="AY209" s="398"/>
      <c r="AZ209" s="398"/>
      <c r="BA209" s="398"/>
      <c r="BB209" s="398"/>
      <c r="BC209" s="398"/>
      <c r="BD209" s="398"/>
      <c r="BE209" s="398"/>
      <c r="BF209" s="398"/>
      <c r="BG209" s="398"/>
      <c r="BH209" s="398"/>
      <c r="BI209" s="398"/>
      <c r="BJ209" s="398"/>
      <c r="BK209" s="398"/>
      <c r="BL209" s="398"/>
      <c r="BM209" s="398"/>
      <c r="BN209" s="398"/>
      <c r="BO209" s="398"/>
      <c r="BP209" s="398"/>
      <c r="BQ209" s="398"/>
      <c r="BR209" s="398"/>
      <c r="BS209" s="398"/>
      <c r="BT209" s="398"/>
      <c r="BU209" s="398"/>
      <c r="BV209" s="398"/>
      <c r="BW209" s="398"/>
      <c r="BX209" s="398"/>
      <c r="BY209" s="398"/>
      <c r="BZ209" s="398"/>
      <c r="CA209" s="398"/>
      <c r="CB209" s="398"/>
      <c r="CC209" s="398"/>
      <c r="CD209" s="398"/>
      <c r="CE209" s="398"/>
      <c r="CF209" s="398"/>
      <c r="CG209" s="398"/>
      <c r="CH209" s="398"/>
      <c r="CI209" s="398"/>
      <c r="CJ209" s="398"/>
      <c r="CK209" s="398"/>
      <c r="CL209" s="398"/>
      <c r="CM209" s="398"/>
      <c r="CN209" s="398"/>
      <c r="CO209" s="398"/>
      <c r="CP209" s="398"/>
      <c r="CQ209" s="398"/>
      <c r="CR209" s="398"/>
      <c r="CS209" s="398"/>
      <c r="CT209" s="398"/>
      <c r="CU209" s="398"/>
      <c r="CV209" s="398"/>
      <c r="CW209" s="398"/>
      <c r="CX209" s="398"/>
      <c r="CY209" s="398"/>
      <c r="CZ209" s="398"/>
      <c r="DA209" s="398"/>
      <c r="DB209" s="398"/>
      <c r="DC209" s="398"/>
      <c r="DD209" s="398"/>
      <c r="DE209" s="398"/>
      <c r="DF209" s="398"/>
      <c r="DG209" s="398"/>
      <c r="DH209" s="398"/>
      <c r="DI209" s="398"/>
      <c r="DJ209" s="398"/>
      <c r="DK209" s="398"/>
    </row>
    <row r="211" spans="1:115" x14ac:dyDescent="0.3">
      <c r="B211" s="13" t="s">
        <v>593</v>
      </c>
    </row>
    <row r="212" spans="1:115" x14ac:dyDescent="0.3">
      <c r="B212" s="13"/>
    </row>
    <row r="213" spans="1:115" x14ac:dyDescent="0.3">
      <c r="B213" s="13" t="s">
        <v>199</v>
      </c>
      <c r="BE213" s="352">
        <f>BE185-BE198</f>
        <v>34</v>
      </c>
      <c r="BF213" s="352">
        <f>BF185-BF198</f>
        <v>89</v>
      </c>
      <c r="BG213" s="352">
        <f>BG185-BG198</f>
        <v>64</v>
      </c>
      <c r="BH213" s="352">
        <f>BH185-BH198</f>
        <v>48</v>
      </c>
      <c r="BI213" s="352">
        <f>BE213+BF213+BG213+BH213</f>
        <v>235</v>
      </c>
      <c r="BK213" s="352">
        <f>BK185-BK198</f>
        <v>69</v>
      </c>
      <c r="BL213" s="352">
        <f>BL185-BL198</f>
        <v>83</v>
      </c>
      <c r="BM213" s="352">
        <f>BM185-BM198</f>
        <v>50</v>
      </c>
      <c r="BN213" s="352">
        <f>BN185-BN198</f>
        <v>47</v>
      </c>
      <c r="BO213" s="352">
        <f>BK213+BL213+BM213+BN213</f>
        <v>249</v>
      </c>
      <c r="BQ213" s="352">
        <f>BQ185-BQ198</f>
        <v>56.975674049569847</v>
      </c>
      <c r="BR213" s="352">
        <f>BR185-BR198</f>
        <v>78.269846122790227</v>
      </c>
      <c r="BS213" s="352">
        <f>BS185-BS198</f>
        <v>54.708394836717879</v>
      </c>
      <c r="BT213" s="352">
        <f>BT185-BT198</f>
        <v>41.121615702686022</v>
      </c>
      <c r="BU213" s="352">
        <f>BQ213+BR213+BS213+BT213</f>
        <v>231.07553071176397</v>
      </c>
      <c r="BW213" s="352">
        <f>BW185-BW198</f>
        <v>57.285965536524166</v>
      </c>
      <c r="BX213" s="352">
        <f>BX185-BX198</f>
        <v>77.125733667443058</v>
      </c>
      <c r="BY213" s="352">
        <f>BY185-BY198</f>
        <v>57.147972770281669</v>
      </c>
      <c r="BZ213" s="352">
        <f>BZ185-BZ198</f>
        <v>44.124330552808594</v>
      </c>
      <c r="CA213" s="352">
        <f>BW213+BX213+BY213+BZ213</f>
        <v>235.68400252705749</v>
      </c>
      <c r="CC213" s="352">
        <f>CC185-CC198</f>
        <v>59.407154027204328</v>
      </c>
      <c r="CD213" s="352">
        <f>CD185-CD198</f>
        <v>77.888975469314346</v>
      </c>
      <c r="CE213" s="352">
        <f>CE185-CE198</f>
        <v>61.092656963977753</v>
      </c>
      <c r="CF213" s="352">
        <f>CF185-CF198</f>
        <v>47.96634095170716</v>
      </c>
      <c r="CG213" s="352">
        <f>CC213+CD213+CE213+CF213</f>
        <v>246.35512741220361</v>
      </c>
      <c r="CI213" s="352">
        <f>CI185-CI198</f>
        <v>62.011372133082695</v>
      </c>
      <c r="CJ213" s="352">
        <f>CJ185-CJ198</f>
        <v>79.245272312210545</v>
      </c>
      <c r="CK213" s="352">
        <f>CK185-CK198</f>
        <v>63.954006694449191</v>
      </c>
      <c r="CL213" s="352">
        <f>CL185-CL198</f>
        <v>49.126227044441499</v>
      </c>
      <c r="CM213" s="352">
        <f>CI213+CJ213+CK213+CL213</f>
        <v>254.33687818418392</v>
      </c>
      <c r="CO213" s="352">
        <f>CO185-CO198</f>
        <v>63.298791277510453</v>
      </c>
      <c r="CP213" s="352">
        <f>CP185-CP198</f>
        <v>80.970695236524207</v>
      </c>
      <c r="CQ213" s="352">
        <f>CQ185-CQ198</f>
        <v>65.542907225162651</v>
      </c>
      <c r="CR213" s="352">
        <f>CR185-CR198</f>
        <v>50.543505766769087</v>
      </c>
      <c r="CS213" s="352">
        <f>CO213+CP213+CQ213+CR213</f>
        <v>260.35589950596642</v>
      </c>
      <c r="CU213" s="352">
        <f>CU185-CU198</f>
        <v>64.708994505899966</v>
      </c>
      <c r="CV213" s="352">
        <f>CV185-CV198</f>
        <v>82.829476447849444</v>
      </c>
      <c r="CW213" s="352">
        <f>CW185-CW198</f>
        <v>67.239437174171087</v>
      </c>
      <c r="CX213" s="352">
        <f>CX185-CX198</f>
        <v>55.543435405797446</v>
      </c>
      <c r="CY213" s="352">
        <f>CU213+CV213+CW213+CX213</f>
        <v>270.32134353371794</v>
      </c>
      <c r="DA213" s="352">
        <f>DA185-DA198</f>
        <v>66.203478759019617</v>
      </c>
      <c r="DB213" s="352">
        <f>DB185-DB198</f>
        <v>84.772487436116393</v>
      </c>
      <c r="DC213" s="352">
        <f>DC185-DC198</f>
        <v>69.002020216283782</v>
      </c>
      <c r="DD213" s="352">
        <f>DD185-DD198</f>
        <v>57.155874615227837</v>
      </c>
      <c r="DE213" s="352">
        <f>DA213+DB213+DC213+DD213</f>
        <v>277.13386102664765</v>
      </c>
      <c r="DG213" s="352">
        <f>DG185-DG198</f>
        <v>67.744367963573126</v>
      </c>
      <c r="DH213" s="352">
        <f>DH185-DH198</f>
        <v>86.751591565056827</v>
      </c>
      <c r="DI213" s="352">
        <f>DI185-DI198</f>
        <v>70.789610632512165</v>
      </c>
      <c r="DJ213" s="352">
        <f>DJ185-DJ198</f>
        <v>58.785797493968474</v>
      </c>
      <c r="DK213" s="352">
        <f>DG213+DH213+DI213+DJ213</f>
        <v>284.07136765511058</v>
      </c>
    </row>
    <row r="214" spans="1:115" x14ac:dyDescent="0.3">
      <c r="B214" s="1" t="s">
        <v>588</v>
      </c>
      <c r="BE214" s="2" t="s">
        <v>35</v>
      </c>
      <c r="BF214" s="2" t="s">
        <v>35</v>
      </c>
      <c r="BG214" s="2" t="s">
        <v>35</v>
      </c>
      <c r="BH214" s="2" t="s">
        <v>35</v>
      </c>
      <c r="BI214" s="2" t="s">
        <v>35</v>
      </c>
      <c r="BK214" s="36">
        <f>BK213/BE213-1</f>
        <v>1.0294117647058822</v>
      </c>
      <c r="BL214" s="36">
        <f>BL213/BF213-1</f>
        <v>-6.7415730337078705E-2</v>
      </c>
      <c r="BM214" s="36">
        <f>BM213/BG213-1</f>
        <v>-0.21875</v>
      </c>
      <c r="BN214" s="36">
        <f>BN213/BH213-1</f>
        <v>-2.083333333333337E-2</v>
      </c>
      <c r="BO214" s="36">
        <f>BO213/BI213-1</f>
        <v>5.9574468085106469E-2</v>
      </c>
      <c r="BQ214" s="36">
        <f>BQ213/BK213-1</f>
        <v>-0.174265593484495</v>
      </c>
      <c r="BR214" s="36">
        <f>BR213/BL213-1</f>
        <v>-5.6989805749515288E-2</v>
      </c>
      <c r="BS214" s="36">
        <f>BS213/BM213-1</f>
        <v>9.4167896734357548E-2</v>
      </c>
      <c r="BT214" s="36">
        <f>BT213/BN213-1</f>
        <v>-0.12507200632582938</v>
      </c>
      <c r="BU214" s="36">
        <f>BU213/BO213-1</f>
        <v>-7.1985820434682823E-2</v>
      </c>
      <c r="BW214" s="36">
        <f>BW213/BQ213-1</f>
        <v>5.4460345073645833E-3</v>
      </c>
      <c r="BX214" s="36">
        <f>BX213/BR213-1</f>
        <v>-1.4617538068904312E-2</v>
      </c>
      <c r="BY214" s="36">
        <f>BY213/BS213-1</f>
        <v>4.4592387344664974E-2</v>
      </c>
      <c r="BZ214" s="36">
        <f>BZ213/BT213-1</f>
        <v>7.3020351919840465E-2</v>
      </c>
      <c r="CA214" s="36">
        <f>CA213/BU213-1</f>
        <v>1.994357343288744E-2</v>
      </c>
      <c r="CC214" s="36">
        <f>CC213/BW213-1</f>
        <v>3.702806561456562E-2</v>
      </c>
      <c r="CD214" s="36">
        <f>CD213/BX213-1</f>
        <v>9.8960718501854839E-3</v>
      </c>
      <c r="CE214" s="36">
        <f>CE213/BY213-1</f>
        <v>6.9025793960401316E-2</v>
      </c>
      <c r="CF214" s="36">
        <f>CF213/BZ213-1</f>
        <v>8.7072378226801472E-2</v>
      </c>
      <c r="CG214" s="36">
        <f>CG213/CA213-1</f>
        <v>4.5277255862629096E-2</v>
      </c>
      <c r="CI214" s="36">
        <f>CI213/CC213-1</f>
        <v>4.3836776033503E-2</v>
      </c>
      <c r="CJ214" s="36">
        <f>CJ213/CD213-1</f>
        <v>1.7413206872011422E-2</v>
      </c>
      <c r="CK214" s="36">
        <f>CK213/CE213-1</f>
        <v>4.6836229960641296E-2</v>
      </c>
      <c r="CL214" s="36">
        <f>CL213/CF213-1</f>
        <v>2.4181250220902228E-2</v>
      </c>
      <c r="CM214" s="36">
        <f>CM213/CG213-1</f>
        <v>3.2399369381198806E-2</v>
      </c>
      <c r="CO214" s="36">
        <f>CO213/CI213-1</f>
        <v>2.0761016893237283E-2</v>
      </c>
      <c r="CP214" s="36">
        <f>CP213/CJ213-1</f>
        <v>2.1773196986639709E-2</v>
      </c>
      <c r="CQ214" s="36">
        <f>CQ213/CK213-1</f>
        <v>2.4844425124209923E-2</v>
      </c>
      <c r="CR214" s="36">
        <f>CR213/CL213-1</f>
        <v>2.8849736843121754E-2</v>
      </c>
      <c r="CS214" s="36">
        <f>CS213/CM213-1</f>
        <v>2.3665546910675239E-2</v>
      </c>
      <c r="CU214" s="36">
        <f>CU213/CO213-1</f>
        <v>2.2278517487118954E-2</v>
      </c>
      <c r="CV214" s="36">
        <f>CV213/CP213-1</f>
        <v>2.2956221456361892E-2</v>
      </c>
      <c r="CW214" s="36">
        <f>CW213/CQ213-1</f>
        <v>2.5884264534990375E-2</v>
      </c>
      <c r="CX214" s="36">
        <f>CX213/CR213-1</f>
        <v>9.8923285260431371E-2</v>
      </c>
      <c r="CY214" s="36">
        <f>CY213/CS213-1</f>
        <v>3.827623666934854E-2</v>
      </c>
      <c r="DA214" s="36">
        <f>DA213/CU213-1</f>
        <v>2.3095464000501442E-2</v>
      </c>
      <c r="DB214" s="36">
        <f>DB213/CV213-1</f>
        <v>2.345796534752087E-2</v>
      </c>
      <c r="DC214" s="36">
        <f>DC213/CW213-1</f>
        <v>2.6213530573539146E-2</v>
      </c>
      <c r="DD214" s="36">
        <f>DD213/CX213-1</f>
        <v>2.9030239084961051E-2</v>
      </c>
      <c r="DE214" s="36">
        <f>DE213/CY213-1</f>
        <v>2.5201552359405133E-2</v>
      </c>
      <c r="DG214" s="36">
        <f>DG213/DA213-1</f>
        <v>2.3275048886212346E-2</v>
      </c>
      <c r="DH214" s="36">
        <f>DH213/DB213-1</f>
        <v>2.3346066498660445E-2</v>
      </c>
      <c r="DI214" s="36">
        <f>DI213/DC213-1</f>
        <v>2.5906348982613236E-2</v>
      </c>
      <c r="DJ214" s="36">
        <f>DJ213/DD213-1</f>
        <v>2.8517154005834877E-2</v>
      </c>
      <c r="DK214" s="36">
        <f>DK213/DE213-1</f>
        <v>2.5033052990214966E-2</v>
      </c>
    </row>
    <row r="215" spans="1:115" x14ac:dyDescent="0.3">
      <c r="DA215" s="2"/>
      <c r="DB215" s="2"/>
      <c r="DC215" s="2"/>
      <c r="DD215" s="2"/>
      <c r="DE215" s="2"/>
      <c r="DG215" s="2"/>
      <c r="DH215" s="2"/>
      <c r="DI215" s="2"/>
      <c r="DJ215" s="2"/>
      <c r="DK215" s="2"/>
    </row>
    <row r="216" spans="1:115" x14ac:dyDescent="0.3">
      <c r="B216" s="13" t="s">
        <v>594</v>
      </c>
      <c r="BE216" s="352">
        <f>BE188-BE201</f>
        <v>96</v>
      </c>
      <c r="BF216" s="352">
        <f>BF188-BF201</f>
        <v>127</v>
      </c>
      <c r="BG216" s="352">
        <f>BG188-BG201</f>
        <v>118</v>
      </c>
      <c r="BH216" s="352">
        <f>BH188-BH201</f>
        <v>96</v>
      </c>
      <c r="BI216" s="352">
        <f>BE216+BF216+BG216+BH216</f>
        <v>437</v>
      </c>
      <c r="BK216" s="352">
        <f>BK188-BK201</f>
        <v>88</v>
      </c>
      <c r="BL216" s="352">
        <f>BL188-BL201</f>
        <v>96</v>
      </c>
      <c r="BM216" s="352">
        <f>BM188-BM201</f>
        <v>94</v>
      </c>
      <c r="BN216" s="352">
        <f>BN188-BN201</f>
        <v>97</v>
      </c>
      <c r="BO216" s="352">
        <f>BK216+BL216+BM216+BN216</f>
        <v>375</v>
      </c>
      <c r="BQ216" s="352">
        <f>BQ188-BQ201</f>
        <v>87.172200000000004</v>
      </c>
      <c r="BR216" s="352">
        <f>BR188-BR201</f>
        <v>82.417500000000018</v>
      </c>
      <c r="BS216" s="352">
        <f>BS188-BS201</f>
        <v>78.810599999999994</v>
      </c>
      <c r="BT216" s="352">
        <f>BT188-BT201</f>
        <v>75.801599999999979</v>
      </c>
      <c r="BU216" s="352">
        <f>BQ216+BR216+BS216+BT216</f>
        <v>324.20190000000002</v>
      </c>
      <c r="BW216" s="352">
        <f>BW188-BW201</f>
        <v>87.516926499999983</v>
      </c>
      <c r="BX216" s="352">
        <f>BX188-BX201</f>
        <v>84.91736250000001</v>
      </c>
      <c r="BY216" s="352">
        <f>BY188-BY201</f>
        <v>81.145960499999987</v>
      </c>
      <c r="BZ216" s="352">
        <f>BZ188-BZ201</f>
        <v>75.835003124999972</v>
      </c>
      <c r="CA216" s="352">
        <f>BW216+BX216+BY216+BZ216</f>
        <v>329.41525262499994</v>
      </c>
      <c r="CC216" s="352">
        <f>CC188-CC201</f>
        <v>92.64009757499997</v>
      </c>
      <c r="CD216" s="352">
        <f>CD188-CD201</f>
        <v>87.687891562500013</v>
      </c>
      <c r="CE216" s="352">
        <f>CE188-CE201</f>
        <v>86.135703568750003</v>
      </c>
      <c r="CF216" s="352">
        <f>CF188-CF201</f>
        <v>89.984240062499964</v>
      </c>
      <c r="CG216" s="352">
        <f>CC216+CD216+CE216+CF216</f>
        <v>356.44793276874992</v>
      </c>
      <c r="CI216" s="352">
        <f>CI188-CI201</f>
        <v>98.917235379562499</v>
      </c>
      <c r="CJ216" s="352">
        <f>CJ188-CJ201</f>
        <v>96.155666835468793</v>
      </c>
      <c r="CK216" s="352">
        <f>CK188-CK201</f>
        <v>92.211918610624991</v>
      </c>
      <c r="CL216" s="352">
        <f>CL188-CL201</f>
        <v>99.814023773789046</v>
      </c>
      <c r="CM216" s="352">
        <f>CI216+CJ216+CK216+CL216</f>
        <v>387.09884459944533</v>
      </c>
      <c r="CO216" s="352">
        <f>CO188-CO201</f>
        <v>106.03004855975999</v>
      </c>
      <c r="CP216" s="352">
        <f>CP188-CP201</f>
        <v>101.92583308964063</v>
      </c>
      <c r="CQ216" s="352">
        <f>CQ188-CQ201</f>
        <v>101.56833607134499</v>
      </c>
      <c r="CR216" s="352">
        <f>CR188-CR201</f>
        <v>108.25872219161997</v>
      </c>
      <c r="CS216" s="352">
        <f>CO216+CP216+CQ216+CR216</f>
        <v>417.78293991236558</v>
      </c>
      <c r="CU216" s="352">
        <f>CU188-CU201</f>
        <v>115.93373544980659</v>
      </c>
      <c r="CV216" s="352">
        <f>CV188-CV201</f>
        <v>114.20578321545656</v>
      </c>
      <c r="CW216" s="352">
        <f>CW188-CW201</f>
        <v>115.20280860704685</v>
      </c>
      <c r="CX216" s="352">
        <f>CX188-CX201</f>
        <v>123.58322117313044</v>
      </c>
      <c r="CY216" s="352">
        <f>CU216+CV216+CW216+CX216</f>
        <v>468.92554844544043</v>
      </c>
      <c r="DA216" s="352">
        <f>DA188-DA201</f>
        <v>132.79087819103384</v>
      </c>
      <c r="DB216" s="352">
        <f>DB188-DB201</f>
        <v>135.01128197149097</v>
      </c>
      <c r="DC216" s="352">
        <f>DC188-DC201</f>
        <v>136.20356804429025</v>
      </c>
      <c r="DD216" s="352">
        <f>DD188-DD201</f>
        <v>138.1819200168635</v>
      </c>
      <c r="DE216" s="352">
        <f>DA216+DB216+DC216+DD216</f>
        <v>542.18764822367859</v>
      </c>
      <c r="DG216" s="352">
        <f>DG188-DG201</f>
        <v>143.76013464436417</v>
      </c>
      <c r="DH216" s="352">
        <f>DH188-DH201</f>
        <v>143.29309494989141</v>
      </c>
      <c r="DI216" s="352">
        <f>DI188-DI201</f>
        <v>144.56164195363374</v>
      </c>
      <c r="DJ216" s="352">
        <f>DJ188-DJ201</f>
        <v>146.61894066367788</v>
      </c>
      <c r="DK216" s="352">
        <f>DG216+DH216+DI216+DJ216</f>
        <v>578.23381221156717</v>
      </c>
    </row>
    <row r="217" spans="1:115" x14ac:dyDescent="0.3">
      <c r="B217" s="1" t="s">
        <v>588</v>
      </c>
      <c r="BE217" s="2" t="s">
        <v>35</v>
      </c>
      <c r="BF217" s="2" t="s">
        <v>35</v>
      </c>
      <c r="BG217" s="2" t="s">
        <v>35</v>
      </c>
      <c r="BH217" s="2" t="s">
        <v>35</v>
      </c>
      <c r="BI217" s="2" t="s">
        <v>35</v>
      </c>
      <c r="BK217" s="36">
        <f>BK216/BE216-1</f>
        <v>-8.333333333333337E-2</v>
      </c>
      <c r="BL217" s="36">
        <f>BL216/BF216-1</f>
        <v>-0.24409448818897639</v>
      </c>
      <c r="BM217" s="36">
        <f>BM216/BG216-1</f>
        <v>-0.20338983050847459</v>
      </c>
      <c r="BN217" s="36">
        <f>BN216/BH216-1</f>
        <v>1.0416666666666741E-2</v>
      </c>
      <c r="BO217" s="36">
        <f>BO216/BI216-1</f>
        <v>-0.14187643020594964</v>
      </c>
      <c r="BQ217" s="36">
        <f>BQ216/BK216-1</f>
        <v>-9.4068181818180996E-3</v>
      </c>
      <c r="BR217" s="36">
        <f>BR216/BL216-1</f>
        <v>-0.14148437499999977</v>
      </c>
      <c r="BS217" s="36">
        <f>BS216/BM216-1</f>
        <v>-0.16158936170212768</v>
      </c>
      <c r="BT217" s="36">
        <f>BT216/BN216-1</f>
        <v>-0.21854020618556724</v>
      </c>
      <c r="BU217" s="36">
        <f>BU216/BO216-1</f>
        <v>-0.13546159999999996</v>
      </c>
      <c r="BW217" s="36">
        <f>BW216/BQ216-1</f>
        <v>3.9545462888395111E-3</v>
      </c>
      <c r="BX217" s="36">
        <f>BX216/BR216-1</f>
        <v>3.0331695331695219E-2</v>
      </c>
      <c r="BY217" s="36">
        <f>BY216/BS216-1</f>
        <v>2.9632568461602782E-2</v>
      </c>
      <c r="BZ217" s="36">
        <f>BZ216/BT216-1</f>
        <v>4.4066517065588506E-4</v>
      </c>
      <c r="CA217" s="36">
        <f>CA216/BU216-1</f>
        <v>1.6080573941731791E-2</v>
      </c>
      <c r="CC217" s="36">
        <f>CC216/BW216-1</f>
        <v>5.8539202413603775E-2</v>
      </c>
      <c r="CD217" s="36">
        <f>CD216/BX216-1</f>
        <v>3.2626178921890014E-2</v>
      </c>
      <c r="CE217" s="36">
        <f>CE216/BY216-1</f>
        <v>6.1490960708389331E-2</v>
      </c>
      <c r="CF217" s="36">
        <f>CF216/BZ216-1</f>
        <v>0.18657923589951708</v>
      </c>
      <c r="CG217" s="36">
        <f>CG216/CA216-1</f>
        <v>8.2062624387716054E-2</v>
      </c>
      <c r="CI217" s="36">
        <f>CI216/CC216-1</f>
        <v>6.7758324622668509E-2</v>
      </c>
      <c r="CJ217" s="36">
        <f>CJ216/CD216-1</f>
        <v>9.656721266850532E-2</v>
      </c>
      <c r="CK217" s="36">
        <f>CK216/CE216-1</f>
        <v>7.0542351082384824E-2</v>
      </c>
      <c r="CL217" s="36">
        <f>CL216/CF216-1</f>
        <v>0.10923894789200483</v>
      </c>
      <c r="CM217" s="36">
        <f>CM216/CG216-1</f>
        <v>8.5989871206745283E-2</v>
      </c>
      <c r="CO217" s="36">
        <f>CO216/CI216-1</f>
        <v>7.1906712241849524E-2</v>
      </c>
      <c r="CP217" s="36">
        <f>CP216/CJ216-1</f>
        <v>6.0008592775349756E-2</v>
      </c>
      <c r="CQ217" s="36">
        <f>CQ216/CK216-1</f>
        <v>0.10146646552522665</v>
      </c>
      <c r="CR217" s="36">
        <f>CR216/CL216-1</f>
        <v>8.4604328114948446E-2</v>
      </c>
      <c r="CS217" s="36">
        <f>CS216/CM216-1</f>
        <v>7.9266822262595404E-2</v>
      </c>
      <c r="CU217" s="36">
        <f>CU216/CO216-1</f>
        <v>9.3404530362586335E-2</v>
      </c>
      <c r="CV217" s="36">
        <f>CV216/CP216-1</f>
        <v>0.12047927157991523</v>
      </c>
      <c r="CW217" s="36">
        <f>CW216/CQ216-1</f>
        <v>0.13423940041830118</v>
      </c>
      <c r="CX217" s="36">
        <f>CX216/CR216-1</f>
        <v>0.14155440477475634</v>
      </c>
      <c r="CY217" s="36">
        <f>CY216/CS216-1</f>
        <v>0.1224143057248881</v>
      </c>
      <c r="DA217" s="36">
        <f>DA216/CU216-1</f>
        <v>0.1454032570918542</v>
      </c>
      <c r="DB217" s="36">
        <f>DB216/CV216-1</f>
        <v>0.18217552710779539</v>
      </c>
      <c r="DC217" s="36">
        <f>DC216/CW216-1</f>
        <v>0.18229381463151939</v>
      </c>
      <c r="DD217" s="36">
        <f>DD216/CX216-1</f>
        <v>0.11812848625527761</v>
      </c>
      <c r="DE217" s="36">
        <f>DE216/CY216-1</f>
        <v>0.15623396938194811</v>
      </c>
      <c r="DG217" s="36">
        <f>DG216/DA216-1</f>
        <v>8.2605496723576755E-2</v>
      </c>
      <c r="DH217" s="36">
        <f>DH216/DB216-1</f>
        <v>6.1341636472641126E-2</v>
      </c>
      <c r="DI217" s="36">
        <f>DI216/DC216-1</f>
        <v>6.1364573846006909E-2</v>
      </c>
      <c r="DJ217" s="36">
        <f>DJ216/DD216-1</f>
        <v>6.1057341262769738E-2</v>
      </c>
      <c r="DK217" s="36">
        <f>DK216/DE216-1</f>
        <v>6.6482820303973122E-2</v>
      </c>
    </row>
    <row r="218" spans="1:115" x14ac:dyDescent="0.3">
      <c r="DA218" s="2"/>
      <c r="DB218" s="2"/>
      <c r="DC218" s="2"/>
      <c r="DD218" s="2"/>
      <c r="DE218" s="2"/>
      <c r="DG218" s="2"/>
      <c r="DH218" s="2"/>
      <c r="DI218" s="2"/>
      <c r="DJ218" s="2"/>
      <c r="DK218" s="2"/>
    </row>
    <row r="219" spans="1:115" x14ac:dyDescent="0.3">
      <c r="B219" s="13" t="s">
        <v>80</v>
      </c>
      <c r="BE219" s="352">
        <f>BE213+BE216</f>
        <v>130</v>
      </c>
      <c r="BF219" s="352">
        <f>BF213+BF216</f>
        <v>216</v>
      </c>
      <c r="BG219" s="352">
        <f>BG213+BG216</f>
        <v>182</v>
      </c>
      <c r="BH219" s="352">
        <f>BH213+BH216</f>
        <v>144</v>
      </c>
      <c r="BI219" s="352">
        <f>BE219+BF219+BG219+BH219</f>
        <v>672</v>
      </c>
      <c r="BK219" s="352">
        <f>BK213+BK216</f>
        <v>157</v>
      </c>
      <c r="BL219" s="352">
        <f>BL213+BL216</f>
        <v>179</v>
      </c>
      <c r="BM219" s="352">
        <f>BM213+BM216</f>
        <v>144</v>
      </c>
      <c r="BN219" s="352">
        <f>BN213+BN216</f>
        <v>144</v>
      </c>
      <c r="BO219" s="352">
        <f>BK219+BL219+BM219+BN219</f>
        <v>624</v>
      </c>
      <c r="BQ219" s="352">
        <f>BQ213+BQ216</f>
        <v>144.14787404956985</v>
      </c>
      <c r="BR219" s="352">
        <f>BR213+BR216</f>
        <v>160.68734612279025</v>
      </c>
      <c r="BS219" s="352">
        <f>BS213+BS216</f>
        <v>133.51899483671787</v>
      </c>
      <c r="BT219" s="352">
        <f>BT213+BT216</f>
        <v>116.92321570268601</v>
      </c>
      <c r="BU219" s="352">
        <f>BQ219+BR219+BS219+BT219</f>
        <v>555.27743071176394</v>
      </c>
      <c r="BW219" s="352">
        <f>BW213+BW216</f>
        <v>144.80289203652416</v>
      </c>
      <c r="BX219" s="352">
        <f>BX213+BX216</f>
        <v>162.04309616744308</v>
      </c>
      <c r="BY219" s="352">
        <f>BY213+BY216</f>
        <v>138.29393327028166</v>
      </c>
      <c r="BZ219" s="352">
        <f>BZ213+BZ216</f>
        <v>119.95933367780856</v>
      </c>
      <c r="CA219" s="352">
        <f>BW219+BX219+BY219+BZ219</f>
        <v>565.09925515205748</v>
      </c>
      <c r="CC219" s="352">
        <f>CC213+CC216</f>
        <v>152.04725160220431</v>
      </c>
      <c r="CD219" s="352">
        <f>CD213+CD216</f>
        <v>165.57686703181434</v>
      </c>
      <c r="CE219" s="352">
        <f>CE213+CE216</f>
        <v>147.22836053272775</v>
      </c>
      <c r="CF219" s="352">
        <f>CF213+CF216</f>
        <v>137.95058101420713</v>
      </c>
      <c r="CG219" s="352">
        <f>CC219+CD219+CE219+CF219</f>
        <v>602.80306018095359</v>
      </c>
      <c r="CI219" s="352">
        <f>CI213+CI216</f>
        <v>160.92860751264519</v>
      </c>
      <c r="CJ219" s="352">
        <f>CJ213+CJ216</f>
        <v>175.40093914767934</v>
      </c>
      <c r="CK219" s="352">
        <f>CK213+CK216</f>
        <v>156.16592530507418</v>
      </c>
      <c r="CL219" s="352">
        <f>CL213+CL216</f>
        <v>148.94025081823054</v>
      </c>
      <c r="CM219" s="352">
        <f>CI219+CJ219+CK219+CL219</f>
        <v>641.43572278362922</v>
      </c>
      <c r="CO219" s="352">
        <f>CO213+CO216</f>
        <v>169.32883983727044</v>
      </c>
      <c r="CP219" s="352">
        <f>CP213+CP216</f>
        <v>182.89652832616486</v>
      </c>
      <c r="CQ219" s="352">
        <f>CQ213+CQ216</f>
        <v>167.11124329650764</v>
      </c>
      <c r="CR219" s="352">
        <f>CR213+CR216</f>
        <v>158.80222795838904</v>
      </c>
      <c r="CS219" s="352">
        <f>CO219+CP219+CQ219+CR219</f>
        <v>678.13883941833194</v>
      </c>
      <c r="CU219" s="352">
        <f>CU213+CU216</f>
        <v>180.64272995570656</v>
      </c>
      <c r="CV219" s="352">
        <f>CV213+CV216</f>
        <v>197.03525966330602</v>
      </c>
      <c r="CW219" s="352">
        <f>CW213+CW216</f>
        <v>182.44224578121793</v>
      </c>
      <c r="CX219" s="352">
        <f>CX213+CX216</f>
        <v>179.12665657892788</v>
      </c>
      <c r="CY219" s="352">
        <f>CU219+CV219+CW219+CX219</f>
        <v>739.24689197915836</v>
      </c>
      <c r="DA219" s="352">
        <f>DA213+DA216</f>
        <v>198.99435695005346</v>
      </c>
      <c r="DB219" s="352">
        <f>DB213+DB216</f>
        <v>219.78376940760737</v>
      </c>
      <c r="DC219" s="352">
        <f>DC213+DC216</f>
        <v>205.20558826057402</v>
      </c>
      <c r="DD219" s="352">
        <f>DD213+DD216</f>
        <v>195.33779463209135</v>
      </c>
      <c r="DE219" s="352">
        <f>DA219+DB219+DC219+DD219</f>
        <v>819.32150925032624</v>
      </c>
      <c r="DG219" s="352">
        <f>DG213+DG216</f>
        <v>211.5045026079373</v>
      </c>
      <c r="DH219" s="352">
        <f>DH213+DH216</f>
        <v>230.04468651494824</v>
      </c>
      <c r="DI219" s="352">
        <f>DI213+DI216</f>
        <v>215.3512525861459</v>
      </c>
      <c r="DJ219" s="352">
        <f>DJ213+DJ216</f>
        <v>205.40473815764636</v>
      </c>
      <c r="DK219" s="352">
        <f>DG219+DH219+DI219+DJ219</f>
        <v>862.30517986667769</v>
      </c>
    </row>
    <row r="220" spans="1:115" x14ac:dyDescent="0.3">
      <c r="B220" s="1" t="s">
        <v>588</v>
      </c>
      <c r="BE220" s="2" t="s">
        <v>35</v>
      </c>
      <c r="BF220" s="2" t="s">
        <v>35</v>
      </c>
      <c r="BG220" s="2" t="s">
        <v>35</v>
      </c>
      <c r="BH220" s="2" t="s">
        <v>35</v>
      </c>
      <c r="BI220" s="2" t="s">
        <v>35</v>
      </c>
      <c r="BK220" s="36">
        <f>BK219/BE219-1</f>
        <v>0.20769230769230762</v>
      </c>
      <c r="BL220" s="36">
        <f>BL219/BF219-1</f>
        <v>-0.17129629629629628</v>
      </c>
      <c r="BM220" s="36">
        <f>BM219/BG219-1</f>
        <v>-0.20879120879120883</v>
      </c>
      <c r="BN220" s="36">
        <f>BN219/BH219-1</f>
        <v>0</v>
      </c>
      <c r="BO220" s="36">
        <f>BO219/BI219-1</f>
        <v>-7.1428571428571397E-2</v>
      </c>
      <c r="BQ220" s="36">
        <f>BQ219/BK219-1</f>
        <v>-8.1860674843504122E-2</v>
      </c>
      <c r="BR220" s="36">
        <f>BR219/BL219-1</f>
        <v>-0.10230532892295952</v>
      </c>
      <c r="BS220" s="36">
        <f>BS219/BM219-1</f>
        <v>-7.2784758078348166E-2</v>
      </c>
      <c r="BT220" s="36">
        <f>BT219/BN219-1</f>
        <v>-0.18803322428690272</v>
      </c>
      <c r="BU220" s="36">
        <f>BU219/BO219-1</f>
        <v>-0.11013232257730132</v>
      </c>
      <c r="BW220" s="36">
        <f>BW219/BQ219-1</f>
        <v>4.544069701153175E-3</v>
      </c>
      <c r="BX220" s="36">
        <f>BX219/BR219-1</f>
        <v>8.4371923325987641E-3</v>
      </c>
      <c r="BY220" s="36">
        <f>BY219/BS219-1</f>
        <v>3.5762240716409766E-2</v>
      </c>
      <c r="BZ220" s="36">
        <f>BZ219/BT219-1</f>
        <v>2.596676765068473E-2</v>
      </c>
      <c r="CA220" s="36">
        <f>CA219/BU219-1</f>
        <v>1.7688139112197909E-2</v>
      </c>
      <c r="CC220" s="36">
        <f>CC219/BW219-1</f>
        <v>5.0029108285025714E-2</v>
      </c>
      <c r="CD220" s="36">
        <f>CD219/BX219-1</f>
        <v>2.1807599015015944E-2</v>
      </c>
      <c r="CE220" s="36">
        <f>CE219/BY219-1</f>
        <v>6.4604621845447463E-2</v>
      </c>
      <c r="CF220" s="36">
        <f>CF219/BZ219-1</f>
        <v>0.14997788654545352</v>
      </c>
      <c r="CG220" s="36">
        <f>CG219/CA219-1</f>
        <v>6.6720677270669437E-2</v>
      </c>
      <c r="CI220" s="36">
        <f>CI219/CC219-1</f>
        <v>5.841181485921787E-2</v>
      </c>
      <c r="CJ220" s="36">
        <f>CJ219/CD219-1</f>
        <v>5.933239523113687E-2</v>
      </c>
      <c r="CK220" s="36">
        <f>CK219/CE219-1</f>
        <v>6.0705456068429697E-2</v>
      </c>
      <c r="CL220" s="36">
        <f>CL219/CF219-1</f>
        <v>7.9663816732251425E-2</v>
      </c>
      <c r="CM220" s="36">
        <f>CM219/CG219-1</f>
        <v>6.4088365097348055E-2</v>
      </c>
      <c r="CO220" s="36">
        <f>CO219/CI219-1</f>
        <v>5.2198502518983059E-2</v>
      </c>
      <c r="CP220" s="36">
        <f>CP219/CJ219-1</f>
        <v>4.2734031042870102E-2</v>
      </c>
      <c r="CQ220" s="36">
        <f>CQ219/CK219-1</f>
        <v>7.0087747823678548E-2</v>
      </c>
      <c r="CR220" s="36">
        <f>CR219/CL219-1</f>
        <v>6.6214318063652522E-2</v>
      </c>
      <c r="CS220" s="36">
        <f>CS219/CM219-1</f>
        <v>5.7220256576017814E-2</v>
      </c>
      <c r="CU220" s="36">
        <f>CU219/CO219-1</f>
        <v>6.6816084781003982E-2</v>
      </c>
      <c r="CV220" s="36">
        <f>CV219/CP219-1</f>
        <v>7.7304536431261006E-2</v>
      </c>
      <c r="CW220" s="36">
        <f>CW219/CQ219-1</f>
        <v>9.1741298683944983E-2</v>
      </c>
      <c r="CX220" s="36">
        <f>CX219/CR219-1</f>
        <v>0.12798579013554168</v>
      </c>
      <c r="CY220" s="36">
        <f>CY219/CS219-1</f>
        <v>9.0111418206397564E-2</v>
      </c>
      <c r="DA220" s="36">
        <f>DA219/CU219-1</f>
        <v>0.10159073104600824</v>
      </c>
      <c r="DB220" s="36">
        <f>DB219/CV219-1</f>
        <v>0.11545400444150977</v>
      </c>
      <c r="DC220" s="36">
        <f>DC219/CW219-1</f>
        <v>0.12477012866117398</v>
      </c>
      <c r="DD220" s="36">
        <f>DD219/CX219-1</f>
        <v>9.0500980494884642E-2</v>
      </c>
      <c r="DE220" s="36">
        <f>DE219/CY219-1</f>
        <v>0.10831918015480202</v>
      </c>
      <c r="DG220" s="36">
        <f>DG219/DA219-1</f>
        <v>6.2866836274275917E-2</v>
      </c>
      <c r="DH220" s="36">
        <f>DH219/DB219-1</f>
        <v>4.6686418815172548E-2</v>
      </c>
      <c r="DI220" s="36">
        <f>DI219/DC219-1</f>
        <v>4.9441462153012816E-2</v>
      </c>
      <c r="DJ220" s="36">
        <f>DJ219/DD219-1</f>
        <v>5.1536076490039218E-2</v>
      </c>
      <c r="DK220" s="36">
        <f>DK219/DE219-1</f>
        <v>5.2462519451834222E-2</v>
      </c>
    </row>
  </sheetData>
  <mergeCells count="109">
    <mergeCell ref="DA123:DE123"/>
    <mergeCell ref="DG2:DK2"/>
    <mergeCell ref="DG28:DK28"/>
    <mergeCell ref="DG52:DK52"/>
    <mergeCell ref="DG77:DK77"/>
    <mergeCell ref="DG101:DK101"/>
    <mergeCell ref="DG123:DK123"/>
    <mergeCell ref="DA2:DE2"/>
    <mergeCell ref="DA28:DE28"/>
    <mergeCell ref="DA52:DE52"/>
    <mergeCell ref="DA77:DE77"/>
    <mergeCell ref="DA101:DE101"/>
    <mergeCell ref="CU123:CY123"/>
    <mergeCell ref="CU2:CY2"/>
    <mergeCell ref="CU28:CY28"/>
    <mergeCell ref="CU52:CY52"/>
    <mergeCell ref="CU77:CY77"/>
    <mergeCell ref="CU101:CY101"/>
    <mergeCell ref="CI123:CM123"/>
    <mergeCell ref="CO2:CS2"/>
    <mergeCell ref="CO28:CS28"/>
    <mergeCell ref="CO52:CS52"/>
    <mergeCell ref="CO77:CS77"/>
    <mergeCell ref="CO101:CS101"/>
    <mergeCell ref="CO123:CS123"/>
    <mergeCell ref="CI2:CM2"/>
    <mergeCell ref="CI28:CM28"/>
    <mergeCell ref="CI52:CM52"/>
    <mergeCell ref="CI77:CM77"/>
    <mergeCell ref="CI101:CM101"/>
    <mergeCell ref="BW123:CA123"/>
    <mergeCell ref="CC2:CG2"/>
    <mergeCell ref="CC28:CG28"/>
    <mergeCell ref="CC52:CG52"/>
    <mergeCell ref="CC77:CG77"/>
    <mergeCell ref="CC101:CG101"/>
    <mergeCell ref="CC123:CG123"/>
    <mergeCell ref="BW2:CA2"/>
    <mergeCell ref="BW28:CA28"/>
    <mergeCell ref="BW52:CA52"/>
    <mergeCell ref="BW77:CA77"/>
    <mergeCell ref="BW101:CA101"/>
    <mergeCell ref="BQ52:BU52"/>
    <mergeCell ref="BE28:BI28"/>
    <mergeCell ref="BK28:BO28"/>
    <mergeCell ref="BQ28:BU28"/>
    <mergeCell ref="BQ77:BU77"/>
    <mergeCell ref="AG77:AK77"/>
    <mergeCell ref="AM77:AQ77"/>
    <mergeCell ref="AS77:AW77"/>
    <mergeCell ref="AY77:BC77"/>
    <mergeCell ref="AA77:AE77"/>
    <mergeCell ref="AY2:BC2"/>
    <mergeCell ref="BE2:BI2"/>
    <mergeCell ref="BE77:BI77"/>
    <mergeCell ref="BK77:BO77"/>
    <mergeCell ref="AS52:AW52"/>
    <mergeCell ref="AG28:AK28"/>
    <mergeCell ref="AM28:AQ28"/>
    <mergeCell ref="AS28:AW28"/>
    <mergeCell ref="AY28:BC28"/>
    <mergeCell ref="AA28:AE28"/>
    <mergeCell ref="AA52:AE52"/>
    <mergeCell ref="AG52:AK52"/>
    <mergeCell ref="AM52:AQ52"/>
    <mergeCell ref="AY52:BC52"/>
    <mergeCell ref="BE52:BI52"/>
    <mergeCell ref="BK2:BO2"/>
    <mergeCell ref="BK52:BO52"/>
    <mergeCell ref="BQ2:BU2"/>
    <mergeCell ref="AA2:AE2"/>
    <mergeCell ref="AG2:AK2"/>
    <mergeCell ref="AM2:AQ2"/>
    <mergeCell ref="AS2:AW2"/>
    <mergeCell ref="C2:G2"/>
    <mergeCell ref="I2:M2"/>
    <mergeCell ref="O2:S2"/>
    <mergeCell ref="U2:Y2"/>
    <mergeCell ref="I77:M77"/>
    <mergeCell ref="O77:S77"/>
    <mergeCell ref="U77:Y77"/>
    <mergeCell ref="I28:M28"/>
    <mergeCell ref="O28:S28"/>
    <mergeCell ref="U28:Y28"/>
    <mergeCell ref="I52:M52"/>
    <mergeCell ref="O52:S52"/>
    <mergeCell ref="U52:Y52"/>
    <mergeCell ref="AA123:AE123"/>
    <mergeCell ref="AG123:AK123"/>
    <mergeCell ref="AM123:AQ123"/>
    <mergeCell ref="AS123:AW123"/>
    <mergeCell ref="AY123:BC123"/>
    <mergeCell ref="I101:M101"/>
    <mergeCell ref="O101:S101"/>
    <mergeCell ref="U101:Y101"/>
    <mergeCell ref="AA101:AE101"/>
    <mergeCell ref="AG101:AK101"/>
    <mergeCell ref="I123:M123"/>
    <mergeCell ref="O123:S123"/>
    <mergeCell ref="U123:Y123"/>
    <mergeCell ref="BE101:BI101"/>
    <mergeCell ref="BK101:BO101"/>
    <mergeCell ref="BQ101:BU101"/>
    <mergeCell ref="BK123:BO123"/>
    <mergeCell ref="BQ123:BU123"/>
    <mergeCell ref="BE123:BI123"/>
    <mergeCell ref="AM101:AQ101"/>
    <mergeCell ref="AS101:AW101"/>
    <mergeCell ref="AY101:BC101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K215"/>
  <sheetViews>
    <sheetView zoomScale="85" zoomScaleNormal="85" workbookViewId="0">
      <pane xSplit="2" ySplit="2" topLeftCell="BJ101" activePane="bottomRight" state="frozen"/>
      <selection pane="topRight" activeCell="C1" sqref="C1"/>
      <selection pane="bottomLeft" activeCell="A3" sqref="A3"/>
      <selection pane="bottomRight" sqref="A1:XFD1048576"/>
    </sheetView>
  </sheetViews>
  <sheetFormatPr defaultRowHeight="12.75" x14ac:dyDescent="0.2"/>
  <cols>
    <col min="1" max="1" width="7.28515625" customWidth="1"/>
    <col min="2" max="2" width="32.85546875" customWidth="1"/>
    <col min="3" max="25" width="9.5703125" style="103" customWidth="1"/>
    <col min="27" max="28" width="9.5703125" bestFit="1" customWidth="1"/>
    <col min="29" max="30" width="10.5703125" customWidth="1"/>
    <col min="31" max="31" width="11" bestFit="1" customWidth="1"/>
    <col min="33" max="37" width="9.85546875" customWidth="1"/>
    <col min="39" max="43" width="9.5703125" customWidth="1"/>
    <col min="45" max="49" width="9.85546875" customWidth="1"/>
    <col min="51" max="51" width="9.5703125" customWidth="1"/>
    <col min="52" max="52" width="10.140625" customWidth="1"/>
    <col min="53" max="72" width="10" customWidth="1"/>
    <col min="73" max="73" width="9.42578125" customWidth="1"/>
    <col min="74" max="74" width="10.140625" bestFit="1" customWidth="1"/>
    <col min="75" max="81" width="9.42578125" customWidth="1"/>
    <col min="82" max="115" width="9.7109375" customWidth="1"/>
  </cols>
  <sheetData>
    <row r="1" spans="1:115" ht="13.5" thickBot="1" x14ac:dyDescent="0.25"/>
    <row r="2" spans="1:115" x14ac:dyDescent="0.2">
      <c r="B2" s="281"/>
      <c r="C2" s="712">
        <v>2007</v>
      </c>
      <c r="D2" s="713"/>
      <c r="E2" s="713"/>
      <c r="F2" s="713"/>
      <c r="G2" s="714"/>
      <c r="H2" s="129"/>
      <c r="I2" s="712">
        <v>2008</v>
      </c>
      <c r="J2" s="713"/>
      <c r="K2" s="713"/>
      <c r="L2" s="713"/>
      <c r="M2" s="714"/>
      <c r="N2" s="129"/>
      <c r="O2" s="712">
        <v>2009</v>
      </c>
      <c r="P2" s="713"/>
      <c r="Q2" s="713"/>
      <c r="R2" s="713"/>
      <c r="S2" s="714"/>
      <c r="T2" s="129"/>
      <c r="U2" s="712">
        <v>2010</v>
      </c>
      <c r="V2" s="713"/>
      <c r="W2" s="713"/>
      <c r="X2" s="713"/>
      <c r="Y2" s="714"/>
      <c r="AA2" s="712">
        <v>2011</v>
      </c>
      <c r="AB2" s="713"/>
      <c r="AC2" s="713"/>
      <c r="AD2" s="713"/>
      <c r="AE2" s="714"/>
      <c r="AG2" s="712">
        <v>2012</v>
      </c>
      <c r="AH2" s="713"/>
      <c r="AI2" s="713"/>
      <c r="AJ2" s="713"/>
      <c r="AK2" s="714"/>
      <c r="AM2" s="712">
        <v>2013</v>
      </c>
      <c r="AN2" s="713"/>
      <c r="AO2" s="713"/>
      <c r="AP2" s="713"/>
      <c r="AQ2" s="714"/>
      <c r="AS2" s="712">
        <v>2014</v>
      </c>
      <c r="AT2" s="713"/>
      <c r="AU2" s="713"/>
      <c r="AV2" s="713"/>
      <c r="AW2" s="714"/>
      <c r="AY2" s="712">
        <v>2015</v>
      </c>
      <c r="AZ2" s="713"/>
      <c r="BA2" s="713"/>
      <c r="BB2" s="713"/>
      <c r="BC2" s="714"/>
      <c r="BE2" s="712">
        <v>2016</v>
      </c>
      <c r="BF2" s="713"/>
      <c r="BG2" s="713"/>
      <c r="BH2" s="713"/>
      <c r="BI2" s="714"/>
      <c r="BK2" s="712">
        <v>2017</v>
      </c>
      <c r="BL2" s="713"/>
      <c r="BM2" s="713"/>
      <c r="BN2" s="713"/>
      <c r="BO2" s="714"/>
      <c r="BQ2" s="712">
        <v>2018</v>
      </c>
      <c r="BR2" s="713"/>
      <c r="BS2" s="713"/>
      <c r="BT2" s="713"/>
      <c r="BU2" s="714"/>
      <c r="BW2" s="712">
        <v>2019</v>
      </c>
      <c r="BX2" s="713"/>
      <c r="BY2" s="713"/>
      <c r="BZ2" s="713"/>
      <c r="CA2" s="714"/>
      <c r="CC2" s="712">
        <v>2020</v>
      </c>
      <c r="CD2" s="713"/>
      <c r="CE2" s="713"/>
      <c r="CF2" s="713"/>
      <c r="CG2" s="714"/>
      <c r="CI2" s="712">
        <v>2021</v>
      </c>
      <c r="CJ2" s="713"/>
      <c r="CK2" s="713"/>
      <c r="CL2" s="713"/>
      <c r="CM2" s="714"/>
      <c r="CO2" s="712">
        <v>2022</v>
      </c>
      <c r="CP2" s="713"/>
      <c r="CQ2" s="713"/>
      <c r="CR2" s="713"/>
      <c r="CS2" s="714"/>
      <c r="CU2" s="712">
        <v>2023</v>
      </c>
      <c r="CV2" s="713"/>
      <c r="CW2" s="713"/>
      <c r="CX2" s="713"/>
      <c r="CY2" s="714"/>
      <c r="DA2" s="712">
        <v>2024</v>
      </c>
      <c r="DB2" s="713"/>
      <c r="DC2" s="713"/>
      <c r="DD2" s="713"/>
      <c r="DE2" s="714"/>
      <c r="DG2" s="712">
        <v>2025</v>
      </c>
      <c r="DH2" s="713"/>
      <c r="DI2" s="713"/>
      <c r="DJ2" s="713"/>
      <c r="DK2" s="714"/>
    </row>
    <row r="3" spans="1:115" ht="13.5" thickBot="1" x14ac:dyDescent="0.25">
      <c r="C3" s="130" t="s">
        <v>20</v>
      </c>
      <c r="D3" s="131" t="s">
        <v>19</v>
      </c>
      <c r="E3" s="131" t="s">
        <v>22</v>
      </c>
      <c r="F3" s="131" t="s">
        <v>21</v>
      </c>
      <c r="G3" s="132" t="s">
        <v>39</v>
      </c>
      <c r="H3" s="129"/>
      <c r="I3" s="130" t="s">
        <v>20</v>
      </c>
      <c r="J3" s="131" t="s">
        <v>19</v>
      </c>
      <c r="K3" s="131" t="s">
        <v>22</v>
      </c>
      <c r="L3" s="131" t="s">
        <v>21</v>
      </c>
      <c r="M3" s="132" t="s">
        <v>39</v>
      </c>
      <c r="N3" s="129"/>
      <c r="O3" s="130" t="s">
        <v>20</v>
      </c>
      <c r="P3" s="131" t="s">
        <v>19</v>
      </c>
      <c r="Q3" s="131" t="s">
        <v>22</v>
      </c>
      <c r="R3" s="131" t="s">
        <v>21</v>
      </c>
      <c r="S3" s="132" t="s">
        <v>39</v>
      </c>
      <c r="T3" s="129"/>
      <c r="U3" s="130" t="s">
        <v>20</v>
      </c>
      <c r="V3" s="131" t="s">
        <v>19</v>
      </c>
      <c r="W3" s="131" t="s">
        <v>22</v>
      </c>
      <c r="X3" s="131" t="s">
        <v>21</v>
      </c>
      <c r="Y3" s="132" t="s">
        <v>39</v>
      </c>
      <c r="AA3" s="130" t="s">
        <v>20</v>
      </c>
      <c r="AB3" s="131" t="s">
        <v>19</v>
      </c>
      <c r="AC3" s="131" t="s">
        <v>22</v>
      </c>
      <c r="AD3" s="131" t="s">
        <v>21</v>
      </c>
      <c r="AE3" s="132" t="s">
        <v>39</v>
      </c>
      <c r="AG3" s="130" t="s">
        <v>20</v>
      </c>
      <c r="AH3" s="131" t="s">
        <v>19</v>
      </c>
      <c r="AI3" s="131" t="s">
        <v>22</v>
      </c>
      <c r="AJ3" s="131" t="s">
        <v>21</v>
      </c>
      <c r="AK3" s="132" t="s">
        <v>39</v>
      </c>
      <c r="AM3" s="130" t="s">
        <v>20</v>
      </c>
      <c r="AN3" s="131" t="s">
        <v>19</v>
      </c>
      <c r="AO3" s="131" t="s">
        <v>22</v>
      </c>
      <c r="AP3" s="131" t="s">
        <v>21</v>
      </c>
      <c r="AQ3" s="132" t="s">
        <v>39</v>
      </c>
      <c r="AS3" s="130" t="s">
        <v>20</v>
      </c>
      <c r="AT3" s="131" t="s">
        <v>19</v>
      </c>
      <c r="AU3" s="131" t="s">
        <v>22</v>
      </c>
      <c r="AV3" s="131" t="s">
        <v>21</v>
      </c>
      <c r="AW3" s="132" t="s">
        <v>39</v>
      </c>
      <c r="AY3" s="130" t="s">
        <v>20</v>
      </c>
      <c r="AZ3" s="131" t="s">
        <v>19</v>
      </c>
      <c r="BA3" s="131" t="s">
        <v>22</v>
      </c>
      <c r="BB3" s="131" t="s">
        <v>21</v>
      </c>
      <c r="BC3" s="132" t="s">
        <v>39</v>
      </c>
      <c r="BE3" s="130" t="s">
        <v>20</v>
      </c>
      <c r="BF3" s="131" t="s">
        <v>19</v>
      </c>
      <c r="BG3" s="131" t="s">
        <v>22</v>
      </c>
      <c r="BH3" s="131" t="s">
        <v>21</v>
      </c>
      <c r="BI3" s="132" t="s">
        <v>39</v>
      </c>
      <c r="BK3" s="130" t="s">
        <v>20</v>
      </c>
      <c r="BL3" s="131" t="s">
        <v>19</v>
      </c>
      <c r="BM3" s="131" t="s">
        <v>22</v>
      </c>
      <c r="BN3" s="131" t="s">
        <v>21</v>
      </c>
      <c r="BO3" s="132" t="s">
        <v>39</v>
      </c>
      <c r="BQ3" s="130" t="s">
        <v>20</v>
      </c>
      <c r="BR3" s="131" t="s">
        <v>19</v>
      </c>
      <c r="BS3" s="131" t="s">
        <v>22</v>
      </c>
      <c r="BT3" s="131" t="s">
        <v>21</v>
      </c>
      <c r="BU3" s="132" t="s">
        <v>39</v>
      </c>
      <c r="BW3" s="130" t="s">
        <v>20</v>
      </c>
      <c r="BX3" s="131" t="s">
        <v>19</v>
      </c>
      <c r="BY3" s="131" t="s">
        <v>22</v>
      </c>
      <c r="BZ3" s="131" t="s">
        <v>21</v>
      </c>
      <c r="CA3" s="132" t="s">
        <v>39</v>
      </c>
      <c r="CC3" s="130" t="s">
        <v>20</v>
      </c>
      <c r="CD3" s="131" t="s">
        <v>19</v>
      </c>
      <c r="CE3" s="131" t="s">
        <v>22</v>
      </c>
      <c r="CF3" s="131" t="s">
        <v>21</v>
      </c>
      <c r="CG3" s="132" t="s">
        <v>39</v>
      </c>
      <c r="CI3" s="130" t="s">
        <v>20</v>
      </c>
      <c r="CJ3" s="131" t="s">
        <v>19</v>
      </c>
      <c r="CK3" s="131" t="s">
        <v>22</v>
      </c>
      <c r="CL3" s="131" t="s">
        <v>21</v>
      </c>
      <c r="CM3" s="132" t="s">
        <v>39</v>
      </c>
      <c r="CO3" s="130" t="s">
        <v>20</v>
      </c>
      <c r="CP3" s="131" t="s">
        <v>19</v>
      </c>
      <c r="CQ3" s="131" t="s">
        <v>22</v>
      </c>
      <c r="CR3" s="131" t="s">
        <v>21</v>
      </c>
      <c r="CS3" s="132" t="s">
        <v>39</v>
      </c>
      <c r="CU3" s="130" t="s">
        <v>20</v>
      </c>
      <c r="CV3" s="131" t="s">
        <v>19</v>
      </c>
      <c r="CW3" s="131" t="s">
        <v>22</v>
      </c>
      <c r="CX3" s="131" t="s">
        <v>21</v>
      </c>
      <c r="CY3" s="132" t="s">
        <v>39</v>
      </c>
      <c r="DA3" s="130" t="s">
        <v>20</v>
      </c>
      <c r="DB3" s="131" t="s">
        <v>19</v>
      </c>
      <c r="DC3" s="131" t="s">
        <v>22</v>
      </c>
      <c r="DD3" s="131" t="s">
        <v>21</v>
      </c>
      <c r="DE3" s="132" t="s">
        <v>39</v>
      </c>
      <c r="DG3" s="130" t="s">
        <v>20</v>
      </c>
      <c r="DH3" s="131" t="s">
        <v>19</v>
      </c>
      <c r="DI3" s="131" t="s">
        <v>22</v>
      </c>
      <c r="DJ3" s="131" t="s">
        <v>21</v>
      </c>
      <c r="DK3" s="132" t="s">
        <v>39</v>
      </c>
    </row>
    <row r="4" spans="1:115" s="241" customFormat="1" x14ac:dyDescent="0.2">
      <c r="B4" s="362" t="s">
        <v>194</v>
      </c>
      <c r="C4" s="363">
        <f>C6+587</f>
        <v>33192</v>
      </c>
      <c r="D4" s="364">
        <f>C6</f>
        <v>32605</v>
      </c>
      <c r="E4" s="364">
        <f>D6</f>
        <v>32089</v>
      </c>
      <c r="F4" s="364">
        <f>E6</f>
        <v>31592</v>
      </c>
      <c r="G4" s="369">
        <f>C4</f>
        <v>33192</v>
      </c>
      <c r="H4" s="358"/>
      <c r="I4" s="363">
        <f>G6</f>
        <v>31055</v>
      </c>
      <c r="J4" s="364">
        <f>I6</f>
        <v>30473</v>
      </c>
      <c r="K4" s="364">
        <f>J6</f>
        <v>29820</v>
      </c>
      <c r="L4" s="365">
        <f>K6</f>
        <v>29246</v>
      </c>
      <c r="M4" s="369">
        <f>I4</f>
        <v>31055</v>
      </c>
      <c r="N4" s="358"/>
      <c r="O4" s="363">
        <f>M6</f>
        <v>28301</v>
      </c>
      <c r="P4" s="364">
        <f>O6</f>
        <v>27699</v>
      </c>
      <c r="Q4" s="364">
        <f>P6</f>
        <v>27226</v>
      </c>
      <c r="R4" s="365">
        <f>Q6</f>
        <v>26653</v>
      </c>
      <c r="S4" s="369">
        <f>O4</f>
        <v>28301</v>
      </c>
      <c r="T4" s="358"/>
      <c r="U4" s="363">
        <f>S6</f>
        <v>26236</v>
      </c>
      <c r="V4" s="364">
        <f>U6</f>
        <v>25864</v>
      </c>
      <c r="W4" s="199">
        <f>V6</f>
        <v>25549</v>
      </c>
      <c r="X4" s="200">
        <f>W6</f>
        <v>25024</v>
      </c>
      <c r="Y4" s="201">
        <f>U4</f>
        <v>26236</v>
      </c>
      <c r="AA4" s="111">
        <f>Y6</f>
        <v>24650</v>
      </c>
      <c r="AB4" s="112">
        <f>AA6</f>
        <v>24312</v>
      </c>
      <c r="AC4" s="112">
        <f>AB6</f>
        <v>24017</v>
      </c>
      <c r="AD4" s="115">
        <f>AC6</f>
        <v>23694</v>
      </c>
      <c r="AE4" s="113">
        <f>AA4</f>
        <v>24650</v>
      </c>
      <c r="AG4" s="111">
        <f>AE6</f>
        <v>23399</v>
      </c>
      <c r="AH4" s="112">
        <f>AG6</f>
        <v>23140</v>
      </c>
      <c r="AI4" s="112">
        <f>AH6</f>
        <v>22904</v>
      </c>
      <c r="AJ4" s="115">
        <f>AI6</f>
        <v>22620</v>
      </c>
      <c r="AK4" s="113">
        <f>AG4</f>
        <v>23399</v>
      </c>
      <c r="AM4" s="111">
        <f>AK6</f>
        <v>22384</v>
      </c>
      <c r="AN4" s="112">
        <f>AM6</f>
        <v>22113</v>
      </c>
      <c r="AO4" s="112">
        <f>AN6</f>
        <v>21880</v>
      </c>
      <c r="AP4" s="115">
        <f>AO6</f>
        <v>21625</v>
      </c>
      <c r="AQ4" s="113">
        <f>AM4</f>
        <v>22384</v>
      </c>
      <c r="AS4" s="111">
        <f>AQ6</f>
        <v>21417</v>
      </c>
      <c r="AT4" s="112">
        <f>AS6</f>
        <v>21202</v>
      </c>
      <c r="AU4" s="112">
        <f>AT6</f>
        <v>21034</v>
      </c>
      <c r="AV4" s="115">
        <f>AU6</f>
        <v>20841</v>
      </c>
      <c r="AW4" s="113">
        <f>AS4</f>
        <v>21417</v>
      </c>
      <c r="AY4" s="111">
        <f>AW6</f>
        <v>20686</v>
      </c>
      <c r="AZ4" s="112">
        <f>AY6</f>
        <v>20555</v>
      </c>
      <c r="BA4" s="112">
        <f>AZ6</f>
        <v>20437</v>
      </c>
      <c r="BB4" s="115">
        <f>BA6</f>
        <v>20354</v>
      </c>
      <c r="BC4" s="113">
        <f>AY4</f>
        <v>20686</v>
      </c>
      <c r="BE4" s="111">
        <f>BC6</f>
        <v>20227</v>
      </c>
      <c r="BF4" s="112">
        <f>BE6</f>
        <v>20093</v>
      </c>
      <c r="BG4" s="112">
        <f>BF6</f>
        <v>19971</v>
      </c>
      <c r="BH4" s="115">
        <f>BG6</f>
        <v>19873</v>
      </c>
      <c r="BI4" s="113">
        <f>BE4</f>
        <v>20227</v>
      </c>
      <c r="BK4" s="111">
        <f>BI6</f>
        <v>19786</v>
      </c>
      <c r="BL4" s="112">
        <f>BK6</f>
        <v>19648</v>
      </c>
      <c r="BM4" s="112">
        <f>BL6</f>
        <v>19473</v>
      </c>
      <c r="BN4" s="115">
        <f>BM6</f>
        <v>19352</v>
      </c>
      <c r="BO4" s="113">
        <f>BK4</f>
        <v>19786</v>
      </c>
      <c r="BQ4" s="111">
        <f>BO6</f>
        <v>19229</v>
      </c>
      <c r="BR4" s="112">
        <f>BQ6</f>
        <v>19096</v>
      </c>
      <c r="BS4" s="112">
        <f>BR6</f>
        <v>18946</v>
      </c>
      <c r="BT4" s="115">
        <f>BS6</f>
        <v>18846</v>
      </c>
      <c r="BU4" s="113">
        <f>BQ4</f>
        <v>19229</v>
      </c>
      <c r="BW4" s="111">
        <f>BU6</f>
        <v>18746</v>
      </c>
      <c r="BX4" s="112">
        <f>BW6</f>
        <v>18628</v>
      </c>
      <c r="BY4" s="112">
        <f>BX6</f>
        <v>18503</v>
      </c>
      <c r="BZ4" s="115">
        <f>BY6</f>
        <v>18408</v>
      </c>
      <c r="CA4" s="113">
        <f>BW4</f>
        <v>18746</v>
      </c>
      <c r="CC4" s="111">
        <f>CA6</f>
        <v>18313</v>
      </c>
      <c r="CD4" s="112">
        <f>CC6</f>
        <v>18200</v>
      </c>
      <c r="CE4" s="112">
        <f>CD6</f>
        <v>18090</v>
      </c>
      <c r="CF4" s="115">
        <f>CE6</f>
        <v>18015</v>
      </c>
      <c r="CG4" s="113">
        <f>CC4</f>
        <v>18313</v>
      </c>
      <c r="CI4" s="111">
        <f>CG6</f>
        <v>17925</v>
      </c>
      <c r="CJ4" s="112">
        <f>CI6</f>
        <v>17817</v>
      </c>
      <c r="CK4" s="112">
        <f>CJ6</f>
        <v>17712</v>
      </c>
      <c r="CL4" s="115">
        <f>CK6</f>
        <v>17637</v>
      </c>
      <c r="CM4" s="113">
        <f>CI4</f>
        <v>17925</v>
      </c>
      <c r="CO4" s="111">
        <f>CM6</f>
        <v>17552</v>
      </c>
      <c r="CP4" s="112">
        <f>CO6</f>
        <v>17449</v>
      </c>
      <c r="CQ4" s="112">
        <f>CP6</f>
        <v>17349</v>
      </c>
      <c r="CR4" s="115">
        <f>CQ6</f>
        <v>17274</v>
      </c>
      <c r="CS4" s="113">
        <f>CO4</f>
        <v>17552</v>
      </c>
      <c r="CU4" s="111">
        <f>CS6</f>
        <v>17194</v>
      </c>
      <c r="CV4" s="112">
        <f>CU6</f>
        <v>17096</v>
      </c>
      <c r="CW4" s="112">
        <f>CV6</f>
        <v>17001</v>
      </c>
      <c r="CX4" s="115">
        <f>CW6</f>
        <v>16926</v>
      </c>
      <c r="CY4" s="113">
        <f>CU4</f>
        <v>17194</v>
      </c>
      <c r="DA4" s="111">
        <f>CY6</f>
        <v>16851</v>
      </c>
      <c r="DB4" s="112">
        <f>DA6</f>
        <v>16758</v>
      </c>
      <c r="DC4" s="112">
        <f>DB6</f>
        <v>16668</v>
      </c>
      <c r="DD4" s="115">
        <f>DC6</f>
        <v>16593</v>
      </c>
      <c r="DE4" s="113">
        <f>DA4</f>
        <v>16851</v>
      </c>
      <c r="DG4" s="111">
        <f>DE6</f>
        <v>16523</v>
      </c>
      <c r="DH4" s="112">
        <f>DG6</f>
        <v>16435</v>
      </c>
      <c r="DI4" s="112">
        <f>DH6</f>
        <v>16350</v>
      </c>
      <c r="DJ4" s="115">
        <f>DI6</f>
        <v>16275</v>
      </c>
      <c r="DK4" s="113">
        <f>DG4</f>
        <v>16523</v>
      </c>
    </row>
    <row r="5" spans="1:115" s="241" customFormat="1" x14ac:dyDescent="0.2">
      <c r="B5" s="361" t="s">
        <v>195</v>
      </c>
      <c r="C5" s="238">
        <f>C6-C4</f>
        <v>-587</v>
      </c>
      <c r="D5" s="235">
        <f>D6-D4</f>
        <v>-516</v>
      </c>
      <c r="E5" s="235">
        <f>E6-E4</f>
        <v>-497</v>
      </c>
      <c r="F5" s="235">
        <f>F6-F4</f>
        <v>-537</v>
      </c>
      <c r="G5" s="213">
        <f>G6-G4</f>
        <v>-2137</v>
      </c>
      <c r="H5" s="166"/>
      <c r="I5" s="238">
        <f>I6-I4</f>
        <v>-582</v>
      </c>
      <c r="J5" s="235">
        <f>J6-J4</f>
        <v>-653</v>
      </c>
      <c r="K5" s="235">
        <f>K6-K4</f>
        <v>-574</v>
      </c>
      <c r="L5" s="236">
        <f>L6-L4</f>
        <v>-945</v>
      </c>
      <c r="M5" s="213">
        <f>M6-M4</f>
        <v>-2754</v>
      </c>
      <c r="N5" s="166"/>
      <c r="O5" s="238">
        <f>O6-O4</f>
        <v>-602</v>
      </c>
      <c r="P5" s="235">
        <f>P6-P4</f>
        <v>-473</v>
      </c>
      <c r="Q5" s="235">
        <f>Q6-Q4</f>
        <v>-573</v>
      </c>
      <c r="R5" s="236">
        <f>R6-R4</f>
        <v>-417</v>
      </c>
      <c r="S5" s="213">
        <f>S6-S4</f>
        <v>-2065</v>
      </c>
      <c r="T5" s="166"/>
      <c r="U5" s="238">
        <f>U6-U4</f>
        <v>-372</v>
      </c>
      <c r="V5" s="235">
        <f>V6-V4</f>
        <v>-315</v>
      </c>
      <c r="W5" s="235">
        <f>W6-W4</f>
        <v>-525</v>
      </c>
      <c r="X5" s="375">
        <v>-374</v>
      </c>
      <c r="Y5" s="213">
        <f>Y6-Y4</f>
        <v>-1586</v>
      </c>
      <c r="AA5" s="144">
        <v>-338</v>
      </c>
      <c r="AB5" s="107">
        <v>-295</v>
      </c>
      <c r="AC5" s="107">
        <v>-323</v>
      </c>
      <c r="AD5" s="374">
        <v>-295</v>
      </c>
      <c r="AE5" s="213">
        <f>AE6-AE4</f>
        <v>-1251</v>
      </c>
      <c r="AG5" s="144">
        <v>-259</v>
      </c>
      <c r="AH5" s="107">
        <v>-236</v>
      </c>
      <c r="AI5" s="107">
        <v>-284</v>
      </c>
      <c r="AJ5" s="374">
        <v>-236</v>
      </c>
      <c r="AK5" s="213">
        <f>AK6-AK4</f>
        <v>-1015</v>
      </c>
      <c r="AM5" s="144">
        <v>-271</v>
      </c>
      <c r="AN5" s="107">
        <v>-233</v>
      </c>
      <c r="AO5" s="107">
        <v>-255</v>
      </c>
      <c r="AP5" s="374">
        <v>-208</v>
      </c>
      <c r="AQ5" s="213">
        <f>AQ6-AQ4</f>
        <v>-967</v>
      </c>
      <c r="AS5" s="144">
        <v>-215</v>
      </c>
      <c r="AT5" s="107">
        <v>-168</v>
      </c>
      <c r="AU5" s="107">
        <v>-193</v>
      </c>
      <c r="AV5" s="374">
        <v>-155</v>
      </c>
      <c r="AW5" s="213">
        <f>AW6-AW4</f>
        <v>-731</v>
      </c>
      <c r="AY5" s="144">
        <v>-131</v>
      </c>
      <c r="AZ5" s="107">
        <v>-118</v>
      </c>
      <c r="BA5" s="107">
        <v>-83</v>
      </c>
      <c r="BB5" s="374">
        <v>-127</v>
      </c>
      <c r="BC5" s="213">
        <f>BC6-BC4</f>
        <v>-459</v>
      </c>
      <c r="BE5" s="144">
        <v>-134</v>
      </c>
      <c r="BF5" s="107">
        <v>-122</v>
      </c>
      <c r="BG5" s="107">
        <v>-98</v>
      </c>
      <c r="BH5" s="107">
        <v>-87</v>
      </c>
      <c r="BI5" s="213">
        <f>BI6-BI4</f>
        <v>-441</v>
      </c>
      <c r="BK5" s="144">
        <v>-138</v>
      </c>
      <c r="BL5" s="107">
        <v>-175</v>
      </c>
      <c r="BM5" s="107">
        <v>-121</v>
      </c>
      <c r="BN5" s="107">
        <v>-123</v>
      </c>
      <c r="BO5" s="213">
        <f>BO6-BO4</f>
        <v>-557</v>
      </c>
      <c r="BQ5" s="144">
        <f>BK5+5</f>
        <v>-133</v>
      </c>
      <c r="BR5" s="107">
        <v>-150</v>
      </c>
      <c r="BS5" s="107">
        <v>-100</v>
      </c>
      <c r="BT5" s="107">
        <v>-100</v>
      </c>
      <c r="BU5" s="213">
        <f>BU6-BU4</f>
        <v>-483</v>
      </c>
      <c r="BW5" s="144">
        <f>BQ5+15</f>
        <v>-118</v>
      </c>
      <c r="BX5" s="107">
        <v>-125</v>
      </c>
      <c r="BY5" s="107">
        <f>BS5+5</f>
        <v>-95</v>
      </c>
      <c r="BZ5" s="107">
        <f>BT5+5</f>
        <v>-95</v>
      </c>
      <c r="CA5" s="213">
        <f>CA6-CA4</f>
        <v>-433</v>
      </c>
      <c r="CC5" s="144">
        <f>BW5+5</f>
        <v>-113</v>
      </c>
      <c r="CD5" s="107">
        <v>-110</v>
      </c>
      <c r="CE5" s="107">
        <v>-75</v>
      </c>
      <c r="CF5" s="107">
        <f>BZ5+5</f>
        <v>-90</v>
      </c>
      <c r="CG5" s="213">
        <f>CG6-CG4</f>
        <v>-388</v>
      </c>
      <c r="CI5" s="144">
        <f>CC5+5</f>
        <v>-108</v>
      </c>
      <c r="CJ5" s="107">
        <f>CD5+5</f>
        <v>-105</v>
      </c>
      <c r="CK5" s="107">
        <v>-75</v>
      </c>
      <c r="CL5" s="107">
        <f>CF5+5</f>
        <v>-85</v>
      </c>
      <c r="CM5" s="213">
        <f>CM6-CM4</f>
        <v>-373</v>
      </c>
      <c r="CO5" s="144">
        <f>CI5+5</f>
        <v>-103</v>
      </c>
      <c r="CP5" s="107">
        <f>CJ5+5</f>
        <v>-100</v>
      </c>
      <c r="CQ5" s="107">
        <v>-75</v>
      </c>
      <c r="CR5" s="107">
        <f>CL5+5</f>
        <v>-80</v>
      </c>
      <c r="CS5" s="213">
        <f>CS6-CS4</f>
        <v>-358</v>
      </c>
      <c r="CU5" s="144">
        <f>CO5+5</f>
        <v>-98</v>
      </c>
      <c r="CV5" s="107">
        <f>CP5+5</f>
        <v>-95</v>
      </c>
      <c r="CW5" s="107">
        <v>-75</v>
      </c>
      <c r="CX5" s="107">
        <f>CR5+5</f>
        <v>-75</v>
      </c>
      <c r="CY5" s="213">
        <f>CY6-CY4</f>
        <v>-343</v>
      </c>
      <c r="DA5" s="144">
        <f>CU5+5</f>
        <v>-93</v>
      </c>
      <c r="DB5" s="107">
        <f>CV5+5</f>
        <v>-90</v>
      </c>
      <c r="DC5" s="107">
        <v>-75</v>
      </c>
      <c r="DD5" s="107">
        <f>CX5+5</f>
        <v>-70</v>
      </c>
      <c r="DE5" s="213">
        <f>DE6-DE4</f>
        <v>-328</v>
      </c>
      <c r="DG5" s="144">
        <f>DA5+5</f>
        <v>-88</v>
      </c>
      <c r="DH5" s="107">
        <f>DB5+5</f>
        <v>-85</v>
      </c>
      <c r="DI5" s="107">
        <v>-75</v>
      </c>
      <c r="DJ5" s="107">
        <f>DD5+5</f>
        <v>-65</v>
      </c>
      <c r="DK5" s="213">
        <f>DK6-DK4</f>
        <v>-313</v>
      </c>
    </row>
    <row r="6" spans="1:115" s="260" customFormat="1" ht="15.75" thickBot="1" x14ac:dyDescent="0.35">
      <c r="A6" s="241"/>
      <c r="B6" s="76" t="s">
        <v>193</v>
      </c>
      <c r="C6" s="366">
        <v>32605</v>
      </c>
      <c r="D6" s="367">
        <v>32089</v>
      </c>
      <c r="E6" s="367">
        <v>31592</v>
      </c>
      <c r="F6" s="367">
        <v>31055</v>
      </c>
      <c r="G6" s="370">
        <f>F6</f>
        <v>31055</v>
      </c>
      <c r="H6" s="157"/>
      <c r="I6" s="366">
        <v>30473</v>
      </c>
      <c r="J6" s="367">
        <v>29820</v>
      </c>
      <c r="K6" s="367">
        <v>29246</v>
      </c>
      <c r="L6" s="368">
        <v>28301</v>
      </c>
      <c r="M6" s="370">
        <f>L6</f>
        <v>28301</v>
      </c>
      <c r="N6" s="157"/>
      <c r="O6" s="366">
        <v>27699</v>
      </c>
      <c r="P6" s="367">
        <v>27226</v>
      </c>
      <c r="Q6" s="367">
        <v>26653</v>
      </c>
      <c r="R6" s="368">
        <v>26236</v>
      </c>
      <c r="S6" s="370">
        <f>R6</f>
        <v>26236</v>
      </c>
      <c r="T6" s="228"/>
      <c r="U6" s="366">
        <v>25864</v>
      </c>
      <c r="V6" s="367">
        <v>25549</v>
      </c>
      <c r="W6" s="367">
        <v>25024</v>
      </c>
      <c r="X6" s="368">
        <f>X4+X5</f>
        <v>24650</v>
      </c>
      <c r="Y6" s="370">
        <f>X6</f>
        <v>24650</v>
      </c>
      <c r="AA6" s="366">
        <f>AA4+AA5</f>
        <v>24312</v>
      </c>
      <c r="AB6" s="367">
        <f>AB4+AB5</f>
        <v>24017</v>
      </c>
      <c r="AC6" s="367">
        <f>AC4+AC5</f>
        <v>23694</v>
      </c>
      <c r="AD6" s="368">
        <f>AD4+AD5</f>
        <v>23399</v>
      </c>
      <c r="AE6" s="370">
        <f>AD6</f>
        <v>23399</v>
      </c>
      <c r="AG6" s="366">
        <f>AG4+AG5</f>
        <v>23140</v>
      </c>
      <c r="AH6" s="367">
        <f>AH4+AH5</f>
        <v>22904</v>
      </c>
      <c r="AI6" s="367">
        <f>AI4+AI5</f>
        <v>22620</v>
      </c>
      <c r="AJ6" s="368">
        <f>AJ4+AJ5</f>
        <v>22384</v>
      </c>
      <c r="AK6" s="370">
        <f>AJ6</f>
        <v>22384</v>
      </c>
      <c r="AM6" s="366">
        <f>AM4+AM5</f>
        <v>22113</v>
      </c>
      <c r="AN6" s="367">
        <f>AN4+AN5</f>
        <v>21880</v>
      </c>
      <c r="AO6" s="367">
        <f>AO4+AO5</f>
        <v>21625</v>
      </c>
      <c r="AP6" s="368">
        <f>AP4+AP5</f>
        <v>21417</v>
      </c>
      <c r="AQ6" s="370">
        <f>AP6</f>
        <v>21417</v>
      </c>
      <c r="AS6" s="366">
        <f>AS4+AS5</f>
        <v>21202</v>
      </c>
      <c r="AT6" s="367">
        <f>AT4+AT5</f>
        <v>21034</v>
      </c>
      <c r="AU6" s="367">
        <f>AU4+AU5</f>
        <v>20841</v>
      </c>
      <c r="AV6" s="368">
        <f>AV4+AV5</f>
        <v>20686</v>
      </c>
      <c r="AW6" s="370">
        <f>AV6</f>
        <v>20686</v>
      </c>
      <c r="AY6" s="366">
        <f>AY4+AY5</f>
        <v>20555</v>
      </c>
      <c r="AZ6" s="367">
        <f>AZ4+AZ5</f>
        <v>20437</v>
      </c>
      <c r="BA6" s="367">
        <f>BA4+BA5</f>
        <v>20354</v>
      </c>
      <c r="BB6" s="368">
        <f>BB4+BB5</f>
        <v>20227</v>
      </c>
      <c r="BC6" s="370">
        <f>BB6</f>
        <v>20227</v>
      </c>
      <c r="BE6" s="366">
        <f>BE4+BE5</f>
        <v>20093</v>
      </c>
      <c r="BF6" s="367">
        <f>BF4+BF5</f>
        <v>19971</v>
      </c>
      <c r="BG6" s="367">
        <f>BG4+BG5</f>
        <v>19873</v>
      </c>
      <c r="BH6" s="368">
        <f>BH4+BH5</f>
        <v>19786</v>
      </c>
      <c r="BI6" s="370">
        <f>BH6</f>
        <v>19786</v>
      </c>
      <c r="BK6" s="366">
        <f>BK4+BK5</f>
        <v>19648</v>
      </c>
      <c r="BL6" s="367">
        <f>BL4+BL5</f>
        <v>19473</v>
      </c>
      <c r="BM6" s="367">
        <f>BM4+BM5</f>
        <v>19352</v>
      </c>
      <c r="BN6" s="368">
        <f>BN4+BN5</f>
        <v>19229</v>
      </c>
      <c r="BO6" s="370">
        <f>BN6</f>
        <v>19229</v>
      </c>
      <c r="BQ6" s="366">
        <f>BQ4+BQ5</f>
        <v>19096</v>
      </c>
      <c r="BR6" s="367">
        <f>BR4+BR5</f>
        <v>18946</v>
      </c>
      <c r="BS6" s="367">
        <f>BS4+BS5</f>
        <v>18846</v>
      </c>
      <c r="BT6" s="368">
        <f>BT4+BT5</f>
        <v>18746</v>
      </c>
      <c r="BU6" s="370">
        <f>BT6</f>
        <v>18746</v>
      </c>
      <c r="BW6" s="366">
        <f>BW4+BW5</f>
        <v>18628</v>
      </c>
      <c r="BX6" s="367">
        <f>BX4+BX5</f>
        <v>18503</v>
      </c>
      <c r="BY6" s="367">
        <f>BY4+BY5</f>
        <v>18408</v>
      </c>
      <c r="BZ6" s="368">
        <f>BZ4+BZ5</f>
        <v>18313</v>
      </c>
      <c r="CA6" s="370">
        <f>BZ6</f>
        <v>18313</v>
      </c>
      <c r="CC6" s="366">
        <f>CC4+CC5</f>
        <v>18200</v>
      </c>
      <c r="CD6" s="367">
        <f>CD4+CD5</f>
        <v>18090</v>
      </c>
      <c r="CE6" s="367">
        <f>CE4+CE5</f>
        <v>18015</v>
      </c>
      <c r="CF6" s="368">
        <f>CF4+CF5</f>
        <v>17925</v>
      </c>
      <c r="CG6" s="370">
        <f>CF6</f>
        <v>17925</v>
      </c>
      <c r="CI6" s="366">
        <f>CI4+CI5</f>
        <v>17817</v>
      </c>
      <c r="CJ6" s="367">
        <f>CJ4+CJ5</f>
        <v>17712</v>
      </c>
      <c r="CK6" s="367">
        <f>CK4+CK5</f>
        <v>17637</v>
      </c>
      <c r="CL6" s="368">
        <f>CL4+CL5</f>
        <v>17552</v>
      </c>
      <c r="CM6" s="370">
        <f>CL6</f>
        <v>17552</v>
      </c>
      <c r="CO6" s="366">
        <f>CO4+CO5</f>
        <v>17449</v>
      </c>
      <c r="CP6" s="367">
        <f>CP4+CP5</f>
        <v>17349</v>
      </c>
      <c r="CQ6" s="367">
        <f>CQ4+CQ5</f>
        <v>17274</v>
      </c>
      <c r="CR6" s="368">
        <f>CR4+CR5</f>
        <v>17194</v>
      </c>
      <c r="CS6" s="370">
        <f>CR6</f>
        <v>17194</v>
      </c>
      <c r="CU6" s="366">
        <f>CU4+CU5</f>
        <v>17096</v>
      </c>
      <c r="CV6" s="367">
        <f>CV4+CV5</f>
        <v>17001</v>
      </c>
      <c r="CW6" s="367">
        <f>CW4+CW5</f>
        <v>16926</v>
      </c>
      <c r="CX6" s="368">
        <f>CX4+CX5</f>
        <v>16851</v>
      </c>
      <c r="CY6" s="370">
        <f>CX6</f>
        <v>16851</v>
      </c>
      <c r="DA6" s="366">
        <f>DA4+DA5</f>
        <v>16758</v>
      </c>
      <c r="DB6" s="367">
        <f>DB4+DB5</f>
        <v>16668</v>
      </c>
      <c r="DC6" s="367">
        <f>DC4+DC5</f>
        <v>16593</v>
      </c>
      <c r="DD6" s="368">
        <f>DD4+DD5</f>
        <v>16523</v>
      </c>
      <c r="DE6" s="370">
        <f>DD6</f>
        <v>16523</v>
      </c>
      <c r="DG6" s="366">
        <f>DG4+DG5</f>
        <v>16435</v>
      </c>
      <c r="DH6" s="367">
        <f>DH4+DH5</f>
        <v>16350</v>
      </c>
      <c r="DI6" s="367">
        <f>DI4+DI5</f>
        <v>16275</v>
      </c>
      <c r="DJ6" s="368">
        <f>DJ4+DJ5</f>
        <v>16210</v>
      </c>
      <c r="DK6" s="370">
        <f>DJ6</f>
        <v>16210</v>
      </c>
    </row>
    <row r="7" spans="1:115" ht="15" x14ac:dyDescent="0.3">
      <c r="B7" s="104" t="s">
        <v>88</v>
      </c>
      <c r="C7" s="111">
        <f>C6-C5</f>
        <v>33192</v>
      </c>
      <c r="D7" s="112">
        <f>D6-D5</f>
        <v>32605</v>
      </c>
      <c r="E7" s="112">
        <f>E6-E5</f>
        <v>32089</v>
      </c>
      <c r="F7" s="112">
        <f>F6-F5</f>
        <v>31592</v>
      </c>
      <c r="G7" s="113">
        <f>(C7+D7+E7+F7)/4</f>
        <v>32369.5</v>
      </c>
      <c r="H7" s="117"/>
      <c r="I7" s="111">
        <f>I6-I5</f>
        <v>31055</v>
      </c>
      <c r="J7" s="112">
        <f>J6-J5</f>
        <v>30473</v>
      </c>
      <c r="K7" s="112">
        <f>K6-K5</f>
        <v>29820</v>
      </c>
      <c r="L7" s="112">
        <f>L6-L5</f>
        <v>29246</v>
      </c>
      <c r="M7" s="113">
        <f>(I7+J7+K7+L7)/4</f>
        <v>30148.5</v>
      </c>
      <c r="N7" s="117"/>
      <c r="O7" s="111">
        <f>O6-O5</f>
        <v>28301</v>
      </c>
      <c r="P7" s="112">
        <f>P6-P5</f>
        <v>27699</v>
      </c>
      <c r="Q7" s="112">
        <f>Q6-Q5</f>
        <v>27226</v>
      </c>
      <c r="R7" s="112">
        <f>R6-R5</f>
        <v>26653</v>
      </c>
      <c r="S7" s="113">
        <f>(O7+P7+Q7+R7)/4</f>
        <v>27469.75</v>
      </c>
      <c r="T7" s="117"/>
      <c r="U7" s="111">
        <f>U6-U5</f>
        <v>26236</v>
      </c>
      <c r="V7" s="112">
        <f>V6-V5</f>
        <v>25864</v>
      </c>
      <c r="W7" s="112">
        <f>W6-W5</f>
        <v>25549</v>
      </c>
      <c r="X7" s="112">
        <f>X6-X5</f>
        <v>25024</v>
      </c>
      <c r="Y7" s="113">
        <f>(U7+V7+W7+X7)/4</f>
        <v>25668.25</v>
      </c>
      <c r="AA7" s="111">
        <f>AA6-AA5</f>
        <v>24650</v>
      </c>
      <c r="AB7" s="112">
        <f>AB6-AB5</f>
        <v>24312</v>
      </c>
      <c r="AC7" s="112">
        <f>AC6-AC5</f>
        <v>24017</v>
      </c>
      <c r="AD7" s="112">
        <f>AD6-AD5</f>
        <v>23694</v>
      </c>
      <c r="AE7" s="113">
        <f>(AA7+AB7+AC7+AD7)/4</f>
        <v>24168.25</v>
      </c>
      <c r="AG7" s="111">
        <f>AG6-AG5</f>
        <v>23399</v>
      </c>
      <c r="AH7" s="112">
        <f>AH6-AH5</f>
        <v>23140</v>
      </c>
      <c r="AI7" s="112">
        <f>AI6-AI5</f>
        <v>22904</v>
      </c>
      <c r="AJ7" s="112">
        <f>AJ6-AJ5</f>
        <v>22620</v>
      </c>
      <c r="AK7" s="113">
        <f>(AG7+AH7+AI7+AJ7)/4</f>
        <v>23015.75</v>
      </c>
      <c r="AM7" s="111">
        <f>AM6-AM5</f>
        <v>22384</v>
      </c>
      <c r="AN7" s="112">
        <f>AN6-AN5</f>
        <v>22113</v>
      </c>
      <c r="AO7" s="112">
        <f>AO6-AO5</f>
        <v>21880</v>
      </c>
      <c r="AP7" s="112">
        <f>AP6-AP5</f>
        <v>21625</v>
      </c>
      <c r="AQ7" s="113">
        <f>(AM7+AN7+AO7+AP7)/4</f>
        <v>22000.5</v>
      </c>
      <c r="AS7" s="111">
        <f>AS6-AS5</f>
        <v>21417</v>
      </c>
      <c r="AT7" s="112">
        <f>AT6-AT5</f>
        <v>21202</v>
      </c>
      <c r="AU7" s="112">
        <f>AU6-AU5</f>
        <v>21034</v>
      </c>
      <c r="AV7" s="112">
        <f>AV6-AV5</f>
        <v>20841</v>
      </c>
      <c r="AW7" s="113">
        <f>(AS7+AT7+AU7+AV7)/4</f>
        <v>21123.5</v>
      </c>
      <c r="AY7" s="111">
        <f>AY6-AY5</f>
        <v>20686</v>
      </c>
      <c r="AZ7" s="112">
        <f>AZ6-AZ5</f>
        <v>20555</v>
      </c>
      <c r="BA7" s="112">
        <f>BA6-BA5</f>
        <v>20437</v>
      </c>
      <c r="BB7" s="112">
        <f>BB6-BB5</f>
        <v>20354</v>
      </c>
      <c r="BC7" s="113">
        <f>(AY7+AZ7+BA7+BB7)/4</f>
        <v>20508</v>
      </c>
      <c r="BE7" s="111">
        <f>BE6-BE5</f>
        <v>20227</v>
      </c>
      <c r="BF7" s="112">
        <f>BF6-BF5</f>
        <v>20093</v>
      </c>
      <c r="BG7" s="112">
        <f>BG6-BG5</f>
        <v>19971</v>
      </c>
      <c r="BH7" s="112">
        <f>BH6-BH5</f>
        <v>19873</v>
      </c>
      <c r="BI7" s="113">
        <f>(BE7+BF7+BG7+BH7)/4</f>
        <v>20041</v>
      </c>
      <c r="BJ7" s="118"/>
      <c r="BK7" s="111">
        <f>BK6-BK5</f>
        <v>19786</v>
      </c>
      <c r="BL7" s="112">
        <f>BL6-BL5</f>
        <v>19648</v>
      </c>
      <c r="BM7" s="112">
        <f>BM6-BM5</f>
        <v>19473</v>
      </c>
      <c r="BN7" s="112">
        <f>BN6-BN5</f>
        <v>19352</v>
      </c>
      <c r="BO7" s="113">
        <f>(BK7+BL7+BM7+BN7)/4</f>
        <v>19564.75</v>
      </c>
      <c r="BQ7" s="111">
        <f>BQ6-BQ5</f>
        <v>19229</v>
      </c>
      <c r="BR7" s="112">
        <f>BR6-BR5</f>
        <v>19096</v>
      </c>
      <c r="BS7" s="112">
        <f>BS6-BS5</f>
        <v>18946</v>
      </c>
      <c r="BT7" s="112">
        <f>BT6-BT5</f>
        <v>18846</v>
      </c>
      <c r="BU7" s="113">
        <f>(BQ7+BR7+BS7+BT7)/4</f>
        <v>19029.25</v>
      </c>
      <c r="BW7" s="111">
        <f>BW6-BW5</f>
        <v>18746</v>
      </c>
      <c r="BX7" s="112">
        <f>BX6-BX5</f>
        <v>18628</v>
      </c>
      <c r="BY7" s="112">
        <f>BY6-BY5</f>
        <v>18503</v>
      </c>
      <c r="BZ7" s="112">
        <f>BZ6-BZ5</f>
        <v>18408</v>
      </c>
      <c r="CA7" s="113">
        <f>(BW7+BX7+BY7+BZ7)/4</f>
        <v>18571.25</v>
      </c>
      <c r="CB7" s="118"/>
      <c r="CC7" s="111">
        <f>CC6-CC5</f>
        <v>18313</v>
      </c>
      <c r="CD7" s="112">
        <f>CD6-CD5</f>
        <v>18200</v>
      </c>
      <c r="CE7" s="112">
        <f>CE6-CE5</f>
        <v>18090</v>
      </c>
      <c r="CF7" s="112">
        <f>CF6-CF5</f>
        <v>18015</v>
      </c>
      <c r="CG7" s="113">
        <f>(CC7+CD7+CE7+CF7)/4</f>
        <v>18154.5</v>
      </c>
      <c r="CI7" s="111">
        <f>CI6-CI5</f>
        <v>17925</v>
      </c>
      <c r="CJ7" s="112">
        <f>CJ6-CJ5</f>
        <v>17817</v>
      </c>
      <c r="CK7" s="112">
        <f>CK6-CK5</f>
        <v>17712</v>
      </c>
      <c r="CL7" s="112">
        <f>CL6-CL5</f>
        <v>17637</v>
      </c>
      <c r="CM7" s="113">
        <f>(CI7+CJ7+CK7+CL7)/4</f>
        <v>17772.75</v>
      </c>
      <c r="CN7" s="118"/>
      <c r="CO7" s="111">
        <f>CO6-CO5</f>
        <v>17552</v>
      </c>
      <c r="CP7" s="112">
        <f>CP6-CP5</f>
        <v>17449</v>
      </c>
      <c r="CQ7" s="112">
        <f>CQ6-CQ5</f>
        <v>17349</v>
      </c>
      <c r="CR7" s="112">
        <f>CR6-CR5</f>
        <v>17274</v>
      </c>
      <c r="CS7" s="113">
        <f>(CO7+CP7+CQ7+CR7)/4</f>
        <v>17406</v>
      </c>
      <c r="CU7" s="111">
        <f>CU6-CU5</f>
        <v>17194</v>
      </c>
      <c r="CV7" s="112">
        <f>CV6-CV5</f>
        <v>17096</v>
      </c>
      <c r="CW7" s="112">
        <f>CW6-CW5</f>
        <v>17001</v>
      </c>
      <c r="CX7" s="112">
        <f>CX6-CX5</f>
        <v>16926</v>
      </c>
      <c r="CY7" s="113">
        <f>(CU7+CV7+CW7+CX7)/4</f>
        <v>17054.25</v>
      </c>
      <c r="DA7" s="111">
        <f>DA6-DA5</f>
        <v>16851</v>
      </c>
      <c r="DB7" s="112">
        <f>DB6-DB5</f>
        <v>16758</v>
      </c>
      <c r="DC7" s="112">
        <f>DC6-DC5</f>
        <v>16668</v>
      </c>
      <c r="DD7" s="112">
        <f>DD6-DD5</f>
        <v>16593</v>
      </c>
      <c r="DE7" s="113">
        <f>(DA7+DB7+DC7+DD7)/4</f>
        <v>16717.5</v>
      </c>
      <c r="DG7" s="111">
        <f>DG6-DG5</f>
        <v>16523</v>
      </c>
      <c r="DH7" s="112">
        <f>DH6-DH5</f>
        <v>16435</v>
      </c>
      <c r="DI7" s="112">
        <f>DI6-DI5</f>
        <v>16350</v>
      </c>
      <c r="DJ7" s="112">
        <f>DJ6-DJ5</f>
        <v>16275</v>
      </c>
      <c r="DK7" s="113">
        <f>(DG7+DH7+DI7+DJ7)/4</f>
        <v>16395.75</v>
      </c>
    </row>
    <row r="8" spans="1:115" ht="15.75" thickBot="1" x14ac:dyDescent="0.35">
      <c r="B8" s="140" t="s">
        <v>74</v>
      </c>
      <c r="C8" s="109" t="s">
        <v>35</v>
      </c>
      <c r="D8" s="110" t="s">
        <v>35</v>
      </c>
      <c r="E8" s="110" t="s">
        <v>35</v>
      </c>
      <c r="F8" s="120" t="s">
        <v>35</v>
      </c>
      <c r="G8" s="122" t="s">
        <v>35</v>
      </c>
      <c r="H8" s="117"/>
      <c r="I8" s="109">
        <f>I7/C7-1</f>
        <v>-6.4382983851530518E-2</v>
      </c>
      <c r="J8" s="110">
        <f>J7/D7-1</f>
        <v>-6.538874405765982E-2</v>
      </c>
      <c r="K8" s="110">
        <f>K7/E7-1</f>
        <v>-7.0709588955716884E-2</v>
      </c>
      <c r="L8" s="110">
        <f>L7/F7-1</f>
        <v>-7.425930615345655E-2</v>
      </c>
      <c r="M8" s="122">
        <f>M7/G7-1</f>
        <v>-6.8613973030167252E-2</v>
      </c>
      <c r="N8" s="117"/>
      <c r="O8" s="109">
        <f>O7/I7-1</f>
        <v>-8.868137175978108E-2</v>
      </c>
      <c r="P8" s="110">
        <f>P7/J7-1</f>
        <v>-9.103140485019523E-2</v>
      </c>
      <c r="Q8" s="110">
        <f>Q7/K7-1</f>
        <v>-8.6988598256203864E-2</v>
      </c>
      <c r="R8" s="110">
        <f>R7/L7-1</f>
        <v>-8.8661697326130051E-2</v>
      </c>
      <c r="S8" s="122">
        <f>S7/M7-1</f>
        <v>-8.8851850009121547E-2</v>
      </c>
      <c r="T8" s="117"/>
      <c r="U8" s="109">
        <f>U7/O7-1</f>
        <v>-7.2965619589413833E-2</v>
      </c>
      <c r="V8" s="110">
        <f>V7/P7-1</f>
        <v>-6.624787898480089E-2</v>
      </c>
      <c r="W8" s="110">
        <f>W7/Q7-1</f>
        <v>-6.1595533681040204E-2</v>
      </c>
      <c r="X8" s="110">
        <f>X7/R7-1</f>
        <v>-6.1118823396990929E-2</v>
      </c>
      <c r="Y8" s="122">
        <f>Y7/S7-1</f>
        <v>-6.5581230262379497E-2</v>
      </c>
      <c r="AA8" s="109">
        <f>AA7/U7-1</f>
        <v>-6.0451288306144213E-2</v>
      </c>
      <c r="AB8" s="110">
        <f>AB7/V7-1</f>
        <v>-6.000618620476339E-2</v>
      </c>
      <c r="AC8" s="110">
        <f>AC7/W7-1</f>
        <v>-5.9963207953344533E-2</v>
      </c>
      <c r="AD8" s="110">
        <f>AD7/X7-1</f>
        <v>-5.3148976982097196E-2</v>
      </c>
      <c r="AE8" s="122">
        <f>AE7/Y7-1</f>
        <v>-5.8437953502868289E-2</v>
      </c>
      <c r="AG8" s="109">
        <f>AG7/AA7-1</f>
        <v>-5.075050709939144E-2</v>
      </c>
      <c r="AH8" s="110">
        <f>AH7/AB7-1</f>
        <v>-4.8206646923329988E-2</v>
      </c>
      <c r="AI8" s="110">
        <f>AI7/AC7-1</f>
        <v>-4.6342174293208971E-2</v>
      </c>
      <c r="AJ8" s="110">
        <f>AJ7/AD7-1</f>
        <v>-4.5327931121803E-2</v>
      </c>
      <c r="AK8" s="122">
        <f>AK7/AE7-1</f>
        <v>-4.7686530882459444E-2</v>
      </c>
      <c r="AM8" s="109">
        <f>AM7/AG7-1</f>
        <v>-4.3377922133424507E-2</v>
      </c>
      <c r="AN8" s="110">
        <f>AN7/AH7-1</f>
        <v>-4.4382022471910143E-2</v>
      </c>
      <c r="AO8" s="110">
        <f>AO7/AI7-1</f>
        <v>-4.4708347886831978E-2</v>
      </c>
      <c r="AP8" s="110">
        <f>AP7/AJ7-1</f>
        <v>-4.3987621573828517E-2</v>
      </c>
      <c r="AQ8" s="122">
        <f>AQ7/AK7-1</f>
        <v>-4.4111097835178081E-2</v>
      </c>
      <c r="AS8" s="109">
        <f>AS7/AM7-1</f>
        <v>-4.3200500357398086E-2</v>
      </c>
      <c r="AT8" s="110">
        <f>AT7/AN7-1</f>
        <v>-4.1197485641930043E-2</v>
      </c>
      <c r="AU8" s="110">
        <f>AU7/AO7-1</f>
        <v>-3.8665447897623384E-2</v>
      </c>
      <c r="AV8" s="110">
        <f>AV7/AP7-1</f>
        <v>-3.6254335260115567E-2</v>
      </c>
      <c r="AW8" s="122">
        <f>AW7/AQ7-1</f>
        <v>-3.9862730392491108E-2</v>
      </c>
      <c r="AY8" s="109">
        <f>AY7/AS7-1</f>
        <v>-3.4131764486155847E-2</v>
      </c>
      <c r="AZ8" s="110">
        <f>AZ7/AT7-1</f>
        <v>-3.0515989057636084E-2</v>
      </c>
      <c r="BA8" s="110">
        <f>BA7/AU7-1</f>
        <v>-2.8382618617476485E-2</v>
      </c>
      <c r="BB8" s="110">
        <f>BB7/AV7-1</f>
        <v>-2.3367400796506899E-2</v>
      </c>
      <c r="BC8" s="122">
        <f>BC7/AW7-1</f>
        <v>-2.9138163656591054E-2</v>
      </c>
      <c r="BE8" s="109">
        <f>BE7/AY7-1</f>
        <v>-2.2188920042540805E-2</v>
      </c>
      <c r="BF8" s="110">
        <f>BF7/AZ7-1</f>
        <v>-2.2476283142787601E-2</v>
      </c>
      <c r="BG8" s="110">
        <f>BG7/BA7-1</f>
        <v>-2.2801781083329309E-2</v>
      </c>
      <c r="BH8" s="110">
        <f>BH7/BB7-1</f>
        <v>-2.3631718581114236E-2</v>
      </c>
      <c r="BI8" s="122">
        <f>BI7/BC7-1</f>
        <v>-2.277160132631173E-2</v>
      </c>
      <c r="BK8" s="109">
        <f>BK7/BE7-1</f>
        <v>-2.1802541157858291E-2</v>
      </c>
      <c r="BL8" s="110">
        <f>BL7/BF7-1</f>
        <v>-2.2147016373861517E-2</v>
      </c>
      <c r="BM8" s="110">
        <f>BM7/BG7-1</f>
        <v>-2.4936157428271044E-2</v>
      </c>
      <c r="BN8" s="110">
        <f>BN7/BH7-1</f>
        <v>-2.6216474613797613E-2</v>
      </c>
      <c r="BO8" s="122">
        <f>BO7/BI7-1</f>
        <v>-2.3763784242303299E-2</v>
      </c>
      <c r="BQ8" s="109">
        <f>BQ7/BK7-1</f>
        <v>-2.8151218032952618E-2</v>
      </c>
      <c r="BR8" s="110">
        <f>BR7/BL7-1</f>
        <v>-2.8094462540716569E-2</v>
      </c>
      <c r="BS8" s="110">
        <f>BS7/BM7-1</f>
        <v>-2.706311302829556E-2</v>
      </c>
      <c r="BT8" s="110">
        <f>BT7/BN7-1</f>
        <v>-2.6147168251343555E-2</v>
      </c>
      <c r="BU8" s="122">
        <f>BU7/BO7-1</f>
        <v>-2.7370653854508764E-2</v>
      </c>
      <c r="BW8" s="109">
        <f>BW7/BQ7-1</f>
        <v>-2.5118310884601369E-2</v>
      </c>
      <c r="BX8" s="110">
        <f>BX7/BR7-1</f>
        <v>-2.4507750314201937E-2</v>
      </c>
      <c r="BY8" s="110">
        <f>BY7/BS7-1</f>
        <v>-2.3382244273197461E-2</v>
      </c>
      <c r="BZ8" s="110">
        <f>BZ7/BT7-1</f>
        <v>-2.3241006049029012E-2</v>
      </c>
      <c r="CA8" s="122">
        <f>CA7/BU7-1</f>
        <v>-2.4068210780771704E-2</v>
      </c>
      <c r="CC8" s="109">
        <f>CC7/BW7-1</f>
        <v>-2.3098260962338579E-2</v>
      </c>
      <c r="CD8" s="110">
        <f>CD7/BX7-1</f>
        <v>-2.2976164913034114E-2</v>
      </c>
      <c r="CE8" s="110">
        <f>CE7/BY7-1</f>
        <v>-2.2320704750581011E-2</v>
      </c>
      <c r="CF8" s="110">
        <f>CF7/BZ7-1</f>
        <v>-2.1349413298565878E-2</v>
      </c>
      <c r="CG8" s="122">
        <f>CG7/CA7-1</f>
        <v>-2.2440600390388421E-2</v>
      </c>
      <c r="CI8" s="109">
        <f>CI7/CC7-1</f>
        <v>-2.1187134822257425E-2</v>
      </c>
      <c r="CJ8" s="110">
        <f>CJ7/CD7-1</f>
        <v>-2.1043956043956036E-2</v>
      </c>
      <c r="CK8" s="110">
        <f>CK7/CE7-1</f>
        <v>-2.0895522388059695E-2</v>
      </c>
      <c r="CL8" s="110">
        <f>CL7/CF7-1</f>
        <v>-2.0982514571190714E-2</v>
      </c>
      <c r="CM8" s="122">
        <f>CM7/CG7-1</f>
        <v>-2.1027844336115042E-2</v>
      </c>
      <c r="CO8" s="109">
        <f>CO7/CI7-1</f>
        <v>-2.0808926080892576E-2</v>
      </c>
      <c r="CP8" s="110">
        <f>CP7/CJ7-1</f>
        <v>-2.0654431161250542E-2</v>
      </c>
      <c r="CQ8" s="110">
        <f>CQ7/CK7-1</f>
        <v>-2.0494579945799507E-2</v>
      </c>
      <c r="CR8" s="110">
        <f>CR7/CL7-1</f>
        <v>-2.0581731587004604E-2</v>
      </c>
      <c r="CS8" s="122">
        <f>CS7/CM7-1</f>
        <v>-2.0635523483985341E-2</v>
      </c>
      <c r="CU8" s="109">
        <f>CU7/CO7-1</f>
        <v>-2.0396536007292632E-2</v>
      </c>
      <c r="CV8" s="110">
        <f>CV7/CP7-1</f>
        <v>-2.0230385695455322E-2</v>
      </c>
      <c r="CW8" s="110">
        <f>CW7/CQ7-1</f>
        <v>-2.0058793014006593E-2</v>
      </c>
      <c r="CX8" s="110">
        <f>CX7/CR7-1</f>
        <v>-2.0145883987495616E-2</v>
      </c>
      <c r="CY8" s="122">
        <f>CY7/CS7-1</f>
        <v>-2.0208548776284085E-2</v>
      </c>
      <c r="DA8" s="109">
        <f>DA7/CU7-1</f>
        <v>-1.994881935558912E-2</v>
      </c>
      <c r="DB8" s="110">
        <f>DB7/CV7-1</f>
        <v>-1.9770706598034593E-2</v>
      </c>
      <c r="DC8" s="110">
        <f>DC7/CW7-1</f>
        <v>-1.958708311275803E-2</v>
      </c>
      <c r="DD8" s="110">
        <f>DD7/CX7-1</f>
        <v>-1.9673874512584177E-2</v>
      </c>
      <c r="DE8" s="122">
        <f>DE7/CY7-1</f>
        <v>-1.9745811161440696E-2</v>
      </c>
      <c r="DG8" s="109">
        <f>DG7/DA7-1</f>
        <v>-1.9464720194647178E-2</v>
      </c>
      <c r="DH8" s="110">
        <f>DH7/DB7-1</f>
        <v>-1.9274376417233507E-2</v>
      </c>
      <c r="DI8" s="110">
        <f>DI7/DC7-1</f>
        <v>-1.9078473722102252E-2</v>
      </c>
      <c r="DJ8" s="110">
        <f>DJ7/DD7-1</f>
        <v>-1.916470800940151E-2</v>
      </c>
      <c r="DK8" s="122">
        <f>DK7/DE7-1</f>
        <v>-1.9246298788694438E-2</v>
      </c>
    </row>
    <row r="9" spans="1:115" ht="15.75" thickBot="1" x14ac:dyDescent="0.35">
      <c r="B9" s="6"/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  <c r="P9" s="117"/>
      <c r="Q9" s="117"/>
      <c r="R9" s="117"/>
      <c r="S9" s="117"/>
      <c r="T9" s="117"/>
      <c r="U9" s="117"/>
      <c r="V9" s="117"/>
      <c r="W9" s="117"/>
      <c r="X9" s="117"/>
      <c r="Y9" s="117"/>
    </row>
    <row r="10" spans="1:115" ht="15" x14ac:dyDescent="0.3">
      <c r="B10" s="38" t="s">
        <v>69</v>
      </c>
      <c r="C10" s="221">
        <v>7640</v>
      </c>
      <c r="D10" s="222">
        <v>8013</v>
      </c>
      <c r="E10" s="222">
        <v>8493</v>
      </c>
      <c r="F10" s="223">
        <v>9019</v>
      </c>
      <c r="G10" s="224">
        <f>F10</f>
        <v>9019</v>
      </c>
      <c r="H10" s="107"/>
      <c r="I10" s="221">
        <v>9558</v>
      </c>
      <c r="J10" s="222">
        <v>9898</v>
      </c>
      <c r="K10" s="222">
        <v>10242</v>
      </c>
      <c r="L10" s="223">
        <v>10594</v>
      </c>
      <c r="M10" s="115">
        <f>L10</f>
        <v>10594</v>
      </c>
      <c r="N10" s="107"/>
      <c r="O10" s="221">
        <v>10984</v>
      </c>
      <c r="P10" s="222">
        <v>11229</v>
      </c>
      <c r="Q10" s="222">
        <v>11301</v>
      </c>
      <c r="R10" s="223">
        <v>11477</v>
      </c>
      <c r="S10" s="115">
        <f>R10</f>
        <v>11477</v>
      </c>
      <c r="T10" s="107"/>
      <c r="U10" s="221">
        <v>11665</v>
      </c>
      <c r="V10" s="222">
        <v>11795</v>
      </c>
      <c r="W10" s="112">
        <v>11844</v>
      </c>
      <c r="X10" s="112">
        <v>11954</v>
      </c>
      <c r="Y10" s="113">
        <f>Y51</f>
        <v>11954</v>
      </c>
      <c r="AA10" s="111">
        <f>AA51</f>
        <v>12069</v>
      </c>
      <c r="AB10" s="112">
        <v>12153</v>
      </c>
      <c r="AC10" s="112">
        <f>AC51</f>
        <v>12201</v>
      </c>
      <c r="AD10" s="112">
        <f>AD51</f>
        <v>12265</v>
      </c>
      <c r="AE10" s="113">
        <f>AE51</f>
        <v>12265</v>
      </c>
      <c r="AG10" s="111">
        <f>AG51</f>
        <v>12367</v>
      </c>
      <c r="AH10" s="112">
        <f>AH51</f>
        <v>12414</v>
      </c>
      <c r="AI10" s="112">
        <f>AI51</f>
        <v>12424</v>
      </c>
      <c r="AJ10" s="112">
        <f>AJ51</f>
        <v>12427</v>
      </c>
      <c r="AK10" s="113">
        <f>AK51</f>
        <v>12427</v>
      </c>
      <c r="AM10" s="111">
        <f>AM51</f>
        <v>12443</v>
      </c>
      <c r="AN10" s="112">
        <f>AN51</f>
        <v>12430</v>
      </c>
      <c r="AO10" s="112">
        <f>AO51</f>
        <v>12383</v>
      </c>
      <c r="AP10" s="112">
        <f>AP51</f>
        <v>12360</v>
      </c>
      <c r="AQ10" s="113">
        <f>AQ51</f>
        <v>12360</v>
      </c>
      <c r="AS10" s="111">
        <f>AS51</f>
        <v>12354</v>
      </c>
      <c r="AT10" s="112">
        <f>AT51</f>
        <v>12349</v>
      </c>
      <c r="AU10" s="112">
        <f>AU51</f>
        <v>12340</v>
      </c>
      <c r="AV10" s="112">
        <f>AV51</f>
        <v>12361</v>
      </c>
      <c r="AW10" s="113">
        <f>AW51</f>
        <v>12361</v>
      </c>
      <c r="AY10" s="111">
        <f>AY51</f>
        <v>12437</v>
      </c>
      <c r="AZ10" s="112">
        <f>AZ51</f>
        <v>12518</v>
      </c>
      <c r="BA10" s="112">
        <f>BA51</f>
        <v>12596</v>
      </c>
      <c r="BB10" s="112">
        <f>BB51</f>
        <v>12644</v>
      </c>
      <c r="BC10" s="113">
        <f>BC51</f>
        <v>12644</v>
      </c>
      <c r="BE10" s="111">
        <f>BE51</f>
        <v>12706</v>
      </c>
      <c r="BF10" s="112">
        <f>BF51</f>
        <v>12770</v>
      </c>
      <c r="BG10" s="112">
        <f>BG51</f>
        <v>12835</v>
      </c>
      <c r="BH10" s="112">
        <f>BH51</f>
        <v>12922</v>
      </c>
      <c r="BI10" s="113">
        <f>BI51</f>
        <v>12922</v>
      </c>
      <c r="BK10" s="111">
        <f>BK51</f>
        <v>12989</v>
      </c>
      <c r="BL10" s="112">
        <f>BL51</f>
        <v>13035</v>
      </c>
      <c r="BM10" s="112">
        <f>BM51</f>
        <v>13105</v>
      </c>
      <c r="BN10" s="112">
        <f>BN51</f>
        <v>13209</v>
      </c>
      <c r="BO10" s="113">
        <f>BO51</f>
        <v>13209</v>
      </c>
      <c r="BQ10" s="111">
        <f>BQ51</f>
        <v>13284</v>
      </c>
      <c r="BR10" s="112">
        <f>BR51</f>
        <v>13344</v>
      </c>
      <c r="BS10" s="112">
        <f>BS51</f>
        <v>13419</v>
      </c>
      <c r="BT10" s="112">
        <f>BT51</f>
        <v>13509</v>
      </c>
      <c r="BU10" s="113">
        <f>BU51</f>
        <v>13509</v>
      </c>
      <c r="BW10" s="111">
        <f>BW51</f>
        <v>13579</v>
      </c>
      <c r="BX10" s="112">
        <f>BX51</f>
        <v>13634</v>
      </c>
      <c r="BY10" s="112">
        <f>BY51</f>
        <v>13699</v>
      </c>
      <c r="BZ10" s="112">
        <f>BZ51</f>
        <v>13779</v>
      </c>
      <c r="CA10" s="113">
        <f>CA51</f>
        <v>13779</v>
      </c>
      <c r="CC10" s="111">
        <f>CC51</f>
        <v>13844</v>
      </c>
      <c r="CD10" s="112">
        <f>CD51</f>
        <v>13894</v>
      </c>
      <c r="CE10" s="112">
        <f>CE51</f>
        <v>13954</v>
      </c>
      <c r="CF10" s="112">
        <f>CF51</f>
        <v>14029</v>
      </c>
      <c r="CG10" s="113">
        <f>CG51</f>
        <v>14029</v>
      </c>
      <c r="CI10" s="111">
        <f>CI51</f>
        <v>14089</v>
      </c>
      <c r="CJ10" s="112">
        <f>CJ51</f>
        <v>14139</v>
      </c>
      <c r="CK10" s="112">
        <f>CK51</f>
        <v>14194</v>
      </c>
      <c r="CL10" s="112">
        <f>CL51</f>
        <v>14264</v>
      </c>
      <c r="CM10" s="113">
        <f>CM51</f>
        <v>14264</v>
      </c>
      <c r="CO10" s="111">
        <f>CO51</f>
        <v>14319</v>
      </c>
      <c r="CP10" s="112">
        <f>CP51</f>
        <v>14369</v>
      </c>
      <c r="CQ10" s="112">
        <f>CQ51</f>
        <v>14419</v>
      </c>
      <c r="CR10" s="112">
        <f>CR51</f>
        <v>14484</v>
      </c>
      <c r="CS10" s="113">
        <f>CS51</f>
        <v>14484</v>
      </c>
      <c r="CU10" s="111">
        <f>CU51</f>
        <v>14534</v>
      </c>
      <c r="CV10" s="112">
        <f>CV51</f>
        <v>14584</v>
      </c>
      <c r="CW10" s="112">
        <f>CW51</f>
        <v>14634</v>
      </c>
      <c r="CX10" s="112">
        <f>CX51</f>
        <v>14689</v>
      </c>
      <c r="CY10" s="113">
        <f>CY51</f>
        <v>14689</v>
      </c>
      <c r="DA10" s="111">
        <f>DA51</f>
        <v>14739</v>
      </c>
      <c r="DB10" s="112">
        <f>DB51</f>
        <v>14789</v>
      </c>
      <c r="DC10" s="112">
        <f>DC51</f>
        <v>14839</v>
      </c>
      <c r="DD10" s="112">
        <f>DD51</f>
        <v>14889</v>
      </c>
      <c r="DE10" s="113">
        <f>DE51</f>
        <v>14889</v>
      </c>
      <c r="DG10" s="111">
        <f>DG51</f>
        <v>14939</v>
      </c>
      <c r="DH10" s="112">
        <f>DH51</f>
        <v>14989</v>
      </c>
      <c r="DI10" s="112">
        <f>DI51</f>
        <v>15039</v>
      </c>
      <c r="DJ10" s="112">
        <f>DJ51</f>
        <v>15089</v>
      </c>
      <c r="DK10" s="113">
        <f>DK51</f>
        <v>15089</v>
      </c>
    </row>
    <row r="11" spans="1:115" ht="15" x14ac:dyDescent="0.3">
      <c r="B11" s="219" t="s">
        <v>71</v>
      </c>
      <c r="C11" s="144"/>
      <c r="D11" s="107"/>
      <c r="E11" s="107"/>
      <c r="F11" s="145"/>
      <c r="G11" s="138"/>
      <c r="I11" s="151">
        <f>I10/C10-1</f>
        <v>0.25104712041884825</v>
      </c>
      <c r="J11" s="133">
        <f>J10/D10-1</f>
        <v>0.23524273056283529</v>
      </c>
      <c r="K11" s="133">
        <f>K10/E10-1</f>
        <v>0.20593429883433423</v>
      </c>
      <c r="L11" s="152">
        <f>L10/F10-1</f>
        <v>0.17463133385075946</v>
      </c>
      <c r="M11" s="152">
        <f>M10/G10-1</f>
        <v>0.17463133385075946</v>
      </c>
      <c r="O11" s="151">
        <f>O10/I10-1</f>
        <v>0.14919439213224517</v>
      </c>
      <c r="P11" s="133">
        <f>P10/J10-1</f>
        <v>0.13447161042634881</v>
      </c>
      <c r="Q11" s="133">
        <f>Q10/K10-1</f>
        <v>0.10339777387229065</v>
      </c>
      <c r="R11" s="152">
        <f>R10/L10-1</f>
        <v>8.3349065508778519E-2</v>
      </c>
      <c r="S11" s="152">
        <f>S10/M10-1</f>
        <v>8.3349065508778519E-2</v>
      </c>
      <c r="U11" s="151">
        <f>U10/O10-1</f>
        <v>6.1999271667880551E-2</v>
      </c>
      <c r="V11" s="133">
        <f>V10/P10-1</f>
        <v>5.0405200819307217E-2</v>
      </c>
      <c r="W11" s="133">
        <f>W10/Q10-1</f>
        <v>4.8048845234935023E-2</v>
      </c>
      <c r="X11" s="152">
        <f>X10/R10-1</f>
        <v>4.1561383636838922E-2</v>
      </c>
      <c r="Y11" s="152">
        <f>Y10/S10-1</f>
        <v>4.1561383636838922E-2</v>
      </c>
      <c r="AA11" s="151">
        <f>AA10/U10-1</f>
        <v>3.4633519074153352E-2</v>
      </c>
      <c r="AB11" s="133">
        <f>AB10/V10-1</f>
        <v>3.035184400169566E-2</v>
      </c>
      <c r="AC11" s="133">
        <f>AC10/W10-1</f>
        <v>3.0141843971631221E-2</v>
      </c>
      <c r="AD11" s="152">
        <f>AD10/X10-1</f>
        <v>2.6016396185377211E-2</v>
      </c>
      <c r="AE11" s="152">
        <f>AE10/Y10-1</f>
        <v>2.6016396185377211E-2</v>
      </c>
      <c r="AG11" s="151">
        <f>AG10/AA10-1</f>
        <v>2.4691358024691468E-2</v>
      </c>
      <c r="AH11" s="133">
        <f>AH10/AB10-1</f>
        <v>2.1476178721303363E-2</v>
      </c>
      <c r="AI11" s="133">
        <f>AI10/AC10-1</f>
        <v>1.8277190394230036E-2</v>
      </c>
      <c r="AJ11" s="152">
        <f>AJ10/AD10-1</f>
        <v>1.3208316347329774E-2</v>
      </c>
      <c r="AK11" s="152">
        <f>AK10/AE10-1</f>
        <v>1.3208316347329774E-2</v>
      </c>
      <c r="AM11" s="151">
        <f>AM10/AG10-1</f>
        <v>6.1453869167946706E-3</v>
      </c>
      <c r="AN11" s="133">
        <f>AN10/AH10-1</f>
        <v>1.2888674077653484E-3</v>
      </c>
      <c r="AO11" s="133">
        <f>AO10/AI10-1</f>
        <v>-3.3000643915003236E-3</v>
      </c>
      <c r="AP11" s="152">
        <f>AP10/AJ10-1</f>
        <v>-5.3914862798745133E-3</v>
      </c>
      <c r="AQ11" s="152">
        <f>AQ10/AK10-1</f>
        <v>-5.3914862798745133E-3</v>
      </c>
      <c r="AS11" s="151">
        <f>AS10/AM10-1</f>
        <v>-7.152615928634587E-3</v>
      </c>
      <c r="AT11" s="133">
        <f>AT10/AN10-1</f>
        <v>-6.5164923572003097E-3</v>
      </c>
      <c r="AU11" s="133">
        <f>AU10/AO10-1</f>
        <v>-3.4725026245658874E-3</v>
      </c>
      <c r="AV11" s="152">
        <f>AV10/AP10-1</f>
        <v>8.0906148867354588E-5</v>
      </c>
      <c r="AW11" s="152">
        <f>AW10/AQ10-1</f>
        <v>8.0906148867354588E-5</v>
      </c>
      <c r="AY11" s="151">
        <f>AY10/AS10-1</f>
        <v>6.7184717500403668E-3</v>
      </c>
      <c r="AZ11" s="133">
        <f>AZ10/AT10-1</f>
        <v>1.3685318649283351E-2</v>
      </c>
      <c r="BA11" s="133">
        <f>BA10/AU10-1</f>
        <v>2.0745542949756945E-2</v>
      </c>
      <c r="BB11" s="152">
        <f>BB10/AV10-1</f>
        <v>2.2894587816519651E-2</v>
      </c>
      <c r="BC11" s="152">
        <f>BC10/AW10-1</f>
        <v>2.2894587816519651E-2</v>
      </c>
      <c r="BE11" s="151">
        <f>BE10/AY10-1</f>
        <v>2.1629010211465793E-2</v>
      </c>
      <c r="BF11" s="133">
        <f>BF10/AZ10-1</f>
        <v>2.0131011343665017E-2</v>
      </c>
      <c r="BG11" s="133">
        <f>BG10/BA10-1</f>
        <v>1.8974277548428065E-2</v>
      </c>
      <c r="BH11" s="152">
        <f>BH10/BB10-1</f>
        <v>2.1986713065485608E-2</v>
      </c>
      <c r="BI11" s="152">
        <f>BI10/BC10-1</f>
        <v>2.1986713065485608E-2</v>
      </c>
      <c r="BK11" s="151">
        <f>BK10/BE10-1</f>
        <v>2.2272941917204525E-2</v>
      </c>
      <c r="BL11" s="133">
        <f>BL10/BF10-1</f>
        <v>2.0751761942051639E-2</v>
      </c>
      <c r="BM11" s="133">
        <f>BM10/BG10-1</f>
        <v>2.1036229061160983E-2</v>
      </c>
      <c r="BN11" s="152">
        <f>BN10/BH10-1</f>
        <v>2.2210184182015258E-2</v>
      </c>
      <c r="BO11" s="152">
        <f>BO10/BI10-1</f>
        <v>2.2210184182015258E-2</v>
      </c>
      <c r="BQ11" s="151">
        <f>BQ10/BK10-1</f>
        <v>2.2711525136654087E-2</v>
      </c>
      <c r="BR11" s="133">
        <f>BR10/BL10-1</f>
        <v>2.3705408515535042E-2</v>
      </c>
      <c r="BS11" s="133">
        <f>BS10/BM10-1</f>
        <v>2.3960320488363163E-2</v>
      </c>
      <c r="BT11" s="152">
        <f>BT10/BN10-1</f>
        <v>2.271178741766966E-2</v>
      </c>
      <c r="BU11" s="152">
        <f>BU10/BO10-1</f>
        <v>2.271178741766966E-2</v>
      </c>
      <c r="BW11" s="151">
        <f>BW10/BQ10-1</f>
        <v>2.2207166516109655E-2</v>
      </c>
      <c r="BX11" s="133">
        <f>BX10/BR10-1</f>
        <v>2.1732613908872933E-2</v>
      </c>
      <c r="BY11" s="133">
        <f>BY10/BS10-1</f>
        <v>2.086593635889411E-2</v>
      </c>
      <c r="BZ11" s="152">
        <f>BZ10/BT10-1</f>
        <v>1.9986675549633626E-2</v>
      </c>
      <c r="CA11" s="152">
        <f>CA10/BU10-1</f>
        <v>1.9986675549633626E-2</v>
      </c>
      <c r="CC11" s="151">
        <f>CC10/BW10-1</f>
        <v>1.9515428234774257E-2</v>
      </c>
      <c r="CD11" s="133">
        <f>CD10/BX10-1</f>
        <v>1.9069972128502366E-2</v>
      </c>
      <c r="CE11" s="133">
        <f>CE10/BY10-1</f>
        <v>1.8614497408570019E-2</v>
      </c>
      <c r="CF11" s="152">
        <f>CF10/BZ10-1</f>
        <v>1.8143551781696798E-2</v>
      </c>
      <c r="CG11" s="152">
        <f>CG10/CA10-1</f>
        <v>1.8143551781696798E-2</v>
      </c>
      <c r="CI11" s="151">
        <f>CI10/CC10-1</f>
        <v>1.7697197341808746E-2</v>
      </c>
      <c r="CJ11" s="133">
        <f>CJ10/CD10-1</f>
        <v>1.7633510868000579E-2</v>
      </c>
      <c r="CK11" s="133">
        <f>CK10/CE10-1</f>
        <v>1.7199369356456939E-2</v>
      </c>
      <c r="CL11" s="152">
        <f>CL10/CF10-1</f>
        <v>1.6751015753082799E-2</v>
      </c>
      <c r="CM11" s="152">
        <f>CM10/CG10-1</f>
        <v>1.6751015753082799E-2</v>
      </c>
      <c r="CO11" s="151">
        <f>CO10/CI10-1</f>
        <v>1.6324792391227305E-2</v>
      </c>
      <c r="CP11" s="133">
        <f>CP10/CJ10-1</f>
        <v>1.6267062734281135E-2</v>
      </c>
      <c r="CQ11" s="133">
        <f>CQ10/CK10-1</f>
        <v>1.5851768352825202E-2</v>
      </c>
      <c r="CR11" s="152">
        <f>CR10/CL10-1</f>
        <v>1.542344363432413E-2</v>
      </c>
      <c r="CS11" s="152">
        <f>CS10/CM10-1</f>
        <v>1.542344363432413E-2</v>
      </c>
      <c r="CU11" s="151">
        <f>CU10/CO10-1</f>
        <v>1.501501501501501E-2</v>
      </c>
      <c r="CV11" s="133">
        <f>CV10/CP10-1</f>
        <v>1.4962767067993488E-2</v>
      </c>
      <c r="CW11" s="133">
        <f>CW10/CQ10-1</f>
        <v>1.4910881475830529E-2</v>
      </c>
      <c r="CX11" s="152">
        <f>CX10/CR10-1</f>
        <v>1.4153548743440991E-2</v>
      </c>
      <c r="CY11" s="152">
        <f>CY10/CS10-1</f>
        <v>1.4153548743440991E-2</v>
      </c>
      <c r="DA11" s="151">
        <f>DA10/CU10-1</f>
        <v>1.4104857575340635E-2</v>
      </c>
      <c r="DB11" s="133">
        <f>DB10/CV10-1</f>
        <v>1.4056500274273187E-2</v>
      </c>
      <c r="DC11" s="133">
        <f>DC10/CW10-1</f>
        <v>1.4008473418067435E-2</v>
      </c>
      <c r="DD11" s="152">
        <f>DD10/CX10-1</f>
        <v>1.361563074409422E-2</v>
      </c>
      <c r="DE11" s="152">
        <f>DE10/CY10-1</f>
        <v>1.361563074409422E-2</v>
      </c>
      <c r="DG11" s="151">
        <f>DG10/DA10-1</f>
        <v>1.3569441617477418E-2</v>
      </c>
      <c r="DH11" s="133">
        <f>DH10/DB10-1</f>
        <v>1.3523564811684263E-2</v>
      </c>
      <c r="DI11" s="133">
        <f>DI10/DC10-1</f>
        <v>1.3477997169620615E-2</v>
      </c>
      <c r="DJ11" s="152">
        <f>DJ10/DD10-1</f>
        <v>1.3432735576600185E-2</v>
      </c>
      <c r="DK11" s="152">
        <f>DK10/DE10-1</f>
        <v>1.3432735576600185E-2</v>
      </c>
    </row>
    <row r="12" spans="1:115" ht="15.75" thickBot="1" x14ac:dyDescent="0.35">
      <c r="B12" s="220" t="s">
        <v>72</v>
      </c>
      <c r="C12" s="123">
        <f>C10-C9</f>
        <v>7640</v>
      </c>
      <c r="D12" s="124">
        <f>D10-C10</f>
        <v>373</v>
      </c>
      <c r="E12" s="124">
        <f>E10-D10</f>
        <v>480</v>
      </c>
      <c r="F12" s="125">
        <f>F10-E10</f>
        <v>526</v>
      </c>
      <c r="G12" s="121">
        <f>C12+D12+E12+F12</f>
        <v>9019</v>
      </c>
      <c r="I12" s="123">
        <f>I10-G10</f>
        <v>539</v>
      </c>
      <c r="J12" s="124">
        <f>J10-I10</f>
        <v>340</v>
      </c>
      <c r="K12" s="124">
        <f>K10-J10</f>
        <v>344</v>
      </c>
      <c r="L12" s="125">
        <f>L10-K10</f>
        <v>352</v>
      </c>
      <c r="M12" s="125">
        <f>I12+J12+K12+L12</f>
        <v>1575</v>
      </c>
      <c r="O12" s="123">
        <f>O10-M10</f>
        <v>390</v>
      </c>
      <c r="P12" s="124">
        <f>P10-O10</f>
        <v>245</v>
      </c>
      <c r="Q12" s="124">
        <f>Q10-P10</f>
        <v>72</v>
      </c>
      <c r="R12" s="125">
        <f>R10-Q10</f>
        <v>176</v>
      </c>
      <c r="S12" s="125">
        <f>O12+P12+Q12+R12</f>
        <v>883</v>
      </c>
      <c r="U12" s="123">
        <f>U10-S10</f>
        <v>188</v>
      </c>
      <c r="V12" s="124">
        <f>V10-U10</f>
        <v>130</v>
      </c>
      <c r="W12" s="124">
        <f>W10-V10</f>
        <v>49</v>
      </c>
      <c r="X12" s="124">
        <f>X10-W10</f>
        <v>110</v>
      </c>
      <c r="Y12" s="121">
        <f>U12+V12+W12+X12</f>
        <v>477</v>
      </c>
      <c r="AA12" s="123">
        <f>AA64</f>
        <v>115</v>
      </c>
      <c r="AB12" s="124">
        <f>AB10-AA10</f>
        <v>84</v>
      </c>
      <c r="AC12" s="106">
        <f>AC64</f>
        <v>48</v>
      </c>
      <c r="AD12" s="106">
        <f>AD64</f>
        <v>64</v>
      </c>
      <c r="AE12" s="121">
        <f>AA12+AB12+AC12+AD12</f>
        <v>311</v>
      </c>
      <c r="AG12" s="123">
        <f>AG64</f>
        <v>102</v>
      </c>
      <c r="AH12" s="106">
        <f>AH64</f>
        <v>47</v>
      </c>
      <c r="AI12" s="106">
        <f>AI64</f>
        <v>10</v>
      </c>
      <c r="AJ12" s="106">
        <f>AJ64</f>
        <v>3</v>
      </c>
      <c r="AK12" s="121">
        <f>AG12+AH12+AI12+AJ12</f>
        <v>162</v>
      </c>
      <c r="AM12" s="123">
        <f>AM64</f>
        <v>16</v>
      </c>
      <c r="AN12" s="106">
        <f>AN64</f>
        <v>-13</v>
      </c>
      <c r="AO12" s="106">
        <f>AO64</f>
        <v>-47</v>
      </c>
      <c r="AP12" s="106">
        <f>AP64</f>
        <v>-23</v>
      </c>
      <c r="AQ12" s="121">
        <f>AM12+AN12+AO12+AP12</f>
        <v>-67</v>
      </c>
      <c r="AS12" s="123">
        <f>AS64</f>
        <v>-6</v>
      </c>
      <c r="AT12" s="106">
        <f>AT64</f>
        <v>-5</v>
      </c>
      <c r="AU12" s="106">
        <f>AU64</f>
        <v>-9</v>
      </c>
      <c r="AV12" s="106">
        <f>AV64</f>
        <v>21</v>
      </c>
      <c r="AW12" s="121">
        <f>AS12+AT12+AU12+AV12</f>
        <v>1</v>
      </c>
      <c r="AY12" s="123">
        <f>AY64</f>
        <v>76</v>
      </c>
      <c r="AZ12" s="106">
        <f>AZ64</f>
        <v>81</v>
      </c>
      <c r="BA12" s="106">
        <f>BA64</f>
        <v>78</v>
      </c>
      <c r="BB12" s="106">
        <f>BB64</f>
        <v>48</v>
      </c>
      <c r="BC12" s="121">
        <f>AY12+AZ12+BA12+BB12</f>
        <v>283</v>
      </c>
      <c r="BE12" s="123">
        <f>BE64</f>
        <v>62</v>
      </c>
      <c r="BF12" s="106">
        <f>BF64</f>
        <v>64</v>
      </c>
      <c r="BG12" s="106">
        <f>BG64</f>
        <v>65</v>
      </c>
      <c r="BH12" s="106">
        <f>BH64</f>
        <v>87</v>
      </c>
      <c r="BI12" s="121">
        <f>BE12+BF12+BG12+BH12</f>
        <v>278</v>
      </c>
      <c r="BK12" s="123">
        <f>BK64</f>
        <v>67</v>
      </c>
      <c r="BL12" s="106">
        <f>BL64</f>
        <v>46</v>
      </c>
      <c r="BM12" s="106">
        <f>BM64</f>
        <v>70</v>
      </c>
      <c r="BN12" s="106">
        <f>BN64</f>
        <v>104</v>
      </c>
      <c r="BO12" s="121">
        <f>BK12+BL12+BM12+BN12</f>
        <v>287</v>
      </c>
      <c r="BQ12" s="123">
        <f>BQ64</f>
        <v>75</v>
      </c>
      <c r="BR12" s="106">
        <f>BR64</f>
        <v>60</v>
      </c>
      <c r="BS12" s="106">
        <f>BS64</f>
        <v>75</v>
      </c>
      <c r="BT12" s="106">
        <f>BT64</f>
        <v>90</v>
      </c>
      <c r="BU12" s="121">
        <f>BQ12+BR12+BS12+BT12</f>
        <v>300</v>
      </c>
      <c r="BW12" s="123">
        <f>BW64</f>
        <v>70</v>
      </c>
      <c r="BX12" s="106">
        <f>BX64</f>
        <v>55</v>
      </c>
      <c r="BY12" s="106">
        <f>BY64</f>
        <v>65</v>
      </c>
      <c r="BZ12" s="106">
        <f>BZ64</f>
        <v>80</v>
      </c>
      <c r="CA12" s="121">
        <f>BW12+BX12+BY12+BZ12</f>
        <v>270</v>
      </c>
      <c r="CC12" s="123">
        <f>CC64</f>
        <v>65</v>
      </c>
      <c r="CD12" s="106">
        <f>CD64</f>
        <v>50</v>
      </c>
      <c r="CE12" s="106">
        <f>CE64</f>
        <v>60</v>
      </c>
      <c r="CF12" s="106">
        <f>CF64</f>
        <v>75</v>
      </c>
      <c r="CG12" s="121">
        <f>CC12+CD12+CE12+CF12</f>
        <v>250</v>
      </c>
      <c r="CI12" s="123">
        <f>CI64</f>
        <v>60</v>
      </c>
      <c r="CJ12" s="106">
        <f>CJ64</f>
        <v>50</v>
      </c>
      <c r="CK12" s="106">
        <f>CK64</f>
        <v>55</v>
      </c>
      <c r="CL12" s="106">
        <f>CL64</f>
        <v>70</v>
      </c>
      <c r="CM12" s="121">
        <f>CI12+CJ12+CK12+CL12</f>
        <v>235</v>
      </c>
      <c r="CO12" s="123">
        <f>CO64</f>
        <v>55</v>
      </c>
      <c r="CP12" s="106">
        <f>CP64</f>
        <v>50</v>
      </c>
      <c r="CQ12" s="106">
        <f>CQ64</f>
        <v>50</v>
      </c>
      <c r="CR12" s="106">
        <f>CR64</f>
        <v>65</v>
      </c>
      <c r="CS12" s="121">
        <f>CO12+CP12+CQ12+CR12</f>
        <v>220</v>
      </c>
      <c r="CU12" s="123">
        <f>CU64</f>
        <v>50</v>
      </c>
      <c r="CV12" s="106">
        <f>CV64</f>
        <v>50</v>
      </c>
      <c r="CW12" s="106">
        <f>CW64</f>
        <v>50</v>
      </c>
      <c r="CX12" s="106">
        <f>CX64</f>
        <v>55</v>
      </c>
      <c r="CY12" s="121">
        <f>CU12+CV12+CW12+CX12</f>
        <v>205</v>
      </c>
      <c r="DA12" s="123">
        <f>DA64</f>
        <v>50</v>
      </c>
      <c r="DB12" s="106">
        <f>DB64</f>
        <v>50</v>
      </c>
      <c r="DC12" s="106">
        <f>DC64</f>
        <v>50</v>
      </c>
      <c r="DD12" s="106">
        <f>DD64</f>
        <v>50</v>
      </c>
      <c r="DE12" s="121">
        <f>DA12+DB12+DC12+DD12</f>
        <v>200</v>
      </c>
      <c r="DG12" s="123">
        <f>DG64</f>
        <v>50</v>
      </c>
      <c r="DH12" s="106">
        <f>DH64</f>
        <v>50</v>
      </c>
      <c r="DI12" s="106">
        <f>DI64</f>
        <v>50</v>
      </c>
      <c r="DJ12" s="106">
        <f>DJ64</f>
        <v>50</v>
      </c>
      <c r="DK12" s="121">
        <f>DG12+DH12+DI12+DJ12</f>
        <v>200</v>
      </c>
    </row>
    <row r="14" spans="1:115" x14ac:dyDescent="0.2">
      <c r="A14" s="278"/>
      <c r="B14" s="278"/>
      <c r="C14" s="279"/>
      <c r="D14" s="279"/>
      <c r="E14" s="279"/>
      <c r="F14" s="279"/>
      <c r="G14" s="279"/>
      <c r="H14" s="279"/>
      <c r="I14" s="279"/>
      <c r="J14" s="279"/>
      <c r="K14" s="279"/>
      <c r="L14" s="279"/>
      <c r="M14" s="279"/>
      <c r="N14" s="279"/>
      <c r="O14" s="279"/>
      <c r="P14" s="279"/>
      <c r="Q14" s="279"/>
      <c r="R14" s="279"/>
      <c r="S14" s="279"/>
      <c r="T14" s="279"/>
      <c r="U14" s="279"/>
      <c r="V14" s="279"/>
      <c r="W14" s="279"/>
      <c r="X14" s="279"/>
      <c r="Y14" s="279"/>
      <c r="Z14" s="278"/>
      <c r="AA14" s="278"/>
      <c r="AB14" s="278"/>
      <c r="AC14" s="278"/>
      <c r="AD14" s="278"/>
      <c r="AE14" s="278"/>
      <c r="AF14" s="278"/>
      <c r="AG14" s="278"/>
      <c r="AH14" s="278"/>
      <c r="AI14" s="278"/>
      <c r="AJ14" s="278"/>
      <c r="AK14" s="278"/>
      <c r="AL14" s="278"/>
      <c r="AM14" s="278"/>
      <c r="AN14" s="278"/>
      <c r="AO14" s="278"/>
      <c r="AP14" s="278"/>
      <c r="AQ14" s="278"/>
      <c r="AR14" s="278"/>
      <c r="AS14" s="278"/>
      <c r="AT14" s="278"/>
      <c r="AU14" s="278"/>
      <c r="AV14" s="278"/>
      <c r="AW14" s="278"/>
      <c r="AX14" s="278"/>
      <c r="AY14" s="278"/>
      <c r="AZ14" s="278"/>
      <c r="BA14" s="278"/>
      <c r="BB14" s="278"/>
      <c r="BC14" s="278"/>
      <c r="BD14" s="278"/>
      <c r="BE14" s="278"/>
      <c r="BF14" s="278"/>
      <c r="BG14" s="278"/>
      <c r="BH14" s="278"/>
      <c r="BI14" s="278"/>
      <c r="BJ14" s="278"/>
      <c r="BK14" s="278"/>
      <c r="BL14" s="278"/>
      <c r="BM14" s="278"/>
      <c r="BN14" s="278"/>
      <c r="BO14" s="278"/>
      <c r="BP14" s="278"/>
      <c r="BQ14" s="278"/>
      <c r="BR14" s="278"/>
      <c r="BS14" s="278"/>
      <c r="BT14" s="278"/>
      <c r="BU14" s="278"/>
      <c r="BV14" s="278"/>
      <c r="BW14" s="278"/>
      <c r="BX14" s="278"/>
      <c r="BY14" s="278"/>
      <c r="BZ14" s="278"/>
      <c r="CA14" s="278"/>
      <c r="CB14" s="278"/>
      <c r="CC14" s="278"/>
      <c r="CD14" s="278"/>
      <c r="CE14" s="278"/>
      <c r="CF14" s="278"/>
      <c r="CG14" s="278"/>
      <c r="CH14" s="278"/>
      <c r="CI14" s="278"/>
      <c r="CJ14" s="278"/>
      <c r="CK14" s="278"/>
      <c r="CL14" s="278"/>
      <c r="CM14" s="278"/>
      <c r="CN14" s="278"/>
      <c r="CO14" s="278"/>
      <c r="CP14" s="278"/>
      <c r="CQ14" s="278"/>
      <c r="CR14" s="278"/>
      <c r="CS14" s="278"/>
      <c r="CT14" s="278"/>
      <c r="CU14" s="278"/>
      <c r="CV14" s="278"/>
      <c r="CW14" s="278"/>
      <c r="CX14" s="278"/>
      <c r="CY14" s="278"/>
      <c r="CZ14" s="278"/>
      <c r="DA14" s="278"/>
      <c r="DB14" s="278"/>
      <c r="DC14" s="278"/>
      <c r="DD14" s="278"/>
      <c r="DE14" s="278"/>
      <c r="DF14" s="278"/>
      <c r="DG14" s="278"/>
      <c r="DH14" s="278"/>
      <c r="DI14" s="278"/>
      <c r="DJ14" s="278"/>
      <c r="DK14" s="278"/>
    </row>
    <row r="15" spans="1:115" ht="13.5" thickBot="1" x14ac:dyDescent="0.25"/>
    <row r="16" spans="1:115" x14ac:dyDescent="0.2">
      <c r="B16" s="225" t="s">
        <v>70</v>
      </c>
      <c r="C16" s="221"/>
      <c r="D16" s="222"/>
      <c r="E16" s="222"/>
      <c r="F16" s="222"/>
      <c r="G16" s="224"/>
      <c r="I16" s="221"/>
      <c r="J16" s="222"/>
      <c r="K16" s="222"/>
      <c r="L16" s="112">
        <v>352</v>
      </c>
      <c r="M16" s="113">
        <f>L16</f>
        <v>352</v>
      </c>
      <c r="N16" s="114"/>
      <c r="O16" s="111">
        <v>448</v>
      </c>
      <c r="P16" s="112">
        <v>561</v>
      </c>
      <c r="Q16" s="112">
        <v>678</v>
      </c>
      <c r="R16" s="112">
        <v>806</v>
      </c>
      <c r="S16" s="113">
        <f>R16</f>
        <v>806</v>
      </c>
      <c r="T16" s="114"/>
      <c r="U16" s="111">
        <v>896</v>
      </c>
      <c r="V16" s="112">
        <v>971</v>
      </c>
      <c r="W16" s="112">
        <v>1042</v>
      </c>
      <c r="X16" s="112">
        <v>1156</v>
      </c>
      <c r="Y16" s="113">
        <f>X16</f>
        <v>1156</v>
      </c>
      <c r="Z16" s="259"/>
      <c r="AA16" s="111">
        <f>Y16+AA18</f>
        <v>1257</v>
      </c>
      <c r="AB16" s="112">
        <f>AA16+AB18</f>
        <v>1301</v>
      </c>
      <c r="AC16" s="112">
        <f>AB16+AC18</f>
        <v>1375</v>
      </c>
      <c r="AD16" s="112">
        <f>AC16+AD18</f>
        <v>1553</v>
      </c>
      <c r="AE16" s="113">
        <f>AD16</f>
        <v>1553</v>
      </c>
      <c r="AF16" s="259"/>
      <c r="AG16" s="111">
        <f>AE16+AG18</f>
        <v>1725</v>
      </c>
      <c r="AH16" s="112">
        <f>AG16+AH18</f>
        <v>1830</v>
      </c>
      <c r="AI16" s="112">
        <f>AH16+AI18</f>
        <v>1906</v>
      </c>
      <c r="AJ16" s="112">
        <f>AI16+AJ18</f>
        <v>1966</v>
      </c>
      <c r="AK16" s="113">
        <f>AJ16</f>
        <v>1966</v>
      </c>
      <c r="AL16" s="259"/>
      <c r="AM16" s="111">
        <f>AK16+AM18</f>
        <v>2036</v>
      </c>
      <c r="AN16" s="112">
        <f>AM16+AN18</f>
        <v>2078</v>
      </c>
      <c r="AO16" s="112">
        <f>AN16+AO18</f>
        <v>2121</v>
      </c>
      <c r="AP16" s="112">
        <f>AO16+AP18</f>
        <v>2177</v>
      </c>
      <c r="AQ16" s="113">
        <f>AP16</f>
        <v>2177</v>
      </c>
      <c r="AR16" s="259"/>
      <c r="AS16" s="111">
        <f>AQ16+AS18</f>
        <v>2255</v>
      </c>
      <c r="AT16" s="112">
        <f>AS16+AT18</f>
        <v>2318</v>
      </c>
      <c r="AU16" s="112">
        <f>AT16+AU18</f>
        <v>2377</v>
      </c>
      <c r="AV16" s="112">
        <f>AU16+AV18</f>
        <v>2442</v>
      </c>
      <c r="AW16" s="113">
        <f>AV16</f>
        <v>2442</v>
      </c>
      <c r="AX16" s="259"/>
      <c r="AY16" s="111">
        <f>AW16+AY18</f>
        <v>2516</v>
      </c>
      <c r="AZ16" s="112">
        <f>AY16+AZ18</f>
        <v>2578</v>
      </c>
      <c r="BA16" s="112">
        <f>AZ16+BA18</f>
        <v>2632</v>
      </c>
      <c r="BB16" s="112">
        <f>BA16+BB18</f>
        <v>2683</v>
      </c>
      <c r="BC16" s="113">
        <f>BB16</f>
        <v>2683</v>
      </c>
      <c r="BD16" s="259"/>
      <c r="BE16" s="111">
        <f>BC16+BE18</f>
        <v>2736</v>
      </c>
      <c r="BF16" s="112">
        <f>BE16+BF18</f>
        <v>2777</v>
      </c>
      <c r="BG16" s="112">
        <f>BF16+BG18</f>
        <v>2818</v>
      </c>
      <c r="BH16" s="112">
        <f>BG16+BH18</f>
        <v>2879</v>
      </c>
      <c r="BI16" s="113">
        <f>BH16</f>
        <v>2879</v>
      </c>
      <c r="BJ16" s="259"/>
      <c r="BK16" s="111">
        <f>BI16+BK18</f>
        <v>2955</v>
      </c>
      <c r="BL16" s="112">
        <f>BK16+BL18</f>
        <v>3024</v>
      </c>
      <c r="BM16" s="112">
        <f>BL16+BM18</f>
        <v>3089</v>
      </c>
      <c r="BN16" s="112">
        <f>BM16+BN18</f>
        <v>3139</v>
      </c>
      <c r="BO16" s="113">
        <f>BN16</f>
        <v>3139</v>
      </c>
      <c r="BP16" s="259"/>
      <c r="BQ16" s="111">
        <f>BO16+BQ18</f>
        <v>3204</v>
      </c>
      <c r="BR16" s="112">
        <f>BQ16+BR18</f>
        <v>3269</v>
      </c>
      <c r="BS16" s="112">
        <f>BR16+BS18</f>
        <v>3334</v>
      </c>
      <c r="BT16" s="112">
        <f>BS16+BT18</f>
        <v>3404</v>
      </c>
      <c r="BU16" s="113">
        <f>BT16</f>
        <v>3404</v>
      </c>
      <c r="BV16" s="259"/>
      <c r="BW16" s="111">
        <f>BU16+BW18</f>
        <v>3469</v>
      </c>
      <c r="BX16" s="112">
        <f>BW16+BX18</f>
        <v>3534</v>
      </c>
      <c r="BY16" s="112">
        <f>BX16+BY18</f>
        <v>3599</v>
      </c>
      <c r="BZ16" s="112">
        <f>BY16+BZ18</f>
        <v>3679</v>
      </c>
      <c r="CA16" s="113">
        <f>BZ16</f>
        <v>3679</v>
      </c>
      <c r="CB16" s="259"/>
      <c r="CC16" s="111">
        <f>CA16+CC18</f>
        <v>3749</v>
      </c>
      <c r="CD16" s="112">
        <f>CC16+CD18</f>
        <v>3819</v>
      </c>
      <c r="CE16" s="112">
        <f>CD16+CE18</f>
        <v>3889</v>
      </c>
      <c r="CF16" s="112">
        <f>CE16+CF18</f>
        <v>3959</v>
      </c>
      <c r="CG16" s="113">
        <f>CF16</f>
        <v>3959</v>
      </c>
      <c r="CH16" s="259"/>
      <c r="CI16" s="111">
        <f>CG16+CI18</f>
        <v>4029</v>
      </c>
      <c r="CJ16" s="112">
        <f>CI16+CJ18</f>
        <v>4099</v>
      </c>
      <c r="CK16" s="112">
        <f>CJ16+CK18</f>
        <v>4169</v>
      </c>
      <c r="CL16" s="112">
        <f>CK16+CL18</f>
        <v>4239</v>
      </c>
      <c r="CM16" s="113">
        <f>CL16</f>
        <v>4239</v>
      </c>
      <c r="CN16" s="259"/>
      <c r="CO16" s="111">
        <f>CM16+CO18</f>
        <v>4309</v>
      </c>
      <c r="CP16" s="112">
        <f>CO16+CP18</f>
        <v>4379</v>
      </c>
      <c r="CQ16" s="112">
        <f>CP16+CQ18</f>
        <v>4449</v>
      </c>
      <c r="CR16" s="112">
        <f>CQ16+CR18</f>
        <v>4519</v>
      </c>
      <c r="CS16" s="113">
        <f>CR16</f>
        <v>4519</v>
      </c>
      <c r="CT16" s="259"/>
      <c r="CU16" s="111">
        <f>CS16+CU18</f>
        <v>4589</v>
      </c>
      <c r="CV16" s="112">
        <f>CU16+CV18</f>
        <v>4659</v>
      </c>
      <c r="CW16" s="112">
        <f>CV16+CW18</f>
        <v>4729</v>
      </c>
      <c r="CX16" s="112">
        <f>CW16+CX18</f>
        <v>4799</v>
      </c>
      <c r="CY16" s="113">
        <f>CX16</f>
        <v>4799</v>
      </c>
      <c r="CZ16" s="259"/>
      <c r="DA16" s="111">
        <f>CY16+DA18</f>
        <v>4869</v>
      </c>
      <c r="DB16" s="112">
        <f>DA16+DB18</f>
        <v>4939</v>
      </c>
      <c r="DC16" s="112">
        <f>DB16+DC18</f>
        <v>5009</v>
      </c>
      <c r="DD16" s="112">
        <f>DC16+DD18</f>
        <v>5079</v>
      </c>
      <c r="DE16" s="113">
        <f>DD16</f>
        <v>5079</v>
      </c>
      <c r="DF16" s="259"/>
      <c r="DG16" s="111">
        <f>DE16+DG18</f>
        <v>5149</v>
      </c>
      <c r="DH16" s="112">
        <f>DG16+DH18</f>
        <v>5219</v>
      </c>
      <c r="DI16" s="112">
        <f>DH16+DI18</f>
        <v>5289</v>
      </c>
      <c r="DJ16" s="112">
        <f>DI16+DJ18</f>
        <v>5359</v>
      </c>
      <c r="DK16" s="113">
        <f>DJ16</f>
        <v>5359</v>
      </c>
    </row>
    <row r="17" spans="2:115" ht="15" x14ac:dyDescent="0.3">
      <c r="B17" s="219" t="s">
        <v>71</v>
      </c>
      <c r="C17" s="144"/>
      <c r="D17" s="107"/>
      <c r="E17" s="107"/>
      <c r="F17" s="107"/>
      <c r="G17" s="138"/>
      <c r="I17" s="144"/>
      <c r="J17" s="107"/>
      <c r="K17" s="107"/>
      <c r="L17" s="107"/>
      <c r="M17" s="138"/>
      <c r="O17" s="144" t="s">
        <v>35</v>
      </c>
      <c r="P17" s="107" t="s">
        <v>35</v>
      </c>
      <c r="Q17" s="107" t="s">
        <v>35</v>
      </c>
      <c r="R17" s="133">
        <f>R16/L16-1</f>
        <v>1.2897727272727271</v>
      </c>
      <c r="S17" s="153">
        <f>S16/M16-1</f>
        <v>1.2897727272727271</v>
      </c>
      <c r="U17" s="151">
        <f>U16/O16-1</f>
        <v>1</v>
      </c>
      <c r="V17" s="133">
        <f>V16/P16-1</f>
        <v>0.73083778966131918</v>
      </c>
      <c r="W17" s="133">
        <f>W16/Q16-1</f>
        <v>0.53687315634218291</v>
      </c>
      <c r="X17" s="133">
        <f>X16/R16-1</f>
        <v>0.43424317617866004</v>
      </c>
      <c r="Y17" s="153">
        <f>Y16/S16-1</f>
        <v>0.43424317617866004</v>
      </c>
      <c r="AA17" s="151">
        <f>AA16/U16-1</f>
        <v>0.40290178571428581</v>
      </c>
      <c r="AB17" s="133">
        <f>AB16/V16-1</f>
        <v>0.33985581874356341</v>
      </c>
      <c r="AC17" s="133">
        <f>AC16/W16-1</f>
        <v>0.31957773512476018</v>
      </c>
      <c r="AD17" s="133">
        <f>AD16/X16-1</f>
        <v>0.34342560553633228</v>
      </c>
      <c r="AE17" s="153">
        <f>AE16/Y16-1</f>
        <v>0.34342560553633228</v>
      </c>
      <c r="AG17" s="151">
        <f>AG16/AA16-1</f>
        <v>0.37231503579952263</v>
      </c>
      <c r="AH17" s="133">
        <f>AH16/AB16-1</f>
        <v>0.4066102997694081</v>
      </c>
      <c r="AI17" s="133">
        <f>AI16/AC16-1</f>
        <v>0.38618181818181818</v>
      </c>
      <c r="AJ17" s="133">
        <f>AJ16/AD16-1</f>
        <v>0.26593689632968442</v>
      </c>
      <c r="AK17" s="153">
        <f>AK16/AE16-1</f>
        <v>0.26593689632968442</v>
      </c>
      <c r="AM17" s="151">
        <f>AM16/AG16-1</f>
        <v>0.18028985507246387</v>
      </c>
      <c r="AN17" s="133">
        <f>AN16/AH16-1</f>
        <v>0.13551912568306013</v>
      </c>
      <c r="AO17" s="133">
        <f>AO16/AI16-1</f>
        <v>0.1128016789087094</v>
      </c>
      <c r="AP17" s="133">
        <f>AP16/AJ16-1</f>
        <v>0.10732451678535093</v>
      </c>
      <c r="AQ17" s="153">
        <f>AQ16/AK16-1</f>
        <v>0.10732451678535093</v>
      </c>
      <c r="AS17" s="151">
        <f>AS16/AM16-1</f>
        <v>0.10756385068762286</v>
      </c>
      <c r="AT17" s="133">
        <f>AT16/AN16-1</f>
        <v>0.11549566891241581</v>
      </c>
      <c r="AU17" s="133">
        <f>AU16/AO16-1</f>
        <v>0.12069778406412079</v>
      </c>
      <c r="AV17" s="133">
        <f>AV16/AP16-1</f>
        <v>0.12172714745062008</v>
      </c>
      <c r="AW17" s="153">
        <f>AW16/AQ16-1</f>
        <v>0.12172714745062008</v>
      </c>
      <c r="AY17" s="151">
        <f>AY16/AS16-1</f>
        <v>0.11574279379157426</v>
      </c>
      <c r="AZ17" s="133">
        <f>AZ16/AT16-1</f>
        <v>0.11216566005176887</v>
      </c>
      <c r="BA17" s="133">
        <f>BA16/AU16-1</f>
        <v>0.10727808161548169</v>
      </c>
      <c r="BB17" s="133">
        <f>BB16/AV16-1</f>
        <v>9.868959868959859E-2</v>
      </c>
      <c r="BC17" s="153">
        <f>BC16/AW16-1</f>
        <v>9.868959868959859E-2</v>
      </c>
      <c r="BE17" s="151">
        <f>BE16/AY16-1</f>
        <v>8.744038155802869E-2</v>
      </c>
      <c r="BF17" s="133">
        <f>BF16/AZ16-1</f>
        <v>7.7191621411947242E-2</v>
      </c>
      <c r="BG17" s="133">
        <f>BG16/BA16-1</f>
        <v>7.0668693009118488E-2</v>
      </c>
      <c r="BH17" s="133">
        <f>BH16/BB16-1</f>
        <v>7.3052553112187946E-2</v>
      </c>
      <c r="BI17" s="153">
        <f>BI16/BC16-1</f>
        <v>7.3052553112187946E-2</v>
      </c>
      <c r="BK17" s="151">
        <f>BK16/BE16-1</f>
        <v>8.0043859649122862E-2</v>
      </c>
      <c r="BL17" s="133">
        <f>BL16/BF16-1</f>
        <v>8.8944904573280414E-2</v>
      </c>
      <c r="BM17" s="133">
        <f>BM16/BG16-1</f>
        <v>9.616749467707586E-2</v>
      </c>
      <c r="BN17" s="133">
        <f>BN16/BH16-1</f>
        <v>9.0309135116359851E-2</v>
      </c>
      <c r="BO17" s="153">
        <f>BO16/BI16-1</f>
        <v>9.0309135116359851E-2</v>
      </c>
      <c r="BQ17" s="151">
        <f>BQ16/BK16-1</f>
        <v>8.4263959390862953E-2</v>
      </c>
      <c r="BR17" s="133">
        <f>BR16/BL16-1</f>
        <v>8.1018518518518601E-2</v>
      </c>
      <c r="BS17" s="133">
        <f>BS16/BM16-1</f>
        <v>7.9313693752023351E-2</v>
      </c>
      <c r="BT17" s="133">
        <f>BT16/BN16-1</f>
        <v>8.442179037910158E-2</v>
      </c>
      <c r="BU17" s="153">
        <f>BU16/BO16-1</f>
        <v>8.442179037910158E-2</v>
      </c>
      <c r="BW17" s="151">
        <f>BW16/BQ16-1</f>
        <v>8.2709113607990048E-2</v>
      </c>
      <c r="BX17" s="133">
        <f>BX16/BR16-1</f>
        <v>8.1064545732639992E-2</v>
      </c>
      <c r="BY17" s="133">
        <f>BY16/BS16-1</f>
        <v>7.9484103179364052E-2</v>
      </c>
      <c r="BZ17" s="133">
        <f>BZ16/BT16-1</f>
        <v>8.0787309048178546E-2</v>
      </c>
      <c r="CA17" s="153">
        <f>CA16/BU16-1</f>
        <v>8.0787309048178546E-2</v>
      </c>
      <c r="CC17" s="151">
        <f>CC16/BW16-1</f>
        <v>8.0714903430383345E-2</v>
      </c>
      <c r="CD17" s="133">
        <f>CD16/BX16-1</f>
        <v>8.0645161290322509E-2</v>
      </c>
      <c r="CE17" s="133">
        <f>CE16/BY16-1</f>
        <v>8.057793831619886E-2</v>
      </c>
      <c r="CF17" s="133">
        <f>CF16/BZ16-1</f>
        <v>7.6107637945093787E-2</v>
      </c>
      <c r="CG17" s="153">
        <f>CG16/CA16-1</f>
        <v>7.6107637945093787E-2</v>
      </c>
      <c r="CI17" s="151">
        <f>CI16/CC16-1</f>
        <v>7.4686583088823699E-2</v>
      </c>
      <c r="CJ17" s="133">
        <f>CJ16/CD16-1</f>
        <v>7.3317622414244665E-2</v>
      </c>
      <c r="CK17" s="133">
        <f>CK16/CE16-1</f>
        <v>7.1997942915916768E-2</v>
      </c>
      <c r="CL17" s="133">
        <f>CL16/CF16-1</f>
        <v>7.0724930538014652E-2</v>
      </c>
      <c r="CM17" s="153">
        <f>CM16/CG16-1</f>
        <v>7.0724930538014652E-2</v>
      </c>
      <c r="CO17" s="151">
        <f>CO16/CI16-1</f>
        <v>6.9496152891536322E-2</v>
      </c>
      <c r="CP17" s="133">
        <f>CP16/CJ16-1</f>
        <v>6.8309343742376294E-2</v>
      </c>
      <c r="CQ17" s="133">
        <f>CQ16/CK16-1</f>
        <v>6.7162389062125127E-2</v>
      </c>
      <c r="CR17" s="133">
        <f>CR16/CL16-1</f>
        <v>6.6053314460957857E-2</v>
      </c>
      <c r="CS17" s="153">
        <f>CS16/CM16-1</f>
        <v>6.6053314460957857E-2</v>
      </c>
      <c r="CU17" s="151">
        <f>CU16/CO16-1</f>
        <v>6.4980273845439696E-2</v>
      </c>
      <c r="CV17" s="133">
        <f>CV16/CP16-1</f>
        <v>6.3941539164192651E-2</v>
      </c>
      <c r="CW17" s="133">
        <f>CW16/CQ16-1</f>
        <v>6.2935491121600462E-2</v>
      </c>
      <c r="CX17" s="133">
        <f>CX16/CR16-1</f>
        <v>6.1960610754591805E-2</v>
      </c>
      <c r="CY17" s="153">
        <f>CY16/CS16-1</f>
        <v>6.1960610754591805E-2</v>
      </c>
      <c r="DA17" s="151">
        <f>DA16/CU16-1</f>
        <v>6.1015471780344388E-2</v>
      </c>
      <c r="DB17" s="133">
        <f>DB16/CV16-1</f>
        <v>6.0098733633827006E-2</v>
      </c>
      <c r="DC17" s="133">
        <f>DC16/CW16-1</f>
        <v>5.9209135123704737E-2</v>
      </c>
      <c r="DD17" s="133">
        <f>DD16/CX16-1</f>
        <v>5.8345488643467336E-2</v>
      </c>
      <c r="DE17" s="153">
        <f>DE16/CY16-1</f>
        <v>5.8345488643467336E-2</v>
      </c>
      <c r="DG17" s="151">
        <f>DG16/DA16-1</f>
        <v>5.7506674881905973E-2</v>
      </c>
      <c r="DH17" s="133">
        <f>DH16/DB16-1</f>
        <v>5.6691637983397491E-2</v>
      </c>
      <c r="DI17" s="133">
        <f>DI16/DC16-1</f>
        <v>5.5899381113994728E-2</v>
      </c>
      <c r="DJ17" s="133">
        <f>DJ16/DD16-1</f>
        <v>5.5128962394171976E-2</v>
      </c>
      <c r="DK17" s="153">
        <f>DK16/DE16-1</f>
        <v>5.5128962394171976E-2</v>
      </c>
    </row>
    <row r="18" spans="2:115" ht="15.75" thickBot="1" x14ac:dyDescent="0.35">
      <c r="B18" s="220" t="s">
        <v>72</v>
      </c>
      <c r="C18" s="155"/>
      <c r="D18" s="106"/>
      <c r="E18" s="106"/>
      <c r="F18" s="106"/>
      <c r="G18" s="108"/>
      <c r="I18" s="155"/>
      <c r="J18" s="106"/>
      <c r="K18" s="106"/>
      <c r="L18" s="106"/>
      <c r="M18" s="108"/>
      <c r="O18" s="155">
        <f>O16-L16</f>
        <v>96</v>
      </c>
      <c r="P18" s="106">
        <f>P16-O16</f>
        <v>113</v>
      </c>
      <c r="Q18" s="106">
        <f>Q16-P16</f>
        <v>117</v>
      </c>
      <c r="R18" s="106">
        <f>R16-Q16</f>
        <v>128</v>
      </c>
      <c r="S18" s="108">
        <f>O18+P18+Q18+R18</f>
        <v>454</v>
      </c>
      <c r="U18" s="155">
        <f>U16-R16</f>
        <v>90</v>
      </c>
      <c r="V18" s="106">
        <f>V16-U16</f>
        <v>75</v>
      </c>
      <c r="W18" s="106">
        <f>W16-V16</f>
        <v>71</v>
      </c>
      <c r="X18" s="106">
        <f>X16-W16</f>
        <v>114</v>
      </c>
      <c r="Y18" s="108">
        <f>U18+V18+W18+X18</f>
        <v>350</v>
      </c>
      <c r="AA18" s="155">
        <v>101</v>
      </c>
      <c r="AB18" s="106">
        <v>44</v>
      </c>
      <c r="AC18" s="106">
        <v>74</v>
      </c>
      <c r="AD18" s="106">
        <v>178</v>
      </c>
      <c r="AE18" s="108">
        <f>AA18+AB18+AC18+AD18</f>
        <v>397</v>
      </c>
      <c r="AG18" s="155">
        <v>172</v>
      </c>
      <c r="AH18" s="106">
        <v>105</v>
      </c>
      <c r="AI18" s="106">
        <v>76</v>
      </c>
      <c r="AJ18" s="106">
        <v>60</v>
      </c>
      <c r="AK18" s="108">
        <f>AG18+AH18+AI18+AJ18</f>
        <v>413</v>
      </c>
      <c r="AM18" s="155">
        <v>70</v>
      </c>
      <c r="AN18" s="106">
        <v>42</v>
      </c>
      <c r="AO18" s="106">
        <v>43</v>
      </c>
      <c r="AP18" s="106">
        <v>56</v>
      </c>
      <c r="AQ18" s="108">
        <f>AM18+AN18+AO18+AP18</f>
        <v>211</v>
      </c>
      <c r="AS18" s="155">
        <v>78</v>
      </c>
      <c r="AT18" s="106">
        <v>63</v>
      </c>
      <c r="AU18" s="106">
        <v>59</v>
      </c>
      <c r="AV18" s="106">
        <v>65</v>
      </c>
      <c r="AW18" s="108">
        <f>AS18+AT18+AU18+AV18</f>
        <v>265</v>
      </c>
      <c r="AY18" s="155">
        <v>74</v>
      </c>
      <c r="AZ18" s="106">
        <v>62</v>
      </c>
      <c r="BA18" s="106">
        <v>54</v>
      </c>
      <c r="BB18" s="106">
        <v>51</v>
      </c>
      <c r="BC18" s="108">
        <f>AY18+AZ18+BA18+BB18</f>
        <v>241</v>
      </c>
      <c r="BE18" s="155">
        <v>53</v>
      </c>
      <c r="BF18" s="106">
        <v>41</v>
      </c>
      <c r="BG18" s="106">
        <v>41</v>
      </c>
      <c r="BH18" s="106">
        <v>61</v>
      </c>
      <c r="BI18" s="108">
        <f>BE18+BF18+BG18+BH18</f>
        <v>196</v>
      </c>
      <c r="BK18" s="155">
        <v>76</v>
      </c>
      <c r="BL18" s="106">
        <v>69</v>
      </c>
      <c r="BM18" s="106">
        <v>65</v>
      </c>
      <c r="BN18" s="106">
        <v>50</v>
      </c>
      <c r="BO18" s="108">
        <f>BK18+BL18+BM18+BN18</f>
        <v>260</v>
      </c>
      <c r="BQ18" s="155">
        <v>65</v>
      </c>
      <c r="BR18" s="106">
        <v>65</v>
      </c>
      <c r="BS18" s="106">
        <v>65</v>
      </c>
      <c r="BT18" s="106">
        <v>70</v>
      </c>
      <c r="BU18" s="108">
        <f>BQ18+BR18+BS18+BT18</f>
        <v>265</v>
      </c>
      <c r="BW18" s="155">
        <v>65</v>
      </c>
      <c r="BX18" s="106">
        <v>65</v>
      </c>
      <c r="BY18" s="106">
        <v>65</v>
      </c>
      <c r="BZ18" s="106">
        <v>80</v>
      </c>
      <c r="CA18" s="108">
        <f>BW18+BX18+BY18+BZ18</f>
        <v>275</v>
      </c>
      <c r="CC18" s="155">
        <v>70</v>
      </c>
      <c r="CD18" s="106">
        <v>70</v>
      </c>
      <c r="CE18" s="106">
        <v>70</v>
      </c>
      <c r="CF18" s="106">
        <v>70</v>
      </c>
      <c r="CG18" s="108">
        <f>CC18+CD18+CE18+CF18</f>
        <v>280</v>
      </c>
      <c r="CI18" s="155">
        <v>70</v>
      </c>
      <c r="CJ18" s="106">
        <v>70</v>
      </c>
      <c r="CK18" s="106">
        <v>70</v>
      </c>
      <c r="CL18" s="106">
        <v>70</v>
      </c>
      <c r="CM18" s="108">
        <f>CI18+CJ18+CK18+CL18</f>
        <v>280</v>
      </c>
      <c r="CO18" s="155">
        <v>70</v>
      </c>
      <c r="CP18" s="106">
        <v>70</v>
      </c>
      <c r="CQ18" s="106">
        <v>70</v>
      </c>
      <c r="CR18" s="106">
        <v>70</v>
      </c>
      <c r="CS18" s="108">
        <f>CO18+CP18+CQ18+CR18</f>
        <v>280</v>
      </c>
      <c r="CU18" s="155">
        <v>70</v>
      </c>
      <c r="CV18" s="106">
        <v>70</v>
      </c>
      <c r="CW18" s="106">
        <v>70</v>
      </c>
      <c r="CX18" s="106">
        <v>70</v>
      </c>
      <c r="CY18" s="108">
        <f>CU18+CV18+CW18+CX18</f>
        <v>280</v>
      </c>
      <c r="DA18" s="155">
        <v>70</v>
      </c>
      <c r="DB18" s="106">
        <v>70</v>
      </c>
      <c r="DC18" s="106">
        <v>70</v>
      </c>
      <c r="DD18" s="106">
        <v>70</v>
      </c>
      <c r="DE18" s="108">
        <f>DA18+DB18+DC18+DD18</f>
        <v>280</v>
      </c>
      <c r="DG18" s="155">
        <v>70</v>
      </c>
      <c r="DH18" s="106">
        <v>70</v>
      </c>
      <c r="DI18" s="106">
        <v>70</v>
      </c>
      <c r="DJ18" s="106">
        <v>70</v>
      </c>
      <c r="DK18" s="108">
        <f>DG18+DH18+DI18+DJ18</f>
        <v>280</v>
      </c>
    </row>
    <row r="19" spans="2:115" ht="13.5" thickBot="1" x14ac:dyDescent="0.25"/>
    <row r="20" spans="2:115" x14ac:dyDescent="0.2">
      <c r="B20" s="225" t="s">
        <v>76</v>
      </c>
      <c r="C20" s="221">
        <v>5146</v>
      </c>
      <c r="D20" s="222">
        <v>5476</v>
      </c>
      <c r="E20" s="222">
        <v>5882</v>
      </c>
      <c r="F20" s="222">
        <v>6376</v>
      </c>
      <c r="G20" s="224">
        <f>F20</f>
        <v>6376</v>
      </c>
      <c r="H20" s="107"/>
      <c r="I20" s="221">
        <v>6965</v>
      </c>
      <c r="J20" s="222">
        <v>7512</v>
      </c>
      <c r="K20" s="222">
        <v>7906</v>
      </c>
      <c r="L20" s="222">
        <v>8270</v>
      </c>
      <c r="M20" s="224">
        <f>L20</f>
        <v>8270</v>
      </c>
      <c r="N20" s="107"/>
      <c r="O20" s="221">
        <v>8606</v>
      </c>
      <c r="P20" s="222">
        <v>8742</v>
      </c>
      <c r="Q20" s="222">
        <v>8914</v>
      </c>
      <c r="R20" s="222">
        <v>9093</v>
      </c>
      <c r="S20" s="224">
        <f>R20</f>
        <v>9093</v>
      </c>
      <c r="T20" s="107"/>
      <c r="U20" s="111">
        <v>9242</v>
      </c>
      <c r="V20" s="112">
        <v>9293</v>
      </c>
      <c r="W20" s="112">
        <v>9367</v>
      </c>
      <c r="X20" s="112">
        <f>W20+X22</f>
        <v>9498</v>
      </c>
      <c r="Y20" s="113">
        <f>X20</f>
        <v>9498</v>
      </c>
      <c r="AA20" s="111">
        <f>Y20+AA22</f>
        <v>9570</v>
      </c>
      <c r="AB20" s="112">
        <f>AA20+AB22</f>
        <v>9562</v>
      </c>
      <c r="AC20" s="112">
        <f>AB20+AC22</f>
        <v>9570</v>
      </c>
      <c r="AD20" s="112">
        <f>AC20+AD22</f>
        <v>9598</v>
      </c>
      <c r="AE20" s="113">
        <f>AD20</f>
        <v>9598</v>
      </c>
      <c r="AG20" s="111">
        <f>AE20+AG22</f>
        <v>9602</v>
      </c>
      <c r="AH20" s="112">
        <f>AG20+AH22</f>
        <v>9582</v>
      </c>
      <c r="AI20" s="112">
        <f>AH20+AI22</f>
        <v>9453</v>
      </c>
      <c r="AJ20" s="112">
        <f>AI20+AJ22</f>
        <v>9436</v>
      </c>
      <c r="AK20" s="113">
        <f>AJ20</f>
        <v>9436</v>
      </c>
      <c r="AM20" s="111">
        <f>AK20+AM22</f>
        <v>9422</v>
      </c>
      <c r="AN20" s="112">
        <f>AM20+AN22</f>
        <v>9359</v>
      </c>
      <c r="AO20" s="112">
        <f>AN20+AO22</f>
        <v>9299</v>
      </c>
      <c r="AP20" s="112">
        <f>AO20+AP22</f>
        <v>9257</v>
      </c>
      <c r="AQ20" s="113">
        <f>AP20</f>
        <v>9257</v>
      </c>
      <c r="AS20" s="111">
        <f>AQ20+AS22</f>
        <v>9207</v>
      </c>
      <c r="AT20" s="112">
        <f>AS20+AT22</f>
        <v>9101</v>
      </c>
      <c r="AU20" s="112">
        <f>AT20+AU22</f>
        <v>8954</v>
      </c>
      <c r="AV20" s="112">
        <f>AU20+AV22</f>
        <v>8801</v>
      </c>
      <c r="AW20" s="113">
        <f>AV20</f>
        <v>8801</v>
      </c>
      <c r="AY20" s="111">
        <f>AW20+AY22</f>
        <v>8619</v>
      </c>
      <c r="AZ20" s="112">
        <f>AY20+AZ22</f>
        <v>8432</v>
      </c>
      <c r="BA20" s="112">
        <f>AZ20+BA22</f>
        <v>8231</v>
      </c>
      <c r="BB20" s="112">
        <f>BA20+BB22</f>
        <v>8050</v>
      </c>
      <c r="BC20" s="113">
        <f>BB20</f>
        <v>8050</v>
      </c>
      <c r="BE20" s="111">
        <f>BC20+BE22</f>
        <v>7867</v>
      </c>
      <c r="BF20" s="112">
        <f>BE20+BF22</f>
        <v>7648</v>
      </c>
      <c r="BG20" s="112">
        <f>BF20+BG22</f>
        <v>7431</v>
      </c>
      <c r="BH20" s="112">
        <f>BG20+BH22</f>
        <v>7195</v>
      </c>
      <c r="BI20" s="113">
        <f>BH20</f>
        <v>7195</v>
      </c>
      <c r="BK20" s="111">
        <f>BI20+BK22</f>
        <v>6952</v>
      </c>
      <c r="BL20" s="112">
        <f>BK20+BL22</f>
        <v>6723</v>
      </c>
      <c r="BM20" s="112">
        <f>BL20+BM22</f>
        <v>6417</v>
      </c>
      <c r="BN20" s="112">
        <f>BM20+BN22</f>
        <v>6139</v>
      </c>
      <c r="BO20" s="113">
        <f>BN20</f>
        <v>6139</v>
      </c>
      <c r="BQ20" s="111">
        <f>BO20+BQ22</f>
        <v>5954</v>
      </c>
      <c r="BR20" s="112">
        <f>BQ20+BR22</f>
        <v>5789</v>
      </c>
      <c r="BS20" s="112">
        <f>BR20+BS22</f>
        <v>5633</v>
      </c>
      <c r="BT20" s="112">
        <f>BS20+BT22</f>
        <v>5477</v>
      </c>
      <c r="BU20" s="113">
        <f>BT20</f>
        <v>5477</v>
      </c>
      <c r="BW20" s="111">
        <f>BU20+BW22</f>
        <v>5362</v>
      </c>
      <c r="BX20" s="112">
        <f>BW20+BX22</f>
        <v>5237</v>
      </c>
      <c r="BY20" s="112">
        <f>BX20+BY22</f>
        <v>5097</v>
      </c>
      <c r="BZ20" s="112">
        <f>BY20+BZ22</f>
        <v>4972</v>
      </c>
      <c r="CA20" s="113">
        <f>BZ20</f>
        <v>4972</v>
      </c>
      <c r="CC20" s="111">
        <f>CA20+CC22</f>
        <v>4860</v>
      </c>
      <c r="CD20" s="112">
        <f>CC20+CD22</f>
        <v>4746</v>
      </c>
      <c r="CE20" s="112">
        <f>CD20+CE22</f>
        <v>4629</v>
      </c>
      <c r="CF20" s="112">
        <f>CE20+CF22</f>
        <v>4512</v>
      </c>
      <c r="CG20" s="113">
        <f>CF20</f>
        <v>4512</v>
      </c>
      <c r="CI20" s="111">
        <f>CG20+CI22</f>
        <v>4404</v>
      </c>
      <c r="CJ20" s="112">
        <f>CI20+CJ22</f>
        <v>4294</v>
      </c>
      <c r="CK20" s="112">
        <f>CJ20+CK22</f>
        <v>4184</v>
      </c>
      <c r="CL20" s="112">
        <f>CK20+CL22</f>
        <v>4074</v>
      </c>
      <c r="CM20" s="113">
        <f>CL20</f>
        <v>4074</v>
      </c>
      <c r="CO20" s="111">
        <f>CM20+CO22</f>
        <v>3969</v>
      </c>
      <c r="CP20" s="112">
        <f>CO20+CP22</f>
        <v>3864</v>
      </c>
      <c r="CQ20" s="112">
        <f>CP20+CQ22</f>
        <v>3759</v>
      </c>
      <c r="CR20" s="112">
        <f>CQ20+CR22</f>
        <v>3654</v>
      </c>
      <c r="CS20" s="113">
        <f>CR20</f>
        <v>3654</v>
      </c>
      <c r="CU20" s="111">
        <f>CS20+CU22</f>
        <v>3549</v>
      </c>
      <c r="CV20" s="112">
        <f>CU20+CV22</f>
        <v>3444</v>
      </c>
      <c r="CW20" s="112">
        <f>CV20+CW22</f>
        <v>3339</v>
      </c>
      <c r="CX20" s="112">
        <f>CW20+CX22</f>
        <v>3234</v>
      </c>
      <c r="CY20" s="113">
        <f>CX20</f>
        <v>3234</v>
      </c>
      <c r="DA20" s="111">
        <f>CY20+DA22</f>
        <v>3134</v>
      </c>
      <c r="DB20" s="112">
        <f>DA20+DB22</f>
        <v>3034</v>
      </c>
      <c r="DC20" s="112">
        <f>DB20+DC22</f>
        <v>2934</v>
      </c>
      <c r="DD20" s="112">
        <f>DC20+DD22</f>
        <v>2834</v>
      </c>
      <c r="DE20" s="113">
        <f>DD20</f>
        <v>2834</v>
      </c>
      <c r="DG20" s="111">
        <f>DE20+DG22</f>
        <v>2734</v>
      </c>
      <c r="DH20" s="112">
        <f>DG20+DH22</f>
        <v>2634</v>
      </c>
      <c r="DI20" s="112">
        <f>DH20+DI22</f>
        <v>2534</v>
      </c>
      <c r="DJ20" s="112">
        <f>DI20+DJ22</f>
        <v>2434</v>
      </c>
      <c r="DK20" s="113">
        <f>DJ20</f>
        <v>2434</v>
      </c>
    </row>
    <row r="21" spans="2:115" ht="15" x14ac:dyDescent="0.3">
      <c r="B21" s="219" t="s">
        <v>71</v>
      </c>
      <c r="C21" s="144" t="s">
        <v>35</v>
      </c>
      <c r="D21" s="107" t="s">
        <v>35</v>
      </c>
      <c r="E21" s="107" t="s">
        <v>35</v>
      </c>
      <c r="F21" s="107" t="s">
        <v>35</v>
      </c>
      <c r="G21" s="138" t="s">
        <v>35</v>
      </c>
      <c r="H21" s="107"/>
      <c r="I21" s="151">
        <f>(I20-C20)/C20</f>
        <v>0.35347842984842598</v>
      </c>
      <c r="J21" s="133">
        <f>(J20-D20)/D20</f>
        <v>0.37180423666910151</v>
      </c>
      <c r="K21" s="133">
        <f>(K20-E20)/E20</f>
        <v>0.34410064603876234</v>
      </c>
      <c r="L21" s="133">
        <f>(L20-F20)/F20</f>
        <v>0.29705144291091595</v>
      </c>
      <c r="M21" s="153">
        <f>(M20-G20)/G20</f>
        <v>0.29705144291091595</v>
      </c>
      <c r="N21" s="107"/>
      <c r="O21" s="151">
        <f>(O20-I20)/I20</f>
        <v>0.23560660445082557</v>
      </c>
      <c r="P21" s="133">
        <f>(P20-J20)/J20</f>
        <v>0.16373801916932906</v>
      </c>
      <c r="Q21" s="133">
        <f>(Q20-K20)/K20</f>
        <v>0.12749810270680495</v>
      </c>
      <c r="R21" s="133">
        <f>(R20-L20)/L20</f>
        <v>9.9516324062877873E-2</v>
      </c>
      <c r="S21" s="153">
        <f>(S20-M20)/M20</f>
        <v>9.9516324062877873E-2</v>
      </c>
      <c r="T21" s="107"/>
      <c r="U21" s="151">
        <f>(U20-O20)/O20</f>
        <v>7.3901928886823148E-2</v>
      </c>
      <c r="V21" s="133">
        <f>(V20-P20)/P20</f>
        <v>6.3029055136124459E-2</v>
      </c>
      <c r="W21" s="133">
        <f>(W20-Q20)/Q20</f>
        <v>5.0818936504375141E-2</v>
      </c>
      <c r="X21" s="133">
        <f>(X20-R20)/R20</f>
        <v>4.4539755856153086E-2</v>
      </c>
      <c r="Y21" s="153">
        <f>Y20/S20-1</f>
        <v>4.4539755856153107E-2</v>
      </c>
      <c r="AA21" s="151">
        <f>(AA20-U20)/U20</f>
        <v>3.5490153646396884E-2</v>
      </c>
      <c r="AB21" s="133">
        <f>(AB20-V20)/V20</f>
        <v>2.8946518885182397E-2</v>
      </c>
      <c r="AC21" s="133">
        <f>(AC20-W20)/W20</f>
        <v>2.1671826625386997E-2</v>
      </c>
      <c r="AD21" s="133">
        <f>(AD20-X20)/X20</f>
        <v>1.0528532322594231E-2</v>
      </c>
      <c r="AE21" s="153">
        <f>AE20/Y20-1</f>
        <v>1.0528532322594319E-2</v>
      </c>
      <c r="AG21" s="151">
        <f>(AG20-AA20)/AA20</f>
        <v>3.3437826541274818E-3</v>
      </c>
      <c r="AH21" s="133">
        <f>(AH20-AB20)/AB20</f>
        <v>2.0916126333403052E-3</v>
      </c>
      <c r="AI21" s="133">
        <f>(AI20-AC20)/AC20</f>
        <v>-1.2225705329153605E-2</v>
      </c>
      <c r="AJ21" s="133">
        <f>(AJ20-AD20)/AD20</f>
        <v>-1.6878516357574494E-2</v>
      </c>
      <c r="AK21" s="153">
        <f>AK20/AE20-1</f>
        <v>-1.6878516357574536E-2</v>
      </c>
      <c r="AM21" s="151">
        <f>(AM20-AG20)/AG20</f>
        <v>-1.8746094563632576E-2</v>
      </c>
      <c r="AN21" s="133">
        <f>(AN20-AH20)/AH20</f>
        <v>-2.327280317261532E-2</v>
      </c>
      <c r="AO21" s="133">
        <f>(AO20-AI20)/AI20</f>
        <v>-1.6291124510737331E-2</v>
      </c>
      <c r="AP21" s="133">
        <f>(AP20-AJ20)/AJ20</f>
        <v>-1.896990250105977E-2</v>
      </c>
      <c r="AQ21" s="153">
        <f>AQ20/AK20-1</f>
        <v>-1.8969902501059788E-2</v>
      </c>
      <c r="AS21" s="151">
        <f>(AS20-AM20)/AM20</f>
        <v>-2.2818934408830396E-2</v>
      </c>
      <c r="AT21" s="133">
        <f>(AT20-AN20)/AN20</f>
        <v>-2.7567047761512982E-2</v>
      </c>
      <c r="AU21" s="133">
        <f>(AU20-AO20)/AO20</f>
        <v>-3.7100763522959455E-2</v>
      </c>
      <c r="AV21" s="133">
        <f>(AV20-AP20)/AP20</f>
        <v>-4.9260019444744521E-2</v>
      </c>
      <c r="AW21" s="153">
        <f>AW20/AQ20-1</f>
        <v>-4.9260019444744563E-2</v>
      </c>
      <c r="AY21" s="151">
        <f>(AY20-AS20)/AS20</f>
        <v>-6.3864450961225158E-2</v>
      </c>
      <c r="AZ21" s="133">
        <f>(AZ20-AT20)/AT20</f>
        <v>-7.3508405669706622E-2</v>
      </c>
      <c r="BA21" s="133">
        <f>(BA20-AU20)/AU20</f>
        <v>-8.074603529148984E-2</v>
      </c>
      <c r="BB21" s="133">
        <f>(BB20-AV20)/AV20</f>
        <v>-8.5331212362231568E-2</v>
      </c>
      <c r="BC21" s="153">
        <f>BC20/AW20-1</f>
        <v>-8.5331212362231512E-2</v>
      </c>
      <c r="BE21" s="151">
        <f>(BE20-AY20)/AY20</f>
        <v>-8.7249100823761458E-2</v>
      </c>
      <c r="BF21" s="133">
        <f>(BF20-AZ20)/AZ20</f>
        <v>-9.2979127134724851E-2</v>
      </c>
      <c r="BG21" s="133">
        <f>(BG20-BA20)/BA20</f>
        <v>-9.7193536629814115E-2</v>
      </c>
      <c r="BH21" s="133">
        <f>(BH20-BB20)/BB20</f>
        <v>-0.10621118012422361</v>
      </c>
      <c r="BI21" s="153">
        <f>BI20/BC20-1</f>
        <v>-0.10621118012422359</v>
      </c>
      <c r="BK21" s="151">
        <f>(BK20-BE20)/BE20</f>
        <v>-0.11630863099021228</v>
      </c>
      <c r="BL21" s="133">
        <f>(BL20-BF20)/BF20</f>
        <v>-0.12094665271966527</v>
      </c>
      <c r="BM21" s="133">
        <f>(BM20-BG20)/BG20</f>
        <v>-0.13645538958417441</v>
      </c>
      <c r="BN21" s="133">
        <f>(BN20-BH20)/BH20</f>
        <v>-0.1467685892981237</v>
      </c>
      <c r="BO21" s="153">
        <f>BO20/BI20-1</f>
        <v>-0.14676858929812364</v>
      </c>
      <c r="BQ21" s="151">
        <f>(BQ20-BK20)/BK20</f>
        <v>-0.14355581127733028</v>
      </c>
      <c r="BR21" s="133">
        <f>(BR20-BL20)/BL20</f>
        <v>-0.13892607466904655</v>
      </c>
      <c r="BS21" s="133">
        <f>(BS20-BM20)/BM20</f>
        <v>-0.1221754714040829</v>
      </c>
      <c r="BT21" s="133">
        <f>(BT20-BN20)/BN20</f>
        <v>-0.10783515230493566</v>
      </c>
      <c r="BU21" s="153">
        <f>BU20/BO20-1</f>
        <v>-0.10783515230493568</v>
      </c>
      <c r="BW21" s="151">
        <f>(BW20-BQ20)/BQ20</f>
        <v>-9.942895532415183E-2</v>
      </c>
      <c r="BX21" s="133">
        <f>(BX20-BR20)/BR20</f>
        <v>-9.5353256175505274E-2</v>
      </c>
      <c r="BY21" s="133">
        <f>(BY20-BS20)/BS20</f>
        <v>-9.5153559382211969E-2</v>
      </c>
      <c r="BZ21" s="133">
        <f>(BZ20-BT20)/BT20</f>
        <v>-9.2203761183129451E-2</v>
      </c>
      <c r="CA21" s="153">
        <f>CA20/BU20-1</f>
        <v>-9.2203761183129451E-2</v>
      </c>
      <c r="CC21" s="151">
        <f>(CC20-BW20)/BW20</f>
        <v>-9.3621782916822077E-2</v>
      </c>
      <c r="CD21" s="133">
        <f>(CD20-BX20)/BX20</f>
        <v>-9.3755967156769149E-2</v>
      </c>
      <c r="CE21" s="133">
        <f>(CE20-BY20)/BY20</f>
        <v>-9.1818716892289584E-2</v>
      </c>
      <c r="CF21" s="133">
        <f>(CF20-BZ20)/BZ20</f>
        <v>-9.2518101367658895E-2</v>
      </c>
      <c r="CG21" s="153">
        <f>CG20/CA20-1</f>
        <v>-9.2518101367658923E-2</v>
      </c>
      <c r="CI21" s="151">
        <f>(CI20-CC20)/CC20</f>
        <v>-9.3827160493827166E-2</v>
      </c>
      <c r="CJ21" s="133">
        <f>(CJ20-CD20)/CD20</f>
        <v>-9.5238095238095233E-2</v>
      </c>
      <c r="CK21" s="133">
        <f>(CK20-CE20)/CE20</f>
        <v>-9.6133074098077337E-2</v>
      </c>
      <c r="CL21" s="133">
        <f>(CL20-CF20)/CF20</f>
        <v>-9.7074468085106377E-2</v>
      </c>
      <c r="CM21" s="153">
        <f>CM20/CG20-1</f>
        <v>-9.7074468085106336E-2</v>
      </c>
      <c r="CO21" s="151">
        <f>(CO20-CI20)/CI20</f>
        <v>-9.8773841961852862E-2</v>
      </c>
      <c r="CP21" s="133">
        <f>(CP20-CJ20)/CJ20</f>
        <v>-0.10013972985561248</v>
      </c>
      <c r="CQ21" s="133">
        <f>(CQ20-CK20)/CK20</f>
        <v>-0.1015774378585086</v>
      </c>
      <c r="CR21" s="133">
        <f>(CR20-CL20)/CL20</f>
        <v>-0.10309278350515463</v>
      </c>
      <c r="CS21" s="153">
        <f>CS20/CM20-1</f>
        <v>-0.10309278350515461</v>
      </c>
      <c r="CU21" s="151">
        <f>(CU20-CO20)/CO20</f>
        <v>-0.10582010582010581</v>
      </c>
      <c r="CV21" s="133">
        <f>(CV20-CP20)/CP20</f>
        <v>-0.10869565217391304</v>
      </c>
      <c r="CW21" s="133">
        <f>(CW20-CQ20)/CQ20</f>
        <v>-0.11173184357541899</v>
      </c>
      <c r="CX21" s="133">
        <f>(CX20-CR20)/CR20</f>
        <v>-0.11494252873563218</v>
      </c>
      <c r="CY21" s="153">
        <f>CY20/CS20-1</f>
        <v>-0.11494252873563215</v>
      </c>
      <c r="DA21" s="151">
        <f>(DA20-CU20)/CU20</f>
        <v>-0.11693434770357847</v>
      </c>
      <c r="DB21" s="133">
        <f>(DB20-CV20)/CV20</f>
        <v>-0.11904761904761904</v>
      </c>
      <c r="DC21" s="133">
        <f>(DC20-CW20)/CW20</f>
        <v>-0.12129380053908356</v>
      </c>
      <c r="DD21" s="133">
        <f>(DD20-CX20)/CX20</f>
        <v>-0.12368583797155226</v>
      </c>
      <c r="DE21" s="153">
        <f>DE20/CY20-1</f>
        <v>-0.1236858379715523</v>
      </c>
      <c r="DG21" s="151">
        <f>(DG20-DA20)/DA20</f>
        <v>-0.12763241863433311</v>
      </c>
      <c r="DH21" s="133">
        <f>(DH20-DB20)/DB20</f>
        <v>-0.13183915622940012</v>
      </c>
      <c r="DI21" s="133">
        <f>(DI20-DC20)/DC20</f>
        <v>-0.13633265167007499</v>
      </c>
      <c r="DJ21" s="133">
        <f>(DJ20-DD20)/DD20</f>
        <v>-0.14114326040931546</v>
      </c>
      <c r="DK21" s="153">
        <f>DK20/DE20-1</f>
        <v>-0.14114326040931546</v>
      </c>
    </row>
    <row r="22" spans="2:115" ht="15.75" thickBot="1" x14ac:dyDescent="0.35">
      <c r="B22" s="220" t="s">
        <v>72</v>
      </c>
      <c r="C22" s="155" t="s">
        <v>35</v>
      </c>
      <c r="D22" s="106">
        <f>D20-C20</f>
        <v>330</v>
      </c>
      <c r="E22" s="106">
        <f>E20-D20</f>
        <v>406</v>
      </c>
      <c r="F22" s="106">
        <f>F20-E20</f>
        <v>494</v>
      </c>
      <c r="G22" s="121" t="s">
        <v>35</v>
      </c>
      <c r="H22" s="107"/>
      <c r="I22" s="123">
        <f>I20-G20</f>
        <v>589</v>
      </c>
      <c r="J22" s="124">
        <f>J20-I20</f>
        <v>547</v>
      </c>
      <c r="K22" s="124">
        <f>K20-J20</f>
        <v>394</v>
      </c>
      <c r="L22" s="124">
        <f>L20-K20</f>
        <v>364</v>
      </c>
      <c r="M22" s="121">
        <f>I22+J22+K22+L22</f>
        <v>1894</v>
      </c>
      <c r="N22" s="107"/>
      <c r="O22" s="123">
        <f>O20-M20</f>
        <v>336</v>
      </c>
      <c r="P22" s="124">
        <f>P20-O20</f>
        <v>136</v>
      </c>
      <c r="Q22" s="124">
        <f>Q20-P20</f>
        <v>172</v>
      </c>
      <c r="R22" s="124">
        <f>R20-Q20</f>
        <v>179</v>
      </c>
      <c r="S22" s="121">
        <f>O22+P22+Q22+R22</f>
        <v>823</v>
      </c>
      <c r="T22" s="107"/>
      <c r="U22" s="123">
        <f>U20-S20</f>
        <v>149</v>
      </c>
      <c r="V22" s="106">
        <f>V20-U20</f>
        <v>51</v>
      </c>
      <c r="W22" s="106">
        <f>W20-V20</f>
        <v>74</v>
      </c>
      <c r="X22" s="106">
        <v>131</v>
      </c>
      <c r="Y22" s="121">
        <f>U22+V22+W22+X22</f>
        <v>405</v>
      </c>
      <c r="AA22" s="155">
        <v>72</v>
      </c>
      <c r="AB22" s="106">
        <v>-8</v>
      </c>
      <c r="AC22" s="106">
        <v>8</v>
      </c>
      <c r="AD22" s="106">
        <v>28</v>
      </c>
      <c r="AE22" s="121">
        <f>AA22+AB22+AC22+AD22</f>
        <v>100</v>
      </c>
      <c r="AG22" s="155">
        <v>4</v>
      </c>
      <c r="AH22" s="106">
        <v>-20</v>
      </c>
      <c r="AI22" s="106">
        <v>-129</v>
      </c>
      <c r="AJ22" s="106">
        <v>-17</v>
      </c>
      <c r="AK22" s="121">
        <f>AG22+AH22+AI22+AJ22</f>
        <v>-162</v>
      </c>
      <c r="AM22" s="155">
        <v>-14</v>
      </c>
      <c r="AN22" s="106">
        <v>-63</v>
      </c>
      <c r="AO22" s="106">
        <v>-60</v>
      </c>
      <c r="AP22" s="106">
        <v>-42</v>
      </c>
      <c r="AQ22" s="121">
        <f>AM22+AN22+AO22+AP22</f>
        <v>-179</v>
      </c>
      <c r="AS22" s="155">
        <v>-50</v>
      </c>
      <c r="AT22" s="106">
        <v>-106</v>
      </c>
      <c r="AU22" s="106">
        <v>-147</v>
      </c>
      <c r="AV22" s="106">
        <v>-153</v>
      </c>
      <c r="AW22" s="121">
        <f>AS22+AT22+AU22+AV22</f>
        <v>-456</v>
      </c>
      <c r="AY22" s="155">
        <v>-182</v>
      </c>
      <c r="AZ22" s="106">
        <v>-187</v>
      </c>
      <c r="BA22" s="106">
        <v>-201</v>
      </c>
      <c r="BB22" s="106">
        <v>-181</v>
      </c>
      <c r="BC22" s="121">
        <f>AY22+AZ22+BA22+BB22</f>
        <v>-751</v>
      </c>
      <c r="BE22" s="155">
        <v>-183</v>
      </c>
      <c r="BF22" s="106">
        <v>-219</v>
      </c>
      <c r="BG22" s="106">
        <v>-217</v>
      </c>
      <c r="BH22" s="106">
        <v>-236</v>
      </c>
      <c r="BI22" s="121">
        <f>BE22+BF22+BG22+BH22</f>
        <v>-855</v>
      </c>
      <c r="BK22" s="155">
        <v>-243</v>
      </c>
      <c r="BL22" s="106">
        <v>-229</v>
      </c>
      <c r="BM22" s="106">
        <v>-306</v>
      </c>
      <c r="BN22" s="106">
        <v>-278</v>
      </c>
      <c r="BO22" s="121">
        <f>BK22+BL22+BM22+BN22</f>
        <v>-1056</v>
      </c>
      <c r="BQ22" s="155">
        <f>BQ65-BQ27-BQ32</f>
        <v>-185</v>
      </c>
      <c r="BR22" s="106">
        <f>BR65-BR27-BR32</f>
        <v>-165</v>
      </c>
      <c r="BS22" s="106">
        <f>BS65-BS27-BS32</f>
        <v>-156</v>
      </c>
      <c r="BT22" s="106">
        <f>BT65-BT27-BT32</f>
        <v>-156</v>
      </c>
      <c r="BU22" s="121">
        <f>BQ22+BR22+BS22+BT22</f>
        <v>-662</v>
      </c>
      <c r="BW22" s="155">
        <f>BW65-BW27-BW32</f>
        <v>-115</v>
      </c>
      <c r="BX22" s="106">
        <f>BX65-BX27-BX32</f>
        <v>-125</v>
      </c>
      <c r="BY22" s="106">
        <f>BY65-BY27-BY32</f>
        <v>-140</v>
      </c>
      <c r="BZ22" s="106">
        <f>BZ65-BZ27-BZ32</f>
        <v>-125</v>
      </c>
      <c r="CA22" s="121">
        <f>BW22+BX22+BY22+BZ22</f>
        <v>-505</v>
      </c>
      <c r="CC22" s="155">
        <f>CC65-CC27-CC32</f>
        <v>-112</v>
      </c>
      <c r="CD22" s="106">
        <f>CD65-CD27-CD32</f>
        <v>-114</v>
      </c>
      <c r="CE22" s="106">
        <f>CE65-CE27-CE32</f>
        <v>-117</v>
      </c>
      <c r="CF22" s="106">
        <f>CF65-CF27-CF32</f>
        <v>-117</v>
      </c>
      <c r="CG22" s="121">
        <f>CC22+CD22+CE22+CF22</f>
        <v>-460</v>
      </c>
      <c r="CI22" s="155">
        <f>CI65-CI27-CI32</f>
        <v>-108</v>
      </c>
      <c r="CJ22" s="106">
        <f>CJ65-CJ27-CJ32</f>
        <v>-110</v>
      </c>
      <c r="CK22" s="106">
        <f>CK65-CK27-CK32</f>
        <v>-110</v>
      </c>
      <c r="CL22" s="106">
        <f>CL65-CL27-CL32</f>
        <v>-110</v>
      </c>
      <c r="CM22" s="121">
        <f>CI22+CJ22+CK22+CL22</f>
        <v>-438</v>
      </c>
      <c r="CO22" s="155">
        <f>CO65-CO27-CO32</f>
        <v>-105</v>
      </c>
      <c r="CP22" s="106">
        <f>CP65-CP27-CP32</f>
        <v>-105</v>
      </c>
      <c r="CQ22" s="106">
        <f>CQ65-CQ27-CQ32</f>
        <v>-105</v>
      </c>
      <c r="CR22" s="106">
        <f>CR65-CR27-CR32</f>
        <v>-105</v>
      </c>
      <c r="CS22" s="121">
        <f>CO22+CP22+CQ22+CR22</f>
        <v>-420</v>
      </c>
      <c r="CU22" s="155">
        <f>CU65-CU27-CU32</f>
        <v>-105</v>
      </c>
      <c r="CV22" s="106">
        <f>CV65-CV27-CV32</f>
        <v>-105</v>
      </c>
      <c r="CW22" s="106">
        <f>CW65-CW27-CW32</f>
        <v>-105</v>
      </c>
      <c r="CX22" s="106">
        <f>CX65-CX27-CX32</f>
        <v>-105</v>
      </c>
      <c r="CY22" s="121">
        <f>CU22+CV22+CW22+CX22</f>
        <v>-420</v>
      </c>
      <c r="DA22" s="155">
        <f>DA65-DA27-DA32</f>
        <v>-100</v>
      </c>
      <c r="DB22" s="106">
        <f>DB65-DB27-DB32</f>
        <v>-100</v>
      </c>
      <c r="DC22" s="106">
        <f>DC65-DC27-DC32</f>
        <v>-100</v>
      </c>
      <c r="DD22" s="106">
        <f>DD65-DD27-DD32</f>
        <v>-100</v>
      </c>
      <c r="DE22" s="121">
        <f>DA22+DB22+DC22+DD22</f>
        <v>-400</v>
      </c>
      <c r="DG22" s="155">
        <f>DG65-DG27-DG32</f>
        <v>-100</v>
      </c>
      <c r="DH22" s="106">
        <f>DH65-DH27-DH32</f>
        <v>-100</v>
      </c>
      <c r="DI22" s="106">
        <f>DI65-DI27-DI32</f>
        <v>-100</v>
      </c>
      <c r="DJ22" s="106">
        <f>DJ65-DJ27-DJ32</f>
        <v>-100</v>
      </c>
      <c r="DK22" s="121">
        <f>DG22+DH22+DI22+DJ22</f>
        <v>-400</v>
      </c>
    </row>
    <row r="24" spans="2:115" ht="13.5" thickBot="1" x14ac:dyDescent="0.25"/>
    <row r="25" spans="2:115" x14ac:dyDescent="0.2">
      <c r="B25" s="225" t="s">
        <v>75</v>
      </c>
      <c r="C25" s="221"/>
      <c r="D25" s="222"/>
      <c r="E25" s="222"/>
      <c r="F25" s="222"/>
      <c r="G25" s="224"/>
      <c r="I25" s="221"/>
      <c r="J25" s="222"/>
      <c r="K25" s="222"/>
      <c r="L25" s="112">
        <v>2537</v>
      </c>
      <c r="M25" s="113">
        <f>L25</f>
        <v>2537</v>
      </c>
      <c r="N25" s="114"/>
      <c r="O25" s="111">
        <v>2209</v>
      </c>
      <c r="P25" s="112">
        <v>1952</v>
      </c>
      <c r="Q25" s="112">
        <v>1752</v>
      </c>
      <c r="R25" s="112">
        <v>1621</v>
      </c>
      <c r="S25" s="113">
        <f>R25</f>
        <v>1621</v>
      </c>
      <c r="T25" s="114"/>
      <c r="U25" s="111">
        <v>1523</v>
      </c>
      <c r="V25" s="112">
        <v>1354</v>
      </c>
      <c r="W25" s="112">
        <v>1143</v>
      </c>
      <c r="X25" s="112">
        <v>984</v>
      </c>
      <c r="Y25" s="113">
        <f>X25</f>
        <v>984</v>
      </c>
      <c r="Z25" s="259"/>
      <c r="AA25" s="111">
        <f>Y25+AA27</f>
        <v>891</v>
      </c>
      <c r="AB25" s="112">
        <f>AA25+AB27</f>
        <v>820</v>
      </c>
      <c r="AC25" s="112">
        <f>AB25+AC27</f>
        <v>757</v>
      </c>
      <c r="AD25" s="112">
        <f>AC25+AD27</f>
        <v>704</v>
      </c>
      <c r="AE25" s="113">
        <f>AD25</f>
        <v>704</v>
      </c>
      <c r="AF25" s="259"/>
      <c r="AG25" s="111">
        <f>AE25+AG27</f>
        <v>657</v>
      </c>
      <c r="AH25" s="112">
        <f>AG25+AH27</f>
        <v>617</v>
      </c>
      <c r="AI25" s="112">
        <f>AH25+AI27</f>
        <v>562</v>
      </c>
      <c r="AJ25" s="112">
        <f>AI25+AJ27</f>
        <v>518</v>
      </c>
      <c r="AK25" s="113">
        <f>AJ25</f>
        <v>518</v>
      </c>
      <c r="AL25" s="259"/>
      <c r="AM25" s="111">
        <f>AK25+AM27</f>
        <v>483</v>
      </c>
      <c r="AN25" s="112">
        <f>AM25+AN27</f>
        <v>455</v>
      </c>
      <c r="AO25" s="112">
        <f>AN25+AO27</f>
        <v>419</v>
      </c>
      <c r="AP25" s="112">
        <f>AO25+AP27</f>
        <v>390</v>
      </c>
      <c r="AQ25" s="113">
        <f>AP25</f>
        <v>390</v>
      </c>
      <c r="AR25" s="259"/>
      <c r="AS25" s="111">
        <f>AQ25+AS27</f>
        <v>362</v>
      </c>
      <c r="AT25" s="112">
        <f>AS25+AT27</f>
        <v>341</v>
      </c>
      <c r="AU25" s="112">
        <f>AT25+AU27</f>
        <v>323</v>
      </c>
      <c r="AV25" s="112">
        <f>AU25+AV27</f>
        <v>305</v>
      </c>
      <c r="AW25" s="113">
        <f>AV25</f>
        <v>305</v>
      </c>
      <c r="AX25" s="259"/>
      <c r="AY25" s="111">
        <f>AW25+AY27</f>
        <v>287</v>
      </c>
      <c r="AZ25" s="112">
        <f>AY25+AZ27</f>
        <v>268</v>
      </c>
      <c r="BA25" s="112">
        <f>AZ25+BA27</f>
        <v>246</v>
      </c>
      <c r="BB25" s="112">
        <f>BA25+BB27</f>
        <v>227</v>
      </c>
      <c r="BC25" s="113">
        <f>BB25</f>
        <v>227</v>
      </c>
      <c r="BD25" s="259"/>
      <c r="BE25" s="111">
        <f>BC25+BE27</f>
        <v>206</v>
      </c>
      <c r="BF25" s="112">
        <f>BE25+BF27</f>
        <v>192</v>
      </c>
      <c r="BG25" s="112">
        <f>BF25+BG27</f>
        <v>179</v>
      </c>
      <c r="BH25" s="112">
        <f>BG25+BH27</f>
        <v>165</v>
      </c>
      <c r="BI25" s="113">
        <f>BH25</f>
        <v>165</v>
      </c>
      <c r="BJ25" s="259"/>
      <c r="BK25" s="111">
        <f>BI25+BK27</f>
        <v>148</v>
      </c>
      <c r="BL25" s="112">
        <f>BK25+BL27</f>
        <v>125</v>
      </c>
      <c r="BM25" s="112">
        <f>BL25+BM27</f>
        <v>109</v>
      </c>
      <c r="BN25" s="112">
        <f>BM25+BN27</f>
        <v>100</v>
      </c>
      <c r="BO25" s="113">
        <f>BN25</f>
        <v>100</v>
      </c>
      <c r="BP25" s="259"/>
      <c r="BQ25" s="111">
        <f>BO25+BQ27</f>
        <v>90</v>
      </c>
      <c r="BR25" s="112">
        <f>BQ25+BR27</f>
        <v>80</v>
      </c>
      <c r="BS25" s="112">
        <f>BR25+BS27</f>
        <v>71</v>
      </c>
      <c r="BT25" s="112">
        <f>BS25+BT27</f>
        <v>62</v>
      </c>
      <c r="BU25" s="113">
        <f>BT25</f>
        <v>62</v>
      </c>
      <c r="BV25" s="259"/>
      <c r="BW25" s="111">
        <f>BU25+BW27</f>
        <v>52</v>
      </c>
      <c r="BX25" s="112">
        <f>BW25+BX27</f>
        <v>42</v>
      </c>
      <c r="BY25" s="112">
        <f>BX25+BY27</f>
        <v>32</v>
      </c>
      <c r="BZ25" s="112">
        <f>BY25+BZ27</f>
        <v>22</v>
      </c>
      <c r="CA25" s="113">
        <f>BZ25</f>
        <v>22</v>
      </c>
      <c r="CB25" s="259"/>
      <c r="CC25" s="111">
        <f>CA25+CC27</f>
        <v>14</v>
      </c>
      <c r="CD25" s="112">
        <f>CC25+CD27</f>
        <v>8</v>
      </c>
      <c r="CE25" s="112">
        <f>CD25+CE27</f>
        <v>5</v>
      </c>
      <c r="CF25" s="112">
        <f>CE25+CF27</f>
        <v>2</v>
      </c>
      <c r="CG25" s="113">
        <f>CF25</f>
        <v>2</v>
      </c>
      <c r="CH25" s="259"/>
      <c r="CI25" s="111">
        <f>CG25+CI27</f>
        <v>0</v>
      </c>
      <c r="CJ25" s="112">
        <f>CI25+CJ27</f>
        <v>0</v>
      </c>
      <c r="CK25" s="112">
        <f>CJ25+CK27</f>
        <v>0</v>
      </c>
      <c r="CL25" s="112">
        <f>CK25+CL27</f>
        <v>0</v>
      </c>
      <c r="CM25" s="113">
        <f>CL25</f>
        <v>0</v>
      </c>
      <c r="CN25" s="259"/>
      <c r="CO25" s="111">
        <f>CM25+CO27</f>
        <v>0</v>
      </c>
      <c r="CP25" s="112">
        <f>CO25+CP27</f>
        <v>0</v>
      </c>
      <c r="CQ25" s="112">
        <f>CP25+CQ27</f>
        <v>0</v>
      </c>
      <c r="CR25" s="112">
        <f>CQ25+CR27</f>
        <v>0</v>
      </c>
      <c r="CS25" s="113">
        <f>CR25</f>
        <v>0</v>
      </c>
      <c r="CT25" s="259"/>
      <c r="CU25" s="111">
        <f>CS25+CU27</f>
        <v>0</v>
      </c>
      <c r="CV25" s="112">
        <f>CU25+CV27</f>
        <v>0</v>
      </c>
      <c r="CW25" s="112">
        <f>CV25+CW27</f>
        <v>0</v>
      </c>
      <c r="CX25" s="112">
        <f>CW25+CX27</f>
        <v>0</v>
      </c>
      <c r="CY25" s="113">
        <f>CX25</f>
        <v>0</v>
      </c>
      <c r="CZ25" s="259"/>
      <c r="DA25" s="111">
        <f>CY25+DA27</f>
        <v>0</v>
      </c>
      <c r="DB25" s="112">
        <f>DA25+DB27</f>
        <v>0</v>
      </c>
      <c r="DC25" s="112">
        <f>DB25+DC27</f>
        <v>0</v>
      </c>
      <c r="DD25" s="112">
        <f>DC25+DD27</f>
        <v>0</v>
      </c>
      <c r="DE25" s="113">
        <f>DD25</f>
        <v>0</v>
      </c>
      <c r="DF25" s="259"/>
      <c r="DG25" s="111">
        <f>DE25+DG27</f>
        <v>0</v>
      </c>
      <c r="DH25" s="112">
        <f>DG25+DH27</f>
        <v>0</v>
      </c>
      <c r="DI25" s="112">
        <f>DH25+DI27</f>
        <v>0</v>
      </c>
      <c r="DJ25" s="112">
        <f>DI25+DJ27</f>
        <v>0</v>
      </c>
      <c r="DK25" s="113">
        <f>DJ25</f>
        <v>0</v>
      </c>
    </row>
    <row r="26" spans="2:115" ht="15" x14ac:dyDescent="0.3">
      <c r="B26" s="219" t="s">
        <v>71</v>
      </c>
      <c r="C26" s="144"/>
      <c r="D26" s="107"/>
      <c r="E26" s="107"/>
      <c r="F26" s="107"/>
      <c r="G26" s="138"/>
      <c r="I26" s="144"/>
      <c r="J26" s="107"/>
      <c r="K26" s="107"/>
      <c r="L26" s="107"/>
      <c r="M26" s="138"/>
      <c r="O26" s="144"/>
      <c r="P26" s="107"/>
      <c r="Q26" s="107"/>
      <c r="R26" s="133">
        <f>R25/L25-1</f>
        <v>-0.3610563657863618</v>
      </c>
      <c r="S26" s="153">
        <f>S25/M25-1</f>
        <v>-0.3610563657863618</v>
      </c>
      <c r="U26" s="151">
        <f>U25/O25-1</f>
        <v>-0.31054775916704391</v>
      </c>
      <c r="V26" s="133">
        <f>V25/P25-1</f>
        <v>-0.30635245901639341</v>
      </c>
      <c r="W26" s="133">
        <f>W25/Q25-1</f>
        <v>-0.3476027397260274</v>
      </c>
      <c r="X26" s="133">
        <f>X25/R25-1</f>
        <v>-0.39296730413325109</v>
      </c>
      <c r="Y26" s="153">
        <f>Y25/S25-1</f>
        <v>-0.39296730413325109</v>
      </c>
      <c r="AA26" s="151">
        <f>AA25/U25-1</f>
        <v>-0.41497045305318447</v>
      </c>
      <c r="AB26" s="133">
        <f>AB25/V25-1</f>
        <v>-0.39438700147710493</v>
      </c>
      <c r="AC26" s="133">
        <f>AC25/W25-1</f>
        <v>-0.33770778652668421</v>
      </c>
      <c r="AD26" s="133">
        <f>AD25/X25-1</f>
        <v>-0.28455284552845528</v>
      </c>
      <c r="AE26" s="153">
        <f>AE25/Y25-1</f>
        <v>-0.28455284552845528</v>
      </c>
      <c r="AG26" s="151">
        <f>AG25/AA25-1</f>
        <v>-0.26262626262626265</v>
      </c>
      <c r="AH26" s="133">
        <f>AH25/AB25-1</f>
        <v>-0.2475609756097561</v>
      </c>
      <c r="AI26" s="133">
        <f>AI25/AC25-1</f>
        <v>-0.25759577278731838</v>
      </c>
      <c r="AJ26" s="133">
        <f>AJ25/AD25-1</f>
        <v>-0.26420454545454541</v>
      </c>
      <c r="AK26" s="153">
        <f>AK25/AE25-1</f>
        <v>-0.26420454545454541</v>
      </c>
      <c r="AM26" s="151">
        <f>AM25/AG25-1</f>
        <v>-0.26484018264840181</v>
      </c>
      <c r="AN26" s="133">
        <f>AN25/AH25-1</f>
        <v>-0.26256077795786059</v>
      </c>
      <c r="AO26" s="133">
        <f>AO25/AI25-1</f>
        <v>-0.25444839857651247</v>
      </c>
      <c r="AP26" s="133">
        <f>AP25/AJ25-1</f>
        <v>-0.24710424710424705</v>
      </c>
      <c r="AQ26" s="153">
        <f>AQ25/AK25-1</f>
        <v>-0.24710424710424705</v>
      </c>
      <c r="AS26" s="151">
        <f>AS25/AM25-1</f>
        <v>-0.25051759834368525</v>
      </c>
      <c r="AT26" s="133">
        <f>AT25/AN25-1</f>
        <v>-0.25054945054945055</v>
      </c>
      <c r="AU26" s="133">
        <f>AU25/AO25-1</f>
        <v>-0.22911694510739855</v>
      </c>
      <c r="AV26" s="133">
        <f>AV25/AP25-1</f>
        <v>-0.21794871794871795</v>
      </c>
      <c r="AW26" s="153">
        <f>AW25/AQ25-1</f>
        <v>-0.21794871794871795</v>
      </c>
      <c r="AY26" s="151">
        <f>AY25/AS25-1</f>
        <v>-0.20718232044198892</v>
      </c>
      <c r="AZ26" s="133">
        <f>AZ25/AT25-1</f>
        <v>-0.21407624633431088</v>
      </c>
      <c r="BA26" s="133">
        <f>BA25/AU25-1</f>
        <v>-0.23839009287925694</v>
      </c>
      <c r="BB26" s="133">
        <f>BB25/AV25-1</f>
        <v>-0.25573770491803283</v>
      </c>
      <c r="BC26" s="153">
        <f>BC25/AW25-1</f>
        <v>-0.25573770491803283</v>
      </c>
      <c r="BE26" s="151">
        <f>BE25/AY25-1</f>
        <v>-0.28222996515679444</v>
      </c>
      <c r="BF26" s="133">
        <f>BF25/AZ25-1</f>
        <v>-0.28358208955223885</v>
      </c>
      <c r="BG26" s="133">
        <f>BG25/BA25-1</f>
        <v>-0.27235772357723576</v>
      </c>
      <c r="BH26" s="133">
        <f>BH25/BB25-1</f>
        <v>-0.27312775330396477</v>
      </c>
      <c r="BI26" s="153">
        <f>BI25/BC25-1</f>
        <v>-0.27312775330396477</v>
      </c>
      <c r="BK26" s="151" t="s">
        <v>35</v>
      </c>
      <c r="BL26" s="133" t="s">
        <v>35</v>
      </c>
      <c r="BM26" s="133" t="s">
        <v>35</v>
      </c>
      <c r="BN26" s="133" t="s">
        <v>35</v>
      </c>
      <c r="BO26" s="153" t="s">
        <v>35</v>
      </c>
      <c r="BQ26" s="151" t="s">
        <v>35</v>
      </c>
      <c r="BR26" s="133" t="s">
        <v>35</v>
      </c>
      <c r="BS26" s="133" t="s">
        <v>35</v>
      </c>
      <c r="BT26" s="133" t="s">
        <v>35</v>
      </c>
      <c r="BU26" s="153" t="s">
        <v>35</v>
      </c>
      <c r="BW26" s="468" t="s">
        <v>35</v>
      </c>
      <c r="BX26" s="469" t="s">
        <v>35</v>
      </c>
      <c r="BY26" s="469" t="s">
        <v>35</v>
      </c>
      <c r="BZ26" s="469" t="s">
        <v>35</v>
      </c>
      <c r="CA26" s="470" t="s">
        <v>35</v>
      </c>
      <c r="CC26" s="468" t="s">
        <v>35</v>
      </c>
      <c r="CD26" s="469" t="s">
        <v>35</v>
      </c>
      <c r="CE26" s="469" t="s">
        <v>35</v>
      </c>
      <c r="CF26" s="469" t="s">
        <v>35</v>
      </c>
      <c r="CG26" s="470" t="s">
        <v>35</v>
      </c>
      <c r="CI26" s="468" t="s">
        <v>35</v>
      </c>
      <c r="CJ26" s="469" t="s">
        <v>35</v>
      </c>
      <c r="CK26" s="469" t="s">
        <v>35</v>
      </c>
      <c r="CL26" s="469" t="s">
        <v>35</v>
      </c>
      <c r="CM26" s="470" t="s">
        <v>35</v>
      </c>
      <c r="CO26" s="468" t="s">
        <v>35</v>
      </c>
      <c r="CP26" s="469" t="s">
        <v>35</v>
      </c>
      <c r="CQ26" s="469" t="s">
        <v>35</v>
      </c>
      <c r="CR26" s="469" t="s">
        <v>35</v>
      </c>
      <c r="CS26" s="470" t="s">
        <v>35</v>
      </c>
      <c r="CU26" s="468" t="s">
        <v>35</v>
      </c>
      <c r="CV26" s="469" t="s">
        <v>35</v>
      </c>
      <c r="CW26" s="469" t="s">
        <v>35</v>
      </c>
      <c r="CX26" s="469" t="s">
        <v>35</v>
      </c>
      <c r="CY26" s="470" t="s">
        <v>35</v>
      </c>
      <c r="DA26" s="468" t="s">
        <v>35</v>
      </c>
      <c r="DB26" s="469" t="s">
        <v>35</v>
      </c>
      <c r="DC26" s="469" t="s">
        <v>35</v>
      </c>
      <c r="DD26" s="469" t="s">
        <v>35</v>
      </c>
      <c r="DE26" s="470" t="s">
        <v>35</v>
      </c>
      <c r="DG26" s="468" t="s">
        <v>35</v>
      </c>
      <c r="DH26" s="469" t="s">
        <v>35</v>
      </c>
      <c r="DI26" s="469" t="s">
        <v>35</v>
      </c>
      <c r="DJ26" s="469" t="s">
        <v>35</v>
      </c>
      <c r="DK26" s="470" t="s">
        <v>35</v>
      </c>
    </row>
    <row r="27" spans="2:115" ht="15.75" thickBot="1" x14ac:dyDescent="0.35">
      <c r="B27" s="220" t="s">
        <v>72</v>
      </c>
      <c r="C27" s="155"/>
      <c r="D27" s="106"/>
      <c r="E27" s="106"/>
      <c r="F27" s="106"/>
      <c r="G27" s="108"/>
      <c r="I27" s="155"/>
      <c r="J27" s="106"/>
      <c r="K27" s="106"/>
      <c r="L27" s="106"/>
      <c r="M27" s="108"/>
      <c r="O27" s="155">
        <f>O25-L25</f>
        <v>-328</v>
      </c>
      <c r="P27" s="106">
        <f>P25-O25</f>
        <v>-257</v>
      </c>
      <c r="Q27" s="106">
        <f>Q25-P25</f>
        <v>-200</v>
      </c>
      <c r="R27" s="106">
        <f>R25-Q25</f>
        <v>-131</v>
      </c>
      <c r="S27" s="108">
        <f>O27+P27+Q27+R27</f>
        <v>-916</v>
      </c>
      <c r="U27" s="155">
        <f>U25-R25</f>
        <v>-98</v>
      </c>
      <c r="V27" s="106">
        <f>V25-U25</f>
        <v>-169</v>
      </c>
      <c r="W27" s="106">
        <f>W25-V25</f>
        <v>-211</v>
      </c>
      <c r="X27" s="106">
        <f>X25-W25</f>
        <v>-159</v>
      </c>
      <c r="Y27" s="108">
        <f>U27+V27+W27+X27</f>
        <v>-637</v>
      </c>
      <c r="AA27" s="155">
        <v>-93</v>
      </c>
      <c r="AB27" s="106">
        <v>-71</v>
      </c>
      <c r="AC27" s="106">
        <v>-63</v>
      </c>
      <c r="AD27" s="106">
        <v>-53</v>
      </c>
      <c r="AE27" s="108">
        <f>AA27+AB27+AC27+AD27</f>
        <v>-280</v>
      </c>
      <c r="AG27" s="155">
        <v>-47</v>
      </c>
      <c r="AH27" s="106">
        <v>-40</v>
      </c>
      <c r="AI27" s="106">
        <v>-55</v>
      </c>
      <c r="AJ27" s="106">
        <v>-44</v>
      </c>
      <c r="AK27" s="108">
        <f>AG27+AH27+AI27+AJ27</f>
        <v>-186</v>
      </c>
      <c r="AM27" s="155">
        <v>-35</v>
      </c>
      <c r="AN27" s="106">
        <v>-28</v>
      </c>
      <c r="AO27" s="106">
        <v>-36</v>
      </c>
      <c r="AP27" s="106">
        <v>-29</v>
      </c>
      <c r="AQ27" s="108">
        <f>AM27+AN27+AO27+AP27</f>
        <v>-128</v>
      </c>
      <c r="AS27" s="155">
        <v>-28</v>
      </c>
      <c r="AT27" s="106">
        <v>-21</v>
      </c>
      <c r="AU27" s="106">
        <v>-18</v>
      </c>
      <c r="AV27" s="106">
        <v>-18</v>
      </c>
      <c r="AW27" s="108">
        <f>AS27+AT27+AU27+AV27</f>
        <v>-85</v>
      </c>
      <c r="AY27" s="155">
        <v>-18</v>
      </c>
      <c r="AZ27" s="106">
        <v>-19</v>
      </c>
      <c r="BA27" s="106">
        <v>-22</v>
      </c>
      <c r="BB27" s="106">
        <v>-19</v>
      </c>
      <c r="BC27" s="108">
        <f>AY27+AZ27+BA27+BB27</f>
        <v>-78</v>
      </c>
      <c r="BE27" s="155">
        <v>-21</v>
      </c>
      <c r="BF27" s="106">
        <v>-14</v>
      </c>
      <c r="BG27" s="106">
        <v>-13</v>
      </c>
      <c r="BH27" s="106">
        <v>-14</v>
      </c>
      <c r="BI27" s="108">
        <f>BE27+BF27+BG27+BH27</f>
        <v>-62</v>
      </c>
      <c r="BK27" s="155">
        <v>-17</v>
      </c>
      <c r="BL27" s="106">
        <v>-23</v>
      </c>
      <c r="BM27" s="106">
        <v>-16</v>
      </c>
      <c r="BN27" s="106">
        <v>-9</v>
      </c>
      <c r="BO27" s="108">
        <f>BK27+BL27+BM27+BN27</f>
        <v>-65</v>
      </c>
      <c r="BQ27" s="155">
        <v>-10</v>
      </c>
      <c r="BR27" s="106">
        <v>-10</v>
      </c>
      <c r="BS27" s="106">
        <v>-9</v>
      </c>
      <c r="BT27" s="106">
        <v>-9</v>
      </c>
      <c r="BU27" s="108">
        <f>BQ27+BR27+BS27+BT27</f>
        <v>-38</v>
      </c>
      <c r="BW27" s="155">
        <v>-10</v>
      </c>
      <c r="BX27" s="106">
        <v>-10</v>
      </c>
      <c r="BY27" s="106">
        <v>-10</v>
      </c>
      <c r="BZ27" s="106">
        <v>-10</v>
      </c>
      <c r="CA27" s="108">
        <f>BW27+BX27+BY27+BZ27</f>
        <v>-40</v>
      </c>
      <c r="CC27" s="155">
        <v>-8</v>
      </c>
      <c r="CD27" s="106">
        <v>-6</v>
      </c>
      <c r="CE27" s="106">
        <v>-3</v>
      </c>
      <c r="CF27" s="106">
        <v>-3</v>
      </c>
      <c r="CG27" s="108">
        <f>CC27+CD27+CE27+CF27</f>
        <v>-20</v>
      </c>
      <c r="CI27" s="155">
        <v>-2</v>
      </c>
      <c r="CJ27" s="106">
        <v>0</v>
      </c>
      <c r="CK27" s="106">
        <v>0</v>
      </c>
      <c r="CL27" s="106">
        <v>0</v>
      </c>
      <c r="CM27" s="108">
        <f>CI27+CJ27+CK27+CL27</f>
        <v>-2</v>
      </c>
      <c r="CO27" s="155">
        <v>0</v>
      </c>
      <c r="CP27" s="106">
        <v>0</v>
      </c>
      <c r="CQ27" s="106">
        <v>0</v>
      </c>
      <c r="CR27" s="106">
        <v>0</v>
      </c>
      <c r="CS27" s="108">
        <f>CO27+CP27+CQ27+CR27</f>
        <v>0</v>
      </c>
      <c r="CU27" s="155">
        <v>0</v>
      </c>
      <c r="CV27" s="106">
        <v>0</v>
      </c>
      <c r="CW27" s="106">
        <v>0</v>
      </c>
      <c r="CX27" s="106">
        <v>0</v>
      </c>
      <c r="CY27" s="108">
        <f>CU27+CV27+CW27+CX27</f>
        <v>0</v>
      </c>
      <c r="DA27" s="155">
        <v>0</v>
      </c>
      <c r="DB27" s="106">
        <v>0</v>
      </c>
      <c r="DC27" s="106">
        <v>0</v>
      </c>
      <c r="DD27" s="106">
        <v>0</v>
      </c>
      <c r="DE27" s="108">
        <f>DA27+DB27+DC27+DD27</f>
        <v>0</v>
      </c>
      <c r="DG27" s="155">
        <v>0</v>
      </c>
      <c r="DH27" s="106">
        <v>0</v>
      </c>
      <c r="DI27" s="106">
        <v>0</v>
      </c>
      <c r="DJ27" s="106">
        <v>0</v>
      </c>
      <c r="DK27" s="108">
        <f>DG27+DH27+DI27+DJ27</f>
        <v>0</v>
      </c>
    </row>
    <row r="29" spans="2:115" ht="15.75" thickBot="1" x14ac:dyDescent="0.35">
      <c r="B29" s="218"/>
    </row>
    <row r="30" spans="2:115" x14ac:dyDescent="0.2">
      <c r="B30" s="225" t="s">
        <v>77</v>
      </c>
      <c r="C30" s="221"/>
      <c r="D30" s="222"/>
      <c r="E30" s="222"/>
      <c r="F30" s="222"/>
      <c r="G30" s="224"/>
      <c r="I30" s="221"/>
      <c r="J30" s="222"/>
      <c r="K30" s="222"/>
      <c r="L30" s="222">
        <v>206</v>
      </c>
      <c r="M30" s="224">
        <f>L30</f>
        <v>206</v>
      </c>
      <c r="O30" s="221">
        <v>316</v>
      </c>
      <c r="P30" s="222">
        <v>425</v>
      </c>
      <c r="Q30" s="222">
        <v>517</v>
      </c>
      <c r="R30" s="222">
        <v>600</v>
      </c>
      <c r="S30" s="224">
        <f>R30</f>
        <v>600</v>
      </c>
      <c r="U30" s="221">
        <v>661</v>
      </c>
      <c r="V30" s="222">
        <v>723</v>
      </c>
      <c r="W30" s="112">
        <v>892</v>
      </c>
      <c r="X30" s="112">
        <v>1037</v>
      </c>
      <c r="Y30" s="113">
        <f>X30</f>
        <v>1037</v>
      </c>
      <c r="AA30" s="111">
        <f>Y30+AA32</f>
        <v>1108</v>
      </c>
      <c r="AB30" s="112">
        <f>AA30+AB32</f>
        <v>1155</v>
      </c>
      <c r="AC30" s="112">
        <f>AB30+AC32</f>
        <v>1198</v>
      </c>
      <c r="AD30" s="112">
        <f>AC30+AD32</f>
        <v>1222</v>
      </c>
      <c r="AE30" s="113">
        <f>AD30</f>
        <v>1222</v>
      </c>
      <c r="AG30" s="111">
        <f>AE30+AG32</f>
        <v>1253</v>
      </c>
      <c r="AH30" s="112">
        <f>AG30+AH32</f>
        <v>1267</v>
      </c>
      <c r="AI30" s="112">
        <f>AH30+AI32</f>
        <v>1283</v>
      </c>
      <c r="AJ30" s="112">
        <f>AI30+AJ32</f>
        <v>1303</v>
      </c>
      <c r="AK30" s="113">
        <f>AJ30</f>
        <v>1303</v>
      </c>
      <c r="AM30" s="111">
        <f>AK30+AM32</f>
        <v>1362</v>
      </c>
      <c r="AN30" s="112">
        <f>AM30+AN32</f>
        <v>1418</v>
      </c>
      <c r="AO30" s="112">
        <f>AN30+AO32</f>
        <v>1495</v>
      </c>
      <c r="AP30" s="112">
        <f>AO30+AP32</f>
        <v>1564</v>
      </c>
      <c r="AQ30" s="113">
        <f>AP30</f>
        <v>1564</v>
      </c>
      <c r="AS30" s="111">
        <f>AQ30+AS32</f>
        <v>1675</v>
      </c>
      <c r="AT30" s="112">
        <f>AS30+AT32</f>
        <v>1812</v>
      </c>
      <c r="AU30" s="112">
        <f>AT30+AU32</f>
        <v>1971</v>
      </c>
      <c r="AV30" s="112">
        <f>AU30+AV32</f>
        <v>2153</v>
      </c>
      <c r="AW30" s="113">
        <f>AV30</f>
        <v>2153</v>
      </c>
      <c r="AY30" s="111">
        <f>AW30+AY32</f>
        <v>2353</v>
      </c>
      <c r="AZ30" s="112">
        <f>AY30+AZ32</f>
        <v>2541</v>
      </c>
      <c r="BA30" s="112">
        <f>AZ30+BA32</f>
        <v>2752</v>
      </c>
      <c r="BB30" s="112">
        <f>BA30+BB32</f>
        <v>3015</v>
      </c>
      <c r="BC30" s="113">
        <f>BB30</f>
        <v>3015</v>
      </c>
      <c r="BE30" s="111">
        <f>BC30+BE32</f>
        <v>3319</v>
      </c>
      <c r="BF30" s="112">
        <f>BE30+BF32</f>
        <v>3621</v>
      </c>
      <c r="BG30" s="112">
        <f>BF30+BG32</f>
        <v>3905</v>
      </c>
      <c r="BH30" s="112">
        <f>BG30+BH32</f>
        <v>4212</v>
      </c>
      <c r="BI30" s="113">
        <f>BH30</f>
        <v>4212</v>
      </c>
      <c r="BK30" s="111">
        <f>BI30+BK32</f>
        <v>4554</v>
      </c>
      <c r="BL30" s="112">
        <f>BK30+BL32</f>
        <v>4884</v>
      </c>
      <c r="BM30" s="112">
        <f>BL30+BM32</f>
        <v>5184</v>
      </c>
      <c r="BN30" s="112">
        <f>BM30+BN32</f>
        <v>5484</v>
      </c>
      <c r="BO30" s="113">
        <f>BN30</f>
        <v>5484</v>
      </c>
      <c r="BQ30" s="111">
        <f>BO30+BQ32</f>
        <v>5734</v>
      </c>
      <c r="BR30" s="112">
        <f>BQ30+BR32</f>
        <v>5959</v>
      </c>
      <c r="BS30" s="112">
        <f>BR30+BS32</f>
        <v>6159</v>
      </c>
      <c r="BT30" s="112">
        <f>BS30+BT32</f>
        <v>6359</v>
      </c>
      <c r="BU30" s="113">
        <f>BT30</f>
        <v>6359</v>
      </c>
      <c r="BW30" s="111">
        <f>BU30+BW32</f>
        <v>6509</v>
      </c>
      <c r="BX30" s="112">
        <f>BW30+BX32</f>
        <v>6659</v>
      </c>
      <c r="BY30" s="112">
        <f>BX30+BY32</f>
        <v>6809</v>
      </c>
      <c r="BZ30" s="112">
        <f>BY30+BZ32</f>
        <v>6959</v>
      </c>
      <c r="CA30" s="113">
        <f>BZ30</f>
        <v>6959</v>
      </c>
      <c r="CC30" s="111">
        <f>CA30+CC32</f>
        <v>7059</v>
      </c>
      <c r="CD30" s="112">
        <f>CC30+CD32</f>
        <v>7159</v>
      </c>
      <c r="CE30" s="112">
        <f>CD30+CE32</f>
        <v>7259</v>
      </c>
      <c r="CF30" s="112">
        <f>CE30+CF32</f>
        <v>7359</v>
      </c>
      <c r="CG30" s="113">
        <f>CF30</f>
        <v>7359</v>
      </c>
      <c r="CI30" s="111">
        <f>CG30+CI32</f>
        <v>7434</v>
      </c>
      <c r="CJ30" s="112">
        <f>CI30+CJ32</f>
        <v>7509</v>
      </c>
      <c r="CK30" s="112">
        <f>CJ30+CK32</f>
        <v>7584</v>
      </c>
      <c r="CL30" s="112">
        <f>CK30+CL32</f>
        <v>7659</v>
      </c>
      <c r="CM30" s="113">
        <f>CL30</f>
        <v>7659</v>
      </c>
      <c r="CO30" s="111">
        <f>CM30+CO32</f>
        <v>7734</v>
      </c>
      <c r="CP30" s="112">
        <f>CO30+CP32</f>
        <v>7809</v>
      </c>
      <c r="CQ30" s="112">
        <f>CP30+CQ32</f>
        <v>7884</v>
      </c>
      <c r="CR30" s="112">
        <f>CQ30+CR32</f>
        <v>7959</v>
      </c>
      <c r="CS30" s="113">
        <f>CR30</f>
        <v>7959</v>
      </c>
      <c r="CU30" s="111">
        <f>CS30+CU32</f>
        <v>8034</v>
      </c>
      <c r="CV30" s="112">
        <f>CU30+CV32</f>
        <v>8109</v>
      </c>
      <c r="CW30" s="112">
        <f>CV30+CW32</f>
        <v>8184</v>
      </c>
      <c r="CX30" s="112">
        <f>CW30+CX32</f>
        <v>8259</v>
      </c>
      <c r="CY30" s="113">
        <f>CX30</f>
        <v>8259</v>
      </c>
      <c r="DA30" s="111">
        <f>CY30+DA32</f>
        <v>8334</v>
      </c>
      <c r="DB30" s="112">
        <f>DA30+DB32</f>
        <v>8409</v>
      </c>
      <c r="DC30" s="112">
        <f>DB30+DC32</f>
        <v>8484</v>
      </c>
      <c r="DD30" s="112">
        <f>DC30+DD32</f>
        <v>8559</v>
      </c>
      <c r="DE30" s="113">
        <f>DD30</f>
        <v>8559</v>
      </c>
      <c r="DG30" s="111">
        <f>DE30+DG32</f>
        <v>8634</v>
      </c>
      <c r="DH30" s="112">
        <f>DG30+DH32</f>
        <v>8709</v>
      </c>
      <c r="DI30" s="112">
        <f>DH30+DI32</f>
        <v>8784</v>
      </c>
      <c r="DJ30" s="112">
        <f>DI30+DJ32</f>
        <v>8859</v>
      </c>
      <c r="DK30" s="113">
        <f>DJ30</f>
        <v>8859</v>
      </c>
    </row>
    <row r="31" spans="2:115" ht="15" x14ac:dyDescent="0.3">
      <c r="B31" s="219" t="s">
        <v>71</v>
      </c>
      <c r="C31" s="144"/>
      <c r="D31" s="107"/>
      <c r="E31" s="107"/>
      <c r="F31" s="107"/>
      <c r="G31" s="138"/>
      <c r="I31" s="144"/>
      <c r="J31" s="107"/>
      <c r="K31" s="107"/>
      <c r="L31" s="107"/>
      <c r="M31" s="138"/>
      <c r="O31" s="144" t="s">
        <v>35</v>
      </c>
      <c r="P31" s="107" t="s">
        <v>35</v>
      </c>
      <c r="Q31" s="107" t="s">
        <v>35</v>
      </c>
      <c r="R31" s="328">
        <f>R30/L30-1</f>
        <v>1.912621359223301</v>
      </c>
      <c r="S31" s="333">
        <f>S30/M30-1</f>
        <v>1.912621359223301</v>
      </c>
      <c r="U31" s="327">
        <f>U30/O30-1</f>
        <v>1.0917721518987342</v>
      </c>
      <c r="V31" s="328">
        <f>V30/P30-1</f>
        <v>0.70117647058823529</v>
      </c>
      <c r="W31" s="133">
        <f>(W30-Q30)/Q30</f>
        <v>0.72533849129593808</v>
      </c>
      <c r="X31" s="133">
        <f>(X30-R30)/R30</f>
        <v>0.72833333333333339</v>
      </c>
      <c r="Y31" s="153">
        <f>Y30/S30-1</f>
        <v>0.72833333333333328</v>
      </c>
      <c r="AA31" s="151">
        <f>(AA30-U30)/U30</f>
        <v>0.67624810892586984</v>
      </c>
      <c r="AB31" s="133">
        <f>(AB30-V30)/V30</f>
        <v>0.59751037344398339</v>
      </c>
      <c r="AC31" s="133">
        <f>(AC30-W30)/W30</f>
        <v>0.34304932735426008</v>
      </c>
      <c r="AD31" s="133">
        <f>(AD30-X30)/X30</f>
        <v>0.17839922854387658</v>
      </c>
      <c r="AE31" s="153">
        <f>AE30/Y30-1</f>
        <v>0.17839922854387646</v>
      </c>
      <c r="AG31" s="151">
        <f>(AG30-AA30)/AA30</f>
        <v>0.13086642599277978</v>
      </c>
      <c r="AH31" s="133">
        <f>(AH30-AB30)/AB30</f>
        <v>9.696969696969697E-2</v>
      </c>
      <c r="AI31" s="133">
        <f>(AI30-AC30)/AC30</f>
        <v>7.0951585976627707E-2</v>
      </c>
      <c r="AJ31" s="133">
        <f>(AJ30-AD30)/AD30</f>
        <v>6.62847790507365E-2</v>
      </c>
      <c r="AK31" s="153">
        <f>AK30/AE30-1</f>
        <v>6.6284779050736597E-2</v>
      </c>
      <c r="AM31" s="151">
        <f>(AM30-AG30)/AG30</f>
        <v>8.6991221069433355E-2</v>
      </c>
      <c r="AN31" s="133">
        <f>(AN30-AH30)/AH30</f>
        <v>0.11917916337805841</v>
      </c>
      <c r="AO31" s="133">
        <f>(AO30-AI30)/AI30</f>
        <v>0.1652377240841777</v>
      </c>
      <c r="AP31" s="133">
        <f>(AP30-AJ30)/AJ30</f>
        <v>0.20030698388334611</v>
      </c>
      <c r="AQ31" s="153">
        <f>AQ30/AK30-1</f>
        <v>0.20030698388334622</v>
      </c>
      <c r="AS31" s="151">
        <f>(AS30-AM30)/AM30</f>
        <v>0.22980910425844348</v>
      </c>
      <c r="AT31" s="133">
        <f>(AT30-AN30)/AN30</f>
        <v>0.27785613540197462</v>
      </c>
      <c r="AU31" s="133">
        <f>(AU30-AO30)/AO30</f>
        <v>0.31839464882943141</v>
      </c>
      <c r="AV31" s="133">
        <f>(AV30-AP30)/AP30</f>
        <v>0.37659846547314579</v>
      </c>
      <c r="AW31" s="153">
        <f>AW30/AQ30-1</f>
        <v>0.37659846547314579</v>
      </c>
      <c r="AY31" s="151">
        <f>(AY30-AS30)/AS30</f>
        <v>0.40477611940298508</v>
      </c>
      <c r="AZ31" s="133">
        <f>(AZ30-AT30)/AT30</f>
        <v>0.40231788079470199</v>
      </c>
      <c r="BA31" s="133">
        <f>(BA30-AU30)/AU30</f>
        <v>0.39624556062912225</v>
      </c>
      <c r="BB31" s="133">
        <f>(BB30-AV30)/AV30</f>
        <v>0.40037157454714351</v>
      </c>
      <c r="BC31" s="153">
        <f>BC30/AW30-1</f>
        <v>0.40037157454714345</v>
      </c>
      <c r="BE31" s="151">
        <f>(BE30-AY30)/AY30</f>
        <v>0.41053973650658732</v>
      </c>
      <c r="BF31" s="133">
        <f>(BF30-AZ30)/AZ30</f>
        <v>0.42502951593860683</v>
      </c>
      <c r="BG31" s="133">
        <f>(BG30-BA30)/BA30</f>
        <v>0.41896802325581395</v>
      </c>
      <c r="BH31" s="133">
        <f>(BH30-BB30)/BB30</f>
        <v>0.39701492537313432</v>
      </c>
      <c r="BI31" s="153">
        <f>BI30/BC30-1</f>
        <v>0.39701492537313432</v>
      </c>
      <c r="BK31" s="151">
        <f>(BK30-BE30)/BE30</f>
        <v>0.37210003012955711</v>
      </c>
      <c r="BL31" s="133">
        <f>(BL30-BF30)/BF30</f>
        <v>0.34879867439933721</v>
      </c>
      <c r="BM31" s="133">
        <f>(BM30-BG30)/BG30</f>
        <v>0.32752880921895006</v>
      </c>
      <c r="BN31" s="133">
        <f>(BN30-BH30)/BH30</f>
        <v>0.30199430199430199</v>
      </c>
      <c r="BO31" s="153">
        <f>BO30/BI30-1</f>
        <v>0.30199430199430188</v>
      </c>
      <c r="BQ31" s="151">
        <f>(BQ30-BK30)/BK30</f>
        <v>0.25911286780852</v>
      </c>
      <c r="BR31" s="133">
        <f>(BR30-BL30)/BL30</f>
        <v>0.22010647010647011</v>
      </c>
      <c r="BS31" s="133">
        <f>(BS30-BM30)/BM30</f>
        <v>0.18807870370370369</v>
      </c>
      <c r="BT31" s="133">
        <f>(BT30-BN30)/BN30</f>
        <v>0.15955506929248722</v>
      </c>
      <c r="BU31" s="153">
        <f>BU30/BO30-1</f>
        <v>0.15955506929248719</v>
      </c>
      <c r="BW31" s="151">
        <f>(BW30-BQ30)/BQ30</f>
        <v>0.13515870247645623</v>
      </c>
      <c r="BX31" s="133">
        <f>(BX30-BR30)/BR30</f>
        <v>0.11746937405604967</v>
      </c>
      <c r="BY31" s="133">
        <f>(BY30-BS30)/BS30</f>
        <v>0.10553661308654003</v>
      </c>
      <c r="BZ31" s="133">
        <f>(BZ30-BT30)/BT30</f>
        <v>9.4354458248152223E-2</v>
      </c>
      <c r="CA31" s="153">
        <f>CA30/BU30-1</f>
        <v>9.435445824815214E-2</v>
      </c>
      <c r="CC31" s="151">
        <f>(CC30-BW30)/BW30</f>
        <v>8.4498386848978341E-2</v>
      </c>
      <c r="CD31" s="133">
        <f>(CD30-BX30)/BX30</f>
        <v>7.5086349301696956E-2</v>
      </c>
      <c r="CE31" s="133">
        <f>(CE30-BY30)/BY30</f>
        <v>6.6088999853135558E-2</v>
      </c>
      <c r="CF31" s="133">
        <f>(CF30-BZ30)/BZ30</f>
        <v>5.7479522919959766E-2</v>
      </c>
      <c r="CG31" s="153">
        <f>CG30/CA30-1</f>
        <v>5.7479522919959836E-2</v>
      </c>
      <c r="CI31" s="151">
        <f>(CI30-CC30)/CC30</f>
        <v>5.3123671908202295E-2</v>
      </c>
      <c r="CJ31" s="133">
        <f>(CJ30-CD30)/CD30</f>
        <v>4.8889509708059782E-2</v>
      </c>
      <c r="CK31" s="133">
        <f>(CK30-CE30)/CE30</f>
        <v>4.4772007163521144E-2</v>
      </c>
      <c r="CL31" s="133">
        <f>(CL30-CF30)/CF30</f>
        <v>4.0766408479412965E-2</v>
      </c>
      <c r="CM31" s="153">
        <f>CM30/CG30-1</f>
        <v>4.0766408479413041E-2</v>
      </c>
      <c r="CO31" s="151">
        <f>(CO30-CI30)/CI30</f>
        <v>4.0355125100887811E-2</v>
      </c>
      <c r="CP31" s="133">
        <f>(CP30-CJ30)/CJ30</f>
        <v>3.9952057530962842E-2</v>
      </c>
      <c r="CQ31" s="133">
        <f>(CQ30-CK30)/CK30</f>
        <v>3.9556962025316458E-2</v>
      </c>
      <c r="CR31" s="133">
        <f>(CR30-CL30)/CL30</f>
        <v>3.9169604386995689E-2</v>
      </c>
      <c r="CS31" s="153">
        <f>CS30/CM30-1</f>
        <v>3.9169604386995793E-2</v>
      </c>
      <c r="CU31" s="151">
        <f>(CU30-CO30)/CO30</f>
        <v>3.8789759503491075E-2</v>
      </c>
      <c r="CV31" s="133">
        <f>(CV30-CP30)/CP30</f>
        <v>3.8417210910487901E-2</v>
      </c>
      <c r="CW31" s="133">
        <f>(CW30-CQ30)/CQ30</f>
        <v>3.8051750380517502E-2</v>
      </c>
      <c r="CX31" s="133">
        <f>(CX30-CR30)/CR30</f>
        <v>3.7693177534866187E-2</v>
      </c>
      <c r="CY31" s="153">
        <f>CY30/CS30-1</f>
        <v>3.7693177534866118E-2</v>
      </c>
      <c r="DA31" s="151">
        <f>(DA30-CU30)/CU30</f>
        <v>3.7341299477221805E-2</v>
      </c>
      <c r="DB31" s="133">
        <f>(DB30-CV30)/CV30</f>
        <v>3.699593044765076E-2</v>
      </c>
      <c r="DC31" s="133">
        <f>(DC30-CW30)/CW30</f>
        <v>3.6656891495601175E-2</v>
      </c>
      <c r="DD31" s="133">
        <f>(DD30-CX30)/CX30</f>
        <v>3.6324010170722849E-2</v>
      </c>
      <c r="DE31" s="153">
        <f>DE30/CY30-1</f>
        <v>3.6324010170722953E-2</v>
      </c>
      <c r="DG31" s="151">
        <f>(DG30-DA30)/DA30</f>
        <v>3.5997120230381568E-2</v>
      </c>
      <c r="DH31" s="133">
        <f>(DH30-DB30)/DB30</f>
        <v>3.5676061362825542E-2</v>
      </c>
      <c r="DI31" s="133">
        <f>(DI30-DC30)/DC30</f>
        <v>3.536067892503536E-2</v>
      </c>
      <c r="DJ31" s="133">
        <f>(DJ30-DD30)/DD30</f>
        <v>3.5050823694356817E-2</v>
      </c>
      <c r="DK31" s="153">
        <f>DK30/DE30-1</f>
        <v>3.5050823694356747E-2</v>
      </c>
    </row>
    <row r="32" spans="2:115" ht="15.75" thickBot="1" x14ac:dyDescent="0.35">
      <c r="B32" s="220" t="s">
        <v>72</v>
      </c>
      <c r="C32" s="155"/>
      <c r="D32" s="106"/>
      <c r="E32" s="106"/>
      <c r="F32" s="106"/>
      <c r="G32" s="108"/>
      <c r="I32" s="155"/>
      <c r="J32" s="106"/>
      <c r="K32" s="106"/>
      <c r="L32" s="106"/>
      <c r="M32" s="108"/>
      <c r="O32" s="155">
        <f>O30-M30</f>
        <v>110</v>
      </c>
      <c r="P32" s="106">
        <f>P30-O30</f>
        <v>109</v>
      </c>
      <c r="Q32" s="106">
        <f>Q30-P30</f>
        <v>92</v>
      </c>
      <c r="R32" s="106">
        <f>R30-Q30</f>
        <v>83</v>
      </c>
      <c r="S32" s="108">
        <f>O32+P32+Q32+R32</f>
        <v>394</v>
      </c>
      <c r="U32" s="155">
        <f>U30-S30</f>
        <v>61</v>
      </c>
      <c r="V32" s="106">
        <f>V30-U30</f>
        <v>62</v>
      </c>
      <c r="W32" s="106">
        <f>W30-V30</f>
        <v>169</v>
      </c>
      <c r="X32" s="106">
        <f>X30-W30</f>
        <v>145</v>
      </c>
      <c r="Y32" s="121">
        <f>U32+V32+W32+X32</f>
        <v>437</v>
      </c>
      <c r="AA32" s="155">
        <v>71</v>
      </c>
      <c r="AB32" s="106">
        <v>47</v>
      </c>
      <c r="AC32" s="106">
        <v>43</v>
      </c>
      <c r="AD32" s="154">
        <v>24</v>
      </c>
      <c r="AE32" s="121">
        <f>AA32+AB32+AC32+AD32</f>
        <v>185</v>
      </c>
      <c r="AG32" s="155">
        <v>31</v>
      </c>
      <c r="AH32" s="106">
        <v>14</v>
      </c>
      <c r="AI32" s="106">
        <v>16</v>
      </c>
      <c r="AJ32" s="154">
        <v>20</v>
      </c>
      <c r="AK32" s="121">
        <f>AG32+AH32+AI32+AJ32</f>
        <v>81</v>
      </c>
      <c r="AM32" s="155">
        <v>59</v>
      </c>
      <c r="AN32" s="106">
        <v>56</v>
      </c>
      <c r="AO32" s="106">
        <v>77</v>
      </c>
      <c r="AP32" s="154">
        <v>69</v>
      </c>
      <c r="AQ32" s="121">
        <f>AM32+AN32+AO32+AP32</f>
        <v>261</v>
      </c>
      <c r="AS32" s="155">
        <v>111</v>
      </c>
      <c r="AT32" s="106">
        <v>137</v>
      </c>
      <c r="AU32" s="106">
        <v>159</v>
      </c>
      <c r="AV32" s="154">
        <v>182</v>
      </c>
      <c r="AW32" s="121">
        <f>AS32+AT32+AU32+AV32</f>
        <v>589</v>
      </c>
      <c r="AY32" s="155">
        <v>200</v>
      </c>
      <c r="AZ32" s="106">
        <v>188</v>
      </c>
      <c r="BA32" s="106">
        <v>211</v>
      </c>
      <c r="BB32" s="154">
        <v>263</v>
      </c>
      <c r="BC32" s="121">
        <f>AY32+AZ32+BA32+BB32</f>
        <v>862</v>
      </c>
      <c r="BE32" s="155">
        <v>304</v>
      </c>
      <c r="BF32" s="106">
        <v>302</v>
      </c>
      <c r="BG32" s="106">
        <v>284</v>
      </c>
      <c r="BH32" s="154">
        <v>307</v>
      </c>
      <c r="BI32" s="121">
        <f>BE32+BF32+BG32+BH32</f>
        <v>1197</v>
      </c>
      <c r="BK32" s="155">
        <v>342</v>
      </c>
      <c r="BL32" s="106">
        <v>330</v>
      </c>
      <c r="BM32" s="106">
        <v>300</v>
      </c>
      <c r="BN32" s="154">
        <v>300</v>
      </c>
      <c r="BO32" s="121">
        <f>BK32+BL32+BM32+BN32</f>
        <v>1272</v>
      </c>
      <c r="BQ32" s="155">
        <v>250</v>
      </c>
      <c r="BR32" s="106">
        <v>225</v>
      </c>
      <c r="BS32" s="106">
        <v>200</v>
      </c>
      <c r="BT32" s="106">
        <v>200</v>
      </c>
      <c r="BU32" s="121">
        <f>BQ32+BR32+BS32+BT32</f>
        <v>875</v>
      </c>
      <c r="BW32" s="155">
        <v>150</v>
      </c>
      <c r="BX32" s="106">
        <f>BW32</f>
        <v>150</v>
      </c>
      <c r="BY32" s="106">
        <f>BX32</f>
        <v>150</v>
      </c>
      <c r="BZ32" s="106">
        <f>BY32</f>
        <v>150</v>
      </c>
      <c r="CA32" s="121">
        <f>BW32+BX32+BY32+BZ32</f>
        <v>600</v>
      </c>
      <c r="CC32" s="155">
        <v>100</v>
      </c>
      <c r="CD32" s="106">
        <v>100</v>
      </c>
      <c r="CE32" s="106">
        <v>100</v>
      </c>
      <c r="CF32" s="154">
        <v>100</v>
      </c>
      <c r="CG32" s="121">
        <f>CC32+CD32+CE32+CF32</f>
        <v>400</v>
      </c>
      <c r="CI32" s="155">
        <v>75</v>
      </c>
      <c r="CJ32" s="106">
        <v>75</v>
      </c>
      <c r="CK32" s="106">
        <v>75</v>
      </c>
      <c r="CL32" s="106">
        <v>75</v>
      </c>
      <c r="CM32" s="121">
        <f>CI32+CJ32+CK32+CL32</f>
        <v>300</v>
      </c>
      <c r="CO32" s="155">
        <v>75</v>
      </c>
      <c r="CP32" s="106">
        <v>75</v>
      </c>
      <c r="CQ32" s="106">
        <v>75</v>
      </c>
      <c r="CR32" s="106">
        <v>75</v>
      </c>
      <c r="CS32" s="121">
        <f>CO32+CP32+CQ32+CR32</f>
        <v>300</v>
      </c>
      <c r="CU32" s="155">
        <v>75</v>
      </c>
      <c r="CV32" s="106">
        <v>75</v>
      </c>
      <c r="CW32" s="106">
        <v>75</v>
      </c>
      <c r="CX32" s="106">
        <v>75</v>
      </c>
      <c r="CY32" s="121">
        <f>CU32+CV32+CW32+CX32</f>
        <v>300</v>
      </c>
      <c r="DA32" s="155">
        <v>75</v>
      </c>
      <c r="DB32" s="106">
        <v>75</v>
      </c>
      <c r="DC32" s="106">
        <v>75</v>
      </c>
      <c r="DD32" s="106">
        <v>75</v>
      </c>
      <c r="DE32" s="121">
        <f>DA32+DB32+DC32+DD32</f>
        <v>300</v>
      </c>
      <c r="DG32" s="155">
        <v>75</v>
      </c>
      <c r="DH32" s="106">
        <v>75</v>
      </c>
      <c r="DI32" s="106">
        <v>75</v>
      </c>
      <c r="DJ32" s="106">
        <v>75</v>
      </c>
      <c r="DK32" s="121">
        <f>DG32+DH32+DI32+DJ32</f>
        <v>300</v>
      </c>
    </row>
    <row r="35" spans="1:115" ht="15" hidden="1" x14ac:dyDescent="0.3">
      <c r="B35" s="239" t="s">
        <v>89</v>
      </c>
      <c r="G35" s="114"/>
      <c r="I35" s="114">
        <f>I6-I10-I20-I25-I30-I16</f>
        <v>13950</v>
      </c>
      <c r="J35" s="114">
        <f>J6-J10-J20-J25-J30-J16</f>
        <v>12410</v>
      </c>
      <c r="K35" s="114">
        <f>K6-K10-K20-K25-K30-K16</f>
        <v>11098</v>
      </c>
      <c r="L35" s="114">
        <f>L6-L10-L20-L25-L30-L16</f>
        <v>6342</v>
      </c>
      <c r="M35" s="114">
        <f>M6-M10-M20-M25-M30-M16</f>
        <v>6342</v>
      </c>
      <c r="O35" s="114">
        <f>O6-O10-O20-O25-O30-O16</f>
        <v>5136</v>
      </c>
      <c r="P35" s="114">
        <f>P6-P10-P20-P25-P30-P16</f>
        <v>4317</v>
      </c>
      <c r="Q35" s="114">
        <f>Q6-Q10-Q20-Q25-Q30-Q16</f>
        <v>3491</v>
      </c>
      <c r="R35" s="114">
        <f>R6-R10-R20-R25-R30-R16</f>
        <v>2639</v>
      </c>
      <c r="S35" s="114">
        <f>S6-S10-S20-S25-S30-S16</f>
        <v>2639</v>
      </c>
    </row>
    <row r="36" spans="1:115" ht="15" hidden="1" x14ac:dyDescent="0.3">
      <c r="B36" s="219" t="s">
        <v>72</v>
      </c>
    </row>
    <row r="37" spans="1:115" ht="15.75" hidden="1" thickBot="1" x14ac:dyDescent="0.35">
      <c r="B37" s="220" t="s">
        <v>71</v>
      </c>
    </row>
    <row r="38" spans="1:115" hidden="1" x14ac:dyDescent="0.2"/>
    <row r="39" spans="1:115" x14ac:dyDescent="0.2">
      <c r="A39" s="278"/>
      <c r="B39" s="278"/>
      <c r="C39" s="279"/>
      <c r="D39" s="279"/>
      <c r="E39" s="279"/>
      <c r="F39" s="279"/>
      <c r="G39" s="279"/>
      <c r="H39" s="279"/>
      <c r="I39" s="279"/>
      <c r="J39" s="279"/>
      <c r="K39" s="279"/>
      <c r="L39" s="279"/>
      <c r="M39" s="279"/>
      <c r="N39" s="279"/>
      <c r="O39" s="279"/>
      <c r="P39" s="279"/>
      <c r="Q39" s="279"/>
      <c r="R39" s="279"/>
      <c r="S39" s="279"/>
      <c r="T39" s="279"/>
      <c r="U39" s="279"/>
      <c r="V39" s="279"/>
      <c r="W39" s="279"/>
      <c r="X39" s="279"/>
      <c r="Y39" s="279"/>
      <c r="Z39" s="278"/>
      <c r="AA39" s="278"/>
      <c r="AB39" s="278"/>
      <c r="AC39" s="278"/>
      <c r="AD39" s="278"/>
      <c r="AE39" s="278"/>
      <c r="AF39" s="278"/>
      <c r="AG39" s="278"/>
      <c r="AH39" s="278"/>
      <c r="AI39" s="278"/>
      <c r="AJ39" s="278"/>
      <c r="AK39" s="278"/>
      <c r="AL39" s="278"/>
      <c r="AM39" s="278"/>
      <c r="AN39" s="278"/>
      <c r="AO39" s="278"/>
      <c r="AP39" s="278"/>
      <c r="AQ39" s="278"/>
      <c r="AR39" s="278"/>
      <c r="AS39" s="278"/>
      <c r="AT39" s="278"/>
      <c r="AU39" s="278"/>
      <c r="AV39" s="278"/>
      <c r="AW39" s="278"/>
      <c r="AX39" s="278"/>
      <c r="AY39" s="278"/>
      <c r="AZ39" s="278"/>
      <c r="BA39" s="278"/>
      <c r="BB39" s="278"/>
      <c r="BC39" s="278"/>
      <c r="BD39" s="278"/>
      <c r="BE39" s="278"/>
      <c r="BF39" s="278"/>
      <c r="BG39" s="278"/>
      <c r="BH39" s="278"/>
      <c r="BI39" s="278"/>
      <c r="BJ39" s="278"/>
      <c r="BK39" s="278"/>
      <c r="BL39" s="278"/>
      <c r="BM39" s="278"/>
      <c r="BN39" s="278"/>
      <c r="BO39" s="278"/>
      <c r="BP39" s="278"/>
      <c r="BQ39" s="278"/>
      <c r="BR39" s="278"/>
      <c r="BS39" s="278"/>
      <c r="BT39" s="278"/>
      <c r="BU39" s="278"/>
      <c r="BV39" s="278"/>
      <c r="BW39" s="278"/>
      <c r="BX39" s="278"/>
      <c r="BY39" s="278"/>
      <c r="BZ39" s="278"/>
      <c r="CA39" s="278"/>
      <c r="CB39" s="278"/>
      <c r="CC39" s="278"/>
      <c r="CD39" s="278"/>
      <c r="CE39" s="278"/>
      <c r="CF39" s="278"/>
      <c r="CG39" s="278"/>
      <c r="CH39" s="278"/>
      <c r="CI39" s="278"/>
      <c r="CJ39" s="278"/>
      <c r="CK39" s="278"/>
      <c r="CL39" s="278"/>
      <c r="CM39" s="278"/>
      <c r="CN39" s="278"/>
      <c r="CO39" s="278"/>
      <c r="CP39" s="278"/>
      <c r="CQ39" s="278"/>
      <c r="CR39" s="278"/>
      <c r="CS39" s="278"/>
      <c r="CT39" s="278"/>
      <c r="CU39" s="278"/>
      <c r="CV39" s="278"/>
      <c r="CW39" s="278"/>
      <c r="CX39" s="278"/>
      <c r="CY39" s="278"/>
      <c r="CZ39" s="278"/>
      <c r="DA39" s="278"/>
      <c r="DB39" s="278"/>
      <c r="DC39" s="278"/>
      <c r="DD39" s="278"/>
      <c r="DE39" s="278"/>
      <c r="DF39" s="278"/>
      <c r="DG39" s="278"/>
      <c r="DH39" s="278"/>
      <c r="DI39" s="278"/>
      <c r="DJ39" s="278"/>
      <c r="DK39" s="278"/>
    </row>
    <row r="40" spans="1:115" ht="13.5" thickBot="1" x14ac:dyDescent="0.25"/>
    <row r="41" spans="1:115" x14ac:dyDescent="0.2">
      <c r="B41" s="281" t="s">
        <v>222</v>
      </c>
      <c r="C41" s="712">
        <v>2007</v>
      </c>
      <c r="D41" s="713"/>
      <c r="E41" s="713"/>
      <c r="F41" s="713"/>
      <c r="G41" s="714"/>
      <c r="H41" s="129"/>
      <c r="I41" s="712">
        <v>2008</v>
      </c>
      <c r="J41" s="713"/>
      <c r="K41" s="713"/>
      <c r="L41" s="713"/>
      <c r="M41" s="714"/>
      <c r="N41" s="129"/>
      <c r="O41" s="712">
        <v>2009</v>
      </c>
      <c r="P41" s="713"/>
      <c r="Q41" s="713"/>
      <c r="R41" s="713"/>
      <c r="S41" s="714"/>
      <c r="T41" s="129"/>
      <c r="U41" s="712">
        <v>2010</v>
      </c>
      <c r="V41" s="713"/>
      <c r="W41" s="713"/>
      <c r="X41" s="713"/>
      <c r="Y41" s="714"/>
      <c r="AA41" s="712">
        <v>2011</v>
      </c>
      <c r="AB41" s="713"/>
      <c r="AC41" s="713"/>
      <c r="AD41" s="713"/>
      <c r="AE41" s="714"/>
      <c r="AG41" s="712">
        <v>2012</v>
      </c>
      <c r="AH41" s="713"/>
      <c r="AI41" s="713"/>
      <c r="AJ41" s="713"/>
      <c r="AK41" s="714"/>
      <c r="AM41" s="712">
        <v>2013</v>
      </c>
      <c r="AN41" s="713"/>
      <c r="AO41" s="713"/>
      <c r="AP41" s="713"/>
      <c r="AQ41" s="714"/>
      <c r="AS41" s="712">
        <v>2014</v>
      </c>
      <c r="AT41" s="713"/>
      <c r="AU41" s="713"/>
      <c r="AV41" s="713"/>
      <c r="AW41" s="714"/>
      <c r="AY41" s="712">
        <v>2015</v>
      </c>
      <c r="AZ41" s="713"/>
      <c r="BA41" s="713"/>
      <c r="BB41" s="713"/>
      <c r="BC41" s="714"/>
      <c r="BE41" s="712">
        <v>2016</v>
      </c>
      <c r="BF41" s="713"/>
      <c r="BG41" s="713"/>
      <c r="BH41" s="713"/>
      <c r="BI41" s="714"/>
      <c r="BK41" s="712">
        <v>2017</v>
      </c>
      <c r="BL41" s="713"/>
      <c r="BM41" s="713"/>
      <c r="BN41" s="713"/>
      <c r="BO41" s="714"/>
      <c r="BQ41" s="712">
        <v>2018</v>
      </c>
      <c r="BR41" s="713"/>
      <c r="BS41" s="713"/>
      <c r="BT41" s="713"/>
      <c r="BU41" s="714"/>
      <c r="BW41" s="712">
        <v>2019</v>
      </c>
      <c r="BX41" s="713"/>
      <c r="BY41" s="713"/>
      <c r="BZ41" s="713"/>
      <c r="CA41" s="714"/>
      <c r="CC41" s="712">
        <v>2020</v>
      </c>
      <c r="CD41" s="713"/>
      <c r="CE41" s="713"/>
      <c r="CF41" s="713"/>
      <c r="CG41" s="714"/>
      <c r="CI41" s="712">
        <v>2021</v>
      </c>
      <c r="CJ41" s="713"/>
      <c r="CK41" s="713"/>
      <c r="CL41" s="713"/>
      <c r="CM41" s="714"/>
      <c r="CO41" s="712">
        <v>2022</v>
      </c>
      <c r="CP41" s="713"/>
      <c r="CQ41" s="713"/>
      <c r="CR41" s="713"/>
      <c r="CS41" s="714"/>
      <c r="CU41" s="712">
        <v>2023</v>
      </c>
      <c r="CV41" s="713"/>
      <c r="CW41" s="713"/>
      <c r="CX41" s="713"/>
      <c r="CY41" s="714"/>
      <c r="DA41" s="712">
        <v>2024</v>
      </c>
      <c r="DB41" s="713"/>
      <c r="DC41" s="713"/>
      <c r="DD41" s="713"/>
      <c r="DE41" s="714"/>
      <c r="DG41" s="712">
        <v>2025</v>
      </c>
      <c r="DH41" s="713"/>
      <c r="DI41" s="713"/>
      <c r="DJ41" s="713"/>
      <c r="DK41" s="714"/>
    </row>
    <row r="42" spans="1:115" ht="13.5" thickBot="1" x14ac:dyDescent="0.25">
      <c r="B42" s="281" t="s">
        <v>85</v>
      </c>
      <c r="C42" s="130" t="s">
        <v>20</v>
      </c>
      <c r="D42" s="131" t="s">
        <v>19</v>
      </c>
      <c r="E42" s="131" t="s">
        <v>22</v>
      </c>
      <c r="F42" s="131" t="s">
        <v>21</v>
      </c>
      <c r="G42" s="132" t="s">
        <v>39</v>
      </c>
      <c r="H42" s="129"/>
      <c r="I42" s="130" t="s">
        <v>20</v>
      </c>
      <c r="J42" s="131" t="s">
        <v>19</v>
      </c>
      <c r="K42" s="131" t="s">
        <v>22</v>
      </c>
      <c r="L42" s="131" t="s">
        <v>21</v>
      </c>
      <c r="M42" s="132" t="s">
        <v>39</v>
      </c>
      <c r="N42" s="129"/>
      <c r="O42" s="130" t="s">
        <v>20</v>
      </c>
      <c r="P42" s="131" t="s">
        <v>19</v>
      </c>
      <c r="Q42" s="131" t="s">
        <v>22</v>
      </c>
      <c r="R42" s="131" t="s">
        <v>21</v>
      </c>
      <c r="S42" s="132" t="s">
        <v>39</v>
      </c>
      <c r="T42" s="129"/>
      <c r="U42" s="130" t="s">
        <v>20</v>
      </c>
      <c r="V42" s="131" t="s">
        <v>19</v>
      </c>
      <c r="W42" s="131" t="s">
        <v>22</v>
      </c>
      <c r="X42" s="131" t="s">
        <v>21</v>
      </c>
      <c r="Y42" s="132" t="s">
        <v>39</v>
      </c>
      <c r="AA42" s="130" t="s">
        <v>20</v>
      </c>
      <c r="AB42" s="131" t="s">
        <v>19</v>
      </c>
      <c r="AC42" s="131" t="s">
        <v>22</v>
      </c>
      <c r="AD42" s="131" t="s">
        <v>21</v>
      </c>
      <c r="AE42" s="132" t="s">
        <v>39</v>
      </c>
      <c r="AG42" s="130" t="s">
        <v>20</v>
      </c>
      <c r="AH42" s="131" t="s">
        <v>19</v>
      </c>
      <c r="AI42" s="131" t="s">
        <v>22</v>
      </c>
      <c r="AJ42" s="131" t="s">
        <v>21</v>
      </c>
      <c r="AK42" s="132" t="s">
        <v>39</v>
      </c>
      <c r="AM42" s="130" t="s">
        <v>20</v>
      </c>
      <c r="AN42" s="131" t="s">
        <v>19</v>
      </c>
      <c r="AO42" s="131" t="s">
        <v>22</v>
      </c>
      <c r="AP42" s="131" t="s">
        <v>21</v>
      </c>
      <c r="AQ42" s="132" t="s">
        <v>39</v>
      </c>
      <c r="AS42" s="130" t="s">
        <v>20</v>
      </c>
      <c r="AT42" s="131" t="s">
        <v>19</v>
      </c>
      <c r="AU42" s="131" t="s">
        <v>22</v>
      </c>
      <c r="AV42" s="131" t="s">
        <v>21</v>
      </c>
      <c r="AW42" s="132" t="s">
        <v>39</v>
      </c>
      <c r="AY42" s="130" t="s">
        <v>20</v>
      </c>
      <c r="AZ42" s="131" t="s">
        <v>19</v>
      </c>
      <c r="BA42" s="131" t="s">
        <v>22</v>
      </c>
      <c r="BB42" s="131" t="s">
        <v>21</v>
      </c>
      <c r="BC42" s="132" t="s">
        <v>39</v>
      </c>
      <c r="BE42" s="130" t="s">
        <v>20</v>
      </c>
      <c r="BF42" s="131" t="s">
        <v>19</v>
      </c>
      <c r="BG42" s="131" t="s">
        <v>22</v>
      </c>
      <c r="BH42" s="131" t="s">
        <v>21</v>
      </c>
      <c r="BI42" s="132" t="s">
        <v>39</v>
      </c>
      <c r="BK42" s="130" t="s">
        <v>20</v>
      </c>
      <c r="BL42" s="131" t="s">
        <v>19</v>
      </c>
      <c r="BM42" s="131" t="s">
        <v>22</v>
      </c>
      <c r="BN42" s="131" t="s">
        <v>21</v>
      </c>
      <c r="BO42" s="132" t="s">
        <v>39</v>
      </c>
      <c r="BQ42" s="130" t="s">
        <v>20</v>
      </c>
      <c r="BR42" s="131" t="s">
        <v>19</v>
      </c>
      <c r="BS42" s="131" t="s">
        <v>22</v>
      </c>
      <c r="BT42" s="131" t="s">
        <v>21</v>
      </c>
      <c r="BU42" s="132" t="s">
        <v>39</v>
      </c>
      <c r="BW42" s="130" t="s">
        <v>20</v>
      </c>
      <c r="BX42" s="131" t="s">
        <v>19</v>
      </c>
      <c r="BY42" s="131" t="s">
        <v>22</v>
      </c>
      <c r="BZ42" s="131" t="s">
        <v>21</v>
      </c>
      <c r="CA42" s="132" t="s">
        <v>39</v>
      </c>
      <c r="CC42" s="130" t="s">
        <v>20</v>
      </c>
      <c r="CD42" s="131" t="s">
        <v>19</v>
      </c>
      <c r="CE42" s="131" t="s">
        <v>22</v>
      </c>
      <c r="CF42" s="131" t="s">
        <v>21</v>
      </c>
      <c r="CG42" s="132" t="s">
        <v>39</v>
      </c>
      <c r="CI42" s="130" t="s">
        <v>20</v>
      </c>
      <c r="CJ42" s="131" t="s">
        <v>19</v>
      </c>
      <c r="CK42" s="131" t="s">
        <v>22</v>
      </c>
      <c r="CL42" s="131" t="s">
        <v>21</v>
      </c>
      <c r="CM42" s="132" t="s">
        <v>39</v>
      </c>
      <c r="CO42" s="130" t="s">
        <v>20</v>
      </c>
      <c r="CP42" s="131" t="s">
        <v>19</v>
      </c>
      <c r="CQ42" s="131" t="s">
        <v>22</v>
      </c>
      <c r="CR42" s="131" t="s">
        <v>21</v>
      </c>
      <c r="CS42" s="132" t="s">
        <v>39</v>
      </c>
      <c r="CU42" s="130" t="s">
        <v>20</v>
      </c>
      <c r="CV42" s="131" t="s">
        <v>19</v>
      </c>
      <c r="CW42" s="131" t="s">
        <v>22</v>
      </c>
      <c r="CX42" s="131" t="s">
        <v>21</v>
      </c>
      <c r="CY42" s="132" t="s">
        <v>39</v>
      </c>
      <c r="DA42" s="130" t="s">
        <v>20</v>
      </c>
      <c r="DB42" s="131" t="s">
        <v>19</v>
      </c>
      <c r="DC42" s="131" t="s">
        <v>22</v>
      </c>
      <c r="DD42" s="131" t="s">
        <v>21</v>
      </c>
      <c r="DE42" s="132" t="s">
        <v>39</v>
      </c>
      <c r="DG42" s="130" t="s">
        <v>20</v>
      </c>
      <c r="DH42" s="131" t="s">
        <v>19</v>
      </c>
      <c r="DI42" s="131" t="s">
        <v>22</v>
      </c>
      <c r="DJ42" s="131" t="s">
        <v>21</v>
      </c>
      <c r="DK42" s="132" t="s">
        <v>39</v>
      </c>
    </row>
    <row r="43" spans="1:115" x14ac:dyDescent="0.2">
      <c r="B43" s="226"/>
    </row>
    <row r="44" spans="1:115" x14ac:dyDescent="0.2">
      <c r="B44" s="360" t="s">
        <v>213</v>
      </c>
      <c r="C44" s="114">
        <v>37200</v>
      </c>
      <c r="D44" s="114">
        <f>C44+100</f>
        <v>37300</v>
      </c>
      <c r="E44" s="114">
        <f>D44+100</f>
        <v>37400</v>
      </c>
      <c r="F44" s="114">
        <f>E44+100</f>
        <v>37500</v>
      </c>
      <c r="G44" s="114">
        <f>F44</f>
        <v>37500</v>
      </c>
      <c r="H44" s="114"/>
      <c r="I44" s="114">
        <f>G44+100</f>
        <v>37600</v>
      </c>
      <c r="J44" s="114">
        <f>I44+100</f>
        <v>37700</v>
      </c>
      <c r="K44" s="114">
        <f>J44+100</f>
        <v>37800</v>
      </c>
      <c r="L44" s="114">
        <f>K44+100</f>
        <v>37900</v>
      </c>
      <c r="M44" s="114">
        <f>L44</f>
        <v>37900</v>
      </c>
      <c r="N44" s="114"/>
      <c r="O44" s="114">
        <f>M44+100</f>
        <v>38000</v>
      </c>
      <c r="P44" s="114">
        <f>O44+100</f>
        <v>38100</v>
      </c>
      <c r="Q44" s="114">
        <f>P44+100</f>
        <v>38200</v>
      </c>
      <c r="R44" s="114">
        <f>Q44+100</f>
        <v>38300</v>
      </c>
      <c r="S44" s="114">
        <f>R44</f>
        <v>38300</v>
      </c>
      <c r="T44" s="114"/>
      <c r="U44" s="114">
        <f>S44+100</f>
        <v>38400</v>
      </c>
      <c r="V44" s="114">
        <f>U44+100</f>
        <v>38500</v>
      </c>
      <c r="W44" s="114">
        <f>V44+100</f>
        <v>38600</v>
      </c>
      <c r="X44" s="114">
        <f>W44+100</f>
        <v>38700</v>
      </c>
      <c r="Y44" s="114">
        <f>X44</f>
        <v>38700</v>
      </c>
      <c r="Z44" s="259"/>
      <c r="AA44" s="114">
        <f>Y44+100</f>
        <v>38800</v>
      </c>
      <c r="AB44" s="114">
        <f>AA44+100</f>
        <v>38900</v>
      </c>
      <c r="AC44" s="114">
        <f>AB44+100</f>
        <v>39000</v>
      </c>
      <c r="AD44" s="114">
        <f>AC44+100</f>
        <v>39100</v>
      </c>
      <c r="AE44" s="114">
        <f>AD44</f>
        <v>39100</v>
      </c>
      <c r="AF44" s="259"/>
      <c r="AG44" s="114">
        <f>AE44+100</f>
        <v>39200</v>
      </c>
      <c r="AH44" s="114">
        <f>AG44+100</f>
        <v>39300</v>
      </c>
      <c r="AI44" s="114">
        <f>AH44+100</f>
        <v>39400</v>
      </c>
      <c r="AJ44" s="114">
        <f>AI44+100</f>
        <v>39500</v>
      </c>
      <c r="AK44" s="114">
        <f>AJ44</f>
        <v>39500</v>
      </c>
      <c r="AL44" s="259"/>
      <c r="AM44" s="114">
        <f>AK44+100</f>
        <v>39600</v>
      </c>
      <c r="AN44" s="114">
        <f>AM44+100</f>
        <v>39700</v>
      </c>
      <c r="AO44" s="114">
        <f>AN44+100</f>
        <v>39800</v>
      </c>
      <c r="AP44" s="114">
        <f>AO44+100</f>
        <v>39900</v>
      </c>
      <c r="AQ44" s="114">
        <f>AP44</f>
        <v>39900</v>
      </c>
      <c r="AR44" s="259"/>
      <c r="AS44" s="114">
        <f>AQ44+100</f>
        <v>40000</v>
      </c>
      <c r="AT44" s="114">
        <f>AS44+100</f>
        <v>40100</v>
      </c>
      <c r="AU44" s="114">
        <f>AT44+100</f>
        <v>40200</v>
      </c>
      <c r="AV44" s="114">
        <f>AU44+100</f>
        <v>40300</v>
      </c>
      <c r="AW44" s="114">
        <f>AV44</f>
        <v>40300</v>
      </c>
      <c r="AX44" s="259"/>
      <c r="AY44" s="114">
        <f>AW44+100</f>
        <v>40400</v>
      </c>
      <c r="AZ44" s="114">
        <f>AY44+100</f>
        <v>40500</v>
      </c>
      <c r="BA44" s="114">
        <f>AZ44+100</f>
        <v>40600</v>
      </c>
      <c r="BB44" s="114">
        <f>BA44+100</f>
        <v>40700</v>
      </c>
      <c r="BC44" s="114">
        <f>BB44</f>
        <v>40700</v>
      </c>
      <c r="BD44" s="259"/>
      <c r="BE44" s="114">
        <f>BC44+100</f>
        <v>40800</v>
      </c>
      <c r="BF44" s="114">
        <f>BE44+100</f>
        <v>40900</v>
      </c>
      <c r="BG44" s="114">
        <f>BF44+100</f>
        <v>41000</v>
      </c>
      <c r="BH44" s="114">
        <f>BG44+100</f>
        <v>41100</v>
      </c>
      <c r="BI44" s="114">
        <f>BH44</f>
        <v>41100</v>
      </c>
      <c r="BJ44" s="259"/>
      <c r="BK44" s="114">
        <f>BI44+100</f>
        <v>41200</v>
      </c>
      <c r="BL44" s="114">
        <f>BK44+100</f>
        <v>41300</v>
      </c>
      <c r="BM44" s="114">
        <f>BL44+100</f>
        <v>41400</v>
      </c>
      <c r="BN44" s="114">
        <f>BM44+100</f>
        <v>41500</v>
      </c>
      <c r="BO44" s="114">
        <f>BN44</f>
        <v>41500</v>
      </c>
      <c r="BP44" s="259"/>
      <c r="BQ44" s="114">
        <f>BO44+100</f>
        <v>41600</v>
      </c>
      <c r="BR44" s="114">
        <f>BQ44+100</f>
        <v>41700</v>
      </c>
      <c r="BS44" s="114">
        <f>BR44+100</f>
        <v>41800</v>
      </c>
      <c r="BT44" s="114">
        <f>BS44+100</f>
        <v>41900</v>
      </c>
      <c r="BU44" s="114">
        <f>BT44</f>
        <v>41900</v>
      </c>
      <c r="BV44" s="259"/>
      <c r="BW44" s="114">
        <f>BU44+100</f>
        <v>42000</v>
      </c>
      <c r="BX44" s="114">
        <f>BW44+100</f>
        <v>42100</v>
      </c>
      <c r="BY44" s="114">
        <f>BX44+100</f>
        <v>42200</v>
      </c>
      <c r="BZ44" s="114">
        <f>BY44+100</f>
        <v>42300</v>
      </c>
      <c r="CA44" s="114">
        <f>BZ44</f>
        <v>42300</v>
      </c>
      <c r="CB44" s="259"/>
      <c r="CC44" s="114">
        <f>CA44+100</f>
        <v>42400</v>
      </c>
      <c r="CD44" s="114">
        <f>CC44+100</f>
        <v>42500</v>
      </c>
      <c r="CE44" s="114">
        <f>CD44+100</f>
        <v>42600</v>
      </c>
      <c r="CF44" s="114">
        <f>CE44+100</f>
        <v>42700</v>
      </c>
      <c r="CG44" s="114">
        <f>CF44</f>
        <v>42700</v>
      </c>
      <c r="CH44" s="259"/>
      <c r="CI44" s="114">
        <f>CG44+100</f>
        <v>42800</v>
      </c>
      <c r="CJ44" s="114">
        <f>CI44+100</f>
        <v>42900</v>
      </c>
      <c r="CK44" s="114">
        <f>CJ44+100</f>
        <v>43000</v>
      </c>
      <c r="CL44" s="114">
        <f>CK44+100</f>
        <v>43100</v>
      </c>
      <c r="CM44" s="114">
        <f>CL44</f>
        <v>43100</v>
      </c>
      <c r="CN44" s="259"/>
      <c r="CO44" s="114">
        <f>CM44+100</f>
        <v>43200</v>
      </c>
      <c r="CP44" s="114">
        <f>CO44+100</f>
        <v>43300</v>
      </c>
      <c r="CQ44" s="114">
        <f>CP44+100</f>
        <v>43400</v>
      </c>
      <c r="CR44" s="114">
        <f>CQ44+100</f>
        <v>43500</v>
      </c>
      <c r="CS44" s="114">
        <f>CR44</f>
        <v>43500</v>
      </c>
      <c r="CT44" s="259"/>
      <c r="CU44" s="114">
        <f>CS44+100</f>
        <v>43600</v>
      </c>
      <c r="CV44" s="114">
        <f>CU44+100</f>
        <v>43700</v>
      </c>
      <c r="CW44" s="114">
        <f>CV44+100</f>
        <v>43800</v>
      </c>
      <c r="CX44" s="114">
        <f>CW44+100</f>
        <v>43900</v>
      </c>
      <c r="CY44" s="114">
        <f>CX44</f>
        <v>43900</v>
      </c>
      <c r="CZ44" s="259"/>
      <c r="DA44" s="114">
        <f>CY44+100</f>
        <v>44000</v>
      </c>
      <c r="DB44" s="114">
        <f>DA44+100</f>
        <v>44100</v>
      </c>
      <c r="DC44" s="114">
        <f>DB44+100</f>
        <v>44200</v>
      </c>
      <c r="DD44" s="114">
        <f>DC44+100</f>
        <v>44300</v>
      </c>
      <c r="DE44" s="114">
        <f>DD44</f>
        <v>44300</v>
      </c>
      <c r="DF44" s="259"/>
      <c r="DG44" s="114">
        <f>DE44+100</f>
        <v>44400</v>
      </c>
      <c r="DH44" s="114">
        <f>DG44+100</f>
        <v>44500</v>
      </c>
      <c r="DI44" s="114">
        <f>DH44+100</f>
        <v>44600</v>
      </c>
      <c r="DJ44" s="114">
        <f>DI44+100</f>
        <v>44700</v>
      </c>
      <c r="DK44" s="114">
        <f>DJ44</f>
        <v>44700</v>
      </c>
    </row>
    <row r="45" spans="1:115" x14ac:dyDescent="0.2">
      <c r="B45" s="360" t="s">
        <v>214</v>
      </c>
      <c r="C45" s="227">
        <f>C54/C44</f>
        <v>0.44193548387096776</v>
      </c>
      <c r="D45" s="227">
        <f>D54/D44</f>
        <v>0.4681769436997319</v>
      </c>
      <c r="E45" s="227">
        <f>E54/E44</f>
        <v>0.49179144385026741</v>
      </c>
      <c r="F45" s="227">
        <f>F54/F44</f>
        <v>0.52050666666666667</v>
      </c>
      <c r="G45" s="227">
        <f>G54/G44</f>
        <v>0.52050666666666667</v>
      </c>
      <c r="I45" s="227">
        <f>I54/I44</f>
        <v>0.55473404255319148</v>
      </c>
      <c r="J45" s="227">
        <f>J54/J44</f>
        <v>0.5728912466843501</v>
      </c>
      <c r="K45" s="227">
        <f>K54/K44</f>
        <v>0.59105820105820106</v>
      </c>
      <c r="L45" s="227">
        <f>L54/L44</f>
        <v>0.60440633245382591</v>
      </c>
      <c r="M45" s="227">
        <f>M54/M44</f>
        <v>0.60440633245382591</v>
      </c>
      <c r="O45" s="227">
        <f>O54/O44</f>
        <v>0.62144736842105264</v>
      </c>
      <c r="P45" s="227">
        <f>P54/P44</f>
        <v>0.62855643044619425</v>
      </c>
      <c r="Q45" s="227">
        <f>Q54/Q44</f>
        <v>0.63439790575916233</v>
      </c>
      <c r="R45" s="227">
        <f>R54/R44</f>
        <v>0.64467362924281979</v>
      </c>
      <c r="S45" s="227">
        <f>S54/S44</f>
        <v>0.64467362924281979</v>
      </c>
      <c r="U45" s="227">
        <f>U54/U44</f>
        <v>0.65601562499999999</v>
      </c>
      <c r="V45" s="227">
        <f>V54/V44</f>
        <v>0.65753246753246752</v>
      </c>
      <c r="W45" s="227">
        <f>W54/W44</f>
        <v>0.66305699481865288</v>
      </c>
      <c r="X45" s="227">
        <f>X54/X44</f>
        <v>0.67116279069767437</v>
      </c>
      <c r="Y45" s="227">
        <f>Y54/Y44</f>
        <v>0.67116279069767437</v>
      </c>
      <c r="AA45" s="227">
        <f>AA54/AA44</f>
        <v>0.68038659793814438</v>
      </c>
      <c r="AB45" s="227">
        <f>AB54/AB44</f>
        <v>0.68491002570694093</v>
      </c>
      <c r="AC45" s="227">
        <f>AC54/AC44</f>
        <v>0.6881025641025641</v>
      </c>
      <c r="AD45" s="227">
        <f>AD54/AD44</f>
        <v>0.69335038363171353</v>
      </c>
      <c r="AE45" s="227">
        <f>AE54/AE44</f>
        <v>0.69335038363171353</v>
      </c>
      <c r="AG45" s="227">
        <f>AG54/AG44</f>
        <v>0.69979591836734689</v>
      </c>
      <c r="AH45" s="227">
        <f>AH54/AH44</f>
        <v>0.70302798982188297</v>
      </c>
      <c r="AI45" s="227">
        <f>AI54/AI44</f>
        <v>0.70213197969543151</v>
      </c>
      <c r="AJ45" s="227">
        <f>AJ54/AJ44</f>
        <v>0.70422784810126582</v>
      </c>
      <c r="AK45" s="227">
        <f>AK54/AK44</f>
        <v>0.70422784810126582</v>
      </c>
      <c r="AM45" s="227">
        <f>AM54/AM44</f>
        <v>0.71131313131313134</v>
      </c>
      <c r="AN45" s="227">
        <f>AN54/AN44</f>
        <v>0.71385390428211581</v>
      </c>
      <c r="AO45" s="227">
        <f>AO54/AO44</f>
        <v>0.71540201005025128</v>
      </c>
      <c r="AP45" s="227">
        <f>AP54/AP44</f>
        <v>0.71992481203007519</v>
      </c>
      <c r="AQ45" s="227">
        <f>AQ54/AQ44</f>
        <v>0.71992481203007519</v>
      </c>
      <c r="AS45" s="227">
        <f>AS54/AS44</f>
        <v>0.72422500000000001</v>
      </c>
      <c r="AT45" s="227">
        <f>AT54/AT44</f>
        <v>0.72890274314214465</v>
      </c>
      <c r="AU45" s="227">
        <f>AU54/AU44</f>
        <v>0.73333333333333328</v>
      </c>
      <c r="AV45" s="227">
        <f>AV54/AV44</f>
        <v>0.73823821339950368</v>
      </c>
      <c r="AW45" s="227">
        <f>AW54/AW44</f>
        <v>0.73823821339950368</v>
      </c>
      <c r="AY45" s="227">
        <f>AY54/AY44</f>
        <v>0.74571782178217827</v>
      </c>
      <c r="AZ45" s="227">
        <f>AZ54/AZ44</f>
        <v>0.75019753086419749</v>
      </c>
      <c r="BA45" s="227">
        <f>BA54/BA44</f>
        <v>0.75458128078817732</v>
      </c>
      <c r="BB45" s="227">
        <f>BB54/BB44</f>
        <v>0.75943488943488946</v>
      </c>
      <c r="BC45" s="227">
        <f>BC54/BC44</f>
        <v>0.75943488943488946</v>
      </c>
      <c r="BE45" s="227">
        <f>BE54/BE44</f>
        <v>0.76718137254901964</v>
      </c>
      <c r="BF45" s="227">
        <f>BF54/BF44</f>
        <v>0.77481662591687039</v>
      </c>
      <c r="BG45" s="227">
        <f>BG54/BG44</f>
        <v>0.78</v>
      </c>
      <c r="BH45" s="227">
        <f>BH54/BH44</f>
        <v>0.78496350364963507</v>
      </c>
      <c r="BI45" s="227">
        <f>BI54/BI44</f>
        <v>0.78496350364963507</v>
      </c>
      <c r="BK45" s="227">
        <f>BK54/BK44</f>
        <v>0.78953883495145627</v>
      </c>
      <c r="BL45" s="227">
        <f>BL54/BL44</f>
        <v>0.79418886198547212</v>
      </c>
      <c r="BM45" s="227">
        <f>BM54/BM44</f>
        <v>0.79722222222222228</v>
      </c>
      <c r="BN45" s="227">
        <f>BN54/BN44</f>
        <v>0.80322891566265064</v>
      </c>
      <c r="BO45" s="227">
        <f>BO54/BO44</f>
        <v>0.80322891566265064</v>
      </c>
      <c r="BQ45" s="227">
        <f>BQ54/BQ44</f>
        <v>0.80742788461538462</v>
      </c>
      <c r="BR45" s="227">
        <f>BR54/BR44</f>
        <v>0.81112709832134289</v>
      </c>
      <c r="BS45" s="227">
        <f>BS54/BS44</f>
        <v>0.8142105263157895</v>
      </c>
      <c r="BT45" s="227">
        <f>BT54/BT44</f>
        <v>0.81763723150357992</v>
      </c>
      <c r="BU45" s="227">
        <f>BU54/BU44</f>
        <v>0.81763723150357992</v>
      </c>
      <c r="BW45" s="227">
        <f>BW54/BW44</f>
        <v>0.82092857142857145</v>
      </c>
      <c r="BX45" s="227">
        <f>BX54/BX44</f>
        <v>0.8236104513064133</v>
      </c>
      <c r="BY45" s="227">
        <f>BY54/BY44</f>
        <v>0.82556872037914697</v>
      </c>
      <c r="BZ45" s="227">
        <f>BZ54/BZ44</f>
        <v>0.8288179669030733</v>
      </c>
      <c r="CA45" s="227">
        <f>CA54/CA44</f>
        <v>0.8288179669030733</v>
      </c>
      <c r="CC45" s="227">
        <f>CC54/CC44</f>
        <v>0.83028301886792455</v>
      </c>
      <c r="CD45" s="227">
        <f>CD54/CD44</f>
        <v>0.83197647058823532</v>
      </c>
      <c r="CE45" s="227">
        <f>CE54/CE44</f>
        <v>0.83389671361502349</v>
      </c>
      <c r="CF45" s="227">
        <f>CF54/CF44</f>
        <v>0.83557377049180326</v>
      </c>
      <c r="CG45" s="227">
        <f>CG54/CG44</f>
        <v>0.83557377049180326</v>
      </c>
      <c r="CI45" s="227">
        <f>CI54/CI44</f>
        <v>0.83654205607476639</v>
      </c>
      <c r="CJ45" s="227">
        <f>CJ54/CJ44</f>
        <v>0.83750582750582747</v>
      </c>
      <c r="CK45" s="227">
        <f>CK54/CK44</f>
        <v>0.83869767441860466</v>
      </c>
      <c r="CL45" s="227">
        <f>CL54/CL44</f>
        <v>0.83988399071925757</v>
      </c>
      <c r="CM45" s="227">
        <f>CM54/CM44</f>
        <v>0.83988399071925757</v>
      </c>
      <c r="CO45" s="227">
        <f>CO54/CO44</f>
        <v>0.84083333333333332</v>
      </c>
      <c r="CP45" s="227">
        <f>CP54/CP44</f>
        <v>0.84166281755196304</v>
      </c>
      <c r="CQ45" s="227">
        <f>CQ54/CQ44</f>
        <v>0.84248847926267278</v>
      </c>
      <c r="CR45" s="227">
        <f>CR54/CR44</f>
        <v>0.84365517241379306</v>
      </c>
      <c r="CS45" s="227">
        <f>CS54/CS44</f>
        <v>0.84365517241379306</v>
      </c>
      <c r="CU45" s="227">
        <f>CU54/CU44</f>
        <v>0.84447247706422013</v>
      </c>
      <c r="CV45" s="227">
        <f>CV54/CV44</f>
        <v>0.84528604118993134</v>
      </c>
      <c r="CW45" s="227">
        <f>CW54/CW44</f>
        <v>0.8460958904109589</v>
      </c>
      <c r="CX45" s="227">
        <f>CX54/CX44</f>
        <v>0.84701594533029612</v>
      </c>
      <c r="CY45" s="227">
        <f>CY54/CY44</f>
        <v>0.84701594533029612</v>
      </c>
      <c r="DA45" s="227">
        <f>DA54/DA44</f>
        <v>0.84793181818181818</v>
      </c>
      <c r="DB45" s="227">
        <f>DB54/DB44</f>
        <v>0.84884353741496599</v>
      </c>
      <c r="DC45" s="227">
        <f>DC54/DC44</f>
        <v>0.84975113122171941</v>
      </c>
      <c r="DD45" s="227">
        <f>DD54/DD44</f>
        <v>0.85065462753950338</v>
      </c>
      <c r="DE45" s="227">
        <f>DE54/DE44</f>
        <v>0.85065462753950338</v>
      </c>
      <c r="DG45" s="227">
        <f>DG54/DG44</f>
        <v>0.85155405405405404</v>
      </c>
      <c r="DH45" s="227">
        <f>DH54/DH44</f>
        <v>0.85244943820224717</v>
      </c>
      <c r="DI45" s="227">
        <f>DI54/DI44</f>
        <v>0.85334080717488792</v>
      </c>
      <c r="DJ45" s="227">
        <f>DJ54/DJ44</f>
        <v>0.85422818791946309</v>
      </c>
      <c r="DK45" s="227">
        <f>DK54/DK44</f>
        <v>0.85422818791946309</v>
      </c>
    </row>
    <row r="46" spans="1:115" x14ac:dyDescent="0.2">
      <c r="B46" s="226" t="s">
        <v>231</v>
      </c>
      <c r="C46" s="103" t="s">
        <v>35</v>
      </c>
      <c r="D46" s="136">
        <f>D45-C45</f>
        <v>2.6241459828764135E-2</v>
      </c>
      <c r="E46" s="136">
        <f>E45-D45</f>
        <v>2.3614500150535511E-2</v>
      </c>
      <c r="F46" s="136">
        <f>F45-E45</f>
        <v>2.8715222816399266E-2</v>
      </c>
      <c r="G46" s="103" t="s">
        <v>35</v>
      </c>
      <c r="I46" s="136">
        <f>I45-G45</f>
        <v>3.4227375886524802E-2</v>
      </c>
      <c r="J46" s="136">
        <f>J45-I45</f>
        <v>1.8157204131158622E-2</v>
      </c>
      <c r="K46" s="136">
        <f>K45-J45</f>
        <v>1.8166954373850963E-2</v>
      </c>
      <c r="L46" s="136">
        <f>L45-K45</f>
        <v>1.3348131395624852E-2</v>
      </c>
      <c r="M46" s="136">
        <f>M45-G45</f>
        <v>8.3899665787159239E-2</v>
      </c>
      <c r="O46" s="136">
        <f>O45-M45</f>
        <v>1.7041035967226725E-2</v>
      </c>
      <c r="P46" s="136">
        <f>P45-O45</f>
        <v>7.1090620251416103E-3</v>
      </c>
      <c r="Q46" s="136">
        <f>Q45-P45</f>
        <v>5.8414753129680808E-3</v>
      </c>
      <c r="R46" s="136">
        <f>R45-Q45</f>
        <v>1.0275723483657462E-2</v>
      </c>
      <c r="S46" s="136">
        <f>S45-M45</f>
        <v>4.0267296788993878E-2</v>
      </c>
      <c r="U46" s="136">
        <f>U45-S45</f>
        <v>1.1341995757180201E-2</v>
      </c>
      <c r="V46" s="136">
        <f>V45-U45</f>
        <v>1.5168425324675328E-3</v>
      </c>
      <c r="W46" s="136">
        <f>W45-V45</f>
        <v>5.5245272861853545E-3</v>
      </c>
      <c r="X46" s="136">
        <f>X45-W45</f>
        <v>8.1057958790214935E-3</v>
      </c>
      <c r="Y46" s="136">
        <f>Y45-S45</f>
        <v>2.6489161454854582E-2</v>
      </c>
      <c r="AA46" s="136">
        <f>AA45-Y45</f>
        <v>9.2238072404700056E-3</v>
      </c>
      <c r="AB46" s="136">
        <f>AB45-AA45</f>
        <v>4.5234277687965507E-3</v>
      </c>
      <c r="AC46" s="136">
        <f>AC45-AB45</f>
        <v>3.1925383956231679E-3</v>
      </c>
      <c r="AD46" s="136">
        <f>AD45-AC45</f>
        <v>5.2478195291494334E-3</v>
      </c>
      <c r="AE46" s="136">
        <f>AE45-Y45</f>
        <v>2.2187592934039158E-2</v>
      </c>
      <c r="AG46" s="136">
        <f>AG45-AE45</f>
        <v>6.4455347356333625E-3</v>
      </c>
      <c r="AH46" s="136">
        <f>AH45-AG45</f>
        <v>3.2320714545360785E-3</v>
      </c>
      <c r="AI46" s="136">
        <f>AI45-AH45</f>
        <v>-8.9601012645146305E-4</v>
      </c>
      <c r="AJ46" s="136">
        <f>AJ45-AI45</f>
        <v>2.0958684058343113E-3</v>
      </c>
      <c r="AK46" s="136">
        <f>AK45-AE45</f>
        <v>1.0877464469552289E-2</v>
      </c>
      <c r="AM46" s="136">
        <f>AM45-AK45</f>
        <v>7.0852832118655229E-3</v>
      </c>
      <c r="AN46" s="136">
        <f>AN45-AM45</f>
        <v>2.5407729689844727E-3</v>
      </c>
      <c r="AO46" s="136">
        <f>AO45-AN45</f>
        <v>1.548105768135466E-3</v>
      </c>
      <c r="AP46" s="136">
        <f>AP45-AO45</f>
        <v>4.5228019798239094E-3</v>
      </c>
      <c r="AQ46" s="136">
        <f>AQ45-AK45</f>
        <v>1.5696963928809371E-2</v>
      </c>
      <c r="AS46" s="136">
        <f>AS45-AQ45</f>
        <v>4.300187969924818E-3</v>
      </c>
      <c r="AT46" s="136">
        <f>AT45-AS45</f>
        <v>4.6777431421446414E-3</v>
      </c>
      <c r="AU46" s="136">
        <f>AU45-AT45</f>
        <v>4.4305901911886325E-3</v>
      </c>
      <c r="AV46" s="136">
        <f>AV45-AU45</f>
        <v>4.9048800661704028E-3</v>
      </c>
      <c r="AW46" s="136">
        <f>AW45-AQ45</f>
        <v>1.8313401369428495E-2</v>
      </c>
      <c r="AY46" s="136">
        <f>AY45-AW45</f>
        <v>7.4796083826745852E-3</v>
      </c>
      <c r="AZ46" s="136">
        <f>AZ45-AY45</f>
        <v>4.4797090820192231E-3</v>
      </c>
      <c r="BA46" s="136">
        <f>BA45-AZ45</f>
        <v>4.3837499239798294E-3</v>
      </c>
      <c r="BB46" s="136">
        <f>BB45-BA45</f>
        <v>4.8536086467121375E-3</v>
      </c>
      <c r="BC46" s="136">
        <f>BC45-AW45</f>
        <v>2.1196676035385775E-2</v>
      </c>
      <c r="BE46" s="136">
        <f>BE45-BC45</f>
        <v>7.746483114130176E-3</v>
      </c>
      <c r="BF46" s="136">
        <f>BF45-BE45</f>
        <v>7.6352533678507584E-3</v>
      </c>
      <c r="BG46" s="136">
        <f>BG45-BF45</f>
        <v>5.1833740831296327E-3</v>
      </c>
      <c r="BH46" s="136">
        <f>BH45-BG45</f>
        <v>4.9635036496350482E-3</v>
      </c>
      <c r="BI46" s="136">
        <f>BI45-BC45</f>
        <v>2.5528614214745615E-2</v>
      </c>
      <c r="BK46" s="136">
        <f>BK45-BI45</f>
        <v>4.575331301821195E-3</v>
      </c>
      <c r="BL46" s="136">
        <f>BL45-BK45</f>
        <v>4.6500270340158467E-3</v>
      </c>
      <c r="BM46" s="136">
        <f>BM45-BL45</f>
        <v>3.03336023675016E-3</v>
      </c>
      <c r="BN46" s="136">
        <f>BN45-BM45</f>
        <v>6.0066934404283678E-3</v>
      </c>
      <c r="BO46" s="136">
        <f>BO45-BI45</f>
        <v>1.8265412013015569E-2</v>
      </c>
      <c r="BQ46" s="136">
        <f>BQ45-BO45</f>
        <v>4.1989689527339724E-3</v>
      </c>
      <c r="BR46" s="136">
        <f>BR45-BQ45</f>
        <v>3.6992137059582708E-3</v>
      </c>
      <c r="BS46" s="136">
        <f>BS45-BR45</f>
        <v>3.0834279944466081E-3</v>
      </c>
      <c r="BT46" s="136">
        <f>BT45-BS45</f>
        <v>3.4267051877904242E-3</v>
      </c>
      <c r="BU46" s="136">
        <f>BU45-BO45</f>
        <v>1.4408315840929276E-2</v>
      </c>
      <c r="BW46" s="136">
        <f>BW45-BU45</f>
        <v>3.2913399249915321E-3</v>
      </c>
      <c r="BX46" s="136">
        <f>BX45-BW45</f>
        <v>2.6818798778418529E-3</v>
      </c>
      <c r="BY46" s="136">
        <f>BY45-BX45</f>
        <v>1.9582690727336649E-3</v>
      </c>
      <c r="BZ46" s="136">
        <f>BZ45-BY45</f>
        <v>3.2492465239263302E-3</v>
      </c>
      <c r="CA46" s="136">
        <f>CA45-BU45</f>
        <v>1.118073539949338E-2</v>
      </c>
      <c r="CC46" s="136">
        <f>CC45-CA45</f>
        <v>1.4650519648512494E-3</v>
      </c>
      <c r="CD46" s="136">
        <f>CD45-CC45</f>
        <v>1.693451720310768E-3</v>
      </c>
      <c r="CE46" s="136">
        <f>CE45-CD45</f>
        <v>1.9202430267881709E-3</v>
      </c>
      <c r="CF46" s="136">
        <f>CF45-CE45</f>
        <v>1.67705687677977E-3</v>
      </c>
      <c r="CG46" s="136">
        <f>CG45-CA45</f>
        <v>6.7558035887299583E-3</v>
      </c>
      <c r="CI46" s="136">
        <f>CI45-CG45</f>
        <v>9.6828558296313538E-4</v>
      </c>
      <c r="CJ46" s="136">
        <f>CJ45-CI45</f>
        <v>9.6377143106107788E-4</v>
      </c>
      <c r="CK46" s="136">
        <f>CK45-CJ45</f>
        <v>1.1918469127771836E-3</v>
      </c>
      <c r="CL46" s="136">
        <f>CL45-CK45</f>
        <v>1.186316300652912E-3</v>
      </c>
      <c r="CM46" s="136">
        <f>CM45-CG45</f>
        <v>4.3102202274543089E-3</v>
      </c>
      <c r="CO46" s="136">
        <f>CO45-CM45</f>
        <v>9.4934261407575438E-4</v>
      </c>
      <c r="CP46" s="136">
        <f>CP45-CO45</f>
        <v>8.2948421862971689E-4</v>
      </c>
      <c r="CQ46" s="136">
        <f>CQ45-CP45</f>
        <v>8.2566171070974637E-4</v>
      </c>
      <c r="CR46" s="136">
        <f>CR45-CQ45</f>
        <v>1.1666931511202794E-3</v>
      </c>
      <c r="CS46" s="136">
        <f>CS45-CM45</f>
        <v>3.771181694535497E-3</v>
      </c>
      <c r="CU46" s="136">
        <f>CU45-CS45</f>
        <v>8.1730465042706424E-4</v>
      </c>
      <c r="CV46" s="136">
        <f>CV45-CU45</f>
        <v>8.1356412571120806E-4</v>
      </c>
      <c r="CW46" s="136">
        <f>CW45-CV45</f>
        <v>8.0984922102755874E-4</v>
      </c>
      <c r="CX46" s="136">
        <f>CX45-CW45</f>
        <v>9.2005491933722094E-4</v>
      </c>
      <c r="CY46" s="136">
        <f>CY45-CS45</f>
        <v>3.360772916503052E-3</v>
      </c>
      <c r="DA46" s="136">
        <f>DA45-CY45</f>
        <v>9.1587285152205933E-4</v>
      </c>
      <c r="DB46" s="136">
        <f>DB45-DA45</f>
        <v>9.1171923314781189E-4</v>
      </c>
      <c r="DC46" s="136">
        <f>DC45-DB45</f>
        <v>9.0759380675342616E-4</v>
      </c>
      <c r="DD46" s="136">
        <f>DD45-DC45</f>
        <v>9.0349631778396944E-4</v>
      </c>
      <c r="DE46" s="136">
        <f>DE45-CY45</f>
        <v>3.6386822092072668E-3</v>
      </c>
      <c r="DG46" s="136">
        <f>DG45-DE45</f>
        <v>8.9942651455066081E-4</v>
      </c>
      <c r="DH46" s="136">
        <f>DH45-DG45</f>
        <v>8.9538414819312351E-4</v>
      </c>
      <c r="DI46" s="136">
        <f>DI45-DH45</f>
        <v>8.9136897264074921E-4</v>
      </c>
      <c r="DJ46" s="136">
        <f>DJ45-DI45</f>
        <v>8.8738074457517246E-4</v>
      </c>
      <c r="DK46" s="136">
        <f>DK45-DE45</f>
        <v>3.573560379959706E-3</v>
      </c>
    </row>
    <row r="47" spans="1:115" x14ac:dyDescent="0.2">
      <c r="B47" s="360"/>
    </row>
    <row r="48" spans="1:115" x14ac:dyDescent="0.2">
      <c r="B48" s="226"/>
      <c r="BH48">
        <f>BH16/BH51</f>
        <v>0.22279832843213124</v>
      </c>
    </row>
    <row r="49" spans="1:115" ht="13.5" thickBot="1" x14ac:dyDescent="0.25">
      <c r="B49" s="226"/>
    </row>
    <row r="50" spans="1:115" x14ac:dyDescent="0.2">
      <c r="B50" s="244" t="s">
        <v>86</v>
      </c>
      <c r="C50" s="221"/>
      <c r="D50" s="222"/>
      <c r="E50" s="222"/>
      <c r="F50" s="222"/>
      <c r="G50" s="223"/>
      <c r="I50" s="221"/>
      <c r="J50" s="222"/>
      <c r="K50" s="222"/>
      <c r="L50" s="222"/>
      <c r="M50" s="223"/>
      <c r="O50" s="221"/>
      <c r="P50" s="222"/>
      <c r="Q50" s="222"/>
      <c r="R50" s="222"/>
      <c r="S50" s="223"/>
      <c r="U50" s="221"/>
      <c r="V50" s="222"/>
      <c r="W50" s="222"/>
      <c r="X50" s="222"/>
      <c r="Y50" s="223"/>
      <c r="AA50" s="371"/>
      <c r="AB50" s="372"/>
      <c r="AC50" s="372"/>
      <c r="AD50" s="372"/>
      <c r="AE50" s="373"/>
      <c r="AG50" s="371"/>
      <c r="AH50" s="372"/>
      <c r="AI50" s="372"/>
      <c r="AJ50" s="372"/>
      <c r="AK50" s="373"/>
      <c r="AM50" s="371"/>
      <c r="AN50" s="372"/>
      <c r="AO50" s="372"/>
      <c r="AP50" s="372"/>
      <c r="AQ50" s="373"/>
      <c r="AS50" s="371"/>
      <c r="AT50" s="372"/>
      <c r="AU50" s="372"/>
      <c r="AV50" s="372"/>
      <c r="AW50" s="373"/>
      <c r="AY50" s="371"/>
      <c r="AZ50" s="372"/>
      <c r="BA50" s="372"/>
      <c r="BB50" s="372"/>
      <c r="BC50" s="373"/>
      <c r="BE50" s="371"/>
      <c r="BF50" s="372"/>
      <c r="BG50" s="372"/>
      <c r="BH50" s="372"/>
      <c r="BI50" s="373"/>
      <c r="BK50" s="371"/>
      <c r="BL50" s="372"/>
      <c r="BM50" s="372"/>
      <c r="BN50" s="372"/>
      <c r="BO50" s="373"/>
      <c r="BQ50" s="371"/>
      <c r="BR50" s="372"/>
      <c r="BS50" s="372"/>
      <c r="BT50" s="372"/>
      <c r="BU50" s="373"/>
      <c r="BW50" s="371"/>
      <c r="BX50" s="372"/>
      <c r="BY50" s="372"/>
      <c r="BZ50" s="372"/>
      <c r="CA50" s="373"/>
      <c r="CC50" s="371"/>
      <c r="CD50" s="372"/>
      <c r="CE50" s="372"/>
      <c r="CF50" s="372"/>
      <c r="CG50" s="373"/>
      <c r="CI50" s="371"/>
      <c r="CJ50" s="372"/>
      <c r="CK50" s="372"/>
      <c r="CL50" s="372"/>
      <c r="CM50" s="373"/>
      <c r="CO50" s="371"/>
      <c r="CP50" s="372"/>
      <c r="CQ50" s="372"/>
      <c r="CR50" s="372"/>
      <c r="CS50" s="373"/>
      <c r="CU50" s="371"/>
      <c r="CV50" s="372"/>
      <c r="CW50" s="372"/>
      <c r="CX50" s="372"/>
      <c r="CY50" s="373"/>
      <c r="DA50" s="371"/>
      <c r="DB50" s="372"/>
      <c r="DC50" s="372"/>
      <c r="DD50" s="372"/>
      <c r="DE50" s="373"/>
      <c r="DG50" s="371"/>
      <c r="DH50" s="372"/>
      <c r="DI50" s="372"/>
      <c r="DJ50" s="372"/>
      <c r="DK50" s="373"/>
    </row>
    <row r="51" spans="1:115" x14ac:dyDescent="0.2">
      <c r="B51" s="361" t="s">
        <v>78</v>
      </c>
      <c r="C51" s="116">
        <f>C10</f>
        <v>7640</v>
      </c>
      <c r="D51" s="117">
        <f>D10</f>
        <v>8013</v>
      </c>
      <c r="E51" s="117">
        <f>E10</f>
        <v>8493</v>
      </c>
      <c r="F51" s="117">
        <f>F10</f>
        <v>9019</v>
      </c>
      <c r="G51" s="119">
        <f>G10</f>
        <v>9019</v>
      </c>
      <c r="H51" s="114"/>
      <c r="I51" s="116">
        <f>I10</f>
        <v>9558</v>
      </c>
      <c r="J51" s="117">
        <f>J10</f>
        <v>9898</v>
      </c>
      <c r="K51" s="117">
        <f>K10</f>
        <v>10242</v>
      </c>
      <c r="L51" s="117">
        <f>L10</f>
        <v>10594</v>
      </c>
      <c r="M51" s="119">
        <f>M10</f>
        <v>10594</v>
      </c>
      <c r="N51" s="114"/>
      <c r="O51" s="116">
        <f>O10</f>
        <v>10984</v>
      </c>
      <c r="P51" s="117">
        <f>P10</f>
        <v>11229</v>
      </c>
      <c r="Q51" s="117">
        <f>Q10</f>
        <v>11301</v>
      </c>
      <c r="R51" s="117">
        <f>R10</f>
        <v>11477</v>
      </c>
      <c r="S51" s="119">
        <f>S10</f>
        <v>11477</v>
      </c>
      <c r="U51" s="144">
        <v>11665</v>
      </c>
      <c r="V51" s="117">
        <v>11795</v>
      </c>
      <c r="W51" s="117">
        <f>W10</f>
        <v>11844</v>
      </c>
      <c r="X51" s="117">
        <f>X10</f>
        <v>11954</v>
      </c>
      <c r="Y51" s="119">
        <f>X51</f>
        <v>11954</v>
      </c>
      <c r="AA51" s="116">
        <v>12069</v>
      </c>
      <c r="AB51" s="117">
        <f>AB10</f>
        <v>12153</v>
      </c>
      <c r="AC51" s="117">
        <v>12201</v>
      </c>
      <c r="AD51" s="117">
        <v>12265</v>
      </c>
      <c r="AE51" s="119">
        <f>AD51</f>
        <v>12265</v>
      </c>
      <c r="AG51" s="116">
        <f>AE51+AG64</f>
        <v>12367</v>
      </c>
      <c r="AH51" s="117">
        <f t="shared" ref="AH51:AJ53" si="0">AG51+AH64</f>
        <v>12414</v>
      </c>
      <c r="AI51" s="117">
        <f t="shared" si="0"/>
        <v>12424</v>
      </c>
      <c r="AJ51" s="117">
        <f t="shared" si="0"/>
        <v>12427</v>
      </c>
      <c r="AK51" s="119">
        <f>AJ51</f>
        <v>12427</v>
      </c>
      <c r="AM51" s="116">
        <f>AK51+AM64</f>
        <v>12443</v>
      </c>
      <c r="AN51" s="117">
        <f t="shared" ref="AN51:AP53" si="1">AM51+AN64</f>
        <v>12430</v>
      </c>
      <c r="AO51" s="117">
        <f t="shared" si="1"/>
        <v>12383</v>
      </c>
      <c r="AP51" s="117">
        <f t="shared" si="1"/>
        <v>12360</v>
      </c>
      <c r="AQ51" s="119">
        <f>AP51</f>
        <v>12360</v>
      </c>
      <c r="AS51" s="116">
        <f>AQ51+AS64</f>
        <v>12354</v>
      </c>
      <c r="AT51" s="117">
        <f t="shared" ref="AT51:AV53" si="2">AS51+AT64</f>
        <v>12349</v>
      </c>
      <c r="AU51" s="117">
        <f t="shared" si="2"/>
        <v>12340</v>
      </c>
      <c r="AV51" s="117">
        <f t="shared" si="2"/>
        <v>12361</v>
      </c>
      <c r="AW51" s="119">
        <f>AV51</f>
        <v>12361</v>
      </c>
      <c r="AY51" s="116">
        <f>AW51+AY64</f>
        <v>12437</v>
      </c>
      <c r="AZ51" s="117">
        <f t="shared" ref="AZ51:BB53" si="3">AY51+AZ64</f>
        <v>12518</v>
      </c>
      <c r="BA51" s="117">
        <f t="shared" si="3"/>
        <v>12596</v>
      </c>
      <c r="BB51" s="117">
        <f t="shared" si="3"/>
        <v>12644</v>
      </c>
      <c r="BC51" s="119">
        <f>BB51</f>
        <v>12644</v>
      </c>
      <c r="BE51" s="116">
        <f>BC51+BE64</f>
        <v>12706</v>
      </c>
      <c r="BF51" s="117">
        <f t="shared" ref="BF51:BH53" si="4">BE51+BF64</f>
        <v>12770</v>
      </c>
      <c r="BG51" s="117">
        <f t="shared" si="4"/>
        <v>12835</v>
      </c>
      <c r="BH51" s="117">
        <f t="shared" si="4"/>
        <v>12922</v>
      </c>
      <c r="BI51" s="119">
        <f>BH51</f>
        <v>12922</v>
      </c>
      <c r="BK51" s="116">
        <f>BI51+BK64</f>
        <v>12989</v>
      </c>
      <c r="BL51" s="117">
        <f t="shared" ref="BL51:BN53" si="5">BK51+BL64</f>
        <v>13035</v>
      </c>
      <c r="BM51" s="117">
        <f t="shared" si="5"/>
        <v>13105</v>
      </c>
      <c r="BN51" s="117">
        <f t="shared" si="5"/>
        <v>13209</v>
      </c>
      <c r="BO51" s="119">
        <f>BN51</f>
        <v>13209</v>
      </c>
      <c r="BQ51" s="116">
        <f>BO51+BQ64</f>
        <v>13284</v>
      </c>
      <c r="BR51" s="117">
        <f t="shared" ref="BR51:BT53" si="6">BQ51+BR64</f>
        <v>13344</v>
      </c>
      <c r="BS51" s="117">
        <f t="shared" si="6"/>
        <v>13419</v>
      </c>
      <c r="BT51" s="117">
        <f t="shared" si="6"/>
        <v>13509</v>
      </c>
      <c r="BU51" s="119">
        <f>BT51</f>
        <v>13509</v>
      </c>
      <c r="BW51" s="116">
        <f>BU51+BW64</f>
        <v>13579</v>
      </c>
      <c r="BX51" s="117">
        <f t="shared" ref="BX51:BZ53" si="7">BW51+BX64</f>
        <v>13634</v>
      </c>
      <c r="BY51" s="117">
        <f t="shared" si="7"/>
        <v>13699</v>
      </c>
      <c r="BZ51" s="117">
        <f t="shared" si="7"/>
        <v>13779</v>
      </c>
      <c r="CA51" s="119">
        <f>BZ51</f>
        <v>13779</v>
      </c>
      <c r="CC51" s="116">
        <f>CA51+CC64</f>
        <v>13844</v>
      </c>
      <c r="CD51" s="117">
        <f t="shared" ref="CD51:CF53" si="8">CC51+CD64</f>
        <v>13894</v>
      </c>
      <c r="CE51" s="117">
        <f t="shared" si="8"/>
        <v>13954</v>
      </c>
      <c r="CF51" s="117">
        <f t="shared" si="8"/>
        <v>14029</v>
      </c>
      <c r="CG51" s="119">
        <f>CF51</f>
        <v>14029</v>
      </c>
      <c r="CI51" s="116">
        <f>CG51+CI64</f>
        <v>14089</v>
      </c>
      <c r="CJ51" s="117">
        <f t="shared" ref="CJ51:CL53" si="9">CI51+CJ64</f>
        <v>14139</v>
      </c>
      <c r="CK51" s="117">
        <f t="shared" si="9"/>
        <v>14194</v>
      </c>
      <c r="CL51" s="117">
        <f t="shared" si="9"/>
        <v>14264</v>
      </c>
      <c r="CM51" s="119">
        <f>CL51</f>
        <v>14264</v>
      </c>
      <c r="CO51" s="116">
        <f>CM51+CO64</f>
        <v>14319</v>
      </c>
      <c r="CP51" s="117">
        <f t="shared" ref="CP51:CR53" si="10">CO51+CP64</f>
        <v>14369</v>
      </c>
      <c r="CQ51" s="117">
        <f t="shared" si="10"/>
        <v>14419</v>
      </c>
      <c r="CR51" s="117">
        <f t="shared" si="10"/>
        <v>14484</v>
      </c>
      <c r="CS51" s="119">
        <f>CR51</f>
        <v>14484</v>
      </c>
      <c r="CU51" s="116">
        <f>CS51+CU64</f>
        <v>14534</v>
      </c>
      <c r="CV51" s="117">
        <f t="shared" ref="CV51:CX53" si="11">CU51+CV64</f>
        <v>14584</v>
      </c>
      <c r="CW51" s="117">
        <f t="shared" si="11"/>
        <v>14634</v>
      </c>
      <c r="CX51" s="117">
        <f t="shared" si="11"/>
        <v>14689</v>
      </c>
      <c r="CY51" s="119">
        <f>CX51</f>
        <v>14689</v>
      </c>
      <c r="DA51" s="116">
        <f>CY51+DA64</f>
        <v>14739</v>
      </c>
      <c r="DB51" s="117">
        <f t="shared" ref="DB51:DD53" si="12">DA51+DB64</f>
        <v>14789</v>
      </c>
      <c r="DC51" s="117">
        <f t="shared" si="12"/>
        <v>14839</v>
      </c>
      <c r="DD51" s="117">
        <f t="shared" si="12"/>
        <v>14889</v>
      </c>
      <c r="DE51" s="119">
        <f>DD51</f>
        <v>14889</v>
      </c>
      <c r="DG51" s="116">
        <f>DE51+DG64</f>
        <v>14939</v>
      </c>
      <c r="DH51" s="117">
        <f t="shared" ref="DH51:DJ53" si="13">DG51+DH64</f>
        <v>14989</v>
      </c>
      <c r="DI51" s="117">
        <f t="shared" si="13"/>
        <v>15039</v>
      </c>
      <c r="DJ51" s="117">
        <f t="shared" si="13"/>
        <v>15089</v>
      </c>
      <c r="DK51" s="119">
        <f>DJ51</f>
        <v>15089</v>
      </c>
    </row>
    <row r="52" spans="1:115" x14ac:dyDescent="0.2">
      <c r="B52" s="361" t="s">
        <v>79</v>
      </c>
      <c r="C52" s="116">
        <v>8100</v>
      </c>
      <c r="D52" s="117">
        <v>8650</v>
      </c>
      <c r="E52" s="117">
        <v>9000</v>
      </c>
      <c r="F52" s="117">
        <f>3500+6000</f>
        <v>9500</v>
      </c>
      <c r="G52" s="119">
        <f>F52</f>
        <v>9500</v>
      </c>
      <c r="H52" s="114"/>
      <c r="I52" s="116">
        <f>3400+6600</f>
        <v>10000</v>
      </c>
      <c r="J52" s="117">
        <f>3200+7100</f>
        <v>10300</v>
      </c>
      <c r="K52" s="117">
        <f>7500+100+2900</f>
        <v>10500</v>
      </c>
      <c r="L52" s="117">
        <f>L20+L25+L30-400</f>
        <v>10613</v>
      </c>
      <c r="M52" s="119">
        <f>L52</f>
        <v>10613</v>
      </c>
      <c r="N52" s="114"/>
      <c r="O52" s="116">
        <f>O20+O25+O30-300</f>
        <v>10831</v>
      </c>
      <c r="P52" s="117">
        <f>P20+P25+P30-300</f>
        <v>10819</v>
      </c>
      <c r="Q52" s="117">
        <f>Q20+Q25+Q30-350</f>
        <v>10833</v>
      </c>
      <c r="R52" s="117">
        <f>R20+R25+R30-300</f>
        <v>11014</v>
      </c>
      <c r="S52" s="119">
        <f>R52</f>
        <v>11014</v>
      </c>
      <c r="U52" s="116">
        <f>U20+U25+U30-300</f>
        <v>11126</v>
      </c>
      <c r="V52" s="117">
        <f>V20+V25+V30-350</f>
        <v>11020</v>
      </c>
      <c r="W52" s="117">
        <f>V52+W65</f>
        <v>11050</v>
      </c>
      <c r="X52" s="117">
        <f>W52+X65</f>
        <v>11185</v>
      </c>
      <c r="Y52" s="119">
        <f>X52</f>
        <v>11185</v>
      </c>
      <c r="AA52" s="116">
        <f>Y52+AA65</f>
        <v>11270</v>
      </c>
      <c r="AB52" s="117">
        <f t="shared" ref="AB52:AD53" si="14">AA52+AB65</f>
        <v>11250</v>
      </c>
      <c r="AC52" s="117">
        <f t="shared" si="14"/>
        <v>11275</v>
      </c>
      <c r="AD52" s="117">
        <f t="shared" si="14"/>
        <v>11285</v>
      </c>
      <c r="AE52" s="119">
        <f>AD52</f>
        <v>11285</v>
      </c>
      <c r="AG52" s="116">
        <f>AE52+AG65</f>
        <v>11290</v>
      </c>
      <c r="AH52" s="117">
        <f t="shared" si="0"/>
        <v>11290</v>
      </c>
      <c r="AI52" s="117">
        <f t="shared" si="0"/>
        <v>11140</v>
      </c>
      <c r="AJ52" s="117">
        <f t="shared" si="0"/>
        <v>11090</v>
      </c>
      <c r="AK52" s="119">
        <f>AJ52</f>
        <v>11090</v>
      </c>
      <c r="AM52" s="116">
        <f>AK52+AM65</f>
        <v>11165</v>
      </c>
      <c r="AN52" s="117">
        <f t="shared" si="1"/>
        <v>11190</v>
      </c>
      <c r="AO52" s="117">
        <f t="shared" si="1"/>
        <v>11170</v>
      </c>
      <c r="AP52" s="117">
        <f t="shared" si="1"/>
        <v>11220</v>
      </c>
      <c r="AQ52" s="119">
        <f>AP52</f>
        <v>11220</v>
      </c>
      <c r="AS52" s="116">
        <f>AQ52+AS65</f>
        <v>11270</v>
      </c>
      <c r="AT52" s="117">
        <f t="shared" si="2"/>
        <v>11360</v>
      </c>
      <c r="AU52" s="117">
        <f t="shared" si="2"/>
        <v>11420</v>
      </c>
      <c r="AV52" s="117">
        <f t="shared" si="2"/>
        <v>11445</v>
      </c>
      <c r="AW52" s="119">
        <f>AV52</f>
        <v>11445</v>
      </c>
      <c r="AY52" s="116">
        <f>AW52+AY65</f>
        <v>11495</v>
      </c>
      <c r="AZ52" s="117">
        <f t="shared" si="3"/>
        <v>11520</v>
      </c>
      <c r="BA52" s="117">
        <f t="shared" si="3"/>
        <v>11495</v>
      </c>
      <c r="BB52" s="117">
        <f t="shared" si="3"/>
        <v>11560</v>
      </c>
      <c r="BC52" s="119">
        <f>BB52</f>
        <v>11560</v>
      </c>
      <c r="BE52" s="116">
        <f>BC52+BE65</f>
        <v>11750</v>
      </c>
      <c r="BF52" s="117">
        <f t="shared" si="4"/>
        <v>11900</v>
      </c>
      <c r="BG52" s="117">
        <f t="shared" si="4"/>
        <v>12000</v>
      </c>
      <c r="BH52" s="117">
        <f t="shared" si="4"/>
        <v>12045</v>
      </c>
      <c r="BI52" s="119">
        <f>BH52</f>
        <v>12045</v>
      </c>
      <c r="BK52" s="116">
        <f>BI52+BK65</f>
        <v>12120</v>
      </c>
      <c r="BL52" s="117">
        <f t="shared" si="5"/>
        <v>12195</v>
      </c>
      <c r="BM52" s="117">
        <f t="shared" si="5"/>
        <v>12255</v>
      </c>
      <c r="BN52" s="117">
        <f t="shared" si="5"/>
        <v>12355</v>
      </c>
      <c r="BO52" s="119">
        <f>BN52</f>
        <v>12355</v>
      </c>
      <c r="BQ52" s="116">
        <f>BO52+BQ65</f>
        <v>12410</v>
      </c>
      <c r="BR52" s="117">
        <f t="shared" si="6"/>
        <v>12460</v>
      </c>
      <c r="BS52" s="117">
        <f t="shared" si="6"/>
        <v>12495</v>
      </c>
      <c r="BT52" s="117">
        <f t="shared" si="6"/>
        <v>12530</v>
      </c>
      <c r="BU52" s="119">
        <f>BT52</f>
        <v>12530</v>
      </c>
      <c r="BW52" s="116">
        <f>BU52+BW65</f>
        <v>12555</v>
      </c>
      <c r="BX52" s="117">
        <f t="shared" si="7"/>
        <v>12570</v>
      </c>
      <c r="BY52" s="117">
        <f t="shared" si="7"/>
        <v>12570</v>
      </c>
      <c r="BZ52" s="117">
        <f t="shared" si="7"/>
        <v>12585</v>
      </c>
      <c r="CA52" s="119">
        <f>BZ52</f>
        <v>12585</v>
      </c>
      <c r="CC52" s="116">
        <f>CA52+CC65</f>
        <v>12565</v>
      </c>
      <c r="CD52" s="117">
        <f t="shared" si="8"/>
        <v>12545</v>
      </c>
      <c r="CE52" s="117">
        <f t="shared" si="8"/>
        <v>12525</v>
      </c>
      <c r="CF52" s="117">
        <f t="shared" si="8"/>
        <v>12505</v>
      </c>
      <c r="CG52" s="119">
        <f>CF52</f>
        <v>12505</v>
      </c>
      <c r="CI52" s="116">
        <f>CG52+CI65</f>
        <v>12470</v>
      </c>
      <c r="CJ52" s="117">
        <f t="shared" si="9"/>
        <v>12435</v>
      </c>
      <c r="CK52" s="117">
        <f t="shared" si="9"/>
        <v>12400</v>
      </c>
      <c r="CL52" s="117">
        <f t="shared" si="9"/>
        <v>12365</v>
      </c>
      <c r="CM52" s="119">
        <f>CL52</f>
        <v>12365</v>
      </c>
      <c r="CO52" s="116">
        <f>CM52+CO65</f>
        <v>12335</v>
      </c>
      <c r="CP52" s="117">
        <f t="shared" si="10"/>
        <v>12305</v>
      </c>
      <c r="CQ52" s="117">
        <f t="shared" si="10"/>
        <v>12275</v>
      </c>
      <c r="CR52" s="117">
        <f t="shared" si="10"/>
        <v>12245</v>
      </c>
      <c r="CS52" s="119">
        <f>CR52</f>
        <v>12245</v>
      </c>
      <c r="CU52" s="116">
        <f>CS52+CU65</f>
        <v>12215</v>
      </c>
      <c r="CV52" s="117">
        <f t="shared" si="11"/>
        <v>12185</v>
      </c>
      <c r="CW52" s="117">
        <f t="shared" si="11"/>
        <v>12155</v>
      </c>
      <c r="CX52" s="117">
        <f t="shared" si="11"/>
        <v>12125</v>
      </c>
      <c r="CY52" s="119">
        <f>CX52</f>
        <v>12125</v>
      </c>
      <c r="DA52" s="116">
        <f>CY52+DA65</f>
        <v>12100</v>
      </c>
      <c r="DB52" s="117">
        <f t="shared" si="12"/>
        <v>12075</v>
      </c>
      <c r="DC52" s="117">
        <f t="shared" si="12"/>
        <v>12050</v>
      </c>
      <c r="DD52" s="117">
        <f t="shared" si="12"/>
        <v>12025</v>
      </c>
      <c r="DE52" s="119">
        <f>DD52</f>
        <v>12025</v>
      </c>
      <c r="DG52" s="116">
        <f>DE52+DG65</f>
        <v>12000</v>
      </c>
      <c r="DH52" s="117">
        <f t="shared" si="13"/>
        <v>11975</v>
      </c>
      <c r="DI52" s="117">
        <f t="shared" si="13"/>
        <v>11950</v>
      </c>
      <c r="DJ52" s="117">
        <f t="shared" si="13"/>
        <v>11925</v>
      </c>
      <c r="DK52" s="119">
        <f>DJ52</f>
        <v>11925</v>
      </c>
    </row>
    <row r="53" spans="1:115" x14ac:dyDescent="0.2">
      <c r="B53" s="361" t="s">
        <v>81</v>
      </c>
      <c r="C53" s="116">
        <v>700</v>
      </c>
      <c r="D53" s="117">
        <v>800</v>
      </c>
      <c r="E53" s="117">
        <v>900</v>
      </c>
      <c r="F53" s="117">
        <v>1000</v>
      </c>
      <c r="G53" s="119">
        <f>F53</f>
        <v>1000</v>
      </c>
      <c r="H53" s="114"/>
      <c r="I53" s="116">
        <v>1300</v>
      </c>
      <c r="J53" s="117">
        <v>1400</v>
      </c>
      <c r="K53" s="117">
        <v>1600</v>
      </c>
      <c r="L53" s="117">
        <v>1700</v>
      </c>
      <c r="M53" s="119">
        <f>L53</f>
        <v>1700</v>
      </c>
      <c r="N53" s="114"/>
      <c r="O53" s="116">
        <v>1800</v>
      </c>
      <c r="P53" s="117">
        <v>1900</v>
      </c>
      <c r="Q53" s="117">
        <v>2100</v>
      </c>
      <c r="R53" s="117">
        <v>2200</v>
      </c>
      <c r="S53" s="119">
        <f>R53</f>
        <v>2200</v>
      </c>
      <c r="U53" s="116">
        <v>2400</v>
      </c>
      <c r="V53" s="117">
        <v>2500</v>
      </c>
      <c r="W53" s="117">
        <f>V53+W66</f>
        <v>2700</v>
      </c>
      <c r="X53" s="117">
        <f>W53+X66</f>
        <v>2835</v>
      </c>
      <c r="Y53" s="119">
        <f>X53</f>
        <v>2835</v>
      </c>
      <c r="AA53" s="116">
        <f>Y53+AA66</f>
        <v>3060</v>
      </c>
      <c r="AB53" s="117">
        <f t="shared" si="14"/>
        <v>3240</v>
      </c>
      <c r="AC53" s="117">
        <f t="shared" si="14"/>
        <v>3360</v>
      </c>
      <c r="AD53" s="117">
        <f t="shared" si="14"/>
        <v>3560</v>
      </c>
      <c r="AE53" s="119">
        <f>AD53</f>
        <v>3560</v>
      </c>
      <c r="AG53" s="116">
        <f>AE53+AG66</f>
        <v>3775</v>
      </c>
      <c r="AH53" s="117">
        <f t="shared" si="0"/>
        <v>3925</v>
      </c>
      <c r="AI53" s="117">
        <f t="shared" si="0"/>
        <v>4100</v>
      </c>
      <c r="AJ53" s="117">
        <f t="shared" si="0"/>
        <v>4300</v>
      </c>
      <c r="AK53" s="119">
        <f>AJ53</f>
        <v>4300</v>
      </c>
      <c r="AM53" s="116">
        <f>AK53+AM66</f>
        <v>4560</v>
      </c>
      <c r="AN53" s="117">
        <f t="shared" si="1"/>
        <v>4720</v>
      </c>
      <c r="AO53" s="117">
        <f t="shared" si="1"/>
        <v>4920</v>
      </c>
      <c r="AP53" s="117">
        <f t="shared" si="1"/>
        <v>5145</v>
      </c>
      <c r="AQ53" s="119">
        <f>AP53</f>
        <v>5145</v>
      </c>
      <c r="AS53" s="116">
        <f>AQ53+AS66</f>
        <v>5345</v>
      </c>
      <c r="AT53" s="117">
        <f t="shared" si="2"/>
        <v>5520</v>
      </c>
      <c r="AU53" s="117">
        <f t="shared" si="2"/>
        <v>5720</v>
      </c>
      <c r="AV53" s="117">
        <f t="shared" si="2"/>
        <v>5945</v>
      </c>
      <c r="AW53" s="119">
        <f>AV53</f>
        <v>5945</v>
      </c>
      <c r="AY53" s="116">
        <f>AW53+AY66</f>
        <v>6195</v>
      </c>
      <c r="AZ53" s="117">
        <f t="shared" si="3"/>
        <v>6345</v>
      </c>
      <c r="BA53" s="117">
        <f t="shared" si="3"/>
        <v>6545</v>
      </c>
      <c r="BB53" s="117">
        <f t="shared" si="3"/>
        <v>6705</v>
      </c>
      <c r="BC53" s="119">
        <f>BB53</f>
        <v>6705</v>
      </c>
      <c r="BE53" s="116">
        <f>BC53+BE66</f>
        <v>6845</v>
      </c>
      <c r="BF53" s="117">
        <f t="shared" si="4"/>
        <v>7020</v>
      </c>
      <c r="BG53" s="117">
        <f t="shared" si="4"/>
        <v>7145</v>
      </c>
      <c r="BH53" s="117">
        <f t="shared" si="4"/>
        <v>7295</v>
      </c>
      <c r="BI53" s="119">
        <f>BH53</f>
        <v>7295</v>
      </c>
      <c r="BK53" s="116">
        <f>BI53+BK66</f>
        <v>7420</v>
      </c>
      <c r="BL53" s="117">
        <f t="shared" si="5"/>
        <v>7570</v>
      </c>
      <c r="BM53" s="117">
        <f t="shared" si="5"/>
        <v>7645</v>
      </c>
      <c r="BN53" s="117">
        <f t="shared" si="5"/>
        <v>7770</v>
      </c>
      <c r="BO53" s="119">
        <f>BN53</f>
        <v>7770</v>
      </c>
      <c r="BQ53" s="116">
        <f>BO53+BQ66</f>
        <v>7895</v>
      </c>
      <c r="BR53" s="117">
        <f t="shared" si="6"/>
        <v>8020</v>
      </c>
      <c r="BS53" s="117">
        <f t="shared" si="6"/>
        <v>8120</v>
      </c>
      <c r="BT53" s="117">
        <f t="shared" si="6"/>
        <v>8220</v>
      </c>
      <c r="BU53" s="119">
        <f>BT53</f>
        <v>8220</v>
      </c>
      <c r="BW53" s="116">
        <f>BU53+BW66</f>
        <v>8345</v>
      </c>
      <c r="BX53" s="117">
        <f t="shared" si="7"/>
        <v>8470</v>
      </c>
      <c r="BY53" s="117">
        <f t="shared" si="7"/>
        <v>8570</v>
      </c>
      <c r="BZ53" s="117">
        <f t="shared" si="7"/>
        <v>8695</v>
      </c>
      <c r="CA53" s="119">
        <f>BZ53</f>
        <v>8695</v>
      </c>
      <c r="CC53" s="116">
        <f>CA53+CC66</f>
        <v>8795</v>
      </c>
      <c r="CD53" s="117">
        <f t="shared" si="8"/>
        <v>8920</v>
      </c>
      <c r="CE53" s="117">
        <f t="shared" si="8"/>
        <v>9045</v>
      </c>
      <c r="CF53" s="117">
        <f t="shared" si="8"/>
        <v>9145</v>
      </c>
      <c r="CG53" s="119">
        <f>CF53</f>
        <v>9145</v>
      </c>
      <c r="CI53" s="116">
        <f>CG53+CI66</f>
        <v>9245</v>
      </c>
      <c r="CJ53" s="117">
        <f t="shared" si="9"/>
        <v>9355</v>
      </c>
      <c r="CK53" s="117">
        <f t="shared" si="9"/>
        <v>9470</v>
      </c>
      <c r="CL53" s="117">
        <f t="shared" si="9"/>
        <v>9570</v>
      </c>
      <c r="CM53" s="119">
        <f>CL53</f>
        <v>9570</v>
      </c>
      <c r="CO53" s="116">
        <f>CM53+CO66</f>
        <v>9670</v>
      </c>
      <c r="CP53" s="117">
        <f t="shared" si="10"/>
        <v>9770</v>
      </c>
      <c r="CQ53" s="117">
        <f t="shared" si="10"/>
        <v>9870</v>
      </c>
      <c r="CR53" s="117">
        <f t="shared" si="10"/>
        <v>9970</v>
      </c>
      <c r="CS53" s="119">
        <f>CR53</f>
        <v>9970</v>
      </c>
      <c r="CU53" s="116">
        <f>CS53+CU66</f>
        <v>10070</v>
      </c>
      <c r="CV53" s="117">
        <f t="shared" si="11"/>
        <v>10170</v>
      </c>
      <c r="CW53" s="117">
        <f t="shared" si="11"/>
        <v>10270</v>
      </c>
      <c r="CX53" s="117">
        <f t="shared" si="11"/>
        <v>10370</v>
      </c>
      <c r="CY53" s="119">
        <f>CX53</f>
        <v>10370</v>
      </c>
      <c r="DA53" s="116">
        <f>CY53+DA66</f>
        <v>10470</v>
      </c>
      <c r="DB53" s="117">
        <f t="shared" si="12"/>
        <v>10570</v>
      </c>
      <c r="DC53" s="117">
        <f t="shared" si="12"/>
        <v>10670</v>
      </c>
      <c r="DD53" s="117">
        <f t="shared" si="12"/>
        <v>10770</v>
      </c>
      <c r="DE53" s="119">
        <f>DD53</f>
        <v>10770</v>
      </c>
      <c r="DG53" s="116">
        <f>DE53+DG66</f>
        <v>10870</v>
      </c>
      <c r="DH53" s="117">
        <f t="shared" si="13"/>
        <v>10970</v>
      </c>
      <c r="DI53" s="117">
        <f t="shared" si="13"/>
        <v>11070</v>
      </c>
      <c r="DJ53" s="117">
        <f t="shared" si="13"/>
        <v>11170</v>
      </c>
      <c r="DK53" s="119">
        <f>DJ53</f>
        <v>11170</v>
      </c>
    </row>
    <row r="54" spans="1:115" x14ac:dyDescent="0.2">
      <c r="A54" s="226"/>
      <c r="B54" s="388" t="s">
        <v>80</v>
      </c>
      <c r="C54" s="203">
        <f>C51+C52+C53</f>
        <v>16440</v>
      </c>
      <c r="D54" s="204">
        <f>D51+D52+D53</f>
        <v>17463</v>
      </c>
      <c r="E54" s="204">
        <f>E51+E52+E53</f>
        <v>18393</v>
      </c>
      <c r="F54" s="204">
        <f>F51+F52+F53</f>
        <v>19519</v>
      </c>
      <c r="G54" s="205">
        <f>G51+G52+G53</f>
        <v>19519</v>
      </c>
      <c r="H54" s="197"/>
      <c r="I54" s="203">
        <f>I51+I52+I53</f>
        <v>20858</v>
      </c>
      <c r="J54" s="204">
        <f>J51+J52+J53</f>
        <v>21598</v>
      </c>
      <c r="K54" s="204">
        <f>K51+K52+K53</f>
        <v>22342</v>
      </c>
      <c r="L54" s="204">
        <f>L51+L52+L53</f>
        <v>22907</v>
      </c>
      <c r="M54" s="205">
        <f>M51+M52+M53</f>
        <v>22907</v>
      </c>
      <c r="N54" s="197"/>
      <c r="O54" s="203">
        <f>O51+O52+O53</f>
        <v>23615</v>
      </c>
      <c r="P54" s="204">
        <f>P51+P52+P53</f>
        <v>23948</v>
      </c>
      <c r="Q54" s="204">
        <f>Q51+Q52+Q53</f>
        <v>24234</v>
      </c>
      <c r="R54" s="204">
        <f>R51+R52+R53</f>
        <v>24691</v>
      </c>
      <c r="S54" s="205">
        <f>S51+S52+S53</f>
        <v>24691</v>
      </c>
      <c r="U54" s="203">
        <f>U51+U52+U53</f>
        <v>25191</v>
      </c>
      <c r="V54" s="204">
        <f>V51+V52+V53</f>
        <v>25315</v>
      </c>
      <c r="W54" s="204">
        <f>W51+W52+W53</f>
        <v>25594</v>
      </c>
      <c r="X54" s="204">
        <f>X51+X52+X53</f>
        <v>25974</v>
      </c>
      <c r="Y54" s="205">
        <f>X54</f>
        <v>25974</v>
      </c>
      <c r="AA54" s="203">
        <f>AA51+AA52+AA53</f>
        <v>26399</v>
      </c>
      <c r="AB54" s="204">
        <f>AB51+AB52+AB53</f>
        <v>26643</v>
      </c>
      <c r="AC54" s="204">
        <f>AC51+AC52+AC53</f>
        <v>26836</v>
      </c>
      <c r="AD54" s="204">
        <f>AD51+AD52+AD53</f>
        <v>27110</v>
      </c>
      <c r="AE54" s="205">
        <f>AD54</f>
        <v>27110</v>
      </c>
      <c r="AG54" s="203">
        <f>AG51+AG52+AG53</f>
        <v>27432</v>
      </c>
      <c r="AH54" s="204">
        <f>AH51+AH52+AH53</f>
        <v>27629</v>
      </c>
      <c r="AI54" s="204">
        <f>AI51+AI52+AI53</f>
        <v>27664</v>
      </c>
      <c r="AJ54" s="204">
        <f>AJ51+AJ52+AJ53</f>
        <v>27817</v>
      </c>
      <c r="AK54" s="205">
        <f>AJ54</f>
        <v>27817</v>
      </c>
      <c r="AM54" s="203">
        <f>AM51+AM52+AM53</f>
        <v>28168</v>
      </c>
      <c r="AN54" s="204">
        <f>AN51+AN52+AN53</f>
        <v>28340</v>
      </c>
      <c r="AO54" s="204">
        <f>AO51+AO52+AO53</f>
        <v>28473</v>
      </c>
      <c r="AP54" s="204">
        <f>AP51+AP52+AP53</f>
        <v>28725</v>
      </c>
      <c r="AQ54" s="205">
        <f>AP54</f>
        <v>28725</v>
      </c>
      <c r="AS54" s="203">
        <f>AS51+AS52+AS53</f>
        <v>28969</v>
      </c>
      <c r="AT54" s="204">
        <f>AT51+AT52+AT53</f>
        <v>29229</v>
      </c>
      <c r="AU54" s="204">
        <f>AU51+AU52+AU53</f>
        <v>29480</v>
      </c>
      <c r="AV54" s="204">
        <f>AV51+AV52+AV53</f>
        <v>29751</v>
      </c>
      <c r="AW54" s="205">
        <f>AV54</f>
        <v>29751</v>
      </c>
      <c r="AY54" s="203">
        <f>AY51+AY52+AY53</f>
        <v>30127</v>
      </c>
      <c r="AZ54" s="204">
        <f>AZ51+AZ52+AZ53</f>
        <v>30383</v>
      </c>
      <c r="BA54" s="204">
        <f>BA51+BA52+BA53</f>
        <v>30636</v>
      </c>
      <c r="BB54" s="204">
        <f>BB51+BB52+BB53</f>
        <v>30909</v>
      </c>
      <c r="BC54" s="205">
        <f>BB54</f>
        <v>30909</v>
      </c>
      <c r="BE54" s="203">
        <f>BE51+BE52+BE53</f>
        <v>31301</v>
      </c>
      <c r="BF54" s="204">
        <f>BF51+BF52+BF53</f>
        <v>31690</v>
      </c>
      <c r="BG54" s="204">
        <f>BG51+BG52+BG53</f>
        <v>31980</v>
      </c>
      <c r="BH54" s="204">
        <f>BH51+BH52+BH53</f>
        <v>32262</v>
      </c>
      <c r="BI54" s="205">
        <f>BH54</f>
        <v>32262</v>
      </c>
      <c r="BK54" s="203">
        <f>BK51+BK52+BK53</f>
        <v>32529</v>
      </c>
      <c r="BL54" s="204">
        <f>BL51+BL52+BL53</f>
        <v>32800</v>
      </c>
      <c r="BM54" s="204">
        <f>BM51+BM52+BM53</f>
        <v>33005</v>
      </c>
      <c r="BN54" s="204">
        <f>BN51+BN52+BN53</f>
        <v>33334</v>
      </c>
      <c r="BO54" s="205">
        <f>BN54</f>
        <v>33334</v>
      </c>
      <c r="BQ54" s="203">
        <f>BQ51+BQ52+BQ53</f>
        <v>33589</v>
      </c>
      <c r="BR54" s="204">
        <f>BR51+BR52+BR53</f>
        <v>33824</v>
      </c>
      <c r="BS54" s="204">
        <f>BS51+BS52+BS53</f>
        <v>34034</v>
      </c>
      <c r="BT54" s="204">
        <f>BT51+BT52+BT53</f>
        <v>34259</v>
      </c>
      <c r="BU54" s="205">
        <f>BT54</f>
        <v>34259</v>
      </c>
      <c r="BW54" s="203">
        <f>BW51+BW52+BW53</f>
        <v>34479</v>
      </c>
      <c r="BX54" s="204">
        <f>BX51+BX52+BX53</f>
        <v>34674</v>
      </c>
      <c r="BY54" s="204">
        <f>BY51+BY52+BY53</f>
        <v>34839</v>
      </c>
      <c r="BZ54" s="204">
        <f>BZ51+BZ52+BZ53</f>
        <v>35059</v>
      </c>
      <c r="CA54" s="205">
        <f>BZ54</f>
        <v>35059</v>
      </c>
      <c r="CC54" s="203">
        <f>CC51+CC52+CC53</f>
        <v>35204</v>
      </c>
      <c r="CD54" s="204">
        <f>CD51+CD52+CD53</f>
        <v>35359</v>
      </c>
      <c r="CE54" s="204">
        <f>CE51+CE52+CE53</f>
        <v>35524</v>
      </c>
      <c r="CF54" s="204">
        <f>CF51+CF52+CF53</f>
        <v>35679</v>
      </c>
      <c r="CG54" s="205">
        <f>CF54</f>
        <v>35679</v>
      </c>
      <c r="CI54" s="203">
        <f>CI51+CI52+CI53</f>
        <v>35804</v>
      </c>
      <c r="CJ54" s="204">
        <f>CJ51+CJ52+CJ53</f>
        <v>35929</v>
      </c>
      <c r="CK54" s="204">
        <f>CK51+CK52+CK53</f>
        <v>36064</v>
      </c>
      <c r="CL54" s="204">
        <f>CL51+CL52+CL53</f>
        <v>36199</v>
      </c>
      <c r="CM54" s="205">
        <f>CL54</f>
        <v>36199</v>
      </c>
      <c r="CO54" s="203">
        <f>CO51+CO52+CO53</f>
        <v>36324</v>
      </c>
      <c r="CP54" s="204">
        <f>CP51+CP52+CP53</f>
        <v>36444</v>
      </c>
      <c r="CQ54" s="204">
        <f>CQ51+CQ52+CQ53</f>
        <v>36564</v>
      </c>
      <c r="CR54" s="204">
        <f>CR51+CR52+CR53</f>
        <v>36699</v>
      </c>
      <c r="CS54" s="205">
        <f>CR54</f>
        <v>36699</v>
      </c>
      <c r="CU54" s="203">
        <f>CU51+CU52+CU53</f>
        <v>36819</v>
      </c>
      <c r="CV54" s="204">
        <f>CV51+CV52+CV53</f>
        <v>36939</v>
      </c>
      <c r="CW54" s="204">
        <f>CW51+CW52+CW53</f>
        <v>37059</v>
      </c>
      <c r="CX54" s="204">
        <f>CX51+CX52+CX53</f>
        <v>37184</v>
      </c>
      <c r="CY54" s="205">
        <f>CX54</f>
        <v>37184</v>
      </c>
      <c r="DA54" s="203">
        <f>DA51+DA52+DA53</f>
        <v>37309</v>
      </c>
      <c r="DB54" s="204">
        <f>DB51+DB52+DB53</f>
        <v>37434</v>
      </c>
      <c r="DC54" s="204">
        <f>DC51+DC52+DC53</f>
        <v>37559</v>
      </c>
      <c r="DD54" s="204">
        <f>DD51+DD52+DD53</f>
        <v>37684</v>
      </c>
      <c r="DE54" s="205">
        <f>DD54</f>
        <v>37684</v>
      </c>
      <c r="DG54" s="203">
        <f>DG51+DG52+DG53</f>
        <v>37809</v>
      </c>
      <c r="DH54" s="204">
        <f>DH51+DH52+DH53</f>
        <v>37934</v>
      </c>
      <c r="DI54" s="204">
        <f>DI51+DI52+DI53</f>
        <v>38059</v>
      </c>
      <c r="DJ54" s="204">
        <f>DJ51+DJ52+DJ53</f>
        <v>38184</v>
      </c>
      <c r="DK54" s="205">
        <f>DJ54</f>
        <v>38184</v>
      </c>
    </row>
    <row r="55" spans="1:115" x14ac:dyDescent="0.2">
      <c r="A55" s="226"/>
      <c r="B55" s="388" t="s">
        <v>232</v>
      </c>
      <c r="C55" s="203"/>
      <c r="D55" s="204"/>
      <c r="E55" s="204"/>
      <c r="F55" s="204"/>
      <c r="G55" s="205"/>
      <c r="H55" s="129"/>
      <c r="I55" s="151">
        <f>I54/C54-1</f>
        <v>0.26873479318734783</v>
      </c>
      <c r="J55" s="133">
        <f>J54/D54-1</f>
        <v>0.23678634827921896</v>
      </c>
      <c r="K55" s="133">
        <f>K54/E54-1</f>
        <v>0.21470124503887345</v>
      </c>
      <c r="L55" s="133">
        <f>L54/F54-1</f>
        <v>0.17357446590501557</v>
      </c>
      <c r="M55" s="234"/>
      <c r="N55" s="129"/>
      <c r="O55" s="151">
        <f>O54/I54-1</f>
        <v>0.13217949947262442</v>
      </c>
      <c r="P55" s="133">
        <f>P54/J54-1</f>
        <v>0.10880637096027401</v>
      </c>
      <c r="Q55" s="133">
        <f>Q54/K54-1</f>
        <v>8.4683555635126639E-2</v>
      </c>
      <c r="R55" s="133">
        <f>R54/L54-1</f>
        <v>7.7880123979569671E-2</v>
      </c>
      <c r="S55" s="234"/>
      <c r="U55" s="151">
        <f>U54/O54-1</f>
        <v>6.6737243277577907E-2</v>
      </c>
      <c r="V55" s="133">
        <f>V54/P54-1</f>
        <v>5.7082011023884993E-2</v>
      </c>
      <c r="W55" s="133">
        <f>W54/Q54-1</f>
        <v>5.611950152678058E-2</v>
      </c>
      <c r="X55" s="133">
        <f>X54/R54-1</f>
        <v>5.1962253452675133E-2</v>
      </c>
      <c r="Y55" s="145"/>
      <c r="AA55" s="151">
        <f>AA54/U54-1</f>
        <v>4.7953634234448872E-2</v>
      </c>
      <c r="AB55" s="133">
        <f>AB54/V54-1</f>
        <v>5.2459016393442637E-2</v>
      </c>
      <c r="AC55" s="133">
        <f>AC54/W54-1</f>
        <v>4.8526998515276976E-2</v>
      </c>
      <c r="AD55" s="133">
        <f>AD54/X54-1</f>
        <v>4.3736043736043673E-2</v>
      </c>
      <c r="AE55" s="145"/>
      <c r="AG55" s="151">
        <f>AG54/AA54-1</f>
        <v>3.9130270085988128E-2</v>
      </c>
      <c r="AH55" s="133">
        <f>AH54/AB54-1</f>
        <v>3.7007844461959927E-2</v>
      </c>
      <c r="AI55" s="133">
        <f>AI54/AC54-1</f>
        <v>3.0854076613504144E-2</v>
      </c>
      <c r="AJ55" s="133">
        <f>AJ54/AD54-1</f>
        <v>2.6078937661379475E-2</v>
      </c>
      <c r="AK55" s="145"/>
      <c r="AM55" s="151">
        <f>AM54/AG54-1</f>
        <v>2.6829979585885066E-2</v>
      </c>
      <c r="AN55" s="133">
        <f>AN54/AH54-1</f>
        <v>2.5733830395598734E-2</v>
      </c>
      <c r="AO55" s="133">
        <f>AO54/AI54-1</f>
        <v>2.9243782533256324E-2</v>
      </c>
      <c r="AP55" s="133">
        <f>AP54/AJ54-1</f>
        <v>3.2641909623611465E-2</v>
      </c>
      <c r="AQ55" s="145"/>
      <c r="AS55" s="151">
        <f>AS54/AM54-1</f>
        <v>2.8436523714853834E-2</v>
      </c>
      <c r="AT55" s="133">
        <f>AT54/AN54-1</f>
        <v>3.1369089625970403E-2</v>
      </c>
      <c r="AU55" s="133">
        <f>AU54/AO54-1</f>
        <v>3.5366838759526509E-2</v>
      </c>
      <c r="AV55" s="133">
        <f>AV54/AP54-1</f>
        <v>3.5718015665796354E-2</v>
      </c>
      <c r="AW55" s="145"/>
      <c r="AY55" s="151">
        <f>AY54/AS54-1</f>
        <v>3.9973765059201138E-2</v>
      </c>
      <c r="AZ55" s="133">
        <f>AZ54/AT54-1</f>
        <v>3.9481337028293817E-2</v>
      </c>
      <c r="BA55" s="133">
        <f>BA54/AU54-1</f>
        <v>3.9213025780189925E-2</v>
      </c>
      <c r="BB55" s="133">
        <f>BB54/AV54-1</f>
        <v>3.8923061409700477E-2</v>
      </c>
      <c r="BC55" s="145"/>
      <c r="BE55" s="151">
        <f>BE54/AY54-1</f>
        <v>3.8968367245328039E-2</v>
      </c>
      <c r="BF55" s="133">
        <f>BF54/AZ54-1</f>
        <v>4.3017476878517646E-2</v>
      </c>
      <c r="BG55" s="133">
        <f>BG54/BA54-1</f>
        <v>4.3869956913435093E-2</v>
      </c>
      <c r="BH55" s="133">
        <f>BH54/BB54-1</f>
        <v>4.3773658157818085E-2</v>
      </c>
      <c r="BI55" s="145"/>
      <c r="BK55" s="151">
        <f>BK54/BE54-1</f>
        <v>3.9231973419379562E-2</v>
      </c>
      <c r="BL55" s="133">
        <f>BL54/BF54-1</f>
        <v>3.5026822341432728E-2</v>
      </c>
      <c r="BM55" s="133">
        <f>BM54/BG54-1</f>
        <v>3.2051282051282159E-2</v>
      </c>
      <c r="BN55" s="133">
        <f>BN54/BH54-1</f>
        <v>3.3227946190564683E-2</v>
      </c>
      <c r="BO55" s="145"/>
      <c r="BQ55" s="151">
        <f>BQ54/BK54-1</f>
        <v>3.2586307602447073E-2</v>
      </c>
      <c r="BR55" s="133">
        <f>BR54/BL54-1</f>
        <v>3.1219512195121979E-2</v>
      </c>
      <c r="BS55" s="133">
        <f>BS54/BM54-1</f>
        <v>3.1177094379639447E-2</v>
      </c>
      <c r="BT55" s="133">
        <f>BT54/BN54-1</f>
        <v>2.7749445011099771E-2</v>
      </c>
      <c r="BU55" s="145"/>
      <c r="BW55" s="151">
        <f>BW54/BQ54-1</f>
        <v>2.6496769775819384E-2</v>
      </c>
      <c r="BX55" s="133">
        <f>BX54/BR54-1</f>
        <v>2.513008514664139E-2</v>
      </c>
      <c r="BY55" s="133">
        <f>BY54/BS54-1</f>
        <v>2.3652817770464907E-2</v>
      </c>
      <c r="BZ55" s="133">
        <f>BZ54/BT54-1</f>
        <v>2.3351528065617799E-2</v>
      </c>
      <c r="CA55" s="145"/>
      <c r="CC55" s="151">
        <f>CC54/BW54-1</f>
        <v>2.1027291974825335E-2</v>
      </c>
      <c r="CD55" s="133">
        <f>CD54/BX54-1</f>
        <v>1.9755436350002986E-2</v>
      </c>
      <c r="CE55" s="133">
        <f>CE54/BY54-1</f>
        <v>1.9661873188093759E-2</v>
      </c>
      <c r="CF55" s="133">
        <f>CF54/BZ54-1</f>
        <v>1.7684474742576839E-2</v>
      </c>
      <c r="CG55" s="145"/>
      <c r="CI55" s="151">
        <f>CI54/CC54-1</f>
        <v>1.704351778207025E-2</v>
      </c>
      <c r="CJ55" s="133">
        <f>CJ54/CD54-1</f>
        <v>1.6120365394948877E-2</v>
      </c>
      <c r="CK55" s="133">
        <f>CK54/CE54-1</f>
        <v>1.5200990879405518E-2</v>
      </c>
      <c r="CL55" s="133">
        <f>CL54/CF54-1</f>
        <v>1.4574399506712687E-2</v>
      </c>
      <c r="CM55" s="145"/>
      <c r="CO55" s="151">
        <f>CO54/CI54-1</f>
        <v>1.4523516925483149E-2</v>
      </c>
      <c r="CP55" s="133">
        <f>CP54/CJ54-1</f>
        <v>1.4333825043836512E-2</v>
      </c>
      <c r="CQ55" s="133">
        <f>CQ54/CK54-1</f>
        <v>1.3864241348713335E-2</v>
      </c>
      <c r="CR55" s="133">
        <f>CR54/CL54-1</f>
        <v>1.3812536257907571E-2</v>
      </c>
      <c r="CS55" s="145"/>
      <c r="CU55" s="151">
        <f>CU54/CO54-1</f>
        <v>1.3627353815659049E-2</v>
      </c>
      <c r="CV55" s="133">
        <f>CV54/CP54-1</f>
        <v>1.3582482713203836E-2</v>
      </c>
      <c r="CW55" s="133">
        <f>CW54/CQ54-1</f>
        <v>1.3537906137184086E-2</v>
      </c>
      <c r="CX55" s="133">
        <f>CX54/CR54-1</f>
        <v>1.3215618954194985E-2</v>
      </c>
      <c r="CY55" s="145"/>
      <c r="DA55" s="151">
        <f>DA54/CU54-1</f>
        <v>1.3308346234281121E-2</v>
      </c>
      <c r="DB55" s="133">
        <f>DB54/CV54-1</f>
        <v>1.3400471046861151E-2</v>
      </c>
      <c r="DC55" s="133">
        <f>DC54/CW54-1</f>
        <v>1.3491999244447994E-2</v>
      </c>
      <c r="DD55" s="133">
        <f>DD54/CX54-1</f>
        <v>1.344664371772808E-2</v>
      </c>
      <c r="DE55" s="145"/>
      <c r="DG55" s="151">
        <f>DG54/DA54-1</f>
        <v>1.3401592109142602E-2</v>
      </c>
      <c r="DH55" s="133">
        <f>DH54/DB54-1</f>
        <v>1.3356841374151829E-2</v>
      </c>
      <c r="DI55" s="133">
        <f>DI54/DC54-1</f>
        <v>1.3312388508746276E-2</v>
      </c>
      <c r="DJ55" s="133">
        <f>DJ54/DD54-1</f>
        <v>1.3268230548773907E-2</v>
      </c>
      <c r="DK55" s="145"/>
    </row>
    <row r="56" spans="1:115" x14ac:dyDescent="0.2">
      <c r="A56" s="226"/>
      <c r="B56" s="388"/>
      <c r="C56" s="203"/>
      <c r="D56" s="204"/>
      <c r="E56" s="204"/>
      <c r="F56" s="204"/>
      <c r="G56" s="205"/>
      <c r="H56" s="129"/>
      <c r="I56" s="151"/>
      <c r="J56" s="133"/>
      <c r="K56" s="133"/>
      <c r="L56" s="133"/>
      <c r="M56" s="234"/>
      <c r="N56" s="129"/>
      <c r="O56" s="151"/>
      <c r="P56" s="133"/>
      <c r="Q56" s="133"/>
      <c r="R56" s="133"/>
      <c r="S56" s="234"/>
      <c r="U56" s="151"/>
      <c r="V56" s="133"/>
      <c r="W56" s="133"/>
      <c r="X56" s="133"/>
      <c r="Y56" s="145"/>
      <c r="AA56" s="151"/>
      <c r="AB56" s="133"/>
      <c r="AC56" s="133"/>
      <c r="AD56" s="133"/>
      <c r="AE56" s="145"/>
      <c r="AG56" s="151"/>
      <c r="AH56" s="133"/>
      <c r="AI56" s="133"/>
      <c r="AJ56" s="133"/>
      <c r="AK56" s="145"/>
      <c r="AM56" s="151"/>
      <c r="AN56" s="133"/>
      <c r="AO56" s="133"/>
      <c r="AP56" s="133"/>
      <c r="AQ56" s="145"/>
      <c r="AS56" s="151"/>
      <c r="AT56" s="133"/>
      <c r="AU56" s="133"/>
      <c r="AV56" s="133"/>
      <c r="AW56" s="145"/>
      <c r="AY56" s="151"/>
      <c r="AZ56" s="133"/>
      <c r="BA56" s="133"/>
      <c r="BB56" s="133"/>
      <c r="BC56" s="145"/>
      <c r="BE56" s="151"/>
      <c r="BF56" s="204"/>
      <c r="BG56" s="133"/>
      <c r="BH56" s="133"/>
      <c r="BI56" s="145"/>
      <c r="BK56" s="151"/>
      <c r="BL56" s="133"/>
      <c r="BM56" s="133"/>
      <c r="BN56" s="133"/>
      <c r="BO56" s="145"/>
      <c r="BQ56" s="151"/>
      <c r="BR56" s="133"/>
      <c r="BS56" s="133"/>
      <c r="BT56" s="133"/>
      <c r="BU56" s="145"/>
      <c r="BW56" s="151"/>
      <c r="BX56" s="133"/>
      <c r="BY56" s="133"/>
      <c r="BZ56" s="133"/>
      <c r="CA56" s="145"/>
      <c r="CC56" s="151"/>
      <c r="CD56" s="133"/>
      <c r="CE56" s="133"/>
      <c r="CF56" s="133"/>
      <c r="CG56" s="145"/>
      <c r="CI56" s="151"/>
      <c r="CJ56" s="133"/>
      <c r="CK56" s="133"/>
      <c r="CL56" s="133"/>
      <c r="CM56" s="145"/>
      <c r="CO56" s="151"/>
      <c r="CP56" s="133"/>
      <c r="CQ56" s="133"/>
      <c r="CR56" s="133"/>
      <c r="CS56" s="145"/>
      <c r="CU56" s="151"/>
      <c r="CV56" s="133"/>
      <c r="CW56" s="133"/>
      <c r="CX56" s="133"/>
      <c r="CY56" s="145"/>
      <c r="DA56" s="151"/>
      <c r="DB56" s="133"/>
      <c r="DC56" s="133"/>
      <c r="DD56" s="133"/>
      <c r="DE56" s="145"/>
      <c r="DG56" s="151"/>
      <c r="DH56" s="133"/>
      <c r="DI56" s="133"/>
      <c r="DJ56" s="133"/>
      <c r="DK56" s="145"/>
    </row>
    <row r="57" spans="1:115" x14ac:dyDescent="0.2">
      <c r="A57" s="226"/>
      <c r="B57" s="388" t="s">
        <v>73</v>
      </c>
      <c r="C57" s="203"/>
      <c r="D57" s="204"/>
      <c r="E57" s="204"/>
      <c r="F57" s="204"/>
      <c r="G57" s="205"/>
      <c r="H57" s="129"/>
      <c r="I57" s="171"/>
      <c r="J57" s="165"/>
      <c r="K57" s="165"/>
      <c r="L57" s="165"/>
      <c r="M57" s="172"/>
      <c r="N57" s="129"/>
      <c r="O57" s="171"/>
      <c r="P57" s="165"/>
      <c r="Q57" s="165"/>
      <c r="R57" s="165"/>
      <c r="S57" s="172"/>
      <c r="U57" s="144"/>
      <c r="V57" s="107"/>
      <c r="W57" s="107"/>
      <c r="X57" s="107"/>
      <c r="Y57" s="145"/>
      <c r="AA57" s="232"/>
      <c r="AB57" s="107"/>
      <c r="AC57" s="107"/>
      <c r="AD57" s="107"/>
      <c r="AE57" s="145"/>
      <c r="AG57" s="232"/>
      <c r="AH57" s="107"/>
      <c r="AI57" s="107"/>
      <c r="AJ57" s="107"/>
      <c r="AK57" s="145"/>
      <c r="AM57" s="232"/>
      <c r="AN57" s="107"/>
      <c r="AO57" s="107"/>
      <c r="AP57" s="107"/>
      <c r="AQ57" s="145"/>
      <c r="AS57" s="232"/>
      <c r="AT57" s="107"/>
      <c r="AU57" s="107"/>
      <c r="AV57" s="107"/>
      <c r="AW57" s="145"/>
      <c r="AY57" s="232"/>
      <c r="AZ57" s="107"/>
      <c r="BA57" s="107"/>
      <c r="BB57" s="107"/>
      <c r="BC57" s="145"/>
      <c r="BE57" s="232"/>
      <c r="BF57" s="117"/>
      <c r="BG57" s="133"/>
      <c r="BH57" s="107"/>
      <c r="BI57" s="145"/>
      <c r="BK57" s="232"/>
      <c r="BL57" s="107"/>
      <c r="BM57" s="107"/>
      <c r="BN57" s="107"/>
      <c r="BO57" s="145"/>
      <c r="BQ57" s="232"/>
      <c r="BR57" s="107"/>
      <c r="BS57" s="107"/>
      <c r="BT57" s="107"/>
      <c r="BU57" s="145"/>
      <c r="BW57" s="232"/>
      <c r="BX57" s="107"/>
      <c r="BY57" s="107"/>
      <c r="BZ57" s="107"/>
      <c r="CA57" s="145"/>
      <c r="CC57" s="232"/>
      <c r="CD57" s="107"/>
      <c r="CE57" s="107"/>
      <c r="CF57" s="107"/>
      <c r="CG57" s="145"/>
      <c r="CI57" s="232"/>
      <c r="CJ57" s="107"/>
      <c r="CK57" s="107"/>
      <c r="CL57" s="107"/>
      <c r="CM57" s="145"/>
      <c r="CO57" s="232"/>
      <c r="CP57" s="107"/>
      <c r="CQ57" s="107"/>
      <c r="CR57" s="107"/>
      <c r="CS57" s="145"/>
      <c r="CU57" s="232"/>
      <c r="CV57" s="107"/>
      <c r="CW57" s="107"/>
      <c r="CX57" s="107"/>
      <c r="CY57" s="145"/>
      <c r="DA57" s="232"/>
      <c r="DB57" s="107"/>
      <c r="DC57" s="107"/>
      <c r="DD57" s="107"/>
      <c r="DE57" s="145"/>
      <c r="DG57" s="232"/>
      <c r="DH57" s="107"/>
      <c r="DI57" s="107"/>
      <c r="DJ57" s="107"/>
      <c r="DK57" s="145"/>
    </row>
    <row r="58" spans="1:115" x14ac:dyDescent="0.2">
      <c r="A58" s="226"/>
      <c r="B58" s="361" t="s">
        <v>78</v>
      </c>
      <c r="C58" s="237">
        <f t="shared" ref="C58:G60" si="15">C51/C$54</f>
        <v>0.46472019464720193</v>
      </c>
      <c r="D58" s="233">
        <f t="shared" si="15"/>
        <v>0.45885586668957223</v>
      </c>
      <c r="E58" s="233">
        <f t="shared" si="15"/>
        <v>0.46175175338443974</v>
      </c>
      <c r="F58" s="233">
        <f t="shared" si="15"/>
        <v>0.46206260566627388</v>
      </c>
      <c r="G58" s="234">
        <f t="shared" si="15"/>
        <v>0.46206260566627388</v>
      </c>
      <c r="H58" s="129"/>
      <c r="I58" s="237">
        <f t="shared" ref="I58:M60" si="16">I51/I$54</f>
        <v>0.45824144213251511</v>
      </c>
      <c r="J58" s="233">
        <f t="shared" si="16"/>
        <v>0.45828317436799704</v>
      </c>
      <c r="K58" s="233">
        <f t="shared" si="16"/>
        <v>0.45841912093814341</v>
      </c>
      <c r="L58" s="233">
        <f t="shared" si="16"/>
        <v>0.46247871829571746</v>
      </c>
      <c r="M58" s="234">
        <f t="shared" si="16"/>
        <v>0.46247871829571746</v>
      </c>
      <c r="N58" s="129"/>
      <c r="O58" s="237">
        <f t="shared" ref="O58:S60" si="17">O51/O$54</f>
        <v>0.46512809654880372</v>
      </c>
      <c r="P58" s="233">
        <f t="shared" si="17"/>
        <v>0.46889093034908969</v>
      </c>
      <c r="Q58" s="233">
        <f t="shared" si="17"/>
        <v>0.46632829908393164</v>
      </c>
      <c r="R58" s="233">
        <f t="shared" si="17"/>
        <v>0.46482523996597952</v>
      </c>
      <c r="S58" s="234">
        <f t="shared" si="17"/>
        <v>0.46482523996597952</v>
      </c>
      <c r="U58" s="237">
        <f t="shared" ref="U58:V60" si="18">U51/U$54</f>
        <v>0.46306220475566673</v>
      </c>
      <c r="V58" s="233">
        <f t="shared" si="18"/>
        <v>0.46592929093422875</v>
      </c>
      <c r="W58" s="233">
        <f t="shared" ref="W58:Y60" si="19">W51/W$54</f>
        <v>0.46276471047901852</v>
      </c>
      <c r="X58" s="233">
        <f t="shared" si="19"/>
        <v>0.46022946022946021</v>
      </c>
      <c r="Y58" s="234">
        <f t="shared" si="19"/>
        <v>0.46022946022946021</v>
      </c>
      <c r="AA58" s="237">
        <f t="shared" ref="AA58:AE60" si="20">AA51/AA$54</f>
        <v>0.45717640819728023</v>
      </c>
      <c r="AB58" s="233">
        <f t="shared" si="20"/>
        <v>0.45614232631460422</v>
      </c>
      <c r="AC58" s="233">
        <f t="shared" si="20"/>
        <v>0.45465046951855714</v>
      </c>
      <c r="AD58" s="233">
        <f t="shared" si="20"/>
        <v>0.45241608262633715</v>
      </c>
      <c r="AE58" s="234">
        <f t="shared" si="20"/>
        <v>0.45241608262633715</v>
      </c>
      <c r="AG58" s="237">
        <f t="shared" ref="AG58:AK60" si="21">AG51/AG$54</f>
        <v>0.45082385535141439</v>
      </c>
      <c r="AH58" s="233">
        <f t="shared" si="21"/>
        <v>0.44931050707589854</v>
      </c>
      <c r="AI58" s="233">
        <f t="shared" si="21"/>
        <v>0.44910352805089648</v>
      </c>
      <c r="AJ58" s="233">
        <f t="shared" si="21"/>
        <v>0.44674120142358992</v>
      </c>
      <c r="AK58" s="234">
        <f t="shared" si="21"/>
        <v>0.44674120142358992</v>
      </c>
      <c r="AM58" s="237">
        <f t="shared" ref="AM58:AQ60" si="22">AM51/AM$54</f>
        <v>0.44174240272649817</v>
      </c>
      <c r="AN58" s="233">
        <f t="shared" si="22"/>
        <v>0.43860268172194777</v>
      </c>
      <c r="AO58" s="233">
        <f t="shared" si="22"/>
        <v>0.43490324166754468</v>
      </c>
      <c r="AP58" s="233">
        <f t="shared" si="22"/>
        <v>0.43028720626631856</v>
      </c>
      <c r="AQ58" s="234">
        <f t="shared" si="22"/>
        <v>0.43028720626631856</v>
      </c>
      <c r="AR58" s="504">
        <f>AQ58-S58</f>
        <v>-3.4538033699660964E-2</v>
      </c>
      <c r="AS58" s="237">
        <f t="shared" ref="AS58:AW60" si="23">AS51/AS$54</f>
        <v>0.42645586661603785</v>
      </c>
      <c r="AT58" s="233">
        <f t="shared" si="23"/>
        <v>0.42249136131923776</v>
      </c>
      <c r="AU58" s="233">
        <f t="shared" si="23"/>
        <v>0.41858887381275439</v>
      </c>
      <c r="AV58" s="233">
        <f t="shared" si="23"/>
        <v>0.4154818325434439</v>
      </c>
      <c r="AW58" s="234">
        <f t="shared" si="23"/>
        <v>0.4154818325434439</v>
      </c>
      <c r="AY58" s="237">
        <f t="shared" ref="AY58:BC60" si="24">AY51/AY$54</f>
        <v>0.41281906595412754</v>
      </c>
      <c r="AZ58" s="233">
        <f t="shared" si="24"/>
        <v>0.41200671428101243</v>
      </c>
      <c r="BA58" s="233">
        <f t="shared" si="24"/>
        <v>0.41115028071549808</v>
      </c>
      <c r="BB58" s="233">
        <f t="shared" si="24"/>
        <v>0.40907179138762173</v>
      </c>
      <c r="BC58" s="234">
        <f t="shared" si="24"/>
        <v>0.40907179138762173</v>
      </c>
      <c r="BE58" s="237">
        <f t="shared" ref="BE58:BI60" si="25">BE51/BE$54</f>
        <v>0.40592952301843394</v>
      </c>
      <c r="BF58" s="233">
        <f t="shared" si="25"/>
        <v>0.4029662354054907</v>
      </c>
      <c r="BG58" s="233">
        <f t="shared" si="25"/>
        <v>0.40134459036898062</v>
      </c>
      <c r="BH58" s="233">
        <f t="shared" si="25"/>
        <v>0.40053313495753518</v>
      </c>
      <c r="BI58" s="234">
        <f t="shared" si="25"/>
        <v>0.40053313495753518</v>
      </c>
      <c r="BK58" s="237">
        <f t="shared" ref="BK58:BO60" si="26">BK51/BK$54</f>
        <v>0.39930523532847612</v>
      </c>
      <c r="BL58" s="233">
        <f t="shared" si="26"/>
        <v>0.39740853658536585</v>
      </c>
      <c r="BM58" s="233">
        <f t="shared" si="26"/>
        <v>0.39706105135585518</v>
      </c>
      <c r="BN58" s="233">
        <f t="shared" si="26"/>
        <v>0.39626207475850483</v>
      </c>
      <c r="BO58" s="234">
        <f t="shared" si="26"/>
        <v>0.39626207475850483</v>
      </c>
      <c r="BQ58" s="237">
        <f t="shared" ref="BQ58:BU60" si="27">BQ51/BQ$54</f>
        <v>0.39548661764268062</v>
      </c>
      <c r="BR58" s="233">
        <f t="shared" si="27"/>
        <v>0.39451277199621571</v>
      </c>
      <c r="BS58" s="233">
        <f t="shared" si="27"/>
        <v>0.39428218839983548</v>
      </c>
      <c r="BT58" s="233">
        <f t="shared" si="27"/>
        <v>0.3943197407980385</v>
      </c>
      <c r="BU58" s="234">
        <f t="shared" si="27"/>
        <v>0.3943197407980385</v>
      </c>
      <c r="BW58" s="237">
        <f t="shared" ref="BW58:CA60" si="28">BW51/BW$54</f>
        <v>0.39383392789814092</v>
      </c>
      <c r="BX58" s="233">
        <f t="shared" si="28"/>
        <v>0.39320528349772166</v>
      </c>
      <c r="BY58" s="233">
        <f t="shared" si="28"/>
        <v>0.3932087602973679</v>
      </c>
      <c r="BZ58" s="233">
        <f t="shared" si="28"/>
        <v>0.39302318948058984</v>
      </c>
      <c r="CA58" s="234">
        <f t="shared" si="28"/>
        <v>0.39302318948058984</v>
      </c>
      <c r="CC58" s="237">
        <f t="shared" ref="CC58:CG60" si="29">CC51/CC$54</f>
        <v>0.39325076695830019</v>
      </c>
      <c r="CD58" s="233">
        <f t="shared" si="29"/>
        <v>0.39294097683758022</v>
      </c>
      <c r="CE58" s="233">
        <f t="shared" si="29"/>
        <v>0.39280486431708139</v>
      </c>
      <c r="CF58" s="233">
        <f t="shared" si="29"/>
        <v>0.39320048207629138</v>
      </c>
      <c r="CG58" s="234">
        <f t="shared" si="29"/>
        <v>0.39320048207629138</v>
      </c>
      <c r="CI58" s="237">
        <f t="shared" ref="CI58:CM60" si="30">CI51/CI$54</f>
        <v>0.39350351915987042</v>
      </c>
      <c r="CJ58" s="233">
        <f t="shared" si="30"/>
        <v>0.39352612096078377</v>
      </c>
      <c r="CK58" s="233">
        <f t="shared" si="30"/>
        <v>0.39357808340727596</v>
      </c>
      <c r="CL58" s="233">
        <f t="shared" si="30"/>
        <v>0.39404403436559021</v>
      </c>
      <c r="CM58" s="234">
        <f t="shared" si="30"/>
        <v>0.39404403436559021</v>
      </c>
      <c r="CO58" s="237">
        <f t="shared" ref="CO58:CS60" si="31">CO51/CO$54</f>
        <v>0.39420218037661048</v>
      </c>
      <c r="CP58" s="233">
        <f t="shared" si="31"/>
        <v>0.39427614970914282</v>
      </c>
      <c r="CQ58" s="233">
        <f t="shared" si="31"/>
        <v>0.39434963351930863</v>
      </c>
      <c r="CR58" s="233">
        <f t="shared" si="31"/>
        <v>0.39467015450012261</v>
      </c>
      <c r="CS58" s="234">
        <f t="shared" si="31"/>
        <v>0.39467015450012261</v>
      </c>
      <c r="CU58" s="237">
        <f t="shared" ref="CU58:CY60" si="32">CU51/CU$54</f>
        <v>0.3947418452429452</v>
      </c>
      <c r="CV58" s="233">
        <f t="shared" si="32"/>
        <v>0.39481307019681094</v>
      </c>
      <c r="CW58" s="233">
        <f t="shared" si="32"/>
        <v>0.39488383388650528</v>
      </c>
      <c r="CX58" s="233">
        <f t="shared" si="32"/>
        <v>0.39503549913941483</v>
      </c>
      <c r="CY58" s="234">
        <f t="shared" si="32"/>
        <v>0.39503549913941483</v>
      </c>
      <c r="DA58" s="237">
        <f t="shared" ref="DA58:DE60" si="33">DA51/DA$54</f>
        <v>0.39505213219330454</v>
      </c>
      <c r="DB58" s="233">
        <f t="shared" si="33"/>
        <v>0.39506865416466314</v>
      </c>
      <c r="DC58" s="233">
        <f t="shared" si="33"/>
        <v>0.39508506616257089</v>
      </c>
      <c r="DD58" s="233">
        <f t="shared" si="33"/>
        <v>0.39510136928139261</v>
      </c>
      <c r="DE58" s="234">
        <f t="shared" si="33"/>
        <v>0.39510136928139261</v>
      </c>
      <c r="DG58" s="237">
        <f t="shared" ref="DG58:DK60" si="34">DG51/DG$54</f>
        <v>0.39511756460102093</v>
      </c>
      <c r="DH58" s="233">
        <f t="shared" si="34"/>
        <v>0.39513365318711446</v>
      </c>
      <c r="DI58" s="233">
        <f t="shared" si="34"/>
        <v>0.39514963609133186</v>
      </c>
      <c r="DJ58" s="233">
        <f t="shared" si="34"/>
        <v>0.39516551435156089</v>
      </c>
      <c r="DK58" s="234">
        <f t="shared" si="34"/>
        <v>0.39516551435156089</v>
      </c>
    </row>
    <row r="59" spans="1:115" x14ac:dyDescent="0.2">
      <c r="A59" s="226"/>
      <c r="B59" s="361" t="s">
        <v>79</v>
      </c>
      <c r="C59" s="237">
        <f t="shared" si="15"/>
        <v>0.49270072992700731</v>
      </c>
      <c r="D59" s="233">
        <f t="shared" si="15"/>
        <v>0.49533298974975665</v>
      </c>
      <c r="E59" s="233">
        <f t="shared" si="15"/>
        <v>0.48931658783232751</v>
      </c>
      <c r="F59" s="233">
        <f t="shared" si="15"/>
        <v>0.4867052615400379</v>
      </c>
      <c r="G59" s="234">
        <f t="shared" si="15"/>
        <v>0.4867052615400379</v>
      </c>
      <c r="H59" s="129"/>
      <c r="I59" s="237">
        <f t="shared" si="16"/>
        <v>0.47943235209511936</v>
      </c>
      <c r="J59" s="233">
        <f t="shared" si="16"/>
        <v>0.47689600888971201</v>
      </c>
      <c r="K59" s="233">
        <f t="shared" si="16"/>
        <v>0.46996687852475161</v>
      </c>
      <c r="L59" s="233">
        <f t="shared" si="16"/>
        <v>0.46330815907801109</v>
      </c>
      <c r="M59" s="234">
        <f t="shared" si="16"/>
        <v>0.46330815907801109</v>
      </c>
      <c r="N59" s="129"/>
      <c r="O59" s="237">
        <f t="shared" si="17"/>
        <v>0.45864916366716069</v>
      </c>
      <c r="P59" s="233">
        <f t="shared" si="17"/>
        <v>0.45177050275597125</v>
      </c>
      <c r="Q59" s="233">
        <f t="shared" si="17"/>
        <v>0.44701658826442187</v>
      </c>
      <c r="R59" s="233">
        <f t="shared" si="17"/>
        <v>0.44607346806528697</v>
      </c>
      <c r="S59" s="234">
        <f t="shared" si="17"/>
        <v>0.44607346806528697</v>
      </c>
      <c r="U59" s="237">
        <f t="shared" si="18"/>
        <v>0.44166567424873965</v>
      </c>
      <c r="V59" s="233">
        <f t="shared" si="18"/>
        <v>0.4353150306142603</v>
      </c>
      <c r="W59" s="233">
        <f t="shared" si="19"/>
        <v>0.43174181448777055</v>
      </c>
      <c r="X59" s="233">
        <f t="shared" si="19"/>
        <v>0.43062293062293061</v>
      </c>
      <c r="Y59" s="234">
        <f t="shared" si="19"/>
        <v>0.43062293062293061</v>
      </c>
      <c r="AA59" s="237">
        <f t="shared" ref="AA59:AD60" si="35">AA52/AA$54</f>
        <v>0.42691011023144815</v>
      </c>
      <c r="AB59" s="233">
        <f t="shared" si="35"/>
        <v>0.42224974665015202</v>
      </c>
      <c r="AC59" s="233">
        <f t="shared" si="35"/>
        <v>0.42014458190490384</v>
      </c>
      <c r="AD59" s="233">
        <f t="shared" si="35"/>
        <v>0.41626706012541498</v>
      </c>
      <c r="AE59" s="234">
        <f t="shared" si="20"/>
        <v>0.41626706012541498</v>
      </c>
      <c r="AG59" s="237">
        <f t="shared" si="21"/>
        <v>0.41156313794109067</v>
      </c>
      <c r="AH59" s="233">
        <f t="shared" si="21"/>
        <v>0.40862861486119656</v>
      </c>
      <c r="AI59" s="233">
        <f t="shared" si="21"/>
        <v>0.40268941584731061</v>
      </c>
      <c r="AJ59" s="233">
        <f t="shared" si="21"/>
        <v>0.39867706798001223</v>
      </c>
      <c r="AK59" s="234">
        <f t="shared" si="21"/>
        <v>0.39867706798001223</v>
      </c>
      <c r="AM59" s="237">
        <f t="shared" si="22"/>
        <v>0.39637176938369784</v>
      </c>
      <c r="AN59" s="233">
        <f t="shared" si="22"/>
        <v>0.39484827099505998</v>
      </c>
      <c r="AO59" s="233">
        <f t="shared" si="22"/>
        <v>0.39230147859375547</v>
      </c>
      <c r="AP59" s="233">
        <f t="shared" si="22"/>
        <v>0.39060052219321151</v>
      </c>
      <c r="AQ59" s="234">
        <f t="shared" si="22"/>
        <v>0.39060052219321151</v>
      </c>
      <c r="AR59" s="504">
        <f>AQ59-S59</f>
        <v>-5.5472945872075463E-2</v>
      </c>
      <c r="AS59" s="237">
        <f t="shared" si="23"/>
        <v>0.38903655631882356</v>
      </c>
      <c r="AT59" s="233">
        <f t="shared" si="23"/>
        <v>0.38865510280885424</v>
      </c>
      <c r="AU59" s="233">
        <f t="shared" si="23"/>
        <v>0.38738127544097695</v>
      </c>
      <c r="AV59" s="233">
        <f t="shared" si="23"/>
        <v>0.38469295149742866</v>
      </c>
      <c r="AW59" s="234">
        <f t="shared" si="23"/>
        <v>0.38469295149742866</v>
      </c>
      <c r="AY59" s="237">
        <f t="shared" si="24"/>
        <v>0.38155143227005678</v>
      </c>
      <c r="AZ59" s="233">
        <f t="shared" si="24"/>
        <v>0.37915939834776025</v>
      </c>
      <c r="BA59" s="233">
        <f t="shared" si="24"/>
        <v>0.37521216869042956</v>
      </c>
      <c r="BB59" s="233">
        <f t="shared" si="24"/>
        <v>0.37400110000323528</v>
      </c>
      <c r="BC59" s="234">
        <f t="shared" si="24"/>
        <v>0.37400110000323528</v>
      </c>
      <c r="BE59" s="237">
        <f t="shared" si="25"/>
        <v>0.37538736781572474</v>
      </c>
      <c r="BF59" s="233">
        <f t="shared" si="25"/>
        <v>0.37551278005680028</v>
      </c>
      <c r="BG59" s="233">
        <f t="shared" si="25"/>
        <v>0.37523452157598497</v>
      </c>
      <c r="BH59" s="233">
        <f t="shared" si="25"/>
        <v>0.37334945136693326</v>
      </c>
      <c r="BI59" s="234">
        <f t="shared" si="25"/>
        <v>0.37334945136693326</v>
      </c>
      <c r="BK59" s="237">
        <f t="shared" si="26"/>
        <v>0.37259061145439454</v>
      </c>
      <c r="BL59" s="233">
        <f t="shared" si="26"/>
        <v>0.3717987804878049</v>
      </c>
      <c r="BM59" s="233">
        <f t="shared" si="26"/>
        <v>0.37130737767005001</v>
      </c>
      <c r="BN59" s="233">
        <f t="shared" si="26"/>
        <v>0.37064258714825704</v>
      </c>
      <c r="BO59" s="234">
        <f t="shared" si="26"/>
        <v>0.37064258714825704</v>
      </c>
      <c r="BQ59" s="237">
        <f t="shared" si="27"/>
        <v>0.36946619428979727</v>
      </c>
      <c r="BR59" s="233">
        <f t="shared" si="27"/>
        <v>0.36837748344370863</v>
      </c>
      <c r="BS59" s="233">
        <f t="shared" si="27"/>
        <v>0.36713286713286714</v>
      </c>
      <c r="BT59" s="233">
        <f t="shared" si="27"/>
        <v>0.36574330832773871</v>
      </c>
      <c r="BU59" s="234">
        <f t="shared" si="27"/>
        <v>0.36574330832773871</v>
      </c>
      <c r="BW59" s="237">
        <f t="shared" si="28"/>
        <v>0.36413469068128423</v>
      </c>
      <c r="BX59" s="233">
        <f t="shared" si="28"/>
        <v>0.36251946703581933</v>
      </c>
      <c r="BY59" s="233">
        <f t="shared" si="28"/>
        <v>0.36080254886764834</v>
      </c>
      <c r="BZ59" s="233">
        <f t="shared" si="28"/>
        <v>0.35896631392795003</v>
      </c>
      <c r="CA59" s="234">
        <f t="shared" si="28"/>
        <v>0.35896631392795003</v>
      </c>
      <c r="CC59" s="237">
        <f t="shared" si="29"/>
        <v>0.35691966821952054</v>
      </c>
      <c r="CD59" s="233">
        <f t="shared" si="29"/>
        <v>0.35478944540286772</v>
      </c>
      <c r="CE59" s="233">
        <f t="shared" si="29"/>
        <v>0.35257853845287696</v>
      </c>
      <c r="CF59" s="233">
        <f t="shared" si="29"/>
        <v>0.35048628044507973</v>
      </c>
      <c r="CG59" s="234">
        <f t="shared" si="29"/>
        <v>0.35048628044507973</v>
      </c>
      <c r="CI59" s="237">
        <f t="shared" si="30"/>
        <v>0.34828510780918331</v>
      </c>
      <c r="CJ59" s="233">
        <f t="shared" si="30"/>
        <v>0.3460992513011773</v>
      </c>
      <c r="CK59" s="233">
        <f t="shared" si="30"/>
        <v>0.34383318544809227</v>
      </c>
      <c r="CL59" s="233">
        <f t="shared" si="30"/>
        <v>0.34158402165805685</v>
      </c>
      <c r="CM59" s="234">
        <f t="shared" si="30"/>
        <v>0.34158402165805685</v>
      </c>
      <c r="CO59" s="237">
        <f t="shared" si="31"/>
        <v>0.33958264508314062</v>
      </c>
      <c r="CP59" s="233">
        <f t="shared" si="31"/>
        <v>0.33764131269893533</v>
      </c>
      <c r="CQ59" s="233">
        <f t="shared" si="31"/>
        <v>0.3357127228968384</v>
      </c>
      <c r="CR59" s="233">
        <f t="shared" si="31"/>
        <v>0.3336603177198289</v>
      </c>
      <c r="CS59" s="234">
        <f t="shared" si="31"/>
        <v>0.3336603177198289</v>
      </c>
      <c r="CU59" s="237">
        <f t="shared" si="32"/>
        <v>0.33175805969743882</v>
      </c>
      <c r="CV59" s="233">
        <f t="shared" si="32"/>
        <v>0.32986816102222583</v>
      </c>
      <c r="CW59" s="233">
        <f t="shared" si="32"/>
        <v>0.32799050163253191</v>
      </c>
      <c r="CX59" s="233">
        <f t="shared" si="32"/>
        <v>0.32608111015490532</v>
      </c>
      <c r="CY59" s="234">
        <f t="shared" si="32"/>
        <v>0.32608111015490532</v>
      </c>
      <c r="DA59" s="237">
        <f t="shared" si="33"/>
        <v>0.32431852904125008</v>
      </c>
      <c r="DB59" s="233">
        <f t="shared" si="33"/>
        <v>0.32256771918576693</v>
      </c>
      <c r="DC59" s="233">
        <f t="shared" si="33"/>
        <v>0.32082856306078439</v>
      </c>
      <c r="DD59" s="233">
        <f t="shared" si="33"/>
        <v>0.31910094469801509</v>
      </c>
      <c r="DE59" s="234">
        <f t="shared" si="33"/>
        <v>0.31910094469801509</v>
      </c>
      <c r="DG59" s="237">
        <f t="shared" si="34"/>
        <v>0.31738474966277869</v>
      </c>
      <c r="DH59" s="233">
        <f t="shared" si="34"/>
        <v>0.31567986502873413</v>
      </c>
      <c r="DI59" s="233">
        <f t="shared" si="34"/>
        <v>0.31398617935310963</v>
      </c>
      <c r="DJ59" s="233">
        <f t="shared" si="34"/>
        <v>0.31230358265241986</v>
      </c>
      <c r="DK59" s="234">
        <f t="shared" si="34"/>
        <v>0.31230358265241986</v>
      </c>
    </row>
    <row r="60" spans="1:115" x14ac:dyDescent="0.2">
      <c r="A60" s="226"/>
      <c r="B60" s="361" t="s">
        <v>81</v>
      </c>
      <c r="C60" s="237">
        <f t="shared" si="15"/>
        <v>4.2579075425790751E-2</v>
      </c>
      <c r="D60" s="233">
        <f t="shared" si="15"/>
        <v>4.5811143560671133E-2</v>
      </c>
      <c r="E60" s="233">
        <f t="shared" si="15"/>
        <v>4.8931658783232752E-2</v>
      </c>
      <c r="F60" s="233">
        <f t="shared" si="15"/>
        <v>5.1232132793688198E-2</v>
      </c>
      <c r="G60" s="234">
        <f t="shared" si="15"/>
        <v>5.1232132793688198E-2</v>
      </c>
      <c r="H60" s="129"/>
      <c r="I60" s="237">
        <f t="shared" si="16"/>
        <v>6.2326205772365521E-2</v>
      </c>
      <c r="J60" s="233">
        <f t="shared" si="16"/>
        <v>6.4820816742290954E-2</v>
      </c>
      <c r="K60" s="233">
        <f t="shared" si="16"/>
        <v>7.161400053710501E-2</v>
      </c>
      <c r="L60" s="233">
        <f t="shared" si="16"/>
        <v>7.4213122626271444E-2</v>
      </c>
      <c r="M60" s="234">
        <f t="shared" si="16"/>
        <v>7.4213122626271444E-2</v>
      </c>
      <c r="N60" s="129"/>
      <c r="O60" s="237">
        <f t="shared" si="17"/>
        <v>7.622273978403557E-2</v>
      </c>
      <c r="P60" s="233">
        <f t="shared" si="17"/>
        <v>7.9338566894939039E-2</v>
      </c>
      <c r="Q60" s="233">
        <f t="shared" si="17"/>
        <v>8.6655112651646451E-2</v>
      </c>
      <c r="R60" s="233">
        <f t="shared" si="17"/>
        <v>8.9101291968733551E-2</v>
      </c>
      <c r="S60" s="234">
        <f t="shared" si="17"/>
        <v>8.9101291968733551E-2</v>
      </c>
      <c r="U60" s="237">
        <f t="shared" si="18"/>
        <v>9.5272120995593665E-2</v>
      </c>
      <c r="V60" s="233">
        <f t="shared" si="18"/>
        <v>9.8755678451510967E-2</v>
      </c>
      <c r="W60" s="233">
        <f t="shared" si="19"/>
        <v>0.10549347503321091</v>
      </c>
      <c r="X60" s="233">
        <f t="shared" si="19"/>
        <v>0.10914760914760915</v>
      </c>
      <c r="Y60" s="234">
        <f t="shared" si="19"/>
        <v>0.10914760914760915</v>
      </c>
      <c r="AA60" s="237">
        <f t="shared" si="35"/>
        <v>0.11591348157127164</v>
      </c>
      <c r="AB60" s="233">
        <f t="shared" si="35"/>
        <v>0.12160792703524378</v>
      </c>
      <c r="AC60" s="233">
        <f t="shared" si="35"/>
        <v>0.12520494857653897</v>
      </c>
      <c r="AD60" s="233">
        <f t="shared" si="35"/>
        <v>0.13131685724824788</v>
      </c>
      <c r="AE60" s="234">
        <f t="shared" si="20"/>
        <v>0.13131685724824788</v>
      </c>
      <c r="AG60" s="237">
        <f t="shared" si="21"/>
        <v>0.13761300670749491</v>
      </c>
      <c r="AH60" s="233">
        <f t="shared" si="21"/>
        <v>0.14206087806290491</v>
      </c>
      <c r="AI60" s="233">
        <f t="shared" si="21"/>
        <v>0.14820705610179294</v>
      </c>
      <c r="AJ60" s="233">
        <f t="shared" si="21"/>
        <v>0.15458173059639788</v>
      </c>
      <c r="AK60" s="234">
        <f t="shared" si="21"/>
        <v>0.15458173059639788</v>
      </c>
      <c r="AM60" s="237">
        <f t="shared" si="22"/>
        <v>0.16188582788980405</v>
      </c>
      <c r="AN60" s="233">
        <f t="shared" si="22"/>
        <v>0.16654904728299225</v>
      </c>
      <c r="AO60" s="233">
        <f t="shared" si="22"/>
        <v>0.17279527973869982</v>
      </c>
      <c r="AP60" s="233">
        <f t="shared" si="22"/>
        <v>0.17911227154046996</v>
      </c>
      <c r="AQ60" s="234">
        <f t="shared" si="22"/>
        <v>0.17911227154046996</v>
      </c>
      <c r="AR60" s="504">
        <f>AQ60-S60</f>
        <v>9.0010979571736413E-2</v>
      </c>
      <c r="AS60" s="237">
        <f t="shared" si="23"/>
        <v>0.18450757706513859</v>
      </c>
      <c r="AT60" s="233">
        <f t="shared" si="23"/>
        <v>0.18885353587190803</v>
      </c>
      <c r="AU60" s="233">
        <f t="shared" si="23"/>
        <v>0.19402985074626866</v>
      </c>
      <c r="AV60" s="233">
        <f t="shared" si="23"/>
        <v>0.19982521595912742</v>
      </c>
      <c r="AW60" s="234">
        <f t="shared" si="23"/>
        <v>0.19982521595912742</v>
      </c>
      <c r="AY60" s="237">
        <f t="shared" si="24"/>
        <v>0.20562950177581571</v>
      </c>
      <c r="AZ60" s="233">
        <f t="shared" si="24"/>
        <v>0.20883388737122732</v>
      </c>
      <c r="BA60" s="233">
        <f t="shared" si="24"/>
        <v>0.21363755059407233</v>
      </c>
      <c r="BB60" s="233">
        <f t="shared" si="24"/>
        <v>0.21692710860914297</v>
      </c>
      <c r="BC60" s="234">
        <f t="shared" si="24"/>
        <v>0.21692710860914297</v>
      </c>
      <c r="BE60" s="237">
        <f t="shared" si="25"/>
        <v>0.21868310916584136</v>
      </c>
      <c r="BF60" s="233">
        <f t="shared" si="25"/>
        <v>0.22152098453770905</v>
      </c>
      <c r="BG60" s="233">
        <f t="shared" si="25"/>
        <v>0.22342088805503441</v>
      </c>
      <c r="BH60" s="233">
        <f t="shared" si="25"/>
        <v>0.22611741367553159</v>
      </c>
      <c r="BI60" s="234">
        <f t="shared" si="25"/>
        <v>0.22611741367553159</v>
      </c>
      <c r="BK60" s="237">
        <f t="shared" si="26"/>
        <v>0.22810415321712932</v>
      </c>
      <c r="BL60" s="233">
        <f t="shared" si="26"/>
        <v>0.23079268292682928</v>
      </c>
      <c r="BM60" s="233">
        <f t="shared" si="26"/>
        <v>0.23163157097409484</v>
      </c>
      <c r="BN60" s="233">
        <f t="shared" si="26"/>
        <v>0.23309533809323812</v>
      </c>
      <c r="BO60" s="234">
        <f t="shared" si="26"/>
        <v>0.23309533809323812</v>
      </c>
      <c r="BQ60" s="237">
        <f t="shared" si="27"/>
        <v>0.23504718806752212</v>
      </c>
      <c r="BR60" s="233">
        <f t="shared" si="27"/>
        <v>0.23710974456007569</v>
      </c>
      <c r="BS60" s="233">
        <f t="shared" si="27"/>
        <v>0.23858494446729742</v>
      </c>
      <c r="BT60" s="233">
        <f t="shared" si="27"/>
        <v>0.23993695087422284</v>
      </c>
      <c r="BU60" s="234">
        <f t="shared" si="27"/>
        <v>0.23993695087422284</v>
      </c>
      <c r="BW60" s="237">
        <f t="shared" si="28"/>
        <v>0.24203138142057484</v>
      </c>
      <c r="BX60" s="233">
        <f t="shared" si="28"/>
        <v>0.24427524946645901</v>
      </c>
      <c r="BY60" s="233">
        <f t="shared" si="28"/>
        <v>0.24598869083498379</v>
      </c>
      <c r="BZ60" s="233">
        <f t="shared" si="28"/>
        <v>0.2480104965914601</v>
      </c>
      <c r="CA60" s="234">
        <f t="shared" si="28"/>
        <v>0.2480104965914601</v>
      </c>
      <c r="CC60" s="237">
        <f t="shared" si="29"/>
        <v>0.2498295648221793</v>
      </c>
      <c r="CD60" s="233">
        <f t="shared" si="29"/>
        <v>0.252269577759552</v>
      </c>
      <c r="CE60" s="233">
        <f t="shared" si="29"/>
        <v>0.25461659723004165</v>
      </c>
      <c r="CF60" s="233">
        <f t="shared" si="29"/>
        <v>0.25631323747862889</v>
      </c>
      <c r="CG60" s="234">
        <f t="shared" si="29"/>
        <v>0.25631323747862889</v>
      </c>
      <c r="CI60" s="237">
        <f t="shared" si="30"/>
        <v>0.25821137303094627</v>
      </c>
      <c r="CJ60" s="233">
        <f t="shared" si="30"/>
        <v>0.26037462773803893</v>
      </c>
      <c r="CK60" s="233">
        <f t="shared" si="30"/>
        <v>0.26258873114463177</v>
      </c>
      <c r="CL60" s="233">
        <f t="shared" si="30"/>
        <v>0.26437194397635294</v>
      </c>
      <c r="CM60" s="234">
        <f t="shared" si="30"/>
        <v>0.26437194397635294</v>
      </c>
      <c r="CO60" s="237">
        <f t="shared" si="31"/>
        <v>0.26621517454024884</v>
      </c>
      <c r="CP60" s="233">
        <f t="shared" si="31"/>
        <v>0.26808253759192185</v>
      </c>
      <c r="CQ60" s="233">
        <f t="shared" si="31"/>
        <v>0.26993764358385297</v>
      </c>
      <c r="CR60" s="233">
        <f t="shared" si="31"/>
        <v>0.27166952778004849</v>
      </c>
      <c r="CS60" s="234">
        <f t="shared" si="31"/>
        <v>0.27166952778004849</v>
      </c>
      <c r="CU60" s="237">
        <f t="shared" si="32"/>
        <v>0.27350009505961598</v>
      </c>
      <c r="CV60" s="233">
        <f t="shared" si="32"/>
        <v>0.27531876878096323</v>
      </c>
      <c r="CW60" s="233">
        <f t="shared" si="32"/>
        <v>0.27712566448096276</v>
      </c>
      <c r="CX60" s="233">
        <f t="shared" si="32"/>
        <v>0.27888339070567986</v>
      </c>
      <c r="CY60" s="234">
        <f t="shared" si="32"/>
        <v>0.27888339070567986</v>
      </c>
      <c r="DA60" s="237">
        <f t="shared" si="33"/>
        <v>0.28062933876544532</v>
      </c>
      <c r="DB60" s="233">
        <f t="shared" si="33"/>
        <v>0.28236362664956993</v>
      </c>
      <c r="DC60" s="233">
        <f t="shared" si="33"/>
        <v>0.28408637077664473</v>
      </c>
      <c r="DD60" s="233">
        <f t="shared" si="33"/>
        <v>0.2857976860205923</v>
      </c>
      <c r="DE60" s="234">
        <f t="shared" si="33"/>
        <v>0.2857976860205923</v>
      </c>
      <c r="DG60" s="237">
        <f t="shared" si="34"/>
        <v>0.28749768573620038</v>
      </c>
      <c r="DH60" s="233">
        <f t="shared" si="34"/>
        <v>0.28918648178415141</v>
      </c>
      <c r="DI60" s="233">
        <f t="shared" si="34"/>
        <v>0.29086418455555846</v>
      </c>
      <c r="DJ60" s="233">
        <f t="shared" si="34"/>
        <v>0.29253090299601925</v>
      </c>
      <c r="DK60" s="234">
        <f t="shared" si="34"/>
        <v>0.29253090299601925</v>
      </c>
    </row>
    <row r="61" spans="1:115" x14ac:dyDescent="0.2">
      <c r="A61" s="226"/>
      <c r="B61" s="388" t="s">
        <v>80</v>
      </c>
      <c r="C61" s="385">
        <f>C58+C59+C60</f>
        <v>1</v>
      </c>
      <c r="D61" s="386">
        <f>D58+D59+D60</f>
        <v>1</v>
      </c>
      <c r="E61" s="386">
        <f>E58+E59+E60</f>
        <v>1</v>
      </c>
      <c r="F61" s="386">
        <f>F58+F59+F60</f>
        <v>1</v>
      </c>
      <c r="G61" s="387">
        <f>G58+G59+G60</f>
        <v>1</v>
      </c>
      <c r="H61" s="384"/>
      <c r="I61" s="385">
        <f>I58+I59+I60</f>
        <v>1</v>
      </c>
      <c r="J61" s="386">
        <f>J58+J59+J60</f>
        <v>1</v>
      </c>
      <c r="K61" s="386">
        <f>K58+K59+K60</f>
        <v>1</v>
      </c>
      <c r="L61" s="386">
        <f>L58+L59+L60</f>
        <v>1</v>
      </c>
      <c r="M61" s="387">
        <f>M58+M59+M60</f>
        <v>1</v>
      </c>
      <c r="N61" s="384"/>
      <c r="O61" s="385">
        <f>O58+O59+O60</f>
        <v>1</v>
      </c>
      <c r="P61" s="386">
        <f>P58+P59+P60</f>
        <v>0.99999999999999989</v>
      </c>
      <c r="Q61" s="386">
        <f>Q58+Q59+Q60</f>
        <v>1</v>
      </c>
      <c r="R61" s="386">
        <f>R58+R59+R60</f>
        <v>1</v>
      </c>
      <c r="S61" s="387">
        <f>S58+S59+S60</f>
        <v>1</v>
      </c>
      <c r="T61" s="315"/>
      <c r="U61" s="385">
        <f>U58+U59+U60</f>
        <v>1</v>
      </c>
      <c r="V61" s="386">
        <f>V58+V59+V60</f>
        <v>1</v>
      </c>
      <c r="W61" s="386">
        <f>W58+W59+W60</f>
        <v>1</v>
      </c>
      <c r="X61" s="386">
        <f>X58+X59+X60</f>
        <v>1</v>
      </c>
      <c r="Y61" s="387">
        <f>Y58+Y59+Y60</f>
        <v>1</v>
      </c>
      <c r="AA61" s="385">
        <f>AA58+AA59+AA60</f>
        <v>1</v>
      </c>
      <c r="AB61" s="386">
        <f>AB58+AB59+AB60</f>
        <v>1</v>
      </c>
      <c r="AC61" s="386">
        <f>AC58+AC59+AC60</f>
        <v>1</v>
      </c>
      <c r="AD61" s="386">
        <f>AD58+AD59+AD60</f>
        <v>1</v>
      </c>
      <c r="AE61" s="387">
        <f>AE58+AE59+AE60</f>
        <v>1</v>
      </c>
      <c r="AG61" s="385">
        <f>AG58+AG59+AG60</f>
        <v>0.99999999999999989</v>
      </c>
      <c r="AH61" s="386">
        <f>AH58+AH59+AH60</f>
        <v>1</v>
      </c>
      <c r="AI61" s="386">
        <f>AI58+AI59+AI60</f>
        <v>1</v>
      </c>
      <c r="AJ61" s="386">
        <f>AJ58+AJ59+AJ60</f>
        <v>1</v>
      </c>
      <c r="AK61" s="387">
        <f>AK58+AK59+AK60</f>
        <v>1</v>
      </c>
      <c r="AM61" s="385">
        <f>AM58+AM59+AM60</f>
        <v>1</v>
      </c>
      <c r="AN61" s="386">
        <f>AN58+AN59+AN60</f>
        <v>1</v>
      </c>
      <c r="AO61" s="386">
        <f>AO58+AO59+AO60</f>
        <v>1</v>
      </c>
      <c r="AP61" s="386">
        <f>AP58+AP59+AP60</f>
        <v>1</v>
      </c>
      <c r="AQ61" s="387">
        <f>AQ58+AQ59+AQ60</f>
        <v>1</v>
      </c>
      <c r="AS61" s="385">
        <f>AS58+AS59+AS60</f>
        <v>1</v>
      </c>
      <c r="AT61" s="386">
        <f>AT58+AT59+AT60</f>
        <v>1</v>
      </c>
      <c r="AU61" s="386">
        <f>AU58+AU59+AU60</f>
        <v>1</v>
      </c>
      <c r="AV61" s="386">
        <f>AV58+AV59+AV60</f>
        <v>1</v>
      </c>
      <c r="AW61" s="387">
        <f>AW58+AW59+AW60</f>
        <v>1</v>
      </c>
      <c r="AY61" s="385">
        <f>AY58+AY59+AY60</f>
        <v>1</v>
      </c>
      <c r="AZ61" s="386">
        <f>AZ58+AZ59+AZ60</f>
        <v>1</v>
      </c>
      <c r="BA61" s="386">
        <f>BA58+BA59+BA60</f>
        <v>0.99999999999999989</v>
      </c>
      <c r="BB61" s="386">
        <f>BB58+BB59+BB60</f>
        <v>1</v>
      </c>
      <c r="BC61" s="387">
        <f>BC58+BC59+BC60</f>
        <v>1</v>
      </c>
      <c r="BE61" s="385">
        <f>BE58+BE59+BE60</f>
        <v>1</v>
      </c>
      <c r="BF61" s="386">
        <f>BF58+BF59+BF60</f>
        <v>1</v>
      </c>
      <c r="BG61" s="386">
        <f>BG58+BG59+BG60</f>
        <v>1</v>
      </c>
      <c r="BH61" s="386">
        <f>BH58+BH59+BH60</f>
        <v>1</v>
      </c>
      <c r="BI61" s="387">
        <f>BI58+BI59+BI60</f>
        <v>1</v>
      </c>
      <c r="BK61" s="385">
        <f>BK58+BK59+BK60</f>
        <v>1</v>
      </c>
      <c r="BL61" s="386">
        <f>BL58+BL59+BL60</f>
        <v>1</v>
      </c>
      <c r="BM61" s="386">
        <f>BM58+BM59+BM60</f>
        <v>1</v>
      </c>
      <c r="BN61" s="386">
        <f>BN58+BN59+BN60</f>
        <v>1</v>
      </c>
      <c r="BO61" s="387">
        <f>BO58+BO59+BO60</f>
        <v>1</v>
      </c>
      <c r="BQ61" s="385">
        <f>BQ58+BQ59+BQ60</f>
        <v>1</v>
      </c>
      <c r="BR61" s="386">
        <f>BR58+BR59+BR60</f>
        <v>1</v>
      </c>
      <c r="BS61" s="386">
        <f>BS58+BS59+BS60</f>
        <v>1</v>
      </c>
      <c r="BT61" s="386">
        <f>BT58+BT59+BT60</f>
        <v>1</v>
      </c>
      <c r="BU61" s="387">
        <f>BU58+BU59+BU60</f>
        <v>1</v>
      </c>
      <c r="BW61" s="385">
        <f>BW58+BW59+BW60</f>
        <v>1</v>
      </c>
      <c r="BX61" s="386">
        <f>BX58+BX59+BX60</f>
        <v>1</v>
      </c>
      <c r="BY61" s="386">
        <f>BY58+BY59+BY60</f>
        <v>1</v>
      </c>
      <c r="BZ61" s="386">
        <f>BZ58+BZ59+BZ60</f>
        <v>1</v>
      </c>
      <c r="CA61" s="387">
        <f>CA58+CA59+CA60</f>
        <v>1</v>
      </c>
      <c r="CC61" s="385">
        <f>CC58+CC59+CC60</f>
        <v>1</v>
      </c>
      <c r="CD61" s="386">
        <f>CD58+CD59+CD60</f>
        <v>1</v>
      </c>
      <c r="CE61" s="386">
        <f>CE58+CE59+CE60</f>
        <v>1</v>
      </c>
      <c r="CF61" s="386">
        <f>CF58+CF59+CF60</f>
        <v>1</v>
      </c>
      <c r="CG61" s="387">
        <f>CG58+CG59+CG60</f>
        <v>1</v>
      </c>
      <c r="CI61" s="385">
        <f>CI58+CI59+CI60</f>
        <v>1</v>
      </c>
      <c r="CJ61" s="386">
        <f>CJ58+CJ59+CJ60</f>
        <v>1</v>
      </c>
      <c r="CK61" s="386">
        <f>CK58+CK59+CK60</f>
        <v>1</v>
      </c>
      <c r="CL61" s="386">
        <f>CL58+CL59+CL60</f>
        <v>1</v>
      </c>
      <c r="CM61" s="387">
        <f>CM58+CM59+CM60</f>
        <v>1</v>
      </c>
      <c r="CO61" s="385">
        <f>CO58+CO59+CO60</f>
        <v>1</v>
      </c>
      <c r="CP61" s="386">
        <f>CP58+CP59+CP60</f>
        <v>1</v>
      </c>
      <c r="CQ61" s="386">
        <f>CQ58+CQ59+CQ60</f>
        <v>1</v>
      </c>
      <c r="CR61" s="386">
        <f>CR58+CR59+CR60</f>
        <v>1</v>
      </c>
      <c r="CS61" s="387">
        <f>CS58+CS59+CS60</f>
        <v>1</v>
      </c>
      <c r="CU61" s="385">
        <f>CU58+CU59+CU60</f>
        <v>1</v>
      </c>
      <c r="CV61" s="386">
        <f>CV58+CV59+CV60</f>
        <v>1</v>
      </c>
      <c r="CW61" s="386">
        <f>CW58+CW59+CW60</f>
        <v>1</v>
      </c>
      <c r="CX61" s="386">
        <f>CX58+CX59+CX60</f>
        <v>1</v>
      </c>
      <c r="CY61" s="387">
        <f>CY58+CY59+CY60</f>
        <v>1</v>
      </c>
      <c r="DA61" s="385">
        <f>DA58+DA59+DA60</f>
        <v>1</v>
      </c>
      <c r="DB61" s="386">
        <f>DB58+DB59+DB60</f>
        <v>1</v>
      </c>
      <c r="DC61" s="386">
        <f>DC58+DC59+DC60</f>
        <v>1</v>
      </c>
      <c r="DD61" s="386">
        <f>DD58+DD59+DD60</f>
        <v>1</v>
      </c>
      <c r="DE61" s="387">
        <f>DE58+DE59+DE60</f>
        <v>1</v>
      </c>
      <c r="DG61" s="385">
        <f>DG58+DG59+DG60</f>
        <v>1</v>
      </c>
      <c r="DH61" s="386">
        <f>DH58+DH59+DH60</f>
        <v>1</v>
      </c>
      <c r="DI61" s="386">
        <f>DI58+DI59+DI60</f>
        <v>1</v>
      </c>
      <c r="DJ61" s="386">
        <f>DJ58+DJ59+DJ60</f>
        <v>1</v>
      </c>
      <c r="DK61" s="387">
        <f>DK58+DK59+DK60</f>
        <v>1</v>
      </c>
    </row>
    <row r="62" spans="1:115" x14ac:dyDescent="0.2">
      <c r="A62" s="226"/>
      <c r="B62" s="388"/>
      <c r="C62" s="203"/>
      <c r="D62" s="204"/>
      <c r="E62" s="204"/>
      <c r="F62" s="204"/>
      <c r="G62" s="205"/>
      <c r="H62" s="129"/>
      <c r="I62" s="203"/>
      <c r="J62" s="204"/>
      <c r="K62" s="204"/>
      <c r="L62" s="204"/>
      <c r="M62" s="205"/>
      <c r="N62" s="129"/>
      <c r="O62" s="203"/>
      <c r="P62" s="204"/>
      <c r="Q62" s="204"/>
      <c r="R62" s="204"/>
      <c r="S62" s="205"/>
      <c r="U62" s="144"/>
      <c r="V62" s="107"/>
      <c r="W62" s="107"/>
      <c r="X62" s="107"/>
      <c r="Y62" s="145"/>
      <c r="AA62" s="232"/>
      <c r="AB62" s="107"/>
      <c r="AC62" s="107"/>
      <c r="AD62" s="107"/>
      <c r="AE62" s="145"/>
      <c r="AG62" s="232"/>
      <c r="AH62" s="107"/>
      <c r="AI62" s="107"/>
      <c r="AJ62" s="107"/>
      <c r="AK62" s="145"/>
      <c r="AM62" s="232"/>
      <c r="AN62" s="107"/>
      <c r="AO62" s="107"/>
      <c r="AP62" s="107"/>
      <c r="AQ62" s="145"/>
      <c r="AS62" s="232"/>
      <c r="AT62" s="107"/>
      <c r="AU62" s="107"/>
      <c r="AV62" s="107"/>
      <c r="AW62" s="145"/>
      <c r="AY62" s="232"/>
      <c r="AZ62" s="107"/>
      <c r="BA62" s="107"/>
      <c r="BB62" s="107"/>
      <c r="BC62" s="145"/>
      <c r="BE62" s="232"/>
      <c r="BF62" s="107"/>
      <c r="BG62" s="107"/>
      <c r="BH62" s="107"/>
      <c r="BI62" s="145"/>
      <c r="BK62" s="232"/>
      <c r="BL62" s="107"/>
      <c r="BM62" s="107"/>
      <c r="BN62" s="107"/>
      <c r="BO62" s="145"/>
      <c r="BQ62" s="232"/>
      <c r="BR62" s="107"/>
      <c r="BS62" s="107"/>
      <c r="BT62" s="107"/>
      <c r="BU62" s="145"/>
      <c r="BW62" s="232"/>
      <c r="BX62" s="107"/>
      <c r="BY62" s="107"/>
      <c r="BZ62" s="107"/>
      <c r="CA62" s="145"/>
      <c r="CC62" s="232"/>
      <c r="CD62" s="107"/>
      <c r="CE62" s="107"/>
      <c r="CF62" s="107"/>
      <c r="CG62" s="145"/>
      <c r="CI62" s="232"/>
      <c r="CJ62" s="107"/>
      <c r="CK62" s="107"/>
      <c r="CL62" s="107"/>
      <c r="CM62" s="145"/>
      <c r="CO62" s="232"/>
      <c r="CP62" s="107"/>
      <c r="CQ62" s="107"/>
      <c r="CR62" s="107"/>
      <c r="CS62" s="145"/>
      <c r="CU62" s="232"/>
      <c r="CV62" s="107"/>
      <c r="CW62" s="107"/>
      <c r="CX62" s="107"/>
      <c r="CY62" s="145"/>
      <c r="DA62" s="232"/>
      <c r="DB62" s="107"/>
      <c r="DC62" s="107"/>
      <c r="DD62" s="107"/>
      <c r="DE62" s="145"/>
      <c r="DG62" s="232"/>
      <c r="DH62" s="107"/>
      <c r="DI62" s="107"/>
      <c r="DJ62" s="107"/>
      <c r="DK62" s="145"/>
    </row>
    <row r="63" spans="1:115" x14ac:dyDescent="0.2">
      <c r="A63" s="226"/>
      <c r="B63" s="388" t="s">
        <v>72</v>
      </c>
      <c r="C63" s="203"/>
      <c r="D63" s="204"/>
      <c r="E63" s="204"/>
      <c r="F63" s="204"/>
      <c r="G63" s="205"/>
      <c r="H63" s="129"/>
      <c r="I63" s="203"/>
      <c r="J63" s="204"/>
      <c r="K63" s="204"/>
      <c r="L63" s="204"/>
      <c r="M63" s="205"/>
      <c r="N63" s="129"/>
      <c r="O63" s="203"/>
      <c r="P63" s="204"/>
      <c r="Q63" s="204"/>
      <c r="R63" s="204"/>
      <c r="S63" s="205"/>
      <c r="U63" s="144"/>
      <c r="V63" s="107"/>
      <c r="W63" s="107"/>
      <c r="X63" s="107"/>
      <c r="Y63" s="145"/>
      <c r="AA63" s="232"/>
      <c r="AB63" s="107"/>
      <c r="AC63" s="107"/>
      <c r="AD63" s="107"/>
      <c r="AE63" s="145"/>
      <c r="AG63" s="232"/>
      <c r="AH63" s="107"/>
      <c r="AI63" s="107"/>
      <c r="AJ63" s="107"/>
      <c r="AK63" s="145"/>
      <c r="AM63" s="232"/>
      <c r="AN63" s="107"/>
      <c r="AO63" s="107"/>
      <c r="AP63" s="107"/>
      <c r="AQ63" s="145"/>
      <c r="AS63" s="232"/>
      <c r="AT63" s="107"/>
      <c r="AU63" s="107"/>
      <c r="AV63" s="107"/>
      <c r="AW63" s="145"/>
      <c r="AY63" s="232"/>
      <c r="AZ63" s="107"/>
      <c r="BA63" s="107"/>
      <c r="BB63" s="107"/>
      <c r="BC63" s="145"/>
      <c r="BE63" s="232"/>
      <c r="BF63" s="107"/>
      <c r="BG63" s="107"/>
      <c r="BH63" s="107"/>
      <c r="BI63" s="145"/>
      <c r="BK63" s="232"/>
      <c r="BL63" s="107"/>
      <c r="BM63" s="107"/>
      <c r="BN63" s="107"/>
      <c r="BO63" s="145"/>
      <c r="BQ63" s="232"/>
      <c r="BR63" s="107"/>
      <c r="BS63" s="107"/>
      <c r="BT63" s="107"/>
      <c r="BU63" s="145"/>
      <c r="BW63" s="232"/>
      <c r="BX63" s="107"/>
      <c r="BY63" s="107"/>
      <c r="BZ63" s="107"/>
      <c r="CA63" s="145"/>
      <c r="CC63" s="232"/>
      <c r="CD63" s="107"/>
      <c r="CE63" s="107"/>
      <c r="CF63" s="107"/>
      <c r="CG63" s="145"/>
      <c r="CI63" s="232"/>
      <c r="CJ63" s="107"/>
      <c r="CK63" s="107"/>
      <c r="CL63" s="107"/>
      <c r="CM63" s="145"/>
      <c r="CO63" s="232"/>
      <c r="CP63" s="107"/>
      <c r="CQ63" s="107"/>
      <c r="CR63" s="107"/>
      <c r="CS63" s="145"/>
      <c r="CU63" s="232"/>
      <c r="CV63" s="107"/>
      <c r="CW63" s="107"/>
      <c r="CX63" s="107"/>
      <c r="CY63" s="145"/>
      <c r="DA63" s="232"/>
      <c r="DB63" s="107"/>
      <c r="DC63" s="107"/>
      <c r="DD63" s="107"/>
      <c r="DE63" s="145"/>
      <c r="DG63" s="232"/>
      <c r="DH63" s="107"/>
      <c r="DI63" s="107"/>
      <c r="DJ63" s="107"/>
      <c r="DK63" s="145"/>
    </row>
    <row r="64" spans="1:115" x14ac:dyDescent="0.2">
      <c r="A64" s="226"/>
      <c r="B64" s="361" t="s">
        <v>78</v>
      </c>
      <c r="C64" s="238">
        <f>C12</f>
        <v>7640</v>
      </c>
      <c r="D64" s="235">
        <f t="shared" ref="D64:F66" si="36">D51-C51</f>
        <v>373</v>
      </c>
      <c r="E64" s="235">
        <f t="shared" si="36"/>
        <v>480</v>
      </c>
      <c r="F64" s="235">
        <f t="shared" si="36"/>
        <v>526</v>
      </c>
      <c r="G64" s="236">
        <f>C64+D64+E64+F64</f>
        <v>9019</v>
      </c>
      <c r="H64" s="229"/>
      <c r="I64" s="238">
        <f>I51-G51</f>
        <v>539</v>
      </c>
      <c r="J64" s="235">
        <f t="shared" ref="J64:L66" si="37">J51-I51</f>
        <v>340</v>
      </c>
      <c r="K64" s="235">
        <f t="shared" si="37"/>
        <v>344</v>
      </c>
      <c r="L64" s="235">
        <f t="shared" si="37"/>
        <v>352</v>
      </c>
      <c r="M64" s="236">
        <f>I64+J64+K64+L64</f>
        <v>1575</v>
      </c>
      <c r="N64" s="229"/>
      <c r="O64" s="238">
        <f>O51-M51</f>
        <v>390</v>
      </c>
      <c r="P64" s="235">
        <f t="shared" ref="P64:R66" si="38">P51-O51</f>
        <v>245</v>
      </c>
      <c r="Q64" s="235">
        <f t="shared" si="38"/>
        <v>72</v>
      </c>
      <c r="R64" s="235">
        <f t="shared" si="38"/>
        <v>176</v>
      </c>
      <c r="S64" s="236">
        <f>O64+P64+Q64+R64</f>
        <v>883</v>
      </c>
      <c r="U64" s="238">
        <f>U51-S51</f>
        <v>188</v>
      </c>
      <c r="V64" s="117">
        <f>V51-U51</f>
        <v>130</v>
      </c>
      <c r="W64" s="117">
        <f>W51-V51</f>
        <v>49</v>
      </c>
      <c r="X64" s="117">
        <f>X51-W51</f>
        <v>110</v>
      </c>
      <c r="Y64" s="119">
        <f>U64+V64+W64+X64</f>
        <v>477</v>
      </c>
      <c r="AA64" s="116">
        <f>AA51-Y51</f>
        <v>115</v>
      </c>
      <c r="AB64" s="117">
        <f>AB51-AA51</f>
        <v>84</v>
      </c>
      <c r="AC64" s="117">
        <f>AC51-AB51</f>
        <v>48</v>
      </c>
      <c r="AD64" s="117">
        <f>AD51-AC51</f>
        <v>64</v>
      </c>
      <c r="AE64" s="119">
        <f>AA64+AB64+AC64+AD64</f>
        <v>311</v>
      </c>
      <c r="AG64" s="144">
        <v>102</v>
      </c>
      <c r="AH64" s="107">
        <v>47</v>
      </c>
      <c r="AI64" s="107">
        <v>10</v>
      </c>
      <c r="AJ64" s="107">
        <v>3</v>
      </c>
      <c r="AK64" s="119">
        <f>AG64+AH64+AI64+AJ64</f>
        <v>162</v>
      </c>
      <c r="AL64" s="473">
        <f>AE64+AK64</f>
        <v>473</v>
      </c>
      <c r="AM64" s="144">
        <v>16</v>
      </c>
      <c r="AN64" s="107">
        <v>-13</v>
      </c>
      <c r="AO64" s="107">
        <v>-47</v>
      </c>
      <c r="AP64" s="107">
        <v>-23</v>
      </c>
      <c r="AQ64" s="119">
        <f>AM64+AN64+AO64+AP64</f>
        <v>-67</v>
      </c>
      <c r="AS64" s="144">
        <v>-6</v>
      </c>
      <c r="AT64" s="107">
        <v>-5</v>
      </c>
      <c r="AU64" s="107">
        <v>-9</v>
      </c>
      <c r="AV64" s="107">
        <v>21</v>
      </c>
      <c r="AW64" s="119">
        <f>AS64+AT64+AU64+AV64</f>
        <v>1</v>
      </c>
      <c r="AY64" s="144">
        <v>76</v>
      </c>
      <c r="AZ64" s="107">
        <v>81</v>
      </c>
      <c r="BA64" s="107">
        <v>78</v>
      </c>
      <c r="BB64" s="107">
        <v>48</v>
      </c>
      <c r="BC64" s="119">
        <f>AY64+AZ64+BA64+BB64</f>
        <v>283</v>
      </c>
      <c r="BD64" s="473"/>
      <c r="BE64" s="144">
        <v>62</v>
      </c>
      <c r="BF64" s="107">
        <v>64</v>
      </c>
      <c r="BG64" s="107">
        <v>65</v>
      </c>
      <c r="BH64" s="107">
        <v>87</v>
      </c>
      <c r="BI64" s="119">
        <f>BE64+BF64+BG64+BH64</f>
        <v>278</v>
      </c>
      <c r="BK64" s="144">
        <v>67</v>
      </c>
      <c r="BL64" s="107">
        <v>46</v>
      </c>
      <c r="BM64" s="107">
        <v>70</v>
      </c>
      <c r="BN64" s="107">
        <v>104</v>
      </c>
      <c r="BO64" s="119">
        <f>BK64+BL64+BM64+BN64</f>
        <v>287</v>
      </c>
      <c r="BQ64" s="144">
        <v>75</v>
      </c>
      <c r="BR64" s="107">
        <v>60</v>
      </c>
      <c r="BS64" s="107">
        <v>75</v>
      </c>
      <c r="BT64" s="107">
        <v>90</v>
      </c>
      <c r="BU64" s="119">
        <f>BQ64+BR64+BS64+BT64</f>
        <v>300</v>
      </c>
      <c r="BW64" s="144">
        <v>70</v>
      </c>
      <c r="BX64" s="107">
        <v>55</v>
      </c>
      <c r="BY64" s="107">
        <v>65</v>
      </c>
      <c r="BZ64" s="107">
        <v>80</v>
      </c>
      <c r="CA64" s="119">
        <f>BW64+BX64+BY64+BZ64</f>
        <v>270</v>
      </c>
      <c r="CC64" s="144">
        <v>65</v>
      </c>
      <c r="CD64" s="107">
        <v>50</v>
      </c>
      <c r="CE64" s="107">
        <v>60</v>
      </c>
      <c r="CF64" s="107">
        <v>75</v>
      </c>
      <c r="CG64" s="119">
        <f>CC64+CD64+CE64+CF64</f>
        <v>250</v>
      </c>
      <c r="CI64" s="144">
        <v>60</v>
      </c>
      <c r="CJ64" s="107">
        <v>50</v>
      </c>
      <c r="CK64" s="107">
        <v>55</v>
      </c>
      <c r="CL64" s="107">
        <v>70</v>
      </c>
      <c r="CM64" s="119">
        <f>CI64+CJ64+CK64+CL64</f>
        <v>235</v>
      </c>
      <c r="CO64" s="144">
        <v>55</v>
      </c>
      <c r="CP64" s="107">
        <v>50</v>
      </c>
      <c r="CQ64" s="107">
        <v>50</v>
      </c>
      <c r="CR64" s="107">
        <v>65</v>
      </c>
      <c r="CS64" s="119">
        <f>CO64+CP64+CQ64+CR64</f>
        <v>220</v>
      </c>
      <c r="CU64" s="144">
        <v>50</v>
      </c>
      <c r="CV64" s="107">
        <v>50</v>
      </c>
      <c r="CW64" s="107">
        <v>50</v>
      </c>
      <c r="CX64" s="107">
        <v>55</v>
      </c>
      <c r="CY64" s="119">
        <f>CU64+CV64+CW64+CX64</f>
        <v>205</v>
      </c>
      <c r="DA64" s="144">
        <v>50</v>
      </c>
      <c r="DB64" s="107">
        <v>50</v>
      </c>
      <c r="DC64" s="107">
        <v>50</v>
      </c>
      <c r="DD64" s="107">
        <v>50</v>
      </c>
      <c r="DE64" s="119">
        <f>DA64+DB64+DC64+DD64</f>
        <v>200</v>
      </c>
      <c r="DG64" s="144">
        <v>50</v>
      </c>
      <c r="DH64" s="107">
        <v>50</v>
      </c>
      <c r="DI64" s="107">
        <v>50</v>
      </c>
      <c r="DJ64" s="107">
        <v>50</v>
      </c>
      <c r="DK64" s="119">
        <f>DG64+DH64+DI64+DJ64</f>
        <v>200</v>
      </c>
    </row>
    <row r="65" spans="1:115" x14ac:dyDescent="0.2">
      <c r="A65" s="226"/>
      <c r="B65" s="361" t="s">
        <v>79</v>
      </c>
      <c r="C65" s="238">
        <v>500</v>
      </c>
      <c r="D65" s="235">
        <f t="shared" si="36"/>
        <v>550</v>
      </c>
      <c r="E65" s="235">
        <f t="shared" si="36"/>
        <v>350</v>
      </c>
      <c r="F65" s="235">
        <f t="shared" si="36"/>
        <v>500</v>
      </c>
      <c r="G65" s="236">
        <f>C65+D65+E65+F65</f>
        <v>1900</v>
      </c>
      <c r="H65" s="229"/>
      <c r="I65" s="238">
        <f>I52-G52</f>
        <v>500</v>
      </c>
      <c r="J65" s="235">
        <f t="shared" si="37"/>
        <v>300</v>
      </c>
      <c r="K65" s="235">
        <f t="shared" si="37"/>
        <v>200</v>
      </c>
      <c r="L65" s="235">
        <f t="shared" si="37"/>
        <v>113</v>
      </c>
      <c r="M65" s="236">
        <f>I65+J65+K65+L65</f>
        <v>1113</v>
      </c>
      <c r="N65" s="229"/>
      <c r="O65" s="238">
        <f>O52-M52</f>
        <v>218</v>
      </c>
      <c r="P65" s="235">
        <f t="shared" si="38"/>
        <v>-12</v>
      </c>
      <c r="Q65" s="235">
        <f t="shared" si="38"/>
        <v>14</v>
      </c>
      <c r="R65" s="235">
        <f t="shared" si="38"/>
        <v>181</v>
      </c>
      <c r="S65" s="236">
        <f>O65+P65+Q65+R65</f>
        <v>401</v>
      </c>
      <c r="U65" s="238">
        <f>U52-S52</f>
        <v>112</v>
      </c>
      <c r="V65" s="235">
        <f>V52-U52</f>
        <v>-106</v>
      </c>
      <c r="W65" s="107">
        <v>30</v>
      </c>
      <c r="X65" s="107">
        <v>135</v>
      </c>
      <c r="Y65" s="119">
        <f>U65+V65+W65+X65</f>
        <v>171</v>
      </c>
      <c r="AA65" s="144">
        <v>85</v>
      </c>
      <c r="AB65" s="107">
        <v>-20</v>
      </c>
      <c r="AC65" s="107">
        <v>25</v>
      </c>
      <c r="AD65" s="107">
        <v>10</v>
      </c>
      <c r="AE65" s="119">
        <f>AA65+AB65+AC65+AD65</f>
        <v>100</v>
      </c>
      <c r="AG65" s="144">
        <v>5</v>
      </c>
      <c r="AH65" s="107">
        <v>0</v>
      </c>
      <c r="AI65" s="107">
        <v>-150</v>
      </c>
      <c r="AJ65" s="107">
        <v>-50</v>
      </c>
      <c r="AK65" s="119">
        <f>AG65+AH65+AI65+AJ65</f>
        <v>-195</v>
      </c>
      <c r="AL65">
        <f>AL64/8</f>
        <v>59.125</v>
      </c>
      <c r="AM65" s="144">
        <v>75</v>
      </c>
      <c r="AN65" s="107">
        <v>25</v>
      </c>
      <c r="AO65" s="107">
        <v>-20</v>
      </c>
      <c r="AP65" s="107">
        <v>50</v>
      </c>
      <c r="AQ65" s="119">
        <f>AM65+AN65+AO65+AP65</f>
        <v>130</v>
      </c>
      <c r="AS65" s="144">
        <v>50</v>
      </c>
      <c r="AT65" s="107">
        <v>90</v>
      </c>
      <c r="AU65" s="107">
        <v>60</v>
      </c>
      <c r="AV65" s="107">
        <v>25</v>
      </c>
      <c r="AW65" s="119">
        <f>AS65+AT65+AU65+AV65</f>
        <v>225</v>
      </c>
      <c r="AY65" s="144">
        <v>50</v>
      </c>
      <c r="AZ65" s="107">
        <v>25</v>
      </c>
      <c r="BA65" s="107">
        <v>-25</v>
      </c>
      <c r="BB65" s="107">
        <v>65</v>
      </c>
      <c r="BC65" s="119">
        <f>AY65+AZ65+BA65+BB65</f>
        <v>115</v>
      </c>
      <c r="BE65" s="144">
        <v>190</v>
      </c>
      <c r="BF65" s="107">
        <v>150</v>
      </c>
      <c r="BG65" s="107">
        <v>100</v>
      </c>
      <c r="BH65" s="107">
        <v>45</v>
      </c>
      <c r="BI65" s="119">
        <f>BE65+BF65+BG65+BH65</f>
        <v>485</v>
      </c>
      <c r="BK65" s="144">
        <v>75</v>
      </c>
      <c r="BL65" s="107">
        <v>75</v>
      </c>
      <c r="BM65" s="107">
        <v>60</v>
      </c>
      <c r="BN65" s="107">
        <v>100</v>
      </c>
      <c r="BO65" s="119">
        <f>BK65+BL65+BM65+BN65</f>
        <v>310</v>
      </c>
      <c r="BQ65" s="144">
        <v>55</v>
      </c>
      <c r="BR65" s="107">
        <v>50</v>
      </c>
      <c r="BS65" s="107">
        <v>35</v>
      </c>
      <c r="BT65" s="107">
        <v>35</v>
      </c>
      <c r="BU65" s="119">
        <f>BQ65+BR65+BS65+BT65</f>
        <v>175</v>
      </c>
      <c r="BW65" s="144">
        <v>25</v>
      </c>
      <c r="BX65" s="107">
        <v>15</v>
      </c>
      <c r="BY65" s="107">
        <v>0</v>
      </c>
      <c r="BZ65" s="107">
        <v>15</v>
      </c>
      <c r="CA65" s="119">
        <f>BW65+BX65+BY65+BZ65</f>
        <v>55</v>
      </c>
      <c r="CC65" s="144">
        <v>-20</v>
      </c>
      <c r="CD65" s="107">
        <v>-20</v>
      </c>
      <c r="CE65" s="107">
        <v>-20</v>
      </c>
      <c r="CF65" s="107">
        <v>-20</v>
      </c>
      <c r="CG65" s="119">
        <f>CC65+CD65+CE65+CF65</f>
        <v>-80</v>
      </c>
      <c r="CI65" s="144">
        <v>-35</v>
      </c>
      <c r="CJ65" s="107">
        <v>-35</v>
      </c>
      <c r="CK65" s="107">
        <v>-35</v>
      </c>
      <c r="CL65" s="107">
        <v>-35</v>
      </c>
      <c r="CM65" s="119">
        <f>CI65+CJ65+CK65+CL65</f>
        <v>-140</v>
      </c>
      <c r="CO65" s="144">
        <v>-30</v>
      </c>
      <c r="CP65" s="107">
        <f>CO65</f>
        <v>-30</v>
      </c>
      <c r="CQ65" s="107">
        <f>CP65</f>
        <v>-30</v>
      </c>
      <c r="CR65" s="107">
        <f>CQ65</f>
        <v>-30</v>
      </c>
      <c r="CS65" s="119">
        <f>CO65+CP65+CQ65+CR65</f>
        <v>-120</v>
      </c>
      <c r="CU65" s="144">
        <v>-30</v>
      </c>
      <c r="CV65" s="107">
        <f>CU65</f>
        <v>-30</v>
      </c>
      <c r="CW65" s="107">
        <f>CV65</f>
        <v>-30</v>
      </c>
      <c r="CX65" s="107">
        <f>CW65</f>
        <v>-30</v>
      </c>
      <c r="CY65" s="119">
        <f>CU65+CV65+CW65+CX65</f>
        <v>-120</v>
      </c>
      <c r="DA65" s="144">
        <v>-25</v>
      </c>
      <c r="DB65" s="107">
        <f>DA65</f>
        <v>-25</v>
      </c>
      <c r="DC65" s="107">
        <f>DB65</f>
        <v>-25</v>
      </c>
      <c r="DD65" s="107">
        <f>DC65</f>
        <v>-25</v>
      </c>
      <c r="DE65" s="119">
        <f>DA65+DB65+DC65+DD65</f>
        <v>-100</v>
      </c>
      <c r="DG65" s="144">
        <v>-25</v>
      </c>
      <c r="DH65" s="107">
        <f>DG65</f>
        <v>-25</v>
      </c>
      <c r="DI65" s="107">
        <f>DH65</f>
        <v>-25</v>
      </c>
      <c r="DJ65" s="107">
        <f>DI65</f>
        <v>-25</v>
      </c>
      <c r="DK65" s="119">
        <f>DG65+DH65+DI65+DJ65</f>
        <v>-100</v>
      </c>
    </row>
    <row r="66" spans="1:115" x14ac:dyDescent="0.2">
      <c r="A66" s="226"/>
      <c r="B66" s="361" t="s">
        <v>81</v>
      </c>
      <c r="C66" s="238">
        <v>100</v>
      </c>
      <c r="D66" s="235">
        <f t="shared" si="36"/>
        <v>100</v>
      </c>
      <c r="E66" s="235">
        <f t="shared" si="36"/>
        <v>100</v>
      </c>
      <c r="F66" s="235">
        <f t="shared" si="36"/>
        <v>100</v>
      </c>
      <c r="G66" s="236">
        <f>C66+D66+E66+F66</f>
        <v>400</v>
      </c>
      <c r="H66" s="129"/>
      <c r="I66" s="238">
        <f>I53-G53</f>
        <v>300</v>
      </c>
      <c r="J66" s="235">
        <f t="shared" si="37"/>
        <v>100</v>
      </c>
      <c r="K66" s="235">
        <f t="shared" si="37"/>
        <v>200</v>
      </c>
      <c r="L66" s="235">
        <f t="shared" si="37"/>
        <v>100</v>
      </c>
      <c r="M66" s="236">
        <f>I66+J66+K66+L66</f>
        <v>700</v>
      </c>
      <c r="N66" s="129"/>
      <c r="O66" s="238">
        <f>O53-M53</f>
        <v>100</v>
      </c>
      <c r="P66" s="235">
        <f t="shared" si="38"/>
        <v>100</v>
      </c>
      <c r="Q66" s="235">
        <f t="shared" si="38"/>
        <v>200</v>
      </c>
      <c r="R66" s="235">
        <f t="shared" si="38"/>
        <v>100</v>
      </c>
      <c r="S66" s="236">
        <f>O66+P66+Q66+R66</f>
        <v>500</v>
      </c>
      <c r="U66" s="238">
        <f>U53-S53</f>
        <v>200</v>
      </c>
      <c r="V66" s="235">
        <f>V53-U53</f>
        <v>100</v>
      </c>
      <c r="W66" s="107">
        <v>200</v>
      </c>
      <c r="X66" s="107">
        <v>135</v>
      </c>
      <c r="Y66" s="119">
        <f>U66+V66+W66+X66</f>
        <v>635</v>
      </c>
      <c r="AA66" s="144">
        <v>225</v>
      </c>
      <c r="AB66" s="107">
        <v>180</v>
      </c>
      <c r="AC66" s="107">
        <v>120</v>
      </c>
      <c r="AD66" s="107">
        <v>200</v>
      </c>
      <c r="AE66" s="119">
        <f>AA66+AB66+AC66+AD66</f>
        <v>725</v>
      </c>
      <c r="AG66" s="144">
        <v>215</v>
      </c>
      <c r="AH66" s="107">
        <v>150</v>
      </c>
      <c r="AI66" s="107">
        <v>175</v>
      </c>
      <c r="AJ66" s="107">
        <v>200</v>
      </c>
      <c r="AK66" s="119">
        <f>AG66+AH66+AI66+AJ66</f>
        <v>740</v>
      </c>
      <c r="AM66" s="144">
        <v>260</v>
      </c>
      <c r="AN66" s="107">
        <v>160</v>
      </c>
      <c r="AO66" s="107">
        <v>200</v>
      </c>
      <c r="AP66" s="107">
        <v>225</v>
      </c>
      <c r="AQ66" s="119">
        <f>AM66+AN66+AO66+AP66</f>
        <v>845</v>
      </c>
      <c r="AS66" s="144">
        <v>200</v>
      </c>
      <c r="AT66" s="107">
        <v>175</v>
      </c>
      <c r="AU66" s="107">
        <v>200</v>
      </c>
      <c r="AV66" s="107">
        <v>225</v>
      </c>
      <c r="AW66" s="119">
        <f>AS66+AT66+AU66+AV66</f>
        <v>800</v>
      </c>
      <c r="AY66" s="144">
        <v>250</v>
      </c>
      <c r="AZ66" s="107">
        <v>150</v>
      </c>
      <c r="BA66" s="107">
        <v>200</v>
      </c>
      <c r="BB66" s="107">
        <v>160</v>
      </c>
      <c r="BC66" s="119">
        <f>AY66+AZ66+BA66+BB66</f>
        <v>760</v>
      </c>
      <c r="BE66" s="144">
        <v>140</v>
      </c>
      <c r="BF66" s="107">
        <v>175</v>
      </c>
      <c r="BG66" s="107">
        <v>125</v>
      </c>
      <c r="BH66" s="107">
        <v>150</v>
      </c>
      <c r="BI66" s="119">
        <f>BE66+BF66+BG66+BH66</f>
        <v>590</v>
      </c>
      <c r="BK66" s="144">
        <v>125</v>
      </c>
      <c r="BL66" s="107">
        <v>150</v>
      </c>
      <c r="BM66" s="107">
        <v>75</v>
      </c>
      <c r="BN66" s="107">
        <v>125</v>
      </c>
      <c r="BO66" s="119">
        <f>BK66+BL66+BM66+BN66</f>
        <v>475</v>
      </c>
      <c r="BQ66" s="144">
        <v>125</v>
      </c>
      <c r="BR66" s="107">
        <v>125</v>
      </c>
      <c r="BS66" s="107">
        <v>100</v>
      </c>
      <c r="BT66" s="107">
        <v>100</v>
      </c>
      <c r="BU66" s="119">
        <f>BQ66+BR66+BS66+BT66</f>
        <v>450</v>
      </c>
      <c r="BW66" s="144">
        <v>125</v>
      </c>
      <c r="BX66" s="107">
        <v>125</v>
      </c>
      <c r="BY66" s="107">
        <v>100</v>
      </c>
      <c r="BZ66" s="107">
        <v>125</v>
      </c>
      <c r="CA66" s="119">
        <f>BW66+BX66+BY66+BZ66</f>
        <v>475</v>
      </c>
      <c r="CC66" s="144">
        <v>100</v>
      </c>
      <c r="CD66" s="107">
        <v>125</v>
      </c>
      <c r="CE66" s="107">
        <v>125</v>
      </c>
      <c r="CF66" s="107">
        <v>100</v>
      </c>
      <c r="CG66" s="119">
        <f>CC66+CD66+CE66+CF66</f>
        <v>450</v>
      </c>
      <c r="CI66" s="144">
        <v>100</v>
      </c>
      <c r="CJ66" s="107">
        <v>110</v>
      </c>
      <c r="CK66" s="107">
        <v>115</v>
      </c>
      <c r="CL66" s="107">
        <v>100</v>
      </c>
      <c r="CM66" s="119">
        <f>CI66+CJ66+CK66+CL66</f>
        <v>425</v>
      </c>
      <c r="CO66" s="144">
        <v>100</v>
      </c>
      <c r="CP66" s="107">
        <v>100</v>
      </c>
      <c r="CQ66" s="107">
        <v>100</v>
      </c>
      <c r="CR66" s="107">
        <v>100</v>
      </c>
      <c r="CS66" s="119">
        <f>CO66+CP66+CQ66+CR66</f>
        <v>400</v>
      </c>
      <c r="CU66" s="144">
        <v>100</v>
      </c>
      <c r="CV66" s="107">
        <v>100</v>
      </c>
      <c r="CW66" s="107">
        <v>100</v>
      </c>
      <c r="CX66" s="107">
        <v>100</v>
      </c>
      <c r="CY66" s="119">
        <f>CU66+CV66+CW66+CX66</f>
        <v>400</v>
      </c>
      <c r="DA66" s="144">
        <v>100</v>
      </c>
      <c r="DB66" s="107">
        <v>100</v>
      </c>
      <c r="DC66" s="107">
        <v>100</v>
      </c>
      <c r="DD66" s="107">
        <v>100</v>
      </c>
      <c r="DE66" s="119">
        <f>DA66+DB66+DC66+DD66</f>
        <v>400</v>
      </c>
      <c r="DG66" s="144">
        <v>100</v>
      </c>
      <c r="DH66" s="107">
        <v>100</v>
      </c>
      <c r="DI66" s="107">
        <v>100</v>
      </c>
      <c r="DJ66" s="107">
        <v>100</v>
      </c>
      <c r="DK66" s="119">
        <f>DG66+DH66+DI66+DJ66</f>
        <v>400</v>
      </c>
    </row>
    <row r="67" spans="1:115" x14ac:dyDescent="0.2">
      <c r="A67" s="226"/>
      <c r="B67" s="388" t="s">
        <v>80</v>
      </c>
      <c r="C67" s="203">
        <f>C64+C65+C66</f>
        <v>8240</v>
      </c>
      <c r="D67" s="204">
        <f>D64+D65+D66</f>
        <v>1023</v>
      </c>
      <c r="E67" s="204">
        <f>E64+E65+E66</f>
        <v>930</v>
      </c>
      <c r="F67" s="204">
        <f>F64+F65+F66</f>
        <v>1126</v>
      </c>
      <c r="G67" s="205">
        <f>G64+G65+G66</f>
        <v>11319</v>
      </c>
      <c r="H67" s="129"/>
      <c r="I67" s="203">
        <f>I64+I65+I66</f>
        <v>1339</v>
      </c>
      <c r="J67" s="204">
        <f>J64+J65+J66</f>
        <v>740</v>
      </c>
      <c r="K67" s="204">
        <f>K64+K65+K66</f>
        <v>744</v>
      </c>
      <c r="L67" s="204">
        <f>L64+L65+L66</f>
        <v>565</v>
      </c>
      <c r="M67" s="205">
        <f>M64+M65+M66</f>
        <v>3388</v>
      </c>
      <c r="N67" s="129"/>
      <c r="O67" s="203">
        <f>O64+O65+O66</f>
        <v>708</v>
      </c>
      <c r="P67" s="204">
        <f>P64+P65+P66</f>
        <v>333</v>
      </c>
      <c r="Q67" s="204">
        <f>Q64+Q65+Q66</f>
        <v>286</v>
      </c>
      <c r="R67" s="204">
        <f>R64+R65+R66</f>
        <v>457</v>
      </c>
      <c r="S67" s="205">
        <f>S64+S65+S66</f>
        <v>1784</v>
      </c>
      <c r="U67" s="203">
        <f>U64+U65+U66</f>
        <v>500</v>
      </c>
      <c r="V67" s="204">
        <f>V64+V65+V66</f>
        <v>124</v>
      </c>
      <c r="W67" s="204">
        <f>W64+W65+W66</f>
        <v>279</v>
      </c>
      <c r="X67" s="204">
        <f>X64+X65+X66</f>
        <v>380</v>
      </c>
      <c r="Y67" s="205">
        <f>U67+V67+W67+X67</f>
        <v>1283</v>
      </c>
      <c r="AA67" s="203">
        <f>AA64+AA65+AA66</f>
        <v>425</v>
      </c>
      <c r="AB67" s="204">
        <f>AB64+AB65+AB66</f>
        <v>244</v>
      </c>
      <c r="AC67" s="204">
        <f>AC64+AC65+AC66</f>
        <v>193</v>
      </c>
      <c r="AD67" s="204">
        <f>AD64+AD65+AD66</f>
        <v>274</v>
      </c>
      <c r="AE67" s="205">
        <f>AA67+AB67+AC67+AD67</f>
        <v>1136</v>
      </c>
      <c r="AG67" s="203">
        <f>AG64+AG65+AG66</f>
        <v>322</v>
      </c>
      <c r="AH67" s="204">
        <f>AH64+AH65+AH66</f>
        <v>197</v>
      </c>
      <c r="AI67" s="204">
        <f>AI64+AI65+AI66</f>
        <v>35</v>
      </c>
      <c r="AJ67" s="204">
        <f>AJ64+AJ65+AJ66</f>
        <v>153</v>
      </c>
      <c r="AK67" s="205">
        <f>AG67+AH67+AI67+AJ67</f>
        <v>707</v>
      </c>
      <c r="AM67" s="203">
        <f>AM64+AM65+AM66</f>
        <v>351</v>
      </c>
      <c r="AN67" s="204">
        <f>AN64+AN65+AN66</f>
        <v>172</v>
      </c>
      <c r="AO67" s="204">
        <f>AO64+AO65+AO66</f>
        <v>133</v>
      </c>
      <c r="AP67" s="204">
        <f>AP64+AP65+AP66</f>
        <v>252</v>
      </c>
      <c r="AQ67" s="205">
        <f>AM67+AN67+AO67+AP67</f>
        <v>908</v>
      </c>
      <c r="AS67" s="203">
        <f>AS64+AS65+AS66</f>
        <v>244</v>
      </c>
      <c r="AT67" s="204">
        <f>AT64+AT65+AT66</f>
        <v>260</v>
      </c>
      <c r="AU67" s="204">
        <f>AU64+AU65+AU66</f>
        <v>251</v>
      </c>
      <c r="AV67" s="204">
        <f>AV64+AV65+AV66</f>
        <v>271</v>
      </c>
      <c r="AW67" s="205">
        <f>AS67+AT67+AU67+AV67</f>
        <v>1026</v>
      </c>
      <c r="AY67" s="203">
        <f>AY64+AY65+AY66</f>
        <v>376</v>
      </c>
      <c r="AZ67" s="204">
        <f>AZ64+AZ65+AZ66</f>
        <v>256</v>
      </c>
      <c r="BA67" s="204">
        <f>BA64+BA65+BA66</f>
        <v>253</v>
      </c>
      <c r="BB67" s="204">
        <f>BB64+BB65+BB66</f>
        <v>273</v>
      </c>
      <c r="BC67" s="205">
        <f>AY67+AZ67+BA67+BB67</f>
        <v>1158</v>
      </c>
      <c r="BE67" s="203">
        <f>BE64+BE65+BE66</f>
        <v>392</v>
      </c>
      <c r="BF67" s="204">
        <f>BF64+BF65+BF66</f>
        <v>389</v>
      </c>
      <c r="BG67" s="204">
        <f>BG64+BG65+BG66</f>
        <v>290</v>
      </c>
      <c r="BH67" s="204">
        <f>BH64+BH65+BH66</f>
        <v>282</v>
      </c>
      <c r="BI67" s="205">
        <f>BE67+BF67+BG67+BH67</f>
        <v>1353</v>
      </c>
      <c r="BK67" s="203">
        <f>BK64+BK65+BK66</f>
        <v>267</v>
      </c>
      <c r="BL67" s="204">
        <f>BL64+BL65+BL66</f>
        <v>271</v>
      </c>
      <c r="BM67" s="204">
        <f>BM64+BM65+BM66</f>
        <v>205</v>
      </c>
      <c r="BN67" s="204">
        <f>BN64+BN65+BN66</f>
        <v>329</v>
      </c>
      <c r="BO67" s="205">
        <f>BK67+BL67+BM67+BN67</f>
        <v>1072</v>
      </c>
      <c r="BQ67" s="203">
        <f>BQ64+BQ65+BQ66</f>
        <v>255</v>
      </c>
      <c r="BR67" s="204">
        <f>BR64+BR65+BR66</f>
        <v>235</v>
      </c>
      <c r="BS67" s="204">
        <f>BS64+BS65+BS66</f>
        <v>210</v>
      </c>
      <c r="BT67" s="204">
        <f>BT64+BT65+BT66</f>
        <v>225</v>
      </c>
      <c r="BU67" s="205">
        <f>BQ67+BR67+BS67+BT67</f>
        <v>925</v>
      </c>
      <c r="BW67" s="203">
        <f>BW64+BW65+BW66</f>
        <v>220</v>
      </c>
      <c r="BX67" s="204">
        <f>BX64+BX65+BX66</f>
        <v>195</v>
      </c>
      <c r="BY67" s="204">
        <f>BY64+BY65+BY66</f>
        <v>165</v>
      </c>
      <c r="BZ67" s="204">
        <f>BZ64+BZ65+BZ66</f>
        <v>220</v>
      </c>
      <c r="CA67" s="205">
        <f>BW67+BX67+BY67+BZ67</f>
        <v>800</v>
      </c>
      <c r="CC67" s="203">
        <f>CC64+CC65+CC66</f>
        <v>145</v>
      </c>
      <c r="CD67" s="204">
        <f>CD64+CD65+CD66</f>
        <v>155</v>
      </c>
      <c r="CE67" s="204">
        <f>CE64+CE65+CE66</f>
        <v>165</v>
      </c>
      <c r="CF67" s="204">
        <f>CF64+CF65+CF66</f>
        <v>155</v>
      </c>
      <c r="CG67" s="205">
        <f>CC67+CD67+CE67+CF67</f>
        <v>620</v>
      </c>
      <c r="CI67" s="203">
        <f>CI64+CI65+CI66</f>
        <v>125</v>
      </c>
      <c r="CJ67" s="204">
        <f>CJ64+CJ65+CJ66</f>
        <v>125</v>
      </c>
      <c r="CK67" s="204">
        <f>CK64+CK65+CK66</f>
        <v>135</v>
      </c>
      <c r="CL67" s="204">
        <f>CL64+CL65+CL66</f>
        <v>135</v>
      </c>
      <c r="CM67" s="205">
        <f>CI67+CJ67+CK67+CL67</f>
        <v>520</v>
      </c>
      <c r="CO67" s="203">
        <f>CO64+CO65+CO66</f>
        <v>125</v>
      </c>
      <c r="CP67" s="204">
        <f>CP64+CP65+CP66</f>
        <v>120</v>
      </c>
      <c r="CQ67" s="204">
        <f>CQ64+CQ65+CQ66</f>
        <v>120</v>
      </c>
      <c r="CR67" s="204">
        <f>CR64+CR65+CR66</f>
        <v>135</v>
      </c>
      <c r="CS67" s="205">
        <f>CO67+CP67+CQ67+CR67</f>
        <v>500</v>
      </c>
      <c r="CU67" s="203">
        <f>CU64+CU65+CU66</f>
        <v>120</v>
      </c>
      <c r="CV67" s="204">
        <f>CV64+CV65+CV66</f>
        <v>120</v>
      </c>
      <c r="CW67" s="204">
        <f>CW64+CW65+CW66</f>
        <v>120</v>
      </c>
      <c r="CX67" s="204">
        <f>CX64+CX65+CX66</f>
        <v>125</v>
      </c>
      <c r="CY67" s="205">
        <f>CU67+CV67+CW67+CX67</f>
        <v>485</v>
      </c>
      <c r="DA67" s="203">
        <f>DA64+DA65+DA66</f>
        <v>125</v>
      </c>
      <c r="DB67" s="204">
        <f>DB64+DB65+DB66</f>
        <v>125</v>
      </c>
      <c r="DC67" s="204">
        <f>DC64+DC65+DC66</f>
        <v>125</v>
      </c>
      <c r="DD67" s="204">
        <f>DD64+DD65+DD66</f>
        <v>125</v>
      </c>
      <c r="DE67" s="205">
        <f>DA67+DB67+DC67+DD67</f>
        <v>500</v>
      </c>
      <c r="DG67" s="203">
        <f>DG64+DG65+DG66</f>
        <v>125</v>
      </c>
      <c r="DH67" s="204">
        <f>DH64+DH65+DH66</f>
        <v>125</v>
      </c>
      <c r="DI67" s="204">
        <f>DI64+DI65+DI66</f>
        <v>125</v>
      </c>
      <c r="DJ67" s="204">
        <f>DJ64+DJ65+DJ66</f>
        <v>125</v>
      </c>
      <c r="DK67" s="205">
        <f>DG67+DH67+DI67+DJ67</f>
        <v>500</v>
      </c>
    </row>
    <row r="68" spans="1:115" x14ac:dyDescent="0.2">
      <c r="A68" s="226"/>
      <c r="B68" s="388"/>
      <c r="C68" s="203"/>
      <c r="D68" s="204"/>
      <c r="E68" s="204"/>
      <c r="F68" s="204"/>
      <c r="G68" s="205"/>
      <c r="H68" s="129"/>
      <c r="I68" s="203"/>
      <c r="J68" s="204"/>
      <c r="K68" s="204"/>
      <c r="L68" s="204"/>
      <c r="M68" s="205"/>
      <c r="N68" s="129"/>
      <c r="O68" s="203"/>
      <c r="P68" s="204"/>
      <c r="Q68" s="204"/>
      <c r="R68" s="204"/>
      <c r="S68" s="205"/>
      <c r="U68" s="144"/>
      <c r="V68" s="107"/>
      <c r="W68" s="107"/>
      <c r="X68" s="107"/>
      <c r="Y68" s="145"/>
      <c r="AA68" s="232"/>
      <c r="AB68" s="107"/>
      <c r="AC68" s="107"/>
      <c r="AD68" s="107"/>
      <c r="AE68" s="145"/>
      <c r="AG68" s="232"/>
      <c r="AH68" s="107"/>
      <c r="AI68" s="107"/>
      <c r="AJ68" s="107"/>
      <c r="AK68" s="145"/>
      <c r="AM68" s="232"/>
      <c r="AN68" s="107"/>
      <c r="AO68" s="107"/>
      <c r="AP68" s="107"/>
      <c r="AQ68" s="145"/>
      <c r="AS68" s="232"/>
      <c r="AT68" s="107"/>
      <c r="AU68" s="107"/>
      <c r="AV68" s="107"/>
      <c r="AW68" s="145"/>
      <c r="AY68" s="232"/>
      <c r="AZ68" s="107"/>
      <c r="BA68" s="107"/>
      <c r="BB68" s="107"/>
      <c r="BC68" s="145"/>
      <c r="BE68" s="232"/>
      <c r="BF68" s="107"/>
      <c r="BG68" s="107"/>
      <c r="BH68" s="107"/>
      <c r="BI68" s="145"/>
      <c r="BK68" s="232"/>
      <c r="BL68" s="107"/>
      <c r="BM68" s="107"/>
      <c r="BN68" s="107"/>
      <c r="BO68" s="145"/>
      <c r="BQ68" s="232"/>
      <c r="BR68" s="107"/>
      <c r="BS68" s="107"/>
      <c r="BT68" s="107"/>
      <c r="BU68" s="145"/>
      <c r="BW68" s="232"/>
      <c r="BX68" s="107"/>
      <c r="BY68" s="107"/>
      <c r="BZ68" s="107"/>
      <c r="CA68" s="145"/>
      <c r="CC68" s="232"/>
      <c r="CD68" s="107"/>
      <c r="CE68" s="107"/>
      <c r="CF68" s="107"/>
      <c r="CG68" s="145"/>
      <c r="CI68" s="232"/>
      <c r="CJ68" s="107"/>
      <c r="CK68" s="107"/>
      <c r="CL68" s="107"/>
      <c r="CM68" s="145"/>
      <c r="CO68" s="232"/>
      <c r="CP68" s="107"/>
      <c r="CQ68" s="107"/>
      <c r="CR68" s="107"/>
      <c r="CS68" s="145"/>
      <c r="CU68" s="232"/>
      <c r="CV68" s="107"/>
      <c r="CW68" s="107"/>
      <c r="CX68" s="107"/>
      <c r="CY68" s="145"/>
      <c r="DA68" s="232"/>
      <c r="DB68" s="107"/>
      <c r="DC68" s="107"/>
      <c r="DD68" s="107"/>
      <c r="DE68" s="145"/>
      <c r="DG68" s="232"/>
      <c r="DH68" s="107"/>
      <c r="DI68" s="107"/>
      <c r="DJ68" s="107"/>
      <c r="DK68" s="145"/>
    </row>
    <row r="69" spans="1:115" x14ac:dyDescent="0.2">
      <c r="A69" s="226"/>
      <c r="B69" s="388" t="s">
        <v>87</v>
      </c>
      <c r="C69" s="203"/>
      <c r="D69" s="204"/>
      <c r="E69" s="204"/>
      <c r="F69" s="204"/>
      <c r="G69" s="205"/>
      <c r="H69" s="129"/>
      <c r="I69" s="203"/>
      <c r="J69" s="204"/>
      <c r="K69" s="204"/>
      <c r="L69" s="204"/>
      <c r="M69" s="205"/>
      <c r="N69" s="129"/>
      <c r="O69" s="203"/>
      <c r="P69" s="204"/>
      <c r="Q69" s="204"/>
      <c r="R69" s="204"/>
      <c r="S69" s="205"/>
      <c r="U69" s="144"/>
      <c r="V69" s="107"/>
      <c r="W69" s="107"/>
      <c r="X69" s="107"/>
      <c r="Y69" s="145"/>
      <c r="AA69" s="232"/>
      <c r="AB69" s="107"/>
      <c r="AC69" s="107"/>
      <c r="AD69" s="107"/>
      <c r="AE69" s="145"/>
      <c r="AG69" s="232"/>
      <c r="AH69" s="107"/>
      <c r="AI69" s="107"/>
      <c r="AJ69" s="107"/>
      <c r="AK69" s="145"/>
      <c r="AM69" s="232"/>
      <c r="AN69" s="107"/>
      <c r="AO69" s="107"/>
      <c r="AP69" s="107"/>
      <c r="AQ69" s="145"/>
      <c r="AS69" s="232"/>
      <c r="AT69" s="107"/>
      <c r="AU69" s="107"/>
      <c r="AV69" s="107"/>
      <c r="AW69" s="145"/>
      <c r="AY69" s="232"/>
      <c r="AZ69" s="107"/>
      <c r="BA69" s="107"/>
      <c r="BB69" s="107"/>
      <c r="BC69" s="145"/>
      <c r="BE69" s="232"/>
      <c r="BF69" s="107"/>
      <c r="BG69" s="107"/>
      <c r="BH69" s="107"/>
      <c r="BI69" s="145"/>
      <c r="BK69" s="232"/>
      <c r="BL69" s="107"/>
      <c r="BM69" s="107"/>
      <c r="BN69" s="107"/>
      <c r="BO69" s="145"/>
      <c r="BQ69" s="232"/>
      <c r="BR69" s="107"/>
      <c r="BS69" s="107"/>
      <c r="BT69" s="107"/>
      <c r="BU69" s="145"/>
      <c r="BW69" s="232"/>
      <c r="BX69" s="107"/>
      <c r="BY69" s="107"/>
      <c r="BZ69" s="107"/>
      <c r="CA69" s="145"/>
      <c r="CC69" s="232"/>
      <c r="CD69" s="107"/>
      <c r="CE69" s="107"/>
      <c r="CF69" s="107"/>
      <c r="CG69" s="145"/>
      <c r="CI69" s="232"/>
      <c r="CJ69" s="107"/>
      <c r="CK69" s="107"/>
      <c r="CL69" s="107"/>
      <c r="CM69" s="145"/>
      <c r="CO69" s="232"/>
      <c r="CP69" s="107"/>
      <c r="CQ69" s="107"/>
      <c r="CR69" s="107"/>
      <c r="CS69" s="145"/>
      <c r="CU69" s="232"/>
      <c r="CV69" s="107"/>
      <c r="CW69" s="107"/>
      <c r="CX69" s="107"/>
      <c r="CY69" s="145"/>
      <c r="DA69" s="232"/>
      <c r="DB69" s="107"/>
      <c r="DC69" s="107"/>
      <c r="DD69" s="107"/>
      <c r="DE69" s="145"/>
      <c r="DG69" s="232"/>
      <c r="DH69" s="107"/>
      <c r="DI69" s="107"/>
      <c r="DJ69" s="107"/>
      <c r="DK69" s="145"/>
    </row>
    <row r="70" spans="1:115" x14ac:dyDescent="0.2">
      <c r="A70" s="226"/>
      <c r="B70" s="361" t="s">
        <v>78</v>
      </c>
      <c r="C70" s="237">
        <f t="shared" ref="C70:G72" si="39">C64/C$67</f>
        <v>0.92718446601941751</v>
      </c>
      <c r="D70" s="233">
        <f t="shared" si="39"/>
        <v>0.36461388074291301</v>
      </c>
      <c r="E70" s="233">
        <f t="shared" si="39"/>
        <v>0.5161290322580645</v>
      </c>
      <c r="F70" s="233">
        <f t="shared" si="39"/>
        <v>0.46714031971580816</v>
      </c>
      <c r="G70" s="234">
        <f t="shared" si="39"/>
        <v>0.79680183761816414</v>
      </c>
      <c r="H70" s="129"/>
      <c r="I70" s="237">
        <f t="shared" ref="I70:M72" si="40">I64/I$67</f>
        <v>0.40253920836445106</v>
      </c>
      <c r="J70" s="233">
        <f t="shared" si="40"/>
        <v>0.45945945945945948</v>
      </c>
      <c r="K70" s="233">
        <f t="shared" si="40"/>
        <v>0.46236559139784944</v>
      </c>
      <c r="L70" s="233">
        <f t="shared" si="40"/>
        <v>0.62300884955752212</v>
      </c>
      <c r="M70" s="234">
        <f t="shared" si="40"/>
        <v>0.46487603305785125</v>
      </c>
      <c r="N70" s="129"/>
      <c r="O70" s="237">
        <f t="shared" ref="O70:S72" si="41">O64/O$67</f>
        <v>0.55084745762711862</v>
      </c>
      <c r="P70" s="233">
        <f t="shared" si="41"/>
        <v>0.7357357357357357</v>
      </c>
      <c r="Q70" s="233">
        <f t="shared" si="41"/>
        <v>0.25174825174825177</v>
      </c>
      <c r="R70" s="233">
        <f t="shared" si="41"/>
        <v>0.3851203501094092</v>
      </c>
      <c r="S70" s="234">
        <f t="shared" si="41"/>
        <v>0.49495515695067266</v>
      </c>
      <c r="U70" s="237">
        <f t="shared" ref="U70:V72" si="42">U64/U$67</f>
        <v>0.376</v>
      </c>
      <c r="V70" s="233">
        <f t="shared" si="42"/>
        <v>1.0483870967741935</v>
      </c>
      <c r="W70" s="233">
        <f t="shared" ref="W70:Y72" si="43">W64/W$67</f>
        <v>0.17562724014336917</v>
      </c>
      <c r="X70" s="233">
        <f t="shared" si="43"/>
        <v>0.28947368421052633</v>
      </c>
      <c r="Y70" s="234">
        <f t="shared" si="43"/>
        <v>0.37178487918939984</v>
      </c>
      <c r="AA70" s="237">
        <f t="shared" ref="AA70:AE72" si="44">AA64/AA$67</f>
        <v>0.27058823529411763</v>
      </c>
      <c r="AB70" s="233">
        <f t="shared" si="44"/>
        <v>0.34426229508196721</v>
      </c>
      <c r="AC70" s="233">
        <f t="shared" si="44"/>
        <v>0.24870466321243523</v>
      </c>
      <c r="AD70" s="233">
        <f t="shared" si="44"/>
        <v>0.23357664233576642</v>
      </c>
      <c r="AE70" s="234">
        <f t="shared" si="44"/>
        <v>0.27376760563380281</v>
      </c>
      <c r="AG70" s="237">
        <f t="shared" ref="AG70:AK72" si="45">AG64/AG$67</f>
        <v>0.31677018633540371</v>
      </c>
      <c r="AH70" s="233">
        <f t="shared" si="45"/>
        <v>0.23857868020304568</v>
      </c>
      <c r="AI70" s="233">
        <f t="shared" si="45"/>
        <v>0.2857142857142857</v>
      </c>
      <c r="AJ70" s="233">
        <f t="shared" si="45"/>
        <v>1.9607843137254902E-2</v>
      </c>
      <c r="AK70" s="234">
        <f t="shared" si="45"/>
        <v>0.22913719943422914</v>
      </c>
      <c r="AM70" s="237">
        <f t="shared" ref="AM70:AQ72" si="46">AM64/AM$67</f>
        <v>4.5584045584045586E-2</v>
      </c>
      <c r="AN70" s="233">
        <f t="shared" si="46"/>
        <v>-7.5581395348837205E-2</v>
      </c>
      <c r="AO70" s="233">
        <f t="shared" si="46"/>
        <v>-0.35338345864661652</v>
      </c>
      <c r="AP70" s="233">
        <f t="shared" si="46"/>
        <v>-9.1269841269841265E-2</v>
      </c>
      <c r="AQ70" s="234">
        <f t="shared" si="46"/>
        <v>-7.3788546255506612E-2</v>
      </c>
      <c r="AS70" s="237">
        <f t="shared" ref="AS70:AW72" si="47">AS64/AS$67</f>
        <v>-2.4590163934426229E-2</v>
      </c>
      <c r="AT70" s="233">
        <f t="shared" si="47"/>
        <v>-1.9230769230769232E-2</v>
      </c>
      <c r="AU70" s="233">
        <f t="shared" si="47"/>
        <v>-3.5856573705179286E-2</v>
      </c>
      <c r="AV70" s="233">
        <f t="shared" si="47"/>
        <v>7.7490774907749083E-2</v>
      </c>
      <c r="AW70" s="234">
        <f t="shared" si="47"/>
        <v>9.7465886939571145E-4</v>
      </c>
      <c r="AY70" s="237">
        <f t="shared" ref="AY70:BC72" si="48">AY64/AY$67</f>
        <v>0.20212765957446807</v>
      </c>
      <c r="AZ70" s="233">
        <f t="shared" si="48"/>
        <v>0.31640625</v>
      </c>
      <c r="BA70" s="233">
        <f t="shared" si="48"/>
        <v>0.30830039525691699</v>
      </c>
      <c r="BB70" s="233">
        <f t="shared" si="48"/>
        <v>0.17582417582417584</v>
      </c>
      <c r="BC70" s="234">
        <f t="shared" si="48"/>
        <v>0.24438687392055267</v>
      </c>
      <c r="BE70" s="237">
        <f t="shared" ref="BE70:BI72" si="49">BE64/BE$67</f>
        <v>0.15816326530612246</v>
      </c>
      <c r="BF70" s="233">
        <f t="shared" si="49"/>
        <v>0.16452442159383032</v>
      </c>
      <c r="BG70" s="233">
        <f t="shared" si="49"/>
        <v>0.22413793103448276</v>
      </c>
      <c r="BH70" s="233">
        <f t="shared" si="49"/>
        <v>0.30851063829787234</v>
      </c>
      <c r="BI70" s="234">
        <f t="shared" si="49"/>
        <v>0.20546932742054694</v>
      </c>
      <c r="BK70" s="237">
        <f t="shared" ref="BK70:BO72" si="50">BK64/BK$67</f>
        <v>0.25093632958801498</v>
      </c>
      <c r="BL70" s="233">
        <f t="shared" si="50"/>
        <v>0.16974169741697417</v>
      </c>
      <c r="BM70" s="233">
        <f t="shared" si="50"/>
        <v>0.34146341463414637</v>
      </c>
      <c r="BN70" s="233">
        <f t="shared" si="50"/>
        <v>0.3161094224924012</v>
      </c>
      <c r="BO70" s="234">
        <f t="shared" si="50"/>
        <v>0.26772388059701491</v>
      </c>
      <c r="BQ70" s="237">
        <f t="shared" ref="BQ70:BU72" si="51">BQ64/BQ$67</f>
        <v>0.29411764705882354</v>
      </c>
      <c r="BR70" s="233">
        <f t="shared" si="51"/>
        <v>0.25531914893617019</v>
      </c>
      <c r="BS70" s="233">
        <f t="shared" si="51"/>
        <v>0.35714285714285715</v>
      </c>
      <c r="BT70" s="233">
        <f t="shared" si="51"/>
        <v>0.4</v>
      </c>
      <c r="BU70" s="234">
        <f t="shared" si="51"/>
        <v>0.32432432432432434</v>
      </c>
      <c r="BW70" s="237">
        <f t="shared" ref="BW70:CA72" si="52">BW64/BW$67</f>
        <v>0.31818181818181818</v>
      </c>
      <c r="BX70" s="233">
        <f t="shared" si="52"/>
        <v>0.28205128205128205</v>
      </c>
      <c r="BY70" s="233">
        <f t="shared" si="52"/>
        <v>0.39393939393939392</v>
      </c>
      <c r="BZ70" s="233">
        <f t="shared" si="52"/>
        <v>0.36363636363636365</v>
      </c>
      <c r="CA70" s="234">
        <f t="shared" si="52"/>
        <v>0.33750000000000002</v>
      </c>
      <c r="CC70" s="237">
        <f t="shared" ref="CC70:CG72" si="53">CC64/CC$67</f>
        <v>0.44827586206896552</v>
      </c>
      <c r="CD70" s="233">
        <f t="shared" si="53"/>
        <v>0.32258064516129031</v>
      </c>
      <c r="CE70" s="233">
        <f t="shared" si="53"/>
        <v>0.36363636363636365</v>
      </c>
      <c r="CF70" s="233">
        <f t="shared" si="53"/>
        <v>0.4838709677419355</v>
      </c>
      <c r="CG70" s="234">
        <f t="shared" si="53"/>
        <v>0.40322580645161288</v>
      </c>
      <c r="CI70" s="237">
        <f t="shared" ref="CI70:CM72" si="54">CI64/CI$67</f>
        <v>0.48</v>
      </c>
      <c r="CJ70" s="233">
        <f t="shared" si="54"/>
        <v>0.4</v>
      </c>
      <c r="CK70" s="233">
        <f t="shared" si="54"/>
        <v>0.40740740740740738</v>
      </c>
      <c r="CL70" s="233">
        <f t="shared" si="54"/>
        <v>0.51851851851851849</v>
      </c>
      <c r="CM70" s="234">
        <f t="shared" si="54"/>
        <v>0.45192307692307693</v>
      </c>
      <c r="CO70" s="237">
        <f t="shared" ref="CO70:CS72" si="55">CO64/CO$67</f>
        <v>0.44</v>
      </c>
      <c r="CP70" s="233">
        <f t="shared" si="55"/>
        <v>0.41666666666666669</v>
      </c>
      <c r="CQ70" s="233">
        <f t="shared" si="55"/>
        <v>0.41666666666666669</v>
      </c>
      <c r="CR70" s="233">
        <f t="shared" si="55"/>
        <v>0.48148148148148145</v>
      </c>
      <c r="CS70" s="234">
        <f t="shared" si="55"/>
        <v>0.44</v>
      </c>
      <c r="CU70" s="237">
        <f t="shared" ref="CU70:CY72" si="56">CU64/CU$67</f>
        <v>0.41666666666666669</v>
      </c>
      <c r="CV70" s="233">
        <f t="shared" si="56"/>
        <v>0.41666666666666669</v>
      </c>
      <c r="CW70" s="233">
        <f t="shared" si="56"/>
        <v>0.41666666666666669</v>
      </c>
      <c r="CX70" s="233">
        <f t="shared" si="56"/>
        <v>0.44</v>
      </c>
      <c r="CY70" s="234">
        <f t="shared" si="56"/>
        <v>0.42268041237113402</v>
      </c>
      <c r="DA70" s="237">
        <f t="shared" ref="DA70:DE72" si="57">DA64/DA$67</f>
        <v>0.4</v>
      </c>
      <c r="DB70" s="233">
        <f t="shared" si="57"/>
        <v>0.4</v>
      </c>
      <c r="DC70" s="233">
        <f t="shared" si="57"/>
        <v>0.4</v>
      </c>
      <c r="DD70" s="233">
        <f t="shared" si="57"/>
        <v>0.4</v>
      </c>
      <c r="DE70" s="234">
        <f t="shared" si="57"/>
        <v>0.4</v>
      </c>
      <c r="DG70" s="237">
        <f t="shared" ref="DG70:DK72" si="58">DG64/DG$67</f>
        <v>0.4</v>
      </c>
      <c r="DH70" s="233">
        <f t="shared" si="58"/>
        <v>0.4</v>
      </c>
      <c r="DI70" s="233">
        <f t="shared" si="58"/>
        <v>0.4</v>
      </c>
      <c r="DJ70" s="233">
        <f t="shared" si="58"/>
        <v>0.4</v>
      </c>
      <c r="DK70" s="234">
        <f t="shared" si="58"/>
        <v>0.4</v>
      </c>
    </row>
    <row r="71" spans="1:115" x14ac:dyDescent="0.2">
      <c r="A71" s="226"/>
      <c r="B71" s="361" t="s">
        <v>79</v>
      </c>
      <c r="C71" s="237">
        <f t="shared" si="39"/>
        <v>6.0679611650485438E-2</v>
      </c>
      <c r="D71" s="233">
        <f t="shared" si="39"/>
        <v>0.5376344086021505</v>
      </c>
      <c r="E71" s="233">
        <f t="shared" si="39"/>
        <v>0.37634408602150538</v>
      </c>
      <c r="F71" s="233">
        <f t="shared" si="39"/>
        <v>0.44404973357015987</v>
      </c>
      <c r="G71" s="234">
        <f t="shared" si="39"/>
        <v>0.16785935153282092</v>
      </c>
      <c r="H71" s="129"/>
      <c r="I71" s="237">
        <f t="shared" si="40"/>
        <v>0.37341299477221807</v>
      </c>
      <c r="J71" s="233">
        <f t="shared" si="40"/>
        <v>0.40540540540540543</v>
      </c>
      <c r="K71" s="233">
        <f t="shared" si="40"/>
        <v>0.26881720430107525</v>
      </c>
      <c r="L71" s="233">
        <f t="shared" si="40"/>
        <v>0.2</v>
      </c>
      <c r="M71" s="234">
        <f t="shared" si="40"/>
        <v>0.32851239669421489</v>
      </c>
      <c r="N71" s="129"/>
      <c r="O71" s="237">
        <f t="shared" si="41"/>
        <v>0.30790960451977401</v>
      </c>
      <c r="P71" s="233">
        <f t="shared" si="41"/>
        <v>-3.6036036036036036E-2</v>
      </c>
      <c r="Q71" s="233">
        <f t="shared" si="41"/>
        <v>4.8951048951048952E-2</v>
      </c>
      <c r="R71" s="233">
        <f t="shared" si="41"/>
        <v>0.39606126914660833</v>
      </c>
      <c r="S71" s="234">
        <f t="shared" si="41"/>
        <v>0.22477578475336324</v>
      </c>
      <c r="U71" s="237">
        <f t="shared" si="42"/>
        <v>0.224</v>
      </c>
      <c r="V71" s="233">
        <f t="shared" si="42"/>
        <v>-0.85483870967741937</v>
      </c>
      <c r="W71" s="233">
        <f t="shared" si="43"/>
        <v>0.10752688172043011</v>
      </c>
      <c r="X71" s="233">
        <f t="shared" si="43"/>
        <v>0.35526315789473684</v>
      </c>
      <c r="Y71" s="234">
        <f t="shared" si="43"/>
        <v>0.1332813717848792</v>
      </c>
      <c r="AA71" s="237">
        <f t="shared" ref="AA71:AD72" si="59">AA65/AA$67</f>
        <v>0.2</v>
      </c>
      <c r="AB71" s="233">
        <f t="shared" si="59"/>
        <v>-8.1967213114754092E-2</v>
      </c>
      <c r="AC71" s="233">
        <f t="shared" si="59"/>
        <v>0.12953367875647667</v>
      </c>
      <c r="AD71" s="233">
        <f t="shared" si="59"/>
        <v>3.6496350364963501E-2</v>
      </c>
      <c r="AE71" s="234">
        <f t="shared" si="44"/>
        <v>8.8028169014084501E-2</v>
      </c>
      <c r="AG71" s="237">
        <f t="shared" si="45"/>
        <v>1.5527950310559006E-2</v>
      </c>
      <c r="AH71" s="233">
        <f t="shared" si="45"/>
        <v>0</v>
      </c>
      <c r="AI71" s="233">
        <f t="shared" si="45"/>
        <v>-4.2857142857142856</v>
      </c>
      <c r="AJ71" s="233">
        <f t="shared" si="45"/>
        <v>-0.32679738562091504</v>
      </c>
      <c r="AK71" s="234">
        <f t="shared" si="45"/>
        <v>-0.27581329561527579</v>
      </c>
      <c r="AM71" s="237">
        <f t="shared" si="46"/>
        <v>0.21367521367521367</v>
      </c>
      <c r="AN71" s="233">
        <f t="shared" si="46"/>
        <v>0.14534883720930233</v>
      </c>
      <c r="AO71" s="233">
        <f t="shared" si="46"/>
        <v>-0.15037593984962405</v>
      </c>
      <c r="AP71" s="233">
        <f t="shared" si="46"/>
        <v>0.1984126984126984</v>
      </c>
      <c r="AQ71" s="234">
        <f t="shared" si="46"/>
        <v>0.14317180616740088</v>
      </c>
      <c r="AS71" s="237">
        <f t="shared" si="47"/>
        <v>0.20491803278688525</v>
      </c>
      <c r="AT71" s="233">
        <f t="shared" si="47"/>
        <v>0.34615384615384615</v>
      </c>
      <c r="AU71" s="233">
        <f t="shared" si="47"/>
        <v>0.23904382470119523</v>
      </c>
      <c r="AV71" s="233">
        <f t="shared" si="47"/>
        <v>9.2250922509225092E-2</v>
      </c>
      <c r="AW71" s="234">
        <f t="shared" si="47"/>
        <v>0.21929824561403508</v>
      </c>
      <c r="AY71" s="237">
        <f t="shared" si="48"/>
        <v>0.13297872340425532</v>
      </c>
      <c r="AZ71" s="233">
        <f t="shared" si="48"/>
        <v>9.765625E-2</v>
      </c>
      <c r="BA71" s="233">
        <f t="shared" si="48"/>
        <v>-9.8814229249011856E-2</v>
      </c>
      <c r="BB71" s="233">
        <f t="shared" si="48"/>
        <v>0.23809523809523808</v>
      </c>
      <c r="BC71" s="234">
        <f t="shared" si="48"/>
        <v>9.9309153713298792E-2</v>
      </c>
      <c r="BE71" s="237">
        <f t="shared" si="49"/>
        <v>0.48469387755102039</v>
      </c>
      <c r="BF71" s="233">
        <f t="shared" si="49"/>
        <v>0.38560411311053983</v>
      </c>
      <c r="BG71" s="233">
        <f t="shared" si="49"/>
        <v>0.34482758620689657</v>
      </c>
      <c r="BH71" s="233">
        <f t="shared" si="49"/>
        <v>0.15957446808510639</v>
      </c>
      <c r="BI71" s="234">
        <f t="shared" si="49"/>
        <v>0.35846267553584626</v>
      </c>
      <c r="BK71" s="237">
        <f t="shared" si="50"/>
        <v>0.2808988764044944</v>
      </c>
      <c r="BL71" s="233">
        <f t="shared" si="50"/>
        <v>0.2767527675276753</v>
      </c>
      <c r="BM71" s="233">
        <f t="shared" si="50"/>
        <v>0.29268292682926828</v>
      </c>
      <c r="BN71" s="233">
        <f t="shared" si="50"/>
        <v>0.303951367781155</v>
      </c>
      <c r="BO71" s="234">
        <f t="shared" si="50"/>
        <v>0.28917910447761191</v>
      </c>
      <c r="BQ71" s="237">
        <f t="shared" si="51"/>
        <v>0.21568627450980393</v>
      </c>
      <c r="BR71" s="233">
        <f t="shared" si="51"/>
        <v>0.21276595744680851</v>
      </c>
      <c r="BS71" s="233">
        <f t="shared" si="51"/>
        <v>0.16666666666666666</v>
      </c>
      <c r="BT71" s="233">
        <f t="shared" si="51"/>
        <v>0.15555555555555556</v>
      </c>
      <c r="BU71" s="234">
        <f t="shared" si="51"/>
        <v>0.1891891891891892</v>
      </c>
      <c r="BW71" s="237">
        <f t="shared" si="52"/>
        <v>0.11363636363636363</v>
      </c>
      <c r="BX71" s="233">
        <f t="shared" si="52"/>
        <v>7.6923076923076927E-2</v>
      </c>
      <c r="BY71" s="233">
        <f t="shared" si="52"/>
        <v>0</v>
      </c>
      <c r="BZ71" s="233">
        <f t="shared" si="52"/>
        <v>6.8181818181818177E-2</v>
      </c>
      <c r="CA71" s="234">
        <f t="shared" si="52"/>
        <v>6.8750000000000006E-2</v>
      </c>
      <c r="CC71" s="237">
        <f t="shared" si="53"/>
        <v>-0.13793103448275862</v>
      </c>
      <c r="CD71" s="233">
        <f t="shared" si="53"/>
        <v>-0.12903225806451613</v>
      </c>
      <c r="CE71" s="233">
        <f t="shared" si="53"/>
        <v>-0.12121212121212122</v>
      </c>
      <c r="CF71" s="233">
        <f t="shared" si="53"/>
        <v>-0.12903225806451613</v>
      </c>
      <c r="CG71" s="234">
        <f t="shared" si="53"/>
        <v>-0.12903225806451613</v>
      </c>
      <c r="CI71" s="237">
        <f t="shared" si="54"/>
        <v>-0.28000000000000003</v>
      </c>
      <c r="CJ71" s="233">
        <f t="shared" si="54"/>
        <v>-0.28000000000000003</v>
      </c>
      <c r="CK71" s="233">
        <f t="shared" si="54"/>
        <v>-0.25925925925925924</v>
      </c>
      <c r="CL71" s="233">
        <f t="shared" si="54"/>
        <v>-0.25925925925925924</v>
      </c>
      <c r="CM71" s="234">
        <f t="shared" si="54"/>
        <v>-0.26923076923076922</v>
      </c>
      <c r="CO71" s="237">
        <f t="shared" si="55"/>
        <v>-0.24</v>
      </c>
      <c r="CP71" s="233">
        <f t="shared" si="55"/>
        <v>-0.25</v>
      </c>
      <c r="CQ71" s="233">
        <f t="shared" si="55"/>
        <v>-0.25</v>
      </c>
      <c r="CR71" s="233">
        <f t="shared" si="55"/>
        <v>-0.22222222222222221</v>
      </c>
      <c r="CS71" s="234">
        <f t="shared" si="55"/>
        <v>-0.24</v>
      </c>
      <c r="CU71" s="237">
        <f t="shared" si="56"/>
        <v>-0.25</v>
      </c>
      <c r="CV71" s="233">
        <f t="shared" si="56"/>
        <v>-0.25</v>
      </c>
      <c r="CW71" s="233">
        <f t="shared" si="56"/>
        <v>-0.25</v>
      </c>
      <c r="CX71" s="233">
        <f t="shared" si="56"/>
        <v>-0.24</v>
      </c>
      <c r="CY71" s="234">
        <f t="shared" si="56"/>
        <v>-0.24742268041237114</v>
      </c>
      <c r="DA71" s="237">
        <f t="shared" si="57"/>
        <v>-0.2</v>
      </c>
      <c r="DB71" s="233">
        <f t="shared" si="57"/>
        <v>-0.2</v>
      </c>
      <c r="DC71" s="233">
        <f t="shared" si="57"/>
        <v>-0.2</v>
      </c>
      <c r="DD71" s="233">
        <f t="shared" si="57"/>
        <v>-0.2</v>
      </c>
      <c r="DE71" s="234">
        <f t="shared" si="57"/>
        <v>-0.2</v>
      </c>
      <c r="DG71" s="237">
        <f t="shared" si="58"/>
        <v>-0.2</v>
      </c>
      <c r="DH71" s="233">
        <f t="shared" si="58"/>
        <v>-0.2</v>
      </c>
      <c r="DI71" s="233">
        <f t="shared" si="58"/>
        <v>-0.2</v>
      </c>
      <c r="DJ71" s="233">
        <f t="shared" si="58"/>
        <v>-0.2</v>
      </c>
      <c r="DK71" s="234">
        <f t="shared" si="58"/>
        <v>-0.2</v>
      </c>
    </row>
    <row r="72" spans="1:115" x14ac:dyDescent="0.2">
      <c r="A72" s="226"/>
      <c r="B72" s="361" t="s">
        <v>81</v>
      </c>
      <c r="C72" s="237">
        <f t="shared" si="39"/>
        <v>1.2135922330097087E-2</v>
      </c>
      <c r="D72" s="233">
        <f t="shared" si="39"/>
        <v>9.7751710654936458E-2</v>
      </c>
      <c r="E72" s="233">
        <f t="shared" si="39"/>
        <v>0.10752688172043011</v>
      </c>
      <c r="F72" s="233">
        <f t="shared" si="39"/>
        <v>8.8809946714031973E-2</v>
      </c>
      <c r="G72" s="234">
        <f t="shared" si="39"/>
        <v>3.5338810849014933E-2</v>
      </c>
      <c r="H72" s="129"/>
      <c r="I72" s="237">
        <f t="shared" si="40"/>
        <v>0.22404779686333084</v>
      </c>
      <c r="J72" s="233">
        <f t="shared" si="40"/>
        <v>0.13513513513513514</v>
      </c>
      <c r="K72" s="233">
        <f t="shared" si="40"/>
        <v>0.26881720430107525</v>
      </c>
      <c r="L72" s="233">
        <f t="shared" si="40"/>
        <v>0.17699115044247787</v>
      </c>
      <c r="M72" s="234">
        <f t="shared" si="40"/>
        <v>0.20661157024793389</v>
      </c>
      <c r="N72" s="129"/>
      <c r="O72" s="237">
        <f t="shared" si="41"/>
        <v>0.14124293785310735</v>
      </c>
      <c r="P72" s="233">
        <f t="shared" si="41"/>
        <v>0.3003003003003003</v>
      </c>
      <c r="Q72" s="233">
        <f t="shared" si="41"/>
        <v>0.69930069930069927</v>
      </c>
      <c r="R72" s="233">
        <f t="shared" si="41"/>
        <v>0.21881838074398249</v>
      </c>
      <c r="S72" s="234">
        <f t="shared" si="41"/>
        <v>0.2802690582959641</v>
      </c>
      <c r="U72" s="237">
        <f t="shared" si="42"/>
        <v>0.4</v>
      </c>
      <c r="V72" s="233">
        <f t="shared" si="42"/>
        <v>0.80645161290322576</v>
      </c>
      <c r="W72" s="233">
        <f t="shared" si="43"/>
        <v>0.71684587813620071</v>
      </c>
      <c r="X72" s="233">
        <f t="shared" si="43"/>
        <v>0.35526315789473684</v>
      </c>
      <c r="Y72" s="234">
        <f t="shared" si="43"/>
        <v>0.49493374902572096</v>
      </c>
      <c r="AA72" s="237">
        <f t="shared" si="59"/>
        <v>0.52941176470588236</v>
      </c>
      <c r="AB72" s="233">
        <f t="shared" si="59"/>
        <v>0.73770491803278693</v>
      </c>
      <c r="AC72" s="233">
        <f t="shared" si="59"/>
        <v>0.62176165803108807</v>
      </c>
      <c r="AD72" s="233">
        <f t="shared" si="59"/>
        <v>0.72992700729927007</v>
      </c>
      <c r="AE72" s="234">
        <f t="shared" si="44"/>
        <v>0.63820422535211263</v>
      </c>
      <c r="AG72" s="237">
        <f t="shared" si="45"/>
        <v>0.66770186335403725</v>
      </c>
      <c r="AH72" s="233">
        <f t="shared" si="45"/>
        <v>0.76142131979695427</v>
      </c>
      <c r="AI72" s="233">
        <f t="shared" si="45"/>
        <v>5</v>
      </c>
      <c r="AJ72" s="233">
        <f t="shared" si="45"/>
        <v>1.3071895424836601</v>
      </c>
      <c r="AK72" s="234">
        <f t="shared" si="45"/>
        <v>1.0466760961810466</v>
      </c>
      <c r="AM72" s="237">
        <f t="shared" si="46"/>
        <v>0.7407407407407407</v>
      </c>
      <c r="AN72" s="233">
        <f t="shared" si="46"/>
        <v>0.93023255813953487</v>
      </c>
      <c r="AO72" s="233">
        <f t="shared" si="46"/>
        <v>1.5037593984962405</v>
      </c>
      <c r="AP72" s="233">
        <f t="shared" si="46"/>
        <v>0.8928571428571429</v>
      </c>
      <c r="AQ72" s="234">
        <f t="shared" si="46"/>
        <v>0.93061674008810569</v>
      </c>
      <c r="AS72" s="237">
        <f t="shared" si="47"/>
        <v>0.81967213114754101</v>
      </c>
      <c r="AT72" s="233">
        <f t="shared" si="47"/>
        <v>0.67307692307692313</v>
      </c>
      <c r="AU72" s="233">
        <f t="shared" si="47"/>
        <v>0.79681274900398402</v>
      </c>
      <c r="AV72" s="233">
        <f t="shared" si="47"/>
        <v>0.8302583025830258</v>
      </c>
      <c r="AW72" s="234">
        <f t="shared" si="47"/>
        <v>0.77972709551656916</v>
      </c>
      <c r="AY72" s="237">
        <f t="shared" si="48"/>
        <v>0.66489361702127658</v>
      </c>
      <c r="AZ72" s="233">
        <f t="shared" si="48"/>
        <v>0.5859375</v>
      </c>
      <c r="BA72" s="233">
        <f t="shared" si="48"/>
        <v>0.79051383399209485</v>
      </c>
      <c r="BB72" s="233">
        <f t="shared" si="48"/>
        <v>0.58608058608058611</v>
      </c>
      <c r="BC72" s="234">
        <f t="shared" si="48"/>
        <v>0.65630397236614857</v>
      </c>
      <c r="BE72" s="237">
        <f t="shared" si="49"/>
        <v>0.35714285714285715</v>
      </c>
      <c r="BF72" s="233">
        <f t="shared" si="49"/>
        <v>0.44987146529562982</v>
      </c>
      <c r="BG72" s="233">
        <f t="shared" si="49"/>
        <v>0.43103448275862066</v>
      </c>
      <c r="BH72" s="233">
        <f t="shared" si="49"/>
        <v>0.53191489361702127</v>
      </c>
      <c r="BI72" s="234">
        <f t="shared" si="49"/>
        <v>0.43606799704360683</v>
      </c>
      <c r="BK72" s="237">
        <f t="shared" si="50"/>
        <v>0.46816479400749061</v>
      </c>
      <c r="BL72" s="233">
        <f t="shared" si="50"/>
        <v>0.55350553505535061</v>
      </c>
      <c r="BM72" s="233">
        <f t="shared" si="50"/>
        <v>0.36585365853658536</v>
      </c>
      <c r="BN72" s="233">
        <f t="shared" si="50"/>
        <v>0.37993920972644379</v>
      </c>
      <c r="BO72" s="234">
        <f t="shared" si="50"/>
        <v>0.44309701492537312</v>
      </c>
      <c r="BQ72" s="237">
        <f t="shared" si="51"/>
        <v>0.49019607843137253</v>
      </c>
      <c r="BR72" s="233">
        <f t="shared" si="51"/>
        <v>0.53191489361702127</v>
      </c>
      <c r="BS72" s="233">
        <f t="shared" si="51"/>
        <v>0.47619047619047616</v>
      </c>
      <c r="BT72" s="233">
        <f t="shared" si="51"/>
        <v>0.44444444444444442</v>
      </c>
      <c r="BU72" s="234">
        <f t="shared" si="51"/>
        <v>0.48648648648648651</v>
      </c>
      <c r="BW72" s="237">
        <f t="shared" si="52"/>
        <v>0.56818181818181823</v>
      </c>
      <c r="BX72" s="233">
        <f t="shared" si="52"/>
        <v>0.64102564102564108</v>
      </c>
      <c r="BY72" s="233">
        <f t="shared" si="52"/>
        <v>0.60606060606060608</v>
      </c>
      <c r="BZ72" s="233">
        <f t="shared" si="52"/>
        <v>0.56818181818181823</v>
      </c>
      <c r="CA72" s="234">
        <f t="shared" si="52"/>
        <v>0.59375</v>
      </c>
      <c r="CC72" s="237">
        <f t="shared" si="53"/>
        <v>0.68965517241379315</v>
      </c>
      <c r="CD72" s="233">
        <f t="shared" si="53"/>
        <v>0.80645161290322576</v>
      </c>
      <c r="CE72" s="233">
        <f t="shared" si="53"/>
        <v>0.75757575757575757</v>
      </c>
      <c r="CF72" s="233">
        <f t="shared" si="53"/>
        <v>0.64516129032258063</v>
      </c>
      <c r="CG72" s="234">
        <f t="shared" si="53"/>
        <v>0.72580645161290325</v>
      </c>
      <c r="CI72" s="237">
        <f t="shared" si="54"/>
        <v>0.8</v>
      </c>
      <c r="CJ72" s="233">
        <f t="shared" si="54"/>
        <v>0.88</v>
      </c>
      <c r="CK72" s="233">
        <f t="shared" si="54"/>
        <v>0.85185185185185186</v>
      </c>
      <c r="CL72" s="233">
        <f t="shared" si="54"/>
        <v>0.7407407407407407</v>
      </c>
      <c r="CM72" s="234">
        <f t="shared" si="54"/>
        <v>0.81730769230769229</v>
      </c>
      <c r="CO72" s="237">
        <f t="shared" si="55"/>
        <v>0.8</v>
      </c>
      <c r="CP72" s="233">
        <f t="shared" si="55"/>
        <v>0.83333333333333337</v>
      </c>
      <c r="CQ72" s="233">
        <f t="shared" si="55"/>
        <v>0.83333333333333337</v>
      </c>
      <c r="CR72" s="233">
        <f t="shared" si="55"/>
        <v>0.7407407407407407</v>
      </c>
      <c r="CS72" s="234">
        <f t="shared" si="55"/>
        <v>0.8</v>
      </c>
      <c r="CU72" s="237">
        <f t="shared" si="56"/>
        <v>0.83333333333333337</v>
      </c>
      <c r="CV72" s="233">
        <f t="shared" si="56"/>
        <v>0.83333333333333337</v>
      </c>
      <c r="CW72" s="233">
        <f t="shared" si="56"/>
        <v>0.83333333333333337</v>
      </c>
      <c r="CX72" s="233">
        <f t="shared" si="56"/>
        <v>0.8</v>
      </c>
      <c r="CY72" s="234">
        <f t="shared" si="56"/>
        <v>0.82474226804123707</v>
      </c>
      <c r="DA72" s="237">
        <f t="shared" si="57"/>
        <v>0.8</v>
      </c>
      <c r="DB72" s="233">
        <f t="shared" si="57"/>
        <v>0.8</v>
      </c>
      <c r="DC72" s="233">
        <f t="shared" si="57"/>
        <v>0.8</v>
      </c>
      <c r="DD72" s="233">
        <f t="shared" si="57"/>
        <v>0.8</v>
      </c>
      <c r="DE72" s="234">
        <f t="shared" si="57"/>
        <v>0.8</v>
      </c>
      <c r="DG72" s="237">
        <f t="shared" si="58"/>
        <v>0.8</v>
      </c>
      <c r="DH72" s="233">
        <f t="shared" si="58"/>
        <v>0.8</v>
      </c>
      <c r="DI72" s="233">
        <f t="shared" si="58"/>
        <v>0.8</v>
      </c>
      <c r="DJ72" s="233">
        <f t="shared" si="58"/>
        <v>0.8</v>
      </c>
      <c r="DK72" s="234">
        <f t="shared" si="58"/>
        <v>0.8</v>
      </c>
    </row>
    <row r="73" spans="1:115" ht="13.5" thickBot="1" x14ac:dyDescent="0.25">
      <c r="B73" s="389" t="s">
        <v>80</v>
      </c>
      <c r="C73" s="381">
        <f>C70+C71+C72</f>
        <v>1</v>
      </c>
      <c r="D73" s="382">
        <f>D70+D71+D72</f>
        <v>1</v>
      </c>
      <c r="E73" s="382">
        <f>E70+E71+E72</f>
        <v>1</v>
      </c>
      <c r="F73" s="382">
        <f>F70+F71+F72</f>
        <v>1</v>
      </c>
      <c r="G73" s="383">
        <f>G70+G71+G72</f>
        <v>1</v>
      </c>
      <c r="H73" s="384"/>
      <c r="I73" s="381">
        <f>I70+I71+I72</f>
        <v>1</v>
      </c>
      <c r="J73" s="382">
        <f>J70+J71+J72</f>
        <v>1</v>
      </c>
      <c r="K73" s="382">
        <f>K70+K71+K72</f>
        <v>1</v>
      </c>
      <c r="L73" s="382">
        <f>L70+L71+L72</f>
        <v>1</v>
      </c>
      <c r="M73" s="383">
        <f>M70+M71+M72</f>
        <v>1</v>
      </c>
      <c r="N73" s="384"/>
      <c r="O73" s="381">
        <f>O70+O71+O72</f>
        <v>1</v>
      </c>
      <c r="P73" s="382">
        <f>P70+P71+P72</f>
        <v>1</v>
      </c>
      <c r="Q73" s="382">
        <f>Q70+Q71+Q72</f>
        <v>1</v>
      </c>
      <c r="R73" s="382">
        <f>R70+R71+R72</f>
        <v>1</v>
      </c>
      <c r="S73" s="383">
        <f>S70+S71+S72</f>
        <v>1</v>
      </c>
      <c r="T73" s="315"/>
      <c r="U73" s="381">
        <f>U70+U71+U72</f>
        <v>1</v>
      </c>
      <c r="V73" s="382">
        <f>V70+V71+V72</f>
        <v>0.99999999999999989</v>
      </c>
      <c r="W73" s="382">
        <f>W70+W71+W72</f>
        <v>1</v>
      </c>
      <c r="X73" s="382">
        <f>X70+X71+X72</f>
        <v>1</v>
      </c>
      <c r="Y73" s="383">
        <f>Y70+Y71+Y72</f>
        <v>1</v>
      </c>
      <c r="AA73" s="381">
        <f>AA70+AA71+AA72</f>
        <v>1</v>
      </c>
      <c r="AB73" s="382">
        <f>AB70+AB71+AB72</f>
        <v>1</v>
      </c>
      <c r="AC73" s="382">
        <f>AC70+AC71+AC72</f>
        <v>1</v>
      </c>
      <c r="AD73" s="382">
        <f>AD70+AD71+AD72</f>
        <v>1</v>
      </c>
      <c r="AE73" s="383">
        <f>AE70+AE71+AE72</f>
        <v>1</v>
      </c>
      <c r="AG73" s="381">
        <f>AG70+AG71+AG72</f>
        <v>1</v>
      </c>
      <c r="AH73" s="382">
        <f>AH70+AH71+AH72</f>
        <v>1</v>
      </c>
      <c r="AI73" s="382">
        <f>AI70+AI71+AI72</f>
        <v>1</v>
      </c>
      <c r="AJ73" s="382">
        <f>AJ70+AJ71+AJ72</f>
        <v>1</v>
      </c>
      <c r="AK73" s="383">
        <f>AK70+AK71+AK72</f>
        <v>1</v>
      </c>
      <c r="AM73" s="381">
        <f>AM70+AM71+AM72</f>
        <v>1</v>
      </c>
      <c r="AN73" s="382">
        <f>AN70+AN71+AN72</f>
        <v>1</v>
      </c>
      <c r="AO73" s="382">
        <f>AO70+AO71+AO72</f>
        <v>1</v>
      </c>
      <c r="AP73" s="382">
        <f>AP70+AP71+AP72</f>
        <v>1</v>
      </c>
      <c r="AQ73" s="383">
        <f>AQ70+AQ71+AQ72</f>
        <v>1</v>
      </c>
      <c r="AS73" s="381">
        <f>AS70+AS71+AS72</f>
        <v>1</v>
      </c>
      <c r="AT73" s="382">
        <f>AT70+AT71+AT72</f>
        <v>1</v>
      </c>
      <c r="AU73" s="382">
        <f>AU70+AU71+AU72</f>
        <v>1</v>
      </c>
      <c r="AV73" s="382">
        <f>AV70+AV71+AV72</f>
        <v>1</v>
      </c>
      <c r="AW73" s="383">
        <f>AW70+AW71+AW72</f>
        <v>1</v>
      </c>
      <c r="AY73" s="381">
        <f>AY70+AY71+AY72</f>
        <v>1</v>
      </c>
      <c r="AZ73" s="382">
        <f>AZ70+AZ71+AZ72</f>
        <v>1</v>
      </c>
      <c r="BA73" s="382">
        <f>BA70+BA71+BA72</f>
        <v>1</v>
      </c>
      <c r="BB73" s="382">
        <f>BB70+BB71+BB72</f>
        <v>1</v>
      </c>
      <c r="BC73" s="383">
        <f>BC70+BC71+BC72</f>
        <v>1</v>
      </c>
      <c r="BE73" s="381">
        <f>BE70+BE71+BE72</f>
        <v>1</v>
      </c>
      <c r="BF73" s="382">
        <f>BF70+BF71+BF72</f>
        <v>1</v>
      </c>
      <c r="BG73" s="382">
        <f>BG70+BG71+BG72</f>
        <v>1</v>
      </c>
      <c r="BH73" s="382">
        <f>BH70+BH71+BH72</f>
        <v>1</v>
      </c>
      <c r="BI73" s="383">
        <f>BI70+BI71+BI72</f>
        <v>1</v>
      </c>
      <c r="BK73" s="381">
        <f>BK70+BK71+BK72</f>
        <v>1</v>
      </c>
      <c r="BL73" s="382">
        <f>BL70+BL71+BL72</f>
        <v>1</v>
      </c>
      <c r="BM73" s="382">
        <f>BM70+BM71+BM72</f>
        <v>1</v>
      </c>
      <c r="BN73" s="382">
        <f>BN70+BN71+BN72</f>
        <v>1</v>
      </c>
      <c r="BO73" s="383">
        <f>BO70+BO71+BO72</f>
        <v>0.99999999999999989</v>
      </c>
      <c r="BQ73" s="381">
        <f>BQ70+BQ71+BQ72</f>
        <v>1</v>
      </c>
      <c r="BR73" s="382">
        <f>BR70+BR71+BR72</f>
        <v>1</v>
      </c>
      <c r="BS73" s="382">
        <f>BS70+BS71+BS72</f>
        <v>1</v>
      </c>
      <c r="BT73" s="382">
        <f>BT70+BT71+BT72</f>
        <v>1</v>
      </c>
      <c r="BU73" s="383">
        <f>BU70+BU71+BU72</f>
        <v>1</v>
      </c>
      <c r="BW73" s="381">
        <f>BW70+BW71+BW72</f>
        <v>1</v>
      </c>
      <c r="BX73" s="382">
        <f>BX70+BX71+BX72</f>
        <v>1</v>
      </c>
      <c r="BY73" s="382">
        <f>BY70+BY71+BY72</f>
        <v>1</v>
      </c>
      <c r="BZ73" s="382">
        <f>BZ70+BZ71+BZ72</f>
        <v>1</v>
      </c>
      <c r="CA73" s="383">
        <f>CA70+CA71+CA72</f>
        <v>1</v>
      </c>
      <c r="CC73" s="381">
        <f>CC70+CC71+CC72</f>
        <v>1</v>
      </c>
      <c r="CD73" s="382">
        <f>CD70+CD71+CD72</f>
        <v>1</v>
      </c>
      <c r="CE73" s="382">
        <f>CE70+CE71+CE72</f>
        <v>1</v>
      </c>
      <c r="CF73" s="382">
        <f>CF70+CF71+CF72</f>
        <v>1</v>
      </c>
      <c r="CG73" s="383">
        <f>CG70+CG71+CG72</f>
        <v>1</v>
      </c>
      <c r="CI73" s="381">
        <f>CI70+CI71+CI72</f>
        <v>1</v>
      </c>
      <c r="CJ73" s="382">
        <f>CJ70+CJ71+CJ72</f>
        <v>1</v>
      </c>
      <c r="CK73" s="382">
        <f>CK70+CK71+CK72</f>
        <v>1</v>
      </c>
      <c r="CL73" s="382">
        <f>CL70+CL71+CL72</f>
        <v>1</v>
      </c>
      <c r="CM73" s="383">
        <f>CM70+CM71+CM72</f>
        <v>1</v>
      </c>
      <c r="CO73" s="381">
        <f>CO70+CO71+CO72</f>
        <v>1</v>
      </c>
      <c r="CP73" s="382">
        <f>CP70+CP71+CP72</f>
        <v>1</v>
      </c>
      <c r="CQ73" s="382">
        <f>CQ70+CQ71+CQ72</f>
        <v>1</v>
      </c>
      <c r="CR73" s="382">
        <f>CR70+CR71+CR72</f>
        <v>1</v>
      </c>
      <c r="CS73" s="383">
        <f>CS70+CS71+CS72</f>
        <v>1</v>
      </c>
      <c r="CU73" s="381">
        <f>CU70+CU71+CU72</f>
        <v>1</v>
      </c>
      <c r="CV73" s="382">
        <f>CV70+CV71+CV72</f>
        <v>1</v>
      </c>
      <c r="CW73" s="382">
        <f>CW70+CW71+CW72</f>
        <v>1</v>
      </c>
      <c r="CX73" s="382">
        <f>CX70+CX71+CX72</f>
        <v>1</v>
      </c>
      <c r="CY73" s="383">
        <f>CY70+CY71+CY72</f>
        <v>1</v>
      </c>
      <c r="DA73" s="381">
        <f>DA70+DA71+DA72</f>
        <v>1</v>
      </c>
      <c r="DB73" s="382">
        <f>DB70+DB71+DB72</f>
        <v>1</v>
      </c>
      <c r="DC73" s="382">
        <f>DC70+DC71+DC72</f>
        <v>1</v>
      </c>
      <c r="DD73" s="382">
        <f>DD70+DD71+DD72</f>
        <v>1</v>
      </c>
      <c r="DE73" s="383">
        <f>DE70+DE71+DE72</f>
        <v>1</v>
      </c>
      <c r="DG73" s="381">
        <f>DG70+DG71+DG72</f>
        <v>1</v>
      </c>
      <c r="DH73" s="382">
        <f>DH70+DH71+DH72</f>
        <v>1</v>
      </c>
      <c r="DI73" s="382">
        <f>DI70+DI71+DI72</f>
        <v>1</v>
      </c>
      <c r="DJ73" s="382">
        <f>DJ70+DJ71+DJ72</f>
        <v>1</v>
      </c>
      <c r="DK73" s="383">
        <f>DK70+DK71+DK72</f>
        <v>1</v>
      </c>
    </row>
    <row r="75" spans="1:115" x14ac:dyDescent="0.2">
      <c r="A75" s="278"/>
      <c r="B75" s="278"/>
      <c r="C75" s="279"/>
      <c r="D75" s="279"/>
      <c r="E75" s="279"/>
      <c r="F75" s="279"/>
      <c r="G75" s="279"/>
      <c r="H75" s="279"/>
      <c r="I75" s="279"/>
      <c r="J75" s="279"/>
      <c r="K75" s="279"/>
      <c r="L75" s="279"/>
      <c r="M75" s="279"/>
      <c r="N75" s="279"/>
      <c r="O75" s="279"/>
      <c r="P75" s="279"/>
      <c r="Q75" s="279"/>
      <c r="R75" s="279"/>
      <c r="S75" s="279"/>
      <c r="T75" s="279"/>
      <c r="U75" s="279"/>
      <c r="V75" s="279"/>
      <c r="W75" s="279"/>
      <c r="X75" s="279"/>
      <c r="Y75" s="279"/>
      <c r="Z75" s="278"/>
      <c r="AA75" s="278"/>
      <c r="AB75" s="278"/>
      <c r="AC75" s="278"/>
      <c r="AD75" s="278"/>
      <c r="AE75" s="278"/>
      <c r="AF75" s="278"/>
      <c r="AG75" s="278"/>
      <c r="AH75" s="278"/>
      <c r="AI75" s="278"/>
      <c r="AJ75" s="278"/>
      <c r="AK75" s="278"/>
      <c r="AL75" s="278"/>
      <c r="AM75" s="278"/>
      <c r="AN75" s="278"/>
      <c r="AO75" s="278"/>
      <c r="AP75" s="278"/>
      <c r="AQ75" s="278"/>
      <c r="AR75" s="278"/>
      <c r="AS75" s="278"/>
      <c r="AT75" s="278"/>
      <c r="AU75" s="278"/>
      <c r="AV75" s="278"/>
      <c r="AW75" s="278"/>
      <c r="AX75" s="278"/>
      <c r="AY75" s="278"/>
      <c r="AZ75" s="278"/>
      <c r="BA75" s="278"/>
      <c r="BB75" s="278"/>
      <c r="BC75" s="278"/>
      <c r="BD75" s="278"/>
      <c r="BE75" s="278"/>
      <c r="BF75" s="278"/>
      <c r="BG75" s="278"/>
      <c r="BH75" s="278"/>
      <c r="BI75" s="278"/>
      <c r="BJ75" s="278"/>
      <c r="BK75" s="278"/>
      <c r="BL75" s="278"/>
      <c r="BM75" s="278"/>
      <c r="BN75" s="278"/>
      <c r="BO75" s="278"/>
      <c r="BP75" s="278"/>
      <c r="BQ75" s="278"/>
      <c r="BR75" s="278"/>
      <c r="BS75" s="278"/>
      <c r="BT75" s="278"/>
      <c r="BU75" s="278"/>
      <c r="BV75" s="278"/>
      <c r="BW75" s="278"/>
      <c r="BX75" s="278"/>
      <c r="BY75" s="278"/>
      <c r="BZ75" s="278"/>
      <c r="CA75" s="278"/>
      <c r="CB75" s="278"/>
      <c r="CC75" s="278"/>
      <c r="CD75" s="278"/>
      <c r="CE75" s="278"/>
      <c r="CF75" s="278"/>
      <c r="CG75" s="278"/>
      <c r="CH75" s="278"/>
      <c r="CI75" s="278"/>
      <c r="CJ75" s="278"/>
      <c r="CK75" s="278"/>
      <c r="CL75" s="278"/>
      <c r="CM75" s="278"/>
      <c r="CN75" s="278"/>
      <c r="CO75" s="278"/>
      <c r="CP75" s="278"/>
      <c r="CQ75" s="278"/>
      <c r="CR75" s="278"/>
      <c r="CS75" s="278"/>
      <c r="CT75" s="278"/>
      <c r="CU75" s="278"/>
      <c r="CV75" s="278"/>
      <c r="CW75" s="278"/>
      <c r="CX75" s="278"/>
      <c r="CY75" s="278"/>
      <c r="CZ75" s="278"/>
      <c r="DA75" s="278"/>
      <c r="DB75" s="278"/>
      <c r="DC75" s="278"/>
      <c r="DD75" s="278"/>
      <c r="DE75" s="278"/>
      <c r="DF75" s="278"/>
      <c r="DG75" s="278"/>
      <c r="DH75" s="278"/>
      <c r="DI75" s="278"/>
      <c r="DJ75" s="278"/>
      <c r="DK75" s="278"/>
    </row>
    <row r="76" spans="1:115" ht="13.5" thickBot="1" x14ac:dyDescent="0.25"/>
    <row r="77" spans="1:115" x14ac:dyDescent="0.2">
      <c r="B77" s="281" t="s">
        <v>218</v>
      </c>
      <c r="C77" s="712">
        <v>2007</v>
      </c>
      <c r="D77" s="713"/>
      <c r="E77" s="713"/>
      <c r="F77" s="713"/>
      <c r="G77" s="714"/>
      <c r="H77" s="129"/>
      <c r="I77" s="712">
        <v>2008</v>
      </c>
      <c r="J77" s="713"/>
      <c r="K77" s="713"/>
      <c r="L77" s="713"/>
      <c r="M77" s="714"/>
      <c r="N77" s="129"/>
      <c r="O77" s="712">
        <v>2009</v>
      </c>
      <c r="P77" s="713"/>
      <c r="Q77" s="713"/>
      <c r="R77" s="713"/>
      <c r="S77" s="714"/>
      <c r="T77" s="129"/>
      <c r="U77" s="712">
        <v>2010</v>
      </c>
      <c r="V77" s="713"/>
      <c r="W77" s="713"/>
      <c r="X77" s="713"/>
      <c r="Y77" s="714"/>
      <c r="AA77" s="712">
        <v>2011</v>
      </c>
      <c r="AB77" s="713"/>
      <c r="AC77" s="713"/>
      <c r="AD77" s="713"/>
      <c r="AE77" s="714"/>
      <c r="AG77" s="712">
        <v>2012</v>
      </c>
      <c r="AH77" s="713"/>
      <c r="AI77" s="713"/>
      <c r="AJ77" s="713"/>
      <c r="AK77" s="714"/>
      <c r="AM77" s="712">
        <v>2013</v>
      </c>
      <c r="AN77" s="713"/>
      <c r="AO77" s="713"/>
      <c r="AP77" s="713"/>
      <c r="AQ77" s="714"/>
      <c r="AS77" s="712">
        <v>2014</v>
      </c>
      <c r="AT77" s="713"/>
      <c r="AU77" s="713"/>
      <c r="AV77" s="713"/>
      <c r="AW77" s="714"/>
      <c r="AY77" s="712">
        <v>2015</v>
      </c>
      <c r="AZ77" s="713"/>
      <c r="BA77" s="713"/>
      <c r="BB77" s="713"/>
      <c r="BC77" s="714"/>
      <c r="BE77" s="712">
        <v>2016</v>
      </c>
      <c r="BF77" s="713"/>
      <c r="BG77" s="713"/>
      <c r="BH77" s="713"/>
      <c r="BI77" s="714"/>
      <c r="BK77" s="712">
        <v>2017</v>
      </c>
      <c r="BL77" s="713"/>
      <c r="BM77" s="713"/>
      <c r="BN77" s="713"/>
      <c r="BO77" s="714"/>
      <c r="BQ77" s="712">
        <v>2018</v>
      </c>
      <c r="BR77" s="713"/>
      <c r="BS77" s="713"/>
      <c r="BT77" s="713"/>
      <c r="BU77" s="714"/>
      <c r="BW77" s="712">
        <v>2019</v>
      </c>
      <c r="BX77" s="713"/>
      <c r="BY77" s="713"/>
      <c r="BZ77" s="713"/>
      <c r="CA77" s="714"/>
      <c r="CC77" s="712">
        <v>2020</v>
      </c>
      <c r="CD77" s="713"/>
      <c r="CE77" s="713"/>
      <c r="CF77" s="713"/>
      <c r="CG77" s="714"/>
      <c r="CI77" s="712">
        <v>2021</v>
      </c>
      <c r="CJ77" s="713"/>
      <c r="CK77" s="713"/>
      <c r="CL77" s="713"/>
      <c r="CM77" s="714"/>
      <c r="CO77" s="712">
        <v>2022</v>
      </c>
      <c r="CP77" s="713"/>
      <c r="CQ77" s="713"/>
      <c r="CR77" s="713"/>
      <c r="CS77" s="714"/>
      <c r="CU77" s="712">
        <v>2023</v>
      </c>
      <c r="CV77" s="713"/>
      <c r="CW77" s="713"/>
      <c r="CX77" s="713"/>
      <c r="CY77" s="714"/>
      <c r="DA77" s="712">
        <v>2024</v>
      </c>
      <c r="DB77" s="713"/>
      <c r="DC77" s="713"/>
      <c r="DD77" s="713"/>
      <c r="DE77" s="714"/>
      <c r="DG77" s="712">
        <v>2025</v>
      </c>
      <c r="DH77" s="713"/>
      <c r="DI77" s="713"/>
      <c r="DJ77" s="713"/>
      <c r="DK77" s="714"/>
    </row>
    <row r="78" spans="1:115" ht="13.5" thickBot="1" x14ac:dyDescent="0.25">
      <c r="C78" s="130" t="s">
        <v>20</v>
      </c>
      <c r="D78" s="131" t="s">
        <v>19</v>
      </c>
      <c r="E78" s="131" t="s">
        <v>22</v>
      </c>
      <c r="F78" s="131" t="s">
        <v>21</v>
      </c>
      <c r="G78" s="132" t="s">
        <v>39</v>
      </c>
      <c r="H78" s="129"/>
      <c r="I78" s="130" t="s">
        <v>20</v>
      </c>
      <c r="J78" s="131" t="s">
        <v>19</v>
      </c>
      <c r="K78" s="131" t="s">
        <v>22</v>
      </c>
      <c r="L78" s="131" t="s">
        <v>21</v>
      </c>
      <c r="M78" s="132" t="s">
        <v>39</v>
      </c>
      <c r="N78" s="129"/>
      <c r="O78" s="130" t="s">
        <v>20</v>
      </c>
      <c r="P78" s="131" t="s">
        <v>19</v>
      </c>
      <c r="Q78" s="131" t="s">
        <v>22</v>
      </c>
      <c r="R78" s="131" t="s">
        <v>21</v>
      </c>
      <c r="S78" s="132" t="s">
        <v>39</v>
      </c>
      <c r="T78" s="129"/>
      <c r="U78" s="130" t="s">
        <v>20</v>
      </c>
      <c r="V78" s="131" t="s">
        <v>19</v>
      </c>
      <c r="W78" s="131" t="s">
        <v>22</v>
      </c>
      <c r="X78" s="131" t="s">
        <v>21</v>
      </c>
      <c r="Y78" s="132" t="s">
        <v>39</v>
      </c>
      <c r="AA78" s="130" t="s">
        <v>20</v>
      </c>
      <c r="AB78" s="131" t="s">
        <v>19</v>
      </c>
      <c r="AC78" s="131" t="s">
        <v>22</v>
      </c>
      <c r="AD78" s="131" t="s">
        <v>21</v>
      </c>
      <c r="AE78" s="132" t="s">
        <v>39</v>
      </c>
      <c r="AG78" s="130" t="s">
        <v>20</v>
      </c>
      <c r="AH78" s="131" t="s">
        <v>19</v>
      </c>
      <c r="AI78" s="131" t="s">
        <v>22</v>
      </c>
      <c r="AJ78" s="131" t="s">
        <v>21</v>
      </c>
      <c r="AK78" s="132" t="s">
        <v>39</v>
      </c>
      <c r="AM78" s="130" t="s">
        <v>20</v>
      </c>
      <c r="AN78" s="131" t="s">
        <v>19</v>
      </c>
      <c r="AO78" s="131" t="s">
        <v>22</v>
      </c>
      <c r="AP78" s="131" t="s">
        <v>21</v>
      </c>
      <c r="AQ78" s="132" t="s">
        <v>39</v>
      </c>
      <c r="AS78" s="130" t="s">
        <v>20</v>
      </c>
      <c r="AT78" s="131" t="s">
        <v>19</v>
      </c>
      <c r="AU78" s="131" t="s">
        <v>22</v>
      </c>
      <c r="AV78" s="131" t="s">
        <v>21</v>
      </c>
      <c r="AW78" s="132" t="s">
        <v>39</v>
      </c>
      <c r="AY78" s="130" t="s">
        <v>20</v>
      </c>
      <c r="AZ78" s="131" t="s">
        <v>19</v>
      </c>
      <c r="BA78" s="131" t="s">
        <v>22</v>
      </c>
      <c r="BB78" s="131" t="s">
        <v>21</v>
      </c>
      <c r="BC78" s="132" t="s">
        <v>39</v>
      </c>
      <c r="BE78" s="130" t="s">
        <v>20</v>
      </c>
      <c r="BF78" s="131" t="s">
        <v>19</v>
      </c>
      <c r="BG78" s="131" t="s">
        <v>22</v>
      </c>
      <c r="BH78" s="131" t="s">
        <v>21</v>
      </c>
      <c r="BI78" s="132" t="s">
        <v>39</v>
      </c>
      <c r="BK78" s="130" t="s">
        <v>20</v>
      </c>
      <c r="BL78" s="131" t="s">
        <v>19</v>
      </c>
      <c r="BM78" s="131" t="s">
        <v>22</v>
      </c>
      <c r="BN78" s="131" t="s">
        <v>21</v>
      </c>
      <c r="BO78" s="132" t="s">
        <v>39</v>
      </c>
      <c r="BQ78" s="130" t="s">
        <v>20</v>
      </c>
      <c r="BR78" s="131" t="s">
        <v>19</v>
      </c>
      <c r="BS78" s="131" t="s">
        <v>22</v>
      </c>
      <c r="BT78" s="131" t="s">
        <v>21</v>
      </c>
      <c r="BU78" s="132" t="s">
        <v>39</v>
      </c>
      <c r="BW78" s="130" t="s">
        <v>20</v>
      </c>
      <c r="BX78" s="131" t="s">
        <v>19</v>
      </c>
      <c r="BY78" s="131" t="s">
        <v>22</v>
      </c>
      <c r="BZ78" s="131" t="s">
        <v>21</v>
      </c>
      <c r="CA78" s="132" t="s">
        <v>39</v>
      </c>
      <c r="CC78" s="130" t="s">
        <v>20</v>
      </c>
      <c r="CD78" s="131" t="s">
        <v>19</v>
      </c>
      <c r="CE78" s="131" t="s">
        <v>22</v>
      </c>
      <c r="CF78" s="131" t="s">
        <v>21</v>
      </c>
      <c r="CG78" s="132" t="s">
        <v>39</v>
      </c>
      <c r="CI78" s="130" t="s">
        <v>20</v>
      </c>
      <c r="CJ78" s="131" t="s">
        <v>19</v>
      </c>
      <c r="CK78" s="131" t="s">
        <v>22</v>
      </c>
      <c r="CL78" s="131" t="s">
        <v>21</v>
      </c>
      <c r="CM78" s="132" t="s">
        <v>39</v>
      </c>
      <c r="CO78" s="130" t="s">
        <v>20</v>
      </c>
      <c r="CP78" s="131" t="s">
        <v>19</v>
      </c>
      <c r="CQ78" s="131" t="s">
        <v>22</v>
      </c>
      <c r="CR78" s="131" t="s">
        <v>21</v>
      </c>
      <c r="CS78" s="132" t="s">
        <v>39</v>
      </c>
      <c r="CU78" s="130" t="s">
        <v>20</v>
      </c>
      <c r="CV78" s="131" t="s">
        <v>19</v>
      </c>
      <c r="CW78" s="131" t="s">
        <v>22</v>
      </c>
      <c r="CX78" s="131" t="s">
        <v>21</v>
      </c>
      <c r="CY78" s="132" t="s">
        <v>39</v>
      </c>
      <c r="DA78" s="130" t="s">
        <v>20</v>
      </c>
      <c r="DB78" s="131" t="s">
        <v>19</v>
      </c>
      <c r="DC78" s="131" t="s">
        <v>22</v>
      </c>
      <c r="DD78" s="131" t="s">
        <v>21</v>
      </c>
      <c r="DE78" s="132" t="s">
        <v>39</v>
      </c>
      <c r="DG78" s="130" t="s">
        <v>20</v>
      </c>
      <c r="DH78" s="131" t="s">
        <v>19</v>
      </c>
      <c r="DI78" s="131" t="s">
        <v>22</v>
      </c>
      <c r="DJ78" s="131" t="s">
        <v>21</v>
      </c>
      <c r="DK78" s="132" t="s">
        <v>39</v>
      </c>
    </row>
    <row r="80" spans="1:115" x14ac:dyDescent="0.2">
      <c r="B80" t="s">
        <v>228</v>
      </c>
      <c r="I80" s="114">
        <f t="shared" ref="I80:M81" si="60">I7</f>
        <v>31055</v>
      </c>
      <c r="J80" s="114">
        <f t="shared" si="60"/>
        <v>30473</v>
      </c>
      <c r="K80" s="114">
        <f t="shared" si="60"/>
        <v>29820</v>
      </c>
      <c r="L80" s="114">
        <f t="shared" si="60"/>
        <v>29246</v>
      </c>
      <c r="M80" s="114">
        <f t="shared" si="60"/>
        <v>30148.5</v>
      </c>
      <c r="O80" s="114">
        <f t="shared" ref="O80:S81" si="61">O7</f>
        <v>28301</v>
      </c>
      <c r="P80" s="114">
        <f t="shared" si="61"/>
        <v>27699</v>
      </c>
      <c r="Q80" s="114">
        <f t="shared" si="61"/>
        <v>27226</v>
      </c>
      <c r="R80" s="114">
        <f t="shared" si="61"/>
        <v>26653</v>
      </c>
      <c r="S80" s="114">
        <f t="shared" si="61"/>
        <v>27469.75</v>
      </c>
      <c r="U80" s="114">
        <f t="shared" ref="U80:Y81" si="62">U7</f>
        <v>26236</v>
      </c>
      <c r="V80" s="114">
        <f t="shared" si="62"/>
        <v>25864</v>
      </c>
      <c r="W80" s="114">
        <f t="shared" si="62"/>
        <v>25549</v>
      </c>
      <c r="X80" s="114">
        <f t="shared" si="62"/>
        <v>25024</v>
      </c>
      <c r="Y80" s="114">
        <f t="shared" si="62"/>
        <v>25668.25</v>
      </c>
      <c r="AA80" s="114">
        <f t="shared" ref="AA80:AE81" si="63">AA7</f>
        <v>24650</v>
      </c>
      <c r="AB80" s="114">
        <f t="shared" si="63"/>
        <v>24312</v>
      </c>
      <c r="AC80" s="114">
        <f t="shared" si="63"/>
        <v>24017</v>
      </c>
      <c r="AD80" s="114">
        <f t="shared" si="63"/>
        <v>23694</v>
      </c>
      <c r="AE80" s="114">
        <f t="shared" si="63"/>
        <v>24168.25</v>
      </c>
      <c r="AG80" s="114">
        <f t="shared" ref="AG80:AK81" si="64">AG7</f>
        <v>23399</v>
      </c>
      <c r="AH80" s="114">
        <f>AH7</f>
        <v>23140</v>
      </c>
      <c r="AI80" s="114">
        <f t="shared" si="64"/>
        <v>22904</v>
      </c>
      <c r="AJ80" s="114">
        <f t="shared" si="64"/>
        <v>22620</v>
      </c>
      <c r="AK80" s="114">
        <f t="shared" si="64"/>
        <v>23015.75</v>
      </c>
      <c r="AM80" s="114">
        <f>AM7</f>
        <v>22384</v>
      </c>
      <c r="AN80" s="114">
        <f t="shared" ref="AN80:AQ81" si="65">AN7</f>
        <v>22113</v>
      </c>
      <c r="AO80" s="114">
        <f t="shared" si="65"/>
        <v>21880</v>
      </c>
      <c r="AP80" s="114">
        <f t="shared" si="65"/>
        <v>21625</v>
      </c>
      <c r="AQ80" s="114">
        <f t="shared" si="65"/>
        <v>22000.5</v>
      </c>
      <c r="AS80" s="114">
        <f t="shared" ref="AS80:AW81" si="66">AS7</f>
        <v>21417</v>
      </c>
      <c r="AT80" s="114">
        <f t="shared" si="66"/>
        <v>21202</v>
      </c>
      <c r="AU80" s="114">
        <f t="shared" si="66"/>
        <v>21034</v>
      </c>
      <c r="AV80" s="114">
        <f t="shared" si="66"/>
        <v>20841</v>
      </c>
      <c r="AW80" s="114">
        <f t="shared" si="66"/>
        <v>21123.5</v>
      </c>
      <c r="AY80" s="114">
        <f t="shared" ref="AY80:BC81" si="67">AY7</f>
        <v>20686</v>
      </c>
      <c r="AZ80" s="114">
        <f t="shared" si="67"/>
        <v>20555</v>
      </c>
      <c r="BA80" s="114">
        <f t="shared" si="67"/>
        <v>20437</v>
      </c>
      <c r="BB80" s="114">
        <f t="shared" si="67"/>
        <v>20354</v>
      </c>
      <c r="BC80" s="114">
        <f t="shared" si="67"/>
        <v>20508</v>
      </c>
      <c r="BE80" s="114">
        <f t="shared" ref="BE80:BI81" si="68">BE7</f>
        <v>20227</v>
      </c>
      <c r="BF80" s="114">
        <f t="shared" si="68"/>
        <v>20093</v>
      </c>
      <c r="BG80" s="114">
        <f t="shared" ref="BG80" si="69">BG7</f>
        <v>19971</v>
      </c>
      <c r="BH80" s="114">
        <f t="shared" si="68"/>
        <v>19873</v>
      </c>
      <c r="BI80" s="114">
        <f t="shared" si="68"/>
        <v>20041</v>
      </c>
      <c r="BK80" s="114">
        <f t="shared" ref="BK80" si="70">BK7</f>
        <v>19786</v>
      </c>
      <c r="BL80" s="114">
        <f t="shared" ref="BL80:BO81" si="71">BL7</f>
        <v>19648</v>
      </c>
      <c r="BM80" s="114">
        <f t="shared" si="71"/>
        <v>19473</v>
      </c>
      <c r="BN80" s="114">
        <f t="shared" si="71"/>
        <v>19352</v>
      </c>
      <c r="BO80" s="114">
        <f t="shared" si="71"/>
        <v>19564.75</v>
      </c>
      <c r="BQ80" s="114">
        <f t="shared" ref="BQ80:BU81" si="72">BQ7</f>
        <v>19229</v>
      </c>
      <c r="BR80" s="114">
        <f t="shared" si="72"/>
        <v>19096</v>
      </c>
      <c r="BS80" s="114">
        <f t="shared" si="72"/>
        <v>18946</v>
      </c>
      <c r="BT80" s="114">
        <f t="shared" si="72"/>
        <v>18846</v>
      </c>
      <c r="BU80" s="114">
        <f t="shared" si="72"/>
        <v>19029.25</v>
      </c>
      <c r="BW80" s="114">
        <f t="shared" ref="BW80:CA81" si="73">BW7</f>
        <v>18746</v>
      </c>
      <c r="BX80" s="114">
        <f t="shared" si="73"/>
        <v>18628</v>
      </c>
      <c r="BY80" s="114">
        <f t="shared" si="73"/>
        <v>18503</v>
      </c>
      <c r="BZ80" s="114">
        <f t="shared" si="73"/>
        <v>18408</v>
      </c>
      <c r="CA80" s="114">
        <f t="shared" si="73"/>
        <v>18571.25</v>
      </c>
      <c r="CC80" s="114">
        <f t="shared" ref="CC80:CG81" si="74">CC7</f>
        <v>18313</v>
      </c>
      <c r="CD80" s="114">
        <f t="shared" si="74"/>
        <v>18200</v>
      </c>
      <c r="CE80" s="114">
        <f t="shared" si="74"/>
        <v>18090</v>
      </c>
      <c r="CF80" s="114">
        <f t="shared" si="74"/>
        <v>18015</v>
      </c>
      <c r="CG80" s="114">
        <f t="shared" si="74"/>
        <v>18154.5</v>
      </c>
      <c r="CI80" s="114">
        <f t="shared" ref="CI80:CM81" si="75">CI7</f>
        <v>17925</v>
      </c>
      <c r="CJ80" s="114">
        <f t="shared" si="75"/>
        <v>17817</v>
      </c>
      <c r="CK80" s="114">
        <f t="shared" si="75"/>
        <v>17712</v>
      </c>
      <c r="CL80" s="114">
        <f t="shared" si="75"/>
        <v>17637</v>
      </c>
      <c r="CM80" s="114">
        <f t="shared" si="75"/>
        <v>17772.75</v>
      </c>
      <c r="CO80" s="114">
        <f t="shared" ref="CO80:CS81" si="76">CO7</f>
        <v>17552</v>
      </c>
      <c r="CP80" s="114">
        <f t="shared" si="76"/>
        <v>17449</v>
      </c>
      <c r="CQ80" s="114">
        <f t="shared" si="76"/>
        <v>17349</v>
      </c>
      <c r="CR80" s="114">
        <f t="shared" si="76"/>
        <v>17274</v>
      </c>
      <c r="CS80" s="114">
        <f t="shared" si="76"/>
        <v>17406</v>
      </c>
      <c r="CU80" s="114">
        <f t="shared" ref="CU80:CY81" si="77">CU7</f>
        <v>17194</v>
      </c>
      <c r="CV80" s="114">
        <f t="shared" si="77"/>
        <v>17096</v>
      </c>
      <c r="CW80" s="114">
        <f t="shared" si="77"/>
        <v>17001</v>
      </c>
      <c r="CX80" s="114">
        <f t="shared" si="77"/>
        <v>16926</v>
      </c>
      <c r="CY80" s="114">
        <f t="shared" si="77"/>
        <v>17054.25</v>
      </c>
      <c r="DA80" s="114">
        <f t="shared" ref="DA80:DE81" si="78">DA7</f>
        <v>16851</v>
      </c>
      <c r="DB80" s="114">
        <f t="shared" si="78"/>
        <v>16758</v>
      </c>
      <c r="DC80" s="114">
        <f t="shared" si="78"/>
        <v>16668</v>
      </c>
      <c r="DD80" s="114">
        <f t="shared" si="78"/>
        <v>16593</v>
      </c>
      <c r="DE80" s="114">
        <f t="shared" si="78"/>
        <v>16717.5</v>
      </c>
      <c r="DG80" s="114">
        <f t="shared" ref="DG80:DK81" si="79">DG7</f>
        <v>16523</v>
      </c>
      <c r="DH80" s="114">
        <f t="shared" si="79"/>
        <v>16435</v>
      </c>
      <c r="DI80" s="114">
        <f t="shared" si="79"/>
        <v>16350</v>
      </c>
      <c r="DJ80" s="114">
        <f t="shared" si="79"/>
        <v>16275</v>
      </c>
      <c r="DK80" s="114">
        <f t="shared" si="79"/>
        <v>16395.75</v>
      </c>
    </row>
    <row r="81" spans="1:115" x14ac:dyDescent="0.2">
      <c r="B81" s="241" t="s">
        <v>74</v>
      </c>
      <c r="I81" s="136">
        <f t="shared" si="60"/>
        <v>-6.4382983851530518E-2</v>
      </c>
      <c r="J81" s="136">
        <f t="shared" si="60"/>
        <v>-6.538874405765982E-2</v>
      </c>
      <c r="K81" s="136">
        <f t="shared" si="60"/>
        <v>-7.0709588955716884E-2</v>
      </c>
      <c r="L81" s="136">
        <f t="shared" si="60"/>
        <v>-7.425930615345655E-2</v>
      </c>
      <c r="M81" s="136">
        <f t="shared" si="60"/>
        <v>-6.8613973030167252E-2</v>
      </c>
      <c r="O81" s="136">
        <f t="shared" si="61"/>
        <v>-8.868137175978108E-2</v>
      </c>
      <c r="P81" s="136">
        <f t="shared" si="61"/>
        <v>-9.103140485019523E-2</v>
      </c>
      <c r="Q81" s="136">
        <f t="shared" si="61"/>
        <v>-8.6988598256203864E-2</v>
      </c>
      <c r="R81" s="136">
        <f t="shared" si="61"/>
        <v>-8.8661697326130051E-2</v>
      </c>
      <c r="S81" s="136">
        <f t="shared" si="61"/>
        <v>-8.8851850009121547E-2</v>
      </c>
      <c r="U81" s="136">
        <f t="shared" si="62"/>
        <v>-7.2965619589413833E-2</v>
      </c>
      <c r="V81" s="136">
        <f t="shared" si="62"/>
        <v>-6.624787898480089E-2</v>
      </c>
      <c r="W81" s="136">
        <f t="shared" si="62"/>
        <v>-6.1595533681040204E-2</v>
      </c>
      <c r="X81" s="136">
        <f t="shared" si="62"/>
        <v>-6.1118823396990929E-2</v>
      </c>
      <c r="Y81" s="136">
        <f t="shared" si="62"/>
        <v>-6.5581230262379497E-2</v>
      </c>
      <c r="AA81" s="136">
        <f t="shared" si="63"/>
        <v>-6.0451288306144213E-2</v>
      </c>
      <c r="AB81" s="136">
        <f t="shared" si="63"/>
        <v>-6.000618620476339E-2</v>
      </c>
      <c r="AC81" s="136">
        <f t="shared" si="63"/>
        <v>-5.9963207953344533E-2</v>
      </c>
      <c r="AD81" s="136">
        <f t="shared" si="63"/>
        <v>-5.3148976982097196E-2</v>
      </c>
      <c r="AE81" s="136">
        <f t="shared" si="63"/>
        <v>-5.8437953502868289E-2</v>
      </c>
      <c r="AG81" s="136">
        <f t="shared" si="64"/>
        <v>-5.075050709939144E-2</v>
      </c>
      <c r="AH81" s="136">
        <f>AH8</f>
        <v>-4.8206646923329988E-2</v>
      </c>
      <c r="AI81" s="136">
        <f t="shared" si="64"/>
        <v>-4.6342174293208971E-2</v>
      </c>
      <c r="AJ81" s="136">
        <f t="shared" si="64"/>
        <v>-4.5327931121803E-2</v>
      </c>
      <c r="AK81" s="136">
        <f t="shared" si="64"/>
        <v>-4.7686530882459444E-2</v>
      </c>
      <c r="AM81" s="136">
        <f>AM8</f>
        <v>-4.3377922133424507E-2</v>
      </c>
      <c r="AN81" s="136">
        <f t="shared" si="65"/>
        <v>-4.4382022471910143E-2</v>
      </c>
      <c r="AO81" s="136">
        <f t="shared" si="65"/>
        <v>-4.4708347886831978E-2</v>
      </c>
      <c r="AP81" s="136">
        <f t="shared" si="65"/>
        <v>-4.3987621573828517E-2</v>
      </c>
      <c r="AQ81" s="136">
        <f t="shared" si="65"/>
        <v>-4.4111097835178081E-2</v>
      </c>
      <c r="AS81" s="136">
        <f t="shared" si="66"/>
        <v>-4.3200500357398086E-2</v>
      </c>
      <c r="AT81" s="136">
        <f t="shared" si="66"/>
        <v>-4.1197485641930043E-2</v>
      </c>
      <c r="AU81" s="136">
        <f t="shared" si="66"/>
        <v>-3.8665447897623384E-2</v>
      </c>
      <c r="AV81" s="136">
        <f t="shared" si="66"/>
        <v>-3.6254335260115567E-2</v>
      </c>
      <c r="AW81" s="136">
        <f t="shared" si="66"/>
        <v>-3.9862730392491108E-2</v>
      </c>
      <c r="AY81" s="136">
        <f t="shared" si="67"/>
        <v>-3.4131764486155847E-2</v>
      </c>
      <c r="AZ81" s="136">
        <f t="shared" si="67"/>
        <v>-3.0515989057636084E-2</v>
      </c>
      <c r="BA81" s="136">
        <f t="shared" si="67"/>
        <v>-2.8382618617476485E-2</v>
      </c>
      <c r="BB81" s="136">
        <f t="shared" si="67"/>
        <v>-2.3367400796506899E-2</v>
      </c>
      <c r="BC81" s="136">
        <f t="shared" si="67"/>
        <v>-2.9138163656591054E-2</v>
      </c>
      <c r="BE81" s="136">
        <f t="shared" si="68"/>
        <v>-2.2188920042540805E-2</v>
      </c>
      <c r="BF81" s="136">
        <f t="shared" si="68"/>
        <v>-2.2476283142787601E-2</v>
      </c>
      <c r="BG81" s="136">
        <f t="shared" ref="BG81" si="80">BG8</f>
        <v>-2.2801781083329309E-2</v>
      </c>
      <c r="BH81" s="136">
        <f t="shared" si="68"/>
        <v>-2.3631718581114236E-2</v>
      </c>
      <c r="BI81" s="136">
        <f t="shared" si="68"/>
        <v>-2.277160132631173E-2</v>
      </c>
      <c r="BK81" s="136">
        <f t="shared" ref="BK81" si="81">BK8</f>
        <v>-2.1802541157858291E-2</v>
      </c>
      <c r="BL81" s="136">
        <f t="shared" si="71"/>
        <v>-2.2147016373861517E-2</v>
      </c>
      <c r="BM81" s="136">
        <f t="shared" si="71"/>
        <v>-2.4936157428271044E-2</v>
      </c>
      <c r="BN81" s="136">
        <f t="shared" si="71"/>
        <v>-2.6216474613797613E-2</v>
      </c>
      <c r="BO81" s="136">
        <f t="shared" si="71"/>
        <v>-2.3763784242303299E-2</v>
      </c>
      <c r="BQ81" s="136">
        <f t="shared" si="72"/>
        <v>-2.8151218032952618E-2</v>
      </c>
      <c r="BR81" s="136">
        <f t="shared" si="72"/>
        <v>-2.8094462540716569E-2</v>
      </c>
      <c r="BS81" s="136">
        <f t="shared" si="72"/>
        <v>-2.706311302829556E-2</v>
      </c>
      <c r="BT81" s="136">
        <f t="shared" si="72"/>
        <v>-2.6147168251343555E-2</v>
      </c>
      <c r="BU81" s="136">
        <f t="shared" si="72"/>
        <v>-2.7370653854508764E-2</v>
      </c>
      <c r="BW81" s="136">
        <f t="shared" si="73"/>
        <v>-2.5118310884601369E-2</v>
      </c>
      <c r="BX81" s="136">
        <f t="shared" si="73"/>
        <v>-2.4507750314201937E-2</v>
      </c>
      <c r="BY81" s="136">
        <f t="shared" si="73"/>
        <v>-2.3382244273197461E-2</v>
      </c>
      <c r="BZ81" s="136">
        <f t="shared" si="73"/>
        <v>-2.3241006049029012E-2</v>
      </c>
      <c r="CA81" s="136">
        <f t="shared" si="73"/>
        <v>-2.4068210780771704E-2</v>
      </c>
      <c r="CC81" s="136">
        <f t="shared" si="74"/>
        <v>-2.3098260962338579E-2</v>
      </c>
      <c r="CD81" s="136">
        <f t="shared" si="74"/>
        <v>-2.2976164913034114E-2</v>
      </c>
      <c r="CE81" s="136">
        <f t="shared" si="74"/>
        <v>-2.2320704750581011E-2</v>
      </c>
      <c r="CF81" s="136">
        <f t="shared" si="74"/>
        <v>-2.1349413298565878E-2</v>
      </c>
      <c r="CG81" s="136">
        <f t="shared" si="74"/>
        <v>-2.2440600390388421E-2</v>
      </c>
      <c r="CI81" s="136">
        <f t="shared" si="75"/>
        <v>-2.1187134822257425E-2</v>
      </c>
      <c r="CJ81" s="136">
        <f t="shared" si="75"/>
        <v>-2.1043956043956036E-2</v>
      </c>
      <c r="CK81" s="136">
        <f t="shared" si="75"/>
        <v>-2.0895522388059695E-2</v>
      </c>
      <c r="CL81" s="136">
        <f t="shared" si="75"/>
        <v>-2.0982514571190714E-2</v>
      </c>
      <c r="CM81" s="136">
        <f t="shared" si="75"/>
        <v>-2.1027844336115042E-2</v>
      </c>
      <c r="CO81" s="136">
        <f t="shared" si="76"/>
        <v>-2.0808926080892576E-2</v>
      </c>
      <c r="CP81" s="136">
        <f t="shared" si="76"/>
        <v>-2.0654431161250542E-2</v>
      </c>
      <c r="CQ81" s="136">
        <f t="shared" si="76"/>
        <v>-2.0494579945799507E-2</v>
      </c>
      <c r="CR81" s="136">
        <f t="shared" si="76"/>
        <v>-2.0581731587004604E-2</v>
      </c>
      <c r="CS81" s="136">
        <f t="shared" si="76"/>
        <v>-2.0635523483985341E-2</v>
      </c>
      <c r="CU81" s="136">
        <f t="shared" si="77"/>
        <v>-2.0396536007292632E-2</v>
      </c>
      <c r="CV81" s="136">
        <f t="shared" si="77"/>
        <v>-2.0230385695455322E-2</v>
      </c>
      <c r="CW81" s="136">
        <f t="shared" si="77"/>
        <v>-2.0058793014006593E-2</v>
      </c>
      <c r="CX81" s="136">
        <f t="shared" si="77"/>
        <v>-2.0145883987495616E-2</v>
      </c>
      <c r="CY81" s="136">
        <f t="shared" si="77"/>
        <v>-2.0208548776284085E-2</v>
      </c>
      <c r="DA81" s="136">
        <f t="shared" si="78"/>
        <v>-1.994881935558912E-2</v>
      </c>
      <c r="DB81" s="136">
        <f t="shared" si="78"/>
        <v>-1.9770706598034593E-2</v>
      </c>
      <c r="DC81" s="136">
        <f t="shared" si="78"/>
        <v>-1.958708311275803E-2</v>
      </c>
      <c r="DD81" s="136">
        <f t="shared" si="78"/>
        <v>-1.9673874512584177E-2</v>
      </c>
      <c r="DE81" s="136">
        <f t="shared" si="78"/>
        <v>-1.9745811161440696E-2</v>
      </c>
      <c r="DG81" s="136">
        <f t="shared" si="79"/>
        <v>-1.9464720194647178E-2</v>
      </c>
      <c r="DH81" s="136">
        <f t="shared" si="79"/>
        <v>-1.9274376417233507E-2</v>
      </c>
      <c r="DI81" s="136">
        <f t="shared" si="79"/>
        <v>-1.9078473722102252E-2</v>
      </c>
      <c r="DJ81" s="136">
        <f t="shared" si="79"/>
        <v>-1.916470800940151E-2</v>
      </c>
      <c r="DK81" s="136">
        <f t="shared" si="79"/>
        <v>-1.9246298788694438E-2</v>
      </c>
    </row>
    <row r="83" spans="1:115" x14ac:dyDescent="0.2">
      <c r="B83" t="s">
        <v>220</v>
      </c>
      <c r="O83" s="230">
        <f>O86*1000/(O80*3)</f>
        <v>17.808558001484048</v>
      </c>
      <c r="P83" s="230">
        <f>P86*1000/(P80*3)</f>
        <v>17.329145456514677</v>
      </c>
      <c r="Q83" s="230">
        <f>Q86*1000/(Q80*3)</f>
        <v>17.324126447758271</v>
      </c>
      <c r="R83" s="230">
        <f>R86*1000/(R80*3)</f>
        <v>17.096261834190024</v>
      </c>
      <c r="S83" s="230">
        <f>S86*1000/(S80*12)</f>
        <v>17.394891956910175</v>
      </c>
      <c r="T83" s="230"/>
      <c r="U83" s="230">
        <f>U86*1000/(U80*3)</f>
        <v>16.707323270823803</v>
      </c>
      <c r="V83" s="230">
        <f>V86*1000/(V80*3)</f>
        <v>16.483658109083411</v>
      </c>
      <c r="W83" s="230">
        <f>W86*1000/(W80*3)</f>
        <v>16.334624969013792</v>
      </c>
      <c r="X83" s="230">
        <f>X86*1000/(X80*3)</f>
        <v>16.410912190963341</v>
      </c>
      <c r="Y83" s="230">
        <f>Y86*1000/(Y80*12)</f>
        <v>16.485995993753633</v>
      </c>
      <c r="AA83" s="230">
        <f>AA86*1000/(AA80*3)</f>
        <v>18.999323867478026</v>
      </c>
      <c r="AB83" s="230">
        <f>AB86*1000/(AB80*3)</f>
        <v>19.085225403093123</v>
      </c>
      <c r="AC83" s="230">
        <f>AC86*1000/(AC80*3)</f>
        <v>19.208616119137833</v>
      </c>
      <c r="AD83" s="230">
        <f>AD86*1000/(AD80*3)</f>
        <v>19.428265946371795</v>
      </c>
      <c r="AE83" s="230">
        <f>AE86*1000/(AE80*12)</f>
        <v>19.178053851644204</v>
      </c>
      <c r="AG83" s="230">
        <f>AG86*1000/(AG80*3)</f>
        <v>18.932433009957691</v>
      </c>
      <c r="AH83" s="230">
        <f>AH86*1000/(AH80*3)</f>
        <v>19.000288101411698</v>
      </c>
      <c r="AI83" s="230">
        <f>AI86*1000/(AI80*3)</f>
        <v>18.948655256723715</v>
      </c>
      <c r="AJ83" s="230">
        <f>AJ86*1000/(AJ80*3)</f>
        <v>19.024462127910404</v>
      </c>
      <c r="AK83" s="230">
        <f>AK86*1000/(AK80*12)</f>
        <v>18.976135906933294</v>
      </c>
      <c r="AM83" s="230">
        <f>AM86*1000/(AM80*3)</f>
        <v>18.599594948772932</v>
      </c>
      <c r="AN83" s="230">
        <f>AN86*1000/(AN80*3)</f>
        <v>18.571277830537088</v>
      </c>
      <c r="AO83" s="230">
        <f>AO86*1000/(AO80*3)</f>
        <v>18.814747105423521</v>
      </c>
      <c r="AP83" s="230">
        <f>AP86*1000/(AP80*3)</f>
        <v>19.021194605009633</v>
      </c>
      <c r="AQ83" s="230">
        <f>AQ86*1000/(AQ80*12)</f>
        <v>18.749573873321062</v>
      </c>
      <c r="AS83" s="230">
        <f>AS86*1000/(AS80*3)</f>
        <v>18.832391713747647</v>
      </c>
      <c r="AT83" s="230">
        <f>AT86*1000/(AT80*3)</f>
        <v>19.023362575857625</v>
      </c>
      <c r="AU83" s="230">
        <f>AU86*1000/(AU80*3)</f>
        <v>19.127761402174258</v>
      </c>
      <c r="AV83" s="230">
        <f>AV86*1000/(AV80*3)</f>
        <v>19.368872255010157</v>
      </c>
      <c r="AW83" s="230">
        <f>AW86*1000/(AW80*12)</f>
        <v>19.086167854127709</v>
      </c>
      <c r="AY83" s="230">
        <f>AY86*1000/(AY80*3)</f>
        <v>18.434367849431176</v>
      </c>
      <c r="AZ83" s="230">
        <f>AZ86*1000/(AZ80*3)</f>
        <v>18.211303008189411</v>
      </c>
      <c r="BA83" s="230">
        <f>BA86*1000/(BA80*3)</f>
        <v>17.973936161537083</v>
      </c>
      <c r="BB83" s="230">
        <f>BB86*1000/(BB80*3)</f>
        <v>18.653172185647374</v>
      </c>
      <c r="BC83" s="230">
        <f>BC86*1000/(BC80*12)</f>
        <v>18.318054742864572</v>
      </c>
      <c r="BE83" s="230">
        <f>BE86*1000/(BE80*3)</f>
        <v>18.086386183484123</v>
      </c>
      <c r="BF83" s="230">
        <f>BF86*1000/(BF80*3)</f>
        <v>18.256772673733803</v>
      </c>
      <c r="BG83" s="230">
        <f>BG86*1000/(BG80*3)</f>
        <v>17.90429456044598</v>
      </c>
      <c r="BH83" s="230">
        <f>BH86*1000/(BH80*3)</f>
        <v>18.601452557070733</v>
      </c>
      <c r="BI83" s="230">
        <f>BI86*1000/(BI80*12)</f>
        <v>18.211416595978246</v>
      </c>
      <c r="BK83" s="230">
        <f>BK86*1000/(BK80*3)</f>
        <v>17.89143839078136</v>
      </c>
      <c r="BL83" s="230">
        <f>BL86*1000/(BL80*3)</f>
        <v>17.949239956568945</v>
      </c>
      <c r="BM83" s="230">
        <f>BM86*1000/(BM80*3)</f>
        <v>17.956486759444701</v>
      </c>
      <c r="BN83" s="230">
        <f>BN86*1000/(BN80*3)</f>
        <v>18.723301639796059</v>
      </c>
      <c r="BO83" s="230">
        <f>BO86*1000/(BO80*12)</f>
        <v>18.127840461373985</v>
      </c>
      <c r="BQ83" s="230">
        <f>BK83*(1+BQ84)</f>
        <v>18.088244213079953</v>
      </c>
      <c r="BR83" s="230">
        <f>BL83*(1+BR84)</f>
        <v>18.173605456026056</v>
      </c>
      <c r="BS83" s="230">
        <f>BM83*(1+BS84)</f>
        <v>18.136051627039148</v>
      </c>
      <c r="BT83" s="230">
        <f>BN83*(1+BT84)</f>
        <v>18.816918147995036</v>
      </c>
      <c r="BU83" s="230">
        <f>BU86*1000/(BU80*12)</f>
        <v>18.301973163742474</v>
      </c>
      <c r="BW83" s="230">
        <f>BQ83*(1+BW84)</f>
        <v>18.088244213079953</v>
      </c>
      <c r="BX83" s="230">
        <f>BR83*(1+BX84)</f>
        <v>18.173605456026056</v>
      </c>
      <c r="BY83" s="230">
        <f>BS83*(1+BY84)</f>
        <v>18.090711497971551</v>
      </c>
      <c r="BZ83" s="230">
        <f>BT83*(1+BZ84)</f>
        <v>18.769875852625049</v>
      </c>
      <c r="CA83" s="230">
        <f>CA86*1000/(CA80*12)</f>
        <v>18.2791742343049</v>
      </c>
      <c r="CC83" s="230">
        <f>BW83*(1+CC84)</f>
        <v>17.997802992014552</v>
      </c>
      <c r="CD83" s="230">
        <f>BX83*(1+CD84)</f>
        <v>18.082737428745926</v>
      </c>
      <c r="CE83" s="230">
        <f>BY83*(1+CE84)</f>
        <v>18.000257940481692</v>
      </c>
      <c r="CF83" s="230">
        <f>BZ83*(1+CF84)</f>
        <v>18.676026473361922</v>
      </c>
      <c r="CG83" s="230">
        <f>CG86*1000/(CG80*12)</f>
        <v>18.187954370223185</v>
      </c>
      <c r="CI83" s="230">
        <f>CC83*(1+CI84)</f>
        <v>17.907813977054481</v>
      </c>
      <c r="CJ83" s="230">
        <f>CD83*(1+CJ84)</f>
        <v>17.992323741602195</v>
      </c>
      <c r="CK83" s="230">
        <f>CE83*(1+CK84)</f>
        <v>17.910256650779285</v>
      </c>
      <c r="CL83" s="230">
        <f>CF83*(1+CL84)</f>
        <v>18.582646340995112</v>
      </c>
      <c r="CM83" s="230">
        <f>CM86*1000/(CM80*12)</f>
        <v>18.097022083773773</v>
      </c>
      <c r="CO83" s="230">
        <f>CI83*(1+CO84)</f>
        <v>17.818274907169208</v>
      </c>
      <c r="CP83" s="230">
        <f>CJ83*(1+CP84)</f>
        <v>17.902362122894186</v>
      </c>
      <c r="CQ83" s="230">
        <f>CK83*(1+CQ84)</f>
        <v>17.820705367525388</v>
      </c>
      <c r="CR83" s="230">
        <f>CL83*(1+CR84)</f>
        <v>18.489733109290135</v>
      </c>
      <c r="CS83" s="230">
        <f>CS86*1000/(CS80*12)</f>
        <v>18.006545803230068</v>
      </c>
      <c r="CU83" s="230">
        <f>CO83*(1+CU84)</f>
        <v>17.72918353263336</v>
      </c>
      <c r="CV83" s="230">
        <f>CP83*(1+CV84)</f>
        <v>17.812850312279714</v>
      </c>
      <c r="CW83" s="230">
        <f>CQ83*(1+CW84)</f>
        <v>17.731601840687762</v>
      </c>
      <c r="CX83" s="230">
        <f>CR83*(1+CX84)</f>
        <v>18.397284443743686</v>
      </c>
      <c r="CY83" s="230">
        <f>CY86*1000/(CY80*12)</f>
        <v>17.916523300455463</v>
      </c>
      <c r="DA83" s="230">
        <f>CU83*(1+DA84)</f>
        <v>17.640537614970192</v>
      </c>
      <c r="DB83" s="230">
        <f>CV83*(1+DB84)</f>
        <v>17.723786060718314</v>
      </c>
      <c r="DC83" s="230">
        <f>CW83*(1+DC84)</f>
        <v>17.642943831484324</v>
      </c>
      <c r="DD83" s="230">
        <f>CX83*(1+DD84)</f>
        <v>18.305298021524969</v>
      </c>
      <c r="DE83" s="230">
        <f>DE86*1000/(DE80*12)</f>
        <v>17.826952355461714</v>
      </c>
      <c r="DG83" s="230">
        <f>DA83*(1+DG84)</f>
        <v>17.552334926895341</v>
      </c>
      <c r="DH83" s="230">
        <f>DB83*(1+DH84)</f>
        <v>17.635167130414722</v>
      </c>
      <c r="DI83" s="230">
        <f>DC83*(1+DI84)</f>
        <v>17.554729112326903</v>
      </c>
      <c r="DJ83" s="230">
        <f>DD83*(1+DJ84)</f>
        <v>18.213771531417343</v>
      </c>
      <c r="DK83" s="230">
        <f>DK86*1000/(DK80*12)</f>
        <v>17.737830755619896</v>
      </c>
    </row>
    <row r="84" spans="1:115" x14ac:dyDescent="0.2">
      <c r="B84" s="241" t="s">
        <v>74</v>
      </c>
      <c r="O84" s="103" t="s">
        <v>35</v>
      </c>
      <c r="P84" s="103" t="s">
        <v>35</v>
      </c>
      <c r="Q84" s="103" t="s">
        <v>35</v>
      </c>
      <c r="R84" s="103" t="s">
        <v>35</v>
      </c>
      <c r="S84" s="103" t="s">
        <v>35</v>
      </c>
      <c r="U84" s="227">
        <f>U83/O83-1</f>
        <v>-6.1837389111935703E-2</v>
      </c>
      <c r="V84" s="227">
        <f>V83/P83-1</f>
        <v>-4.8789904242705462E-2</v>
      </c>
      <c r="W84" s="227">
        <f>W83/Q83-1</f>
        <v>-5.7116962389322623E-2</v>
      </c>
      <c r="X84" s="227">
        <f>X83/R83-1</f>
        <v>-4.0087689921552538E-2</v>
      </c>
      <c r="Y84" s="227">
        <f>Y83/S83-1</f>
        <v>-5.2250739205970231E-2</v>
      </c>
      <c r="AA84" s="227">
        <f>AA83/U83-1</f>
        <v>0.13718538628247945</v>
      </c>
      <c r="AB84" s="227">
        <f>AB83/V83-1</f>
        <v>0.15782705979421552</v>
      </c>
      <c r="AC84" s="227">
        <f>AC83/W83-1</f>
        <v>0.17594472818175499</v>
      </c>
      <c r="AD84" s="227">
        <f>AD83/X83-1</f>
        <v>0.18386264701787614</v>
      </c>
      <c r="AE84" s="227">
        <f>AE83/Y83-1</f>
        <v>0.16329361349539107</v>
      </c>
      <c r="AG84" s="227">
        <f>AG83/AA83-1</f>
        <v>-3.5206967356787855E-3</v>
      </c>
      <c r="AH84" s="227">
        <f>AH83/AB83-1</f>
        <v>-4.4504217208595209E-3</v>
      </c>
      <c r="AI84" s="227">
        <f>AI83/AC83-1</f>
        <v>-1.3533554983959251E-2</v>
      </c>
      <c r="AJ84" s="227">
        <f>AJ83/AD83-1</f>
        <v>-2.0784346867395054E-2</v>
      </c>
      <c r="AK84" s="227">
        <f>AK83/AE83-1</f>
        <v>-1.052859410411966E-2</v>
      </c>
      <c r="AM84" s="227">
        <f>AM83/AG83-1</f>
        <v>-1.7580311046641484E-2</v>
      </c>
      <c r="AN84" s="227">
        <f>AN83/AH83-1</f>
        <v>-2.2579145567941938E-2</v>
      </c>
      <c r="AO84" s="227">
        <f>AO83/AI83-1</f>
        <v>-7.0668946944231203E-3</v>
      </c>
      <c r="AP84" s="227">
        <f>AP83/AJ83-1</f>
        <v>-1.717537599119634E-4</v>
      </c>
      <c r="AQ84" s="227">
        <f>AQ83/AK83-1</f>
        <v>-1.1939313394643936E-2</v>
      </c>
      <c r="AS84" s="227">
        <f>AS83/AM83-1</f>
        <v>1.2516227671402813E-2</v>
      </c>
      <c r="AT84" s="227">
        <f>AT83/AN83-1</f>
        <v>2.4343222337515513E-2</v>
      </c>
      <c r="AU84" s="227">
        <f>AU83/AO83-1</f>
        <v>1.6636646509083697E-2</v>
      </c>
      <c r="AV84" s="227">
        <f>AV83/AP83-1</f>
        <v>1.827843399010054E-2</v>
      </c>
      <c r="AW84" s="227">
        <f>AW83/AQ83-1</f>
        <v>1.7952086969058589E-2</v>
      </c>
      <c r="AY84" s="227">
        <f>AY83/AS83-1</f>
        <v>-2.1135067195204638E-2</v>
      </c>
      <c r="AZ84" s="227">
        <f>AZ83/AT83-1</f>
        <v>-4.2687488314962385E-2</v>
      </c>
      <c r="BA84" s="227">
        <f>BA83/AU83-1</f>
        <v>-6.0322021818299154E-2</v>
      </c>
      <c r="BB84" s="227">
        <f>BB83/AV83-1</f>
        <v>-3.6951044951915146E-2</v>
      </c>
      <c r="BC84" s="227">
        <f>BC83/AW83-1</f>
        <v>-4.0244491043654906E-2</v>
      </c>
      <c r="BE84" s="227">
        <f>BE83/AY83-1</f>
        <v>-1.8876788658515942E-2</v>
      </c>
      <c r="BF84" s="227">
        <f>BF83/AZ83-1</f>
        <v>2.4967826587665165E-3</v>
      </c>
      <c r="BG84" s="227">
        <f>BG83/BA83-1</f>
        <v>-3.8745882073472071E-3</v>
      </c>
      <c r="BH84" s="227">
        <f>BH83/BB83-1</f>
        <v>-2.7726988236583816E-3</v>
      </c>
      <c r="BI84" s="227">
        <f>BI83/BC83-1</f>
        <v>-5.8214776832602455E-3</v>
      </c>
      <c r="BK84" s="227">
        <f>BK83/BE83-1</f>
        <v>-1.0778703425053604E-2</v>
      </c>
      <c r="BL84" s="227">
        <f>BL83/BF83-1</f>
        <v>-1.6844856572449274E-2</v>
      </c>
      <c r="BM84" s="227">
        <f>BM83/BG83-1</f>
        <v>2.9150659258043721E-3</v>
      </c>
      <c r="BN84" s="227">
        <f>BN83/BH83-1</f>
        <v>6.5505143940498556E-3</v>
      </c>
      <c r="BO84" s="227">
        <f>BO83/BI83-1</f>
        <v>-4.5892165589532796E-3</v>
      </c>
      <c r="BQ84" s="227">
        <v>1.0999999999999999E-2</v>
      </c>
      <c r="BR84" s="227">
        <v>1.2500000000000001E-2</v>
      </c>
      <c r="BS84" s="227">
        <v>0.01</v>
      </c>
      <c r="BT84" s="227">
        <v>5.0000000000000001E-3</v>
      </c>
      <c r="BU84" s="227">
        <f>BU83/BO83-1</f>
        <v>9.6058161334509062E-3</v>
      </c>
      <c r="BW84" s="227">
        <v>0</v>
      </c>
      <c r="BX84" s="227">
        <v>0</v>
      </c>
      <c r="BY84" s="227">
        <v>-2.5000000000000001E-3</v>
      </c>
      <c r="BZ84" s="227">
        <v>-2.5000000000000001E-3</v>
      </c>
      <c r="CA84" s="227">
        <f>CA83/BU83-1</f>
        <v>-1.2457088224093749E-3</v>
      </c>
      <c r="CC84" s="227">
        <v>-5.0000000000000001E-3</v>
      </c>
      <c r="CD84" s="227">
        <v>-5.0000000000000001E-3</v>
      </c>
      <c r="CE84" s="227">
        <v>-5.0000000000000001E-3</v>
      </c>
      <c r="CF84" s="227">
        <v>-5.0000000000000001E-3</v>
      </c>
      <c r="CG84" s="227">
        <f>CG83/CA83-1</f>
        <v>-4.9903711684371466E-3</v>
      </c>
      <c r="CI84" s="227">
        <v>-5.0000000000000001E-3</v>
      </c>
      <c r="CJ84" s="227">
        <v>-5.0000000000000001E-3</v>
      </c>
      <c r="CK84" s="227">
        <v>-5.0000000000000001E-3</v>
      </c>
      <c r="CL84" s="227">
        <v>-5.0000000000000001E-3</v>
      </c>
      <c r="CM84" s="227">
        <f>CM83/CG83-1</f>
        <v>-4.9995884418032599E-3</v>
      </c>
      <c r="CO84" s="227">
        <v>-5.0000000000000001E-3</v>
      </c>
      <c r="CP84" s="227">
        <v>-5.0000000000000001E-3</v>
      </c>
      <c r="CQ84" s="227">
        <v>-5.0000000000000001E-3</v>
      </c>
      <c r="CR84" s="227">
        <v>-5.0000000000000001E-3</v>
      </c>
      <c r="CS84" s="227">
        <f>CS83/CM83-1</f>
        <v>-4.9995120813179916E-3</v>
      </c>
      <c r="CU84" s="227">
        <v>-5.0000000000000001E-3</v>
      </c>
      <c r="CV84" s="227">
        <v>-5.0000000000000001E-3</v>
      </c>
      <c r="CW84" s="227">
        <v>-5.0000000000000001E-3</v>
      </c>
      <c r="CX84" s="227">
        <v>-5.0000000000000001E-3</v>
      </c>
      <c r="CY84" s="227">
        <f>CY83/CS83-1</f>
        <v>-4.99943208199638E-3</v>
      </c>
      <c r="DA84" s="227">
        <v>-5.0000000000000001E-3</v>
      </c>
      <c r="DB84" s="227">
        <v>-5.0000000000000001E-3</v>
      </c>
      <c r="DC84" s="227">
        <v>-5.0000000000000001E-3</v>
      </c>
      <c r="DD84" s="227">
        <v>-5.0000000000000001E-3</v>
      </c>
      <c r="DE84" s="227">
        <f>DE83/CY83-1</f>
        <v>-4.9993485617532141E-3</v>
      </c>
      <c r="DG84" s="227">
        <v>-5.0000000000000001E-3</v>
      </c>
      <c r="DH84" s="227">
        <v>-5.0000000000000001E-3</v>
      </c>
      <c r="DI84" s="227">
        <v>-5.0000000000000001E-3</v>
      </c>
      <c r="DJ84" s="227">
        <v>-5.0000000000000001E-3</v>
      </c>
      <c r="DK84" s="227">
        <f>DK83/DE83-1</f>
        <v>-4.9992616833641756E-3</v>
      </c>
    </row>
    <row r="86" spans="1:115" x14ac:dyDescent="0.2">
      <c r="A86">
        <v>1</v>
      </c>
      <c r="B86" s="226" t="s">
        <v>219</v>
      </c>
      <c r="O86" s="197">
        <v>1512</v>
      </c>
      <c r="P86" s="197">
        <v>1440</v>
      </c>
      <c r="Q86" s="197">
        <v>1415</v>
      </c>
      <c r="R86" s="197">
        <v>1367</v>
      </c>
      <c r="S86" s="197">
        <f>O86+P86+Q86+R86</f>
        <v>5734</v>
      </c>
      <c r="T86" s="197"/>
      <c r="U86" s="197">
        <v>1315</v>
      </c>
      <c r="V86" s="197">
        <v>1279</v>
      </c>
      <c r="W86" s="197">
        <v>1252</v>
      </c>
      <c r="X86" s="197">
        <v>1232</v>
      </c>
      <c r="Y86" s="197">
        <f>U86+V86+W86+X86</f>
        <v>5078</v>
      </c>
      <c r="Z86" s="391"/>
      <c r="AA86" s="197">
        <v>1405</v>
      </c>
      <c r="AB86" s="197">
        <v>1392</v>
      </c>
      <c r="AC86" s="197">
        <v>1384</v>
      </c>
      <c r="AD86" s="197">
        <v>1381</v>
      </c>
      <c r="AE86" s="197">
        <f>AA86+AB86+AC86+AD86</f>
        <v>5562</v>
      </c>
      <c r="AF86" s="391"/>
      <c r="AG86" s="197">
        <v>1329</v>
      </c>
      <c r="AH86" s="197">
        <v>1319</v>
      </c>
      <c r="AI86" s="197">
        <v>1302</v>
      </c>
      <c r="AJ86" s="197">
        <v>1291</v>
      </c>
      <c r="AK86" s="197">
        <f>AG86+AH86+AI86+AJ86</f>
        <v>5241</v>
      </c>
      <c r="AL86" s="391"/>
      <c r="AM86" s="197">
        <f>AM178-AM162-AM165-AM168-AM171</f>
        <v>1249</v>
      </c>
      <c r="AN86" s="197">
        <f>AN178-AN162-AN165-AN168-AN171</f>
        <v>1232</v>
      </c>
      <c r="AO86" s="197">
        <f>AO178-AO162-AO165-AO168-AO171</f>
        <v>1235</v>
      </c>
      <c r="AP86" s="197">
        <f>AP178-AP162-AP165-AP168-AP171</f>
        <v>1234</v>
      </c>
      <c r="AQ86" s="197">
        <f>AM86+AN86+AO86+AP86</f>
        <v>4950</v>
      </c>
      <c r="AR86" s="391"/>
      <c r="AS86" s="197">
        <f>AS178-AS162-AS165-AS168-AS171</f>
        <v>1210</v>
      </c>
      <c r="AT86" s="197">
        <f>AT178-AT162-AT165-AT168-AT171</f>
        <v>1210</v>
      </c>
      <c r="AU86" s="197">
        <f>AU178-AU162-AU165-AU168-AU171</f>
        <v>1207</v>
      </c>
      <c r="AV86" s="197">
        <f>AV178-AV162-AV165-AV168-AV171</f>
        <v>1211</v>
      </c>
      <c r="AW86" s="197">
        <f>AS86+AT86+AU86+AV86</f>
        <v>4838</v>
      </c>
      <c r="AX86" s="391"/>
      <c r="AY86" s="197">
        <f>AY178-AY162-AY165-AY168-AY171</f>
        <v>1144</v>
      </c>
      <c r="AZ86" s="197">
        <f>AZ178-AZ162-AZ165-AZ168-AZ171</f>
        <v>1123</v>
      </c>
      <c r="BA86" s="197">
        <f>BA178-BA162-BA165-BA168-BA171</f>
        <v>1102</v>
      </c>
      <c r="BB86" s="197">
        <f>BB178-BB162-BB165-BB168-BB171</f>
        <v>1139</v>
      </c>
      <c r="BC86" s="197">
        <f>AY86+AZ86+BA86+BB86</f>
        <v>4508</v>
      </c>
      <c r="BD86" s="391"/>
      <c r="BE86" s="197">
        <f>BE178-BE162-BE165-BE168-BE171</f>
        <v>1097.5</v>
      </c>
      <c r="BF86" s="197">
        <f>BF178-BF162-BF165-BF168-BF171</f>
        <v>1100.5</v>
      </c>
      <c r="BG86" s="197">
        <f>BG178-BG162-BG165-BG168-BG171</f>
        <v>1072.7</v>
      </c>
      <c r="BH86" s="197">
        <f>BH178-BH162-BH165-BH168-BH171</f>
        <v>1109</v>
      </c>
      <c r="BI86" s="197">
        <f>BE86+BF86+BG86+BH86</f>
        <v>4379.7</v>
      </c>
      <c r="BJ86" s="391"/>
      <c r="BK86" s="197">
        <f>BK178-BK162-BK165-BK168-BK171</f>
        <v>1062</v>
      </c>
      <c r="BL86" s="197">
        <f>BL178-BL162-BL165-BL168-BL171</f>
        <v>1058</v>
      </c>
      <c r="BM86" s="197">
        <f>BM178-BM162-BM165-BM168-BM171</f>
        <v>1049</v>
      </c>
      <c r="BN86" s="197">
        <f>BN178-BN162-BN165-BN168-BN171</f>
        <v>1087</v>
      </c>
      <c r="BO86" s="197">
        <f>BK86+BL86+BM86+BN86</f>
        <v>4256</v>
      </c>
      <c r="BP86" s="391"/>
      <c r="BQ86" s="197">
        <f>BQ80*3*BQ83/1000</f>
        <v>1043.4565439199432</v>
      </c>
      <c r="BR86" s="197">
        <f>BR80*3*BR83/1000</f>
        <v>1041.1295093648207</v>
      </c>
      <c r="BS86" s="197">
        <f>BS80*3*BS83/1000</f>
        <v>1030.8169023776511</v>
      </c>
      <c r="BT86" s="197">
        <f>BT80*3*BT83/1000</f>
        <v>1063.8709182513433</v>
      </c>
      <c r="BU86" s="197">
        <f>BQ86+BR86+BS86+BT86</f>
        <v>4179.2738739137576</v>
      </c>
      <c r="BV86" s="391"/>
      <c r="BW86" s="197">
        <f>BW80*3*BW83/1000</f>
        <v>1017.2466780551904</v>
      </c>
      <c r="BX86" s="197">
        <f>BX80*3*BX83/1000</f>
        <v>1015.6137673045602</v>
      </c>
      <c r="BY86" s="197">
        <f>BY80*3*BY83/1000</f>
        <v>1004.1973045409028</v>
      </c>
      <c r="BZ86" s="197">
        <f>BZ80*3*BZ83/1000</f>
        <v>1036.5476240853657</v>
      </c>
      <c r="CA86" s="197">
        <f>BW86+BX86+BY86+BZ86</f>
        <v>4073.605373986019</v>
      </c>
      <c r="CB86" s="391"/>
      <c r="CC86" s="197">
        <f>CC80*3*CC83/1000</f>
        <v>988.78129857828742</v>
      </c>
      <c r="CD86" s="197">
        <f>CD80*3*CD83/1000</f>
        <v>987.31746360952752</v>
      </c>
      <c r="CE86" s="197">
        <f>CE80*3*CE83/1000</f>
        <v>976.87399842994148</v>
      </c>
      <c r="CF86" s="197">
        <f>CF80*3*CF83/1000</f>
        <v>1009.3458507528451</v>
      </c>
      <c r="CG86" s="197">
        <f>CC86+CD86+CE86+CF86</f>
        <v>3962.3186113706015</v>
      </c>
      <c r="CH86" s="391"/>
      <c r="CI86" s="197">
        <f>CI80*3*CI83/1000</f>
        <v>962.99269661610469</v>
      </c>
      <c r="CJ86" s="197">
        <f>CJ80*3*CJ83/1000</f>
        <v>961.70769631237897</v>
      </c>
      <c r="CK86" s="197">
        <f>CK80*3*CK83/1000</f>
        <v>951.67939739580811</v>
      </c>
      <c r="CL86" s="197">
        <f>CL80*3*CL83/1000</f>
        <v>983.22640054839235</v>
      </c>
      <c r="CM86" s="197">
        <f>CI86+CJ86+CK86+CL86</f>
        <v>3859.6061908726842</v>
      </c>
      <c r="CN86" s="391"/>
      <c r="CO86" s="197">
        <f>CO80*3*CO83/1000</f>
        <v>938.23908351190175</v>
      </c>
      <c r="CP86" s="197">
        <f>CP80*3*CP83/1000</f>
        <v>937.13495004714196</v>
      </c>
      <c r="CQ86" s="197">
        <f>CQ80*3*CQ83/1000</f>
        <v>927.51425226359379</v>
      </c>
      <c r="CR86" s="197">
        <f>CR80*3*CR83/1000</f>
        <v>958.17494918963337</v>
      </c>
      <c r="CS86" s="197">
        <f>CO86+CP86+CQ86+CR86</f>
        <v>3761.063235012271</v>
      </c>
      <c r="CT86" s="391"/>
      <c r="CU86" s="197">
        <f>CU80*3*CU83/1000</f>
        <v>914.506744980294</v>
      </c>
      <c r="CV86" s="197">
        <f>CV80*3*CV83/1000</f>
        <v>913.58546681620192</v>
      </c>
      <c r="CW86" s="197">
        <f>CW80*3*CW83/1000</f>
        <v>904.36488868059803</v>
      </c>
      <c r="CX86" s="197">
        <f>CX80*3*CX83/1000</f>
        <v>934.17730948441681</v>
      </c>
      <c r="CY86" s="197">
        <f>CU86+CV86+CW86+CX86</f>
        <v>3666.6344099615108</v>
      </c>
      <c r="CZ86" s="391"/>
      <c r="DA86" s="197">
        <f>DA80*3*DA83/1000</f>
        <v>891.78209804958817</v>
      </c>
      <c r="DB86" s="197">
        <f>DB80*3*DB83/1000</f>
        <v>891.04562041655254</v>
      </c>
      <c r="DC86" s="197">
        <f>DC80*3*DC83/1000</f>
        <v>882.21776334954211</v>
      </c>
      <c r="DD86" s="197">
        <f>DD80*3*DD83/1000</f>
        <v>911.21943021349148</v>
      </c>
      <c r="DE86" s="197">
        <f>DA86+DB86+DC86+DD86</f>
        <v>3576.2649120291744</v>
      </c>
      <c r="DF86" s="391"/>
      <c r="DG86" s="197">
        <f>DG80*3*DG83/1000</f>
        <v>870.05168999127523</v>
      </c>
      <c r="DH86" s="197">
        <f>DH80*3*DH83/1000</f>
        <v>869.50191536509783</v>
      </c>
      <c r="DI86" s="197">
        <f>DI80*3*DI83/1000</f>
        <v>861.05946295963463</v>
      </c>
      <c r="DJ86" s="197">
        <f>DJ80*3*DJ83/1000</f>
        <v>889.28739502145174</v>
      </c>
      <c r="DK86" s="197">
        <f>DG86+DH86+DI86+DJ86</f>
        <v>3489.9004633374593</v>
      </c>
    </row>
    <row r="87" spans="1:115" x14ac:dyDescent="0.2">
      <c r="B87" s="241" t="s">
        <v>74</v>
      </c>
      <c r="O87" s="103" t="s">
        <v>35</v>
      </c>
      <c r="P87" s="103" t="s">
        <v>35</v>
      </c>
      <c r="Q87" s="103" t="s">
        <v>35</v>
      </c>
      <c r="R87" s="103" t="s">
        <v>35</v>
      </c>
      <c r="S87" s="103" t="s">
        <v>35</v>
      </c>
      <c r="U87" s="227">
        <f>U86/O86-1</f>
        <v>-0.13029100529100535</v>
      </c>
      <c r="V87" s="227">
        <f>V86/P86-1</f>
        <v>-0.1118055555555556</v>
      </c>
      <c r="W87" s="227">
        <f>W86/Q86-1</f>
        <v>-0.11519434628975267</v>
      </c>
      <c r="X87" s="227">
        <f>X86/R86-1</f>
        <v>-9.875640087783466E-2</v>
      </c>
      <c r="Y87" s="227">
        <f>Y86/S86-1</f>
        <v>-0.11440530170910357</v>
      </c>
      <c r="AA87" s="227">
        <f>AA86/U86-1</f>
        <v>6.8441064638783189E-2</v>
      </c>
      <c r="AB87" s="227">
        <f>AB86/V86-1</f>
        <v>8.8350273651290001E-2</v>
      </c>
      <c r="AC87" s="227">
        <f>AC86/W86-1</f>
        <v>0.10543130990415328</v>
      </c>
      <c r="AD87" s="227">
        <f>AD86/X86-1</f>
        <v>0.12094155844155852</v>
      </c>
      <c r="AE87" s="227">
        <f>AE86/Y86-1</f>
        <v>9.5313115399763726E-2</v>
      </c>
      <c r="AG87" s="227">
        <f>AG86/AA86-1</f>
        <v>-5.409252669039144E-2</v>
      </c>
      <c r="AH87" s="227">
        <f>AH86/AB86-1</f>
        <v>-5.2442528735632155E-2</v>
      </c>
      <c r="AI87" s="227">
        <f>AI86/AC86-1</f>
        <v>-5.9248554913294837E-2</v>
      </c>
      <c r="AJ87" s="227">
        <f>AJ86/AD86-1</f>
        <v>-6.5170166545981179E-2</v>
      </c>
      <c r="AK87" s="227">
        <f>AK86/AE86-1</f>
        <v>-5.7713052858683889E-2</v>
      </c>
      <c r="AM87" s="227">
        <f>AM86/AG86-1</f>
        <v>-6.0195635816403303E-2</v>
      </c>
      <c r="AN87" s="227">
        <f>AN86/AH86-1</f>
        <v>-6.5959059893858973E-2</v>
      </c>
      <c r="AO87" s="227">
        <f>AO86/AI86-1</f>
        <v>-5.1459293394777283E-2</v>
      </c>
      <c r="AP87" s="227">
        <f>AP86/AJ86-1</f>
        <v>-4.4151820294345501E-2</v>
      </c>
      <c r="AQ87" s="227">
        <f>AQ86/AK86-1</f>
        <v>-5.5523755008586195E-2</v>
      </c>
      <c r="AS87" s="227">
        <f>AS86/AM86-1</f>
        <v>-3.1224979983987211E-2</v>
      </c>
      <c r="AT87" s="227">
        <f>AT86/AN86-1</f>
        <v>-1.7857142857142905E-2</v>
      </c>
      <c r="AU87" s="227">
        <f>AU86/AO86-1</f>
        <v>-2.2672064777327972E-2</v>
      </c>
      <c r="AV87" s="227">
        <f>AV86/AP86-1</f>
        <v>-1.8638573743922193E-2</v>
      </c>
      <c r="AW87" s="227">
        <f>AW86/AQ86-1</f>
        <v>-2.2626262626262661E-2</v>
      </c>
      <c r="AY87" s="227">
        <f>AY86/AS86-1</f>
        <v>-5.4545454545454564E-2</v>
      </c>
      <c r="AZ87" s="227">
        <f>AZ86/AT86-1</f>
        <v>-7.1900826446281041E-2</v>
      </c>
      <c r="BA87" s="227">
        <f>BA86/AU86-1</f>
        <v>-8.6992543496271724E-2</v>
      </c>
      <c r="BB87" s="227">
        <f>BB86/AV86-1</f>
        <v>-5.945499587118086E-2</v>
      </c>
      <c r="BC87" s="227">
        <f>BC86/AW86-1</f>
        <v>-6.8210004133939628E-2</v>
      </c>
      <c r="BE87" s="227">
        <f>BE86/AY86-1</f>
        <v>-4.0646853146853124E-2</v>
      </c>
      <c r="BF87" s="227">
        <f>BF86/AZ86-1</f>
        <v>-2.0035618878005312E-2</v>
      </c>
      <c r="BG87" s="227">
        <f>BG86/BA86-1</f>
        <v>-2.6588021778584325E-2</v>
      </c>
      <c r="BH87" s="227">
        <f>BH86/BB86-1</f>
        <v>-2.6338893766461813E-2</v>
      </c>
      <c r="BI87" s="227">
        <f>BI86/BC86-1</f>
        <v>-2.8460514640638923E-2</v>
      </c>
      <c r="BK87" s="227">
        <f>BK86/BE86-1</f>
        <v>-3.2346241457858804E-2</v>
      </c>
      <c r="BL87" s="227">
        <f>BL86/BF86-1</f>
        <v>-3.8618809631985496E-2</v>
      </c>
      <c r="BM87" s="227">
        <f>BM86/BG86-1</f>
        <v>-2.2093782045306321E-2</v>
      </c>
      <c r="BN87" s="227">
        <f>BN86/BH86-1</f>
        <v>-1.9837691614066677E-2</v>
      </c>
      <c r="BO87" s="227">
        <f>BO86/BI86-1</f>
        <v>-2.8243943649108316E-2</v>
      </c>
      <c r="BQ87" s="227">
        <f>BQ86/BK86-1</f>
        <v>-1.7460881431315189E-2</v>
      </c>
      <c r="BR87" s="227">
        <f>BR86/BL86-1</f>
        <v>-1.5945643322475722E-2</v>
      </c>
      <c r="BS87" s="227">
        <f>BS86/BM86-1</f>
        <v>-1.7333744158578579E-2</v>
      </c>
      <c r="BT87" s="227">
        <f>BT86/BN86-1</f>
        <v>-2.1277904092600552E-2</v>
      </c>
      <c r="BU87" s="227">
        <f>BU86/BO86-1</f>
        <v>-1.8027755189436667E-2</v>
      </c>
      <c r="BW87" s="227">
        <f>BW86/BQ86-1</f>
        <v>-2.5118310884601369E-2</v>
      </c>
      <c r="BX87" s="227">
        <f>BX86/BR86-1</f>
        <v>-2.4507750314201937E-2</v>
      </c>
      <c r="BY87" s="227">
        <f>BY86/BS86-1</f>
        <v>-2.5823788662514557E-2</v>
      </c>
      <c r="BZ87" s="227">
        <f>BZ86/BT86-1</f>
        <v>-2.5682903533906343E-2</v>
      </c>
      <c r="CA87" s="227">
        <f>CA86/BU86-1</f>
        <v>-2.5283937620671715E-2</v>
      </c>
      <c r="CC87" s="227">
        <f>CC86/BW86-1</f>
        <v>-2.7982769657526996E-2</v>
      </c>
      <c r="CD87" s="227">
        <f>CD86/BX86-1</f>
        <v>-2.7861284088468996E-2</v>
      </c>
      <c r="CE87" s="227">
        <f>CE86/BY86-1</f>
        <v>-2.720910122682807E-2</v>
      </c>
      <c r="CF87" s="227">
        <f>CF86/BZ86-1</f>
        <v>-2.6242666232073053E-2</v>
      </c>
      <c r="CG87" s="227">
        <f>CG86/CA86-1</f>
        <v>-2.7318984633635135E-2</v>
      </c>
      <c r="CI87" s="227">
        <f>CI86/CC86-1</f>
        <v>-2.6081199148145995E-2</v>
      </c>
      <c r="CJ87" s="227">
        <f>CJ86/CD86-1</f>
        <v>-2.5938736263736217E-2</v>
      </c>
      <c r="CK87" s="227">
        <f>CK86/CE86-1</f>
        <v>-2.5791044776119376E-2</v>
      </c>
      <c r="CL87" s="227">
        <f>CL86/CF86-1</f>
        <v>-2.5877601998334776E-2</v>
      </c>
      <c r="CM87" s="227">
        <f>CM86/CG86-1</f>
        <v>-2.5922302210419246E-2</v>
      </c>
      <c r="CO87" s="227">
        <f>CO86/CI86-1</f>
        <v>-2.5704881450488215E-2</v>
      </c>
      <c r="CP87" s="227">
        <f>CP86/CJ86-1</f>
        <v>-2.5551159005444135E-2</v>
      </c>
      <c r="CQ87" s="227">
        <f>CQ86/CK86-1</f>
        <v>-2.5392107046070644E-2</v>
      </c>
      <c r="CR87" s="227">
        <f>CR86/CL86-1</f>
        <v>-2.5478822929069667E-2</v>
      </c>
      <c r="CS87" s="227">
        <f>CS86/CM86-1</f>
        <v>-2.5531868016340775E-2</v>
      </c>
      <c r="CU87" s="227">
        <f>CU86/CO86-1</f>
        <v>-2.5294553327256164E-2</v>
      </c>
      <c r="CV87" s="227">
        <f>CV86/CP86-1</f>
        <v>-2.5129233766978176E-2</v>
      </c>
      <c r="CW87" s="227">
        <f>CW86/CQ86-1</f>
        <v>-2.4958499048936322E-2</v>
      </c>
      <c r="CX87" s="227">
        <f>CX86/CR86-1</f>
        <v>-2.5045154567558181E-2</v>
      </c>
      <c r="CY87" s="227">
        <f>CY86/CS86-1</f>
        <v>-2.5106949591197747E-2</v>
      </c>
      <c r="DA87" s="227">
        <f>DA86/CU86-1</f>
        <v>-2.4849075258811193E-2</v>
      </c>
      <c r="DB87" s="227">
        <f>DB86/CV86-1</f>
        <v>-2.4671853065044491E-2</v>
      </c>
      <c r="DC87" s="227">
        <f>DC86/CW86-1</f>
        <v>-2.4489147697194347E-2</v>
      </c>
      <c r="DD87" s="227">
        <f>DD86/CX86-1</f>
        <v>-2.4575505140021048E-2</v>
      </c>
      <c r="DE87" s="227">
        <f>DE86/CY86-1</f>
        <v>-2.4646443530563222E-2</v>
      </c>
      <c r="DG87" s="227">
        <f>DG86/DA86-1</f>
        <v>-2.4367396593673929E-2</v>
      </c>
      <c r="DH87" s="227">
        <f>DH86/DB86-1</f>
        <v>-2.4178004535147513E-2</v>
      </c>
      <c r="DI87" s="227">
        <f>DI86/DC86-1</f>
        <v>-2.3983081353491587E-2</v>
      </c>
      <c r="DJ87" s="227">
        <f>DJ86/DD86-1</f>
        <v>-2.4068884469354734E-2</v>
      </c>
      <c r="DK87" s="227">
        <f>DK86/DE86-1</f>
        <v>-2.4149343187977568E-2</v>
      </c>
    </row>
    <row r="88" spans="1:115" x14ac:dyDescent="0.2">
      <c r="AG88" s="417" t="s">
        <v>374</v>
      </c>
    </row>
    <row r="89" spans="1:115" x14ac:dyDescent="0.2">
      <c r="A89" s="278"/>
      <c r="B89" s="278"/>
      <c r="C89" s="279"/>
      <c r="D89" s="279"/>
      <c r="E89" s="279"/>
      <c r="F89" s="279"/>
      <c r="G89" s="279"/>
      <c r="H89" s="279"/>
      <c r="I89" s="279"/>
      <c r="J89" s="279"/>
      <c r="K89" s="279"/>
      <c r="L89" s="279"/>
      <c r="M89" s="279"/>
      <c r="N89" s="279"/>
      <c r="O89" s="279"/>
      <c r="P89" s="279"/>
      <c r="Q89" s="279"/>
      <c r="R89" s="279"/>
      <c r="S89" s="279"/>
      <c r="T89" s="279"/>
      <c r="U89" s="279"/>
      <c r="V89" s="279"/>
      <c r="W89" s="279"/>
      <c r="X89" s="279"/>
      <c r="Y89" s="279"/>
      <c r="Z89" s="278"/>
      <c r="AA89" s="278"/>
      <c r="AB89" s="278"/>
      <c r="AC89" s="278"/>
      <c r="AD89" s="278"/>
      <c r="AE89" s="278"/>
      <c r="AF89" s="278"/>
      <c r="AG89" s="278"/>
      <c r="AH89" s="278"/>
      <c r="AI89" s="278"/>
      <c r="AJ89" s="278"/>
      <c r="AK89" s="278"/>
      <c r="AL89" s="278"/>
      <c r="AM89" s="278"/>
      <c r="AN89" s="278"/>
      <c r="AO89" s="278"/>
      <c r="AP89" s="278"/>
      <c r="AQ89" s="278"/>
      <c r="AR89" s="278"/>
      <c r="AS89" s="278"/>
      <c r="AT89" s="278"/>
      <c r="AU89" s="278"/>
      <c r="AV89" s="278"/>
      <c r="AW89" s="278"/>
      <c r="AX89" s="278"/>
      <c r="AY89" s="278"/>
      <c r="AZ89" s="278"/>
      <c r="BA89" s="278"/>
      <c r="BB89" s="278"/>
      <c r="BC89" s="278"/>
      <c r="BD89" s="278"/>
      <c r="BE89" s="278"/>
      <c r="BF89" s="278"/>
      <c r="BG89" s="278"/>
      <c r="BH89" s="278"/>
      <c r="BI89" s="278"/>
      <c r="BJ89" s="278"/>
      <c r="BK89" s="278"/>
      <c r="BL89" s="278"/>
      <c r="BM89" s="278"/>
      <c r="BN89" s="278"/>
      <c r="BO89" s="278"/>
      <c r="BP89" s="278"/>
      <c r="BQ89" s="278"/>
      <c r="BR89" s="278"/>
      <c r="BS89" s="278"/>
      <c r="BT89" s="278"/>
      <c r="BU89" s="278"/>
      <c r="BV89" s="278"/>
      <c r="BW89" s="278"/>
      <c r="BX89" s="278"/>
      <c r="BY89" s="278"/>
      <c r="BZ89" s="278"/>
      <c r="CA89" s="278"/>
      <c r="CB89" s="278"/>
      <c r="CC89" s="278"/>
      <c r="CD89" s="278"/>
      <c r="CE89" s="278"/>
      <c r="CF89" s="278"/>
      <c r="CG89" s="278"/>
      <c r="CH89" s="278"/>
      <c r="CI89" s="278"/>
      <c r="CJ89" s="278"/>
      <c r="CK89" s="278"/>
      <c r="CL89" s="278"/>
      <c r="CM89" s="278"/>
      <c r="CN89" s="278"/>
      <c r="CO89" s="278"/>
      <c r="CP89" s="278"/>
      <c r="CQ89" s="278"/>
      <c r="CR89" s="278"/>
      <c r="CS89" s="278"/>
      <c r="CT89" s="278"/>
      <c r="CU89" s="278"/>
      <c r="CV89" s="278"/>
      <c r="CW89" s="278"/>
      <c r="CX89" s="278"/>
      <c r="CY89" s="278"/>
      <c r="CZ89" s="278"/>
      <c r="DA89" s="278"/>
      <c r="DB89" s="278"/>
      <c r="DC89" s="278"/>
      <c r="DD89" s="278"/>
      <c r="DE89" s="278"/>
      <c r="DF89" s="278"/>
      <c r="DG89" s="278"/>
      <c r="DH89" s="278"/>
      <c r="DI89" s="278"/>
      <c r="DJ89" s="278"/>
      <c r="DK89" s="278"/>
    </row>
    <row r="92" spans="1:115" x14ac:dyDescent="0.2">
      <c r="B92" t="s">
        <v>234</v>
      </c>
      <c r="O92" s="114">
        <f>O51-O64/2</f>
        <v>10789</v>
      </c>
      <c r="P92" s="114">
        <f>P51-P64/2</f>
        <v>11106.5</v>
      </c>
      <c r="Q92" s="114">
        <f>Q51-Q64/2</f>
        <v>11265</v>
      </c>
      <c r="R92" s="114">
        <f>R51-R64/2</f>
        <v>11389</v>
      </c>
      <c r="S92" s="114">
        <f>(O92+P92+Q92+R92)/4</f>
        <v>11137.375</v>
      </c>
      <c r="U92" s="114">
        <f>U51-U64/2</f>
        <v>11571</v>
      </c>
      <c r="V92" s="114">
        <f>V51-V64/2</f>
        <v>11730</v>
      </c>
      <c r="W92" s="114">
        <f>W51-W64/2</f>
        <v>11819.5</v>
      </c>
      <c r="X92" s="114">
        <f>X51-X64/2</f>
        <v>11899</v>
      </c>
      <c r="Y92" s="114">
        <f>(U92+V92+W92+X92)/4</f>
        <v>11754.875</v>
      </c>
      <c r="AA92" s="114">
        <f>AA51-AA64/2</f>
        <v>12011.5</v>
      </c>
      <c r="AB92" s="114">
        <f>AB51-AB64/2</f>
        <v>12111</v>
      </c>
      <c r="AC92" s="114">
        <f>AC51-AC64/2</f>
        <v>12177</v>
      </c>
      <c r="AD92" s="114">
        <f>AD51-AD64/2</f>
        <v>12233</v>
      </c>
      <c r="AE92" s="114">
        <f>(AA92+AB92+AC92+AD92)/4</f>
        <v>12133.125</v>
      </c>
      <c r="AG92" s="114">
        <f>AG51-AG64/2</f>
        <v>12316</v>
      </c>
      <c r="AH92" s="114">
        <f>AH51-AH64/2</f>
        <v>12390.5</v>
      </c>
      <c r="AI92" s="114">
        <f>AI51-AI64/2</f>
        <v>12419</v>
      </c>
      <c r="AJ92" s="114">
        <f>AJ51-AJ64/2</f>
        <v>12425.5</v>
      </c>
      <c r="AK92" s="114">
        <f>(AG92+AH92+AI92+AJ92)/4</f>
        <v>12387.75</v>
      </c>
      <c r="AM92" s="114">
        <f>AM51-AM64/2</f>
        <v>12435</v>
      </c>
      <c r="AN92" s="114">
        <f>AN51-AN64/2</f>
        <v>12436.5</v>
      </c>
      <c r="AO92" s="114">
        <f>AO51-AO64/2</f>
        <v>12406.5</v>
      </c>
      <c r="AP92" s="114">
        <f>AP51-AP64/2</f>
        <v>12371.5</v>
      </c>
      <c r="AQ92" s="114">
        <f>(AM92+AN92+AO92+AP92)/4</f>
        <v>12412.375</v>
      </c>
      <c r="AS92" s="114">
        <f>AS51-AS64/2</f>
        <v>12357</v>
      </c>
      <c r="AT92" s="114">
        <f>AT51-AT64/2</f>
        <v>12351.5</v>
      </c>
      <c r="AU92" s="114">
        <f>AU51-AU64/2</f>
        <v>12344.5</v>
      </c>
      <c r="AV92" s="114">
        <f>AV51-AV64/2</f>
        <v>12350.5</v>
      </c>
      <c r="AW92" s="114">
        <f>(AS92+AT92+AU92+AV92)/4</f>
        <v>12350.875</v>
      </c>
      <c r="AY92" s="114">
        <f>AY51-AY64/2</f>
        <v>12399</v>
      </c>
      <c r="AZ92" s="114">
        <f>AZ51-AZ64/2</f>
        <v>12477.5</v>
      </c>
      <c r="BA92" s="114">
        <f>BA51-BA64/2</f>
        <v>12557</v>
      </c>
      <c r="BB92" s="114">
        <f>BB51-BB64/2</f>
        <v>12620</v>
      </c>
      <c r="BC92" s="114">
        <f>(AY92+AZ92+BA92+BB92)/4</f>
        <v>12513.375</v>
      </c>
      <c r="BE92" s="114">
        <f>BE51-BE64/2</f>
        <v>12675</v>
      </c>
      <c r="BF92" s="114">
        <f>BF51-BF64/2</f>
        <v>12738</v>
      </c>
      <c r="BG92" s="114">
        <f>BG51-BG64/2</f>
        <v>12802.5</v>
      </c>
      <c r="BH92" s="114">
        <f>BH51-BH64/2</f>
        <v>12878.5</v>
      </c>
      <c r="BI92" s="114">
        <f>(BE92+BF92+BG92+BH92)/4</f>
        <v>12773.5</v>
      </c>
      <c r="BK92" s="114">
        <f>BK51-BK64/2</f>
        <v>12955.5</v>
      </c>
      <c r="BL92" s="114">
        <f>BL51-BL64/2</f>
        <v>13012</v>
      </c>
      <c r="BM92" s="114">
        <f>BM51-BM64/2</f>
        <v>13070</v>
      </c>
      <c r="BN92" s="114">
        <f>BN51-BN64/2</f>
        <v>13157</v>
      </c>
      <c r="BO92" s="114">
        <f>(BK92+BL92+BM92+BN92)/4</f>
        <v>13048.625</v>
      </c>
      <c r="BQ92" s="114">
        <f>BQ51-BQ64/2</f>
        <v>13246.5</v>
      </c>
      <c r="BR92" s="114">
        <f>BR51-BR64/2</f>
        <v>13314</v>
      </c>
      <c r="BS92" s="114">
        <f>BS51-BS64/2</f>
        <v>13381.5</v>
      </c>
      <c r="BT92" s="114">
        <f>BT51-BT64/2</f>
        <v>13464</v>
      </c>
      <c r="BU92" s="114">
        <f>(BQ92+BR92+BS92+BT92)/4</f>
        <v>13351.5</v>
      </c>
      <c r="BW92" s="114">
        <f>BW51-BW64/2</f>
        <v>13544</v>
      </c>
      <c r="BX92" s="114">
        <f>BX51-BX64/2</f>
        <v>13606.5</v>
      </c>
      <c r="BY92" s="114">
        <f>BY51-BY64/2</f>
        <v>13666.5</v>
      </c>
      <c r="BZ92" s="114">
        <f>BZ51-BZ64/2</f>
        <v>13739</v>
      </c>
      <c r="CA92" s="114">
        <f>(BW92+BX92+BY92+BZ92)/4</f>
        <v>13639</v>
      </c>
      <c r="CC92" s="114">
        <f>CC51-CC64/2</f>
        <v>13811.5</v>
      </c>
      <c r="CD92" s="114">
        <f>CD51-CD64/2</f>
        <v>13869</v>
      </c>
      <c r="CE92" s="114">
        <f>CE51-CE64/2</f>
        <v>13924</v>
      </c>
      <c r="CF92" s="114">
        <f>CF51-CF64/2</f>
        <v>13991.5</v>
      </c>
      <c r="CG92" s="114">
        <f>(CC92+CD92+CE92+CF92)/4</f>
        <v>13899</v>
      </c>
      <c r="CI92" s="114">
        <f>CI51-CI64/2</f>
        <v>14059</v>
      </c>
      <c r="CJ92" s="114">
        <f>CJ51-CJ64/2</f>
        <v>14114</v>
      </c>
      <c r="CK92" s="114">
        <f>CK51-CK64/2</f>
        <v>14166.5</v>
      </c>
      <c r="CL92" s="114">
        <f>CL51-CL64/2</f>
        <v>14229</v>
      </c>
      <c r="CM92" s="114">
        <f>(CI92+CJ92+CK92+CL92)/4</f>
        <v>14142.125</v>
      </c>
      <c r="CO92" s="114">
        <f>CO51-CO64/2</f>
        <v>14291.5</v>
      </c>
      <c r="CP92" s="114">
        <f>CP51-CP64/2</f>
        <v>14344</v>
      </c>
      <c r="CQ92" s="114">
        <f>CQ51-CQ64/2</f>
        <v>14394</v>
      </c>
      <c r="CR92" s="114">
        <f>CR51-CR64/2</f>
        <v>14451.5</v>
      </c>
      <c r="CS92" s="114">
        <f>(CO92+CP92+CQ92+CR92)/4</f>
        <v>14370.25</v>
      </c>
      <c r="CU92" s="114">
        <f>CU51-CU64/2</f>
        <v>14509</v>
      </c>
      <c r="CV92" s="114">
        <f>CV51-CV64/2</f>
        <v>14559</v>
      </c>
      <c r="CW92" s="114">
        <f>CW51-CW64/2</f>
        <v>14609</v>
      </c>
      <c r="CX92" s="114">
        <f>CX51-CX64/2</f>
        <v>14661.5</v>
      </c>
      <c r="CY92" s="114">
        <f>(CU92+CV92+CW92+CX92)/4</f>
        <v>14584.625</v>
      </c>
      <c r="DA92" s="114">
        <f>DA51-DA64/2</f>
        <v>14714</v>
      </c>
      <c r="DB92" s="114">
        <f>DB51-DB64/2</f>
        <v>14764</v>
      </c>
      <c r="DC92" s="114">
        <f>DC51-DC64/2</f>
        <v>14814</v>
      </c>
      <c r="DD92" s="114">
        <f>DD51-DD64/2</f>
        <v>14864</v>
      </c>
      <c r="DE92" s="114">
        <f>(DA92+DB92+DC92+DD92)/4</f>
        <v>14789</v>
      </c>
      <c r="DG92" s="114">
        <f>DG51-DG64/2</f>
        <v>14914</v>
      </c>
      <c r="DH92" s="114">
        <f>DH51-DH64/2</f>
        <v>14964</v>
      </c>
      <c r="DI92" s="114">
        <f>DI51-DI64/2</f>
        <v>15014</v>
      </c>
      <c r="DJ92" s="114">
        <f>DJ51-DJ64/2</f>
        <v>15064</v>
      </c>
      <c r="DK92" s="114">
        <f>(DG92+DH92+DI92+DJ92)/4</f>
        <v>14989</v>
      </c>
    </row>
    <row r="93" spans="1:115" x14ac:dyDescent="0.2">
      <c r="B93" s="241" t="s">
        <v>74</v>
      </c>
      <c r="O93" s="103" t="s">
        <v>35</v>
      </c>
      <c r="P93" s="103" t="s">
        <v>35</v>
      </c>
      <c r="Q93" s="103" t="s">
        <v>35</v>
      </c>
      <c r="R93" s="103" t="s">
        <v>35</v>
      </c>
      <c r="S93" s="103" t="s">
        <v>35</v>
      </c>
      <c r="U93" s="227">
        <f>U92/O92-1</f>
        <v>7.2481230883307157E-2</v>
      </c>
      <c r="V93" s="227">
        <f>V92/P92-1</f>
        <v>5.6138297393418357E-2</v>
      </c>
      <c r="W93" s="227">
        <f>W92/Q92-1</f>
        <v>4.9223257878384441E-2</v>
      </c>
      <c r="X93" s="227">
        <f>X92/R92-1</f>
        <v>4.4780050926332526E-2</v>
      </c>
      <c r="Y93" s="227">
        <f>Y92/S92-1</f>
        <v>5.5443944376480037E-2</v>
      </c>
      <c r="AA93" s="227">
        <f>AA92/U92-1</f>
        <v>3.80693112090571E-2</v>
      </c>
      <c r="AB93" s="227">
        <f>AB92/V92-1</f>
        <v>3.2480818414322155E-2</v>
      </c>
      <c r="AC93" s="227">
        <f>AC92/W92-1</f>
        <v>3.0246626337831595E-2</v>
      </c>
      <c r="AD93" s="227">
        <f>AD92/X92-1</f>
        <v>2.8069585679468823E-2</v>
      </c>
      <c r="AE93" s="227">
        <f>AE92/Y92-1</f>
        <v>3.2178138857282601E-2</v>
      </c>
      <c r="AG93" s="227">
        <f>AG92/AA92-1</f>
        <v>2.5350705573825127E-2</v>
      </c>
      <c r="AH93" s="227">
        <f>AH92/AB92-1</f>
        <v>2.3078193377920941E-2</v>
      </c>
      <c r="AI93" s="227">
        <f>AI92/AC92-1</f>
        <v>1.9873532068654054E-2</v>
      </c>
      <c r="AJ93" s="227">
        <f>AJ92/AD92-1</f>
        <v>1.5736123600098129E-2</v>
      </c>
      <c r="AK93" s="227">
        <f>AK92/AE92-1</f>
        <v>2.0985937258538145E-2</v>
      </c>
      <c r="AM93" s="227">
        <f>AM92/AG92-1</f>
        <v>9.6622279961027235E-3</v>
      </c>
      <c r="AN93" s="227">
        <f>AN92/AH92-1</f>
        <v>3.7125216900044666E-3</v>
      </c>
      <c r="AO93" s="227">
        <f>AO92/AI92-1</f>
        <v>-1.006522264272447E-3</v>
      </c>
      <c r="AP93" s="227">
        <f>AP92/AJ92-1</f>
        <v>-4.345901573377331E-3</v>
      </c>
      <c r="AQ93" s="227">
        <f>AQ92/AK92-1</f>
        <v>1.98785090109177E-3</v>
      </c>
      <c r="AS93" s="227">
        <f>AS92/AM92-1</f>
        <v>-6.2726176115802668E-3</v>
      </c>
      <c r="AT93" s="227">
        <f>AT92/AN92-1</f>
        <v>-6.8347203795280365E-3</v>
      </c>
      <c r="AU93" s="227">
        <f>AU92/AO92-1</f>
        <v>-4.9973804054326276E-3</v>
      </c>
      <c r="AV93" s="227">
        <f>AV92/AP92-1</f>
        <v>-1.6974497837772828E-3</v>
      </c>
      <c r="AW93" s="227">
        <f>AW92/AQ92-1</f>
        <v>-4.9547326760591703E-3</v>
      </c>
      <c r="AY93" s="227">
        <f>AY92/AS92-1</f>
        <v>3.3988832240834377E-3</v>
      </c>
      <c r="AZ93" s="227">
        <f>AZ92/AT92-1</f>
        <v>1.0201190138849459E-2</v>
      </c>
      <c r="BA93" s="227">
        <f>BA92/AU92-1</f>
        <v>1.7214143950747385E-2</v>
      </c>
      <c r="BB93" s="227">
        <f>BB92/AV92-1</f>
        <v>2.1820978907736599E-2</v>
      </c>
      <c r="BC93" s="227">
        <f>BC92/AW92-1</f>
        <v>1.3156962563381169E-2</v>
      </c>
      <c r="BE93" s="227">
        <f>BE92/AY92-1</f>
        <v>2.2259859666102111E-2</v>
      </c>
      <c r="BF93" s="227">
        <f>BF92/AZ92-1</f>
        <v>2.0877579643358013E-2</v>
      </c>
      <c r="BG93" s="227">
        <f>BG92/BA92-1</f>
        <v>1.955084813251573E-2</v>
      </c>
      <c r="BH93" s="227">
        <f>BH92/BB92-1</f>
        <v>2.0483359746434227E-2</v>
      </c>
      <c r="BI93" s="227">
        <f>BI92/BC92-1</f>
        <v>2.0787757099903104E-2</v>
      </c>
      <c r="BK93" s="227">
        <f>BK92/BE92-1</f>
        <v>2.2130177514792848E-2</v>
      </c>
      <c r="BL93" s="227">
        <f>BL92/BF92-1</f>
        <v>2.1510441199560359E-2</v>
      </c>
      <c r="BM93" s="227">
        <f>BM92/BG92-1</f>
        <v>2.0894356570982264E-2</v>
      </c>
      <c r="BN93" s="227">
        <f>BN92/BH92-1</f>
        <v>2.1625189268936529E-2</v>
      </c>
      <c r="BO93" s="227">
        <f>BO92/BI92-1</f>
        <v>2.1538732532195626E-2</v>
      </c>
      <c r="BQ93" s="227">
        <f>BQ92/BK92-1</f>
        <v>2.2461502836633063E-2</v>
      </c>
      <c r="BR93" s="227">
        <f>BR92/BL92-1</f>
        <v>2.3209345219797006E-2</v>
      </c>
      <c r="BS93" s="227">
        <f>BS92/BM92-1</f>
        <v>2.3833205814843161E-2</v>
      </c>
      <c r="BT93" s="227">
        <f>BT92/BN92-1</f>
        <v>2.3333586683894403E-2</v>
      </c>
      <c r="BU93" s="227">
        <f>BU92/BO92-1</f>
        <v>2.3211257891157189E-2</v>
      </c>
      <c r="BW93" s="227">
        <f>BW92/BQ92-1</f>
        <v>2.2458762692031842E-2</v>
      </c>
      <c r="BX93" s="227">
        <f>BX92/BR92-1</f>
        <v>2.1969355565570003E-2</v>
      </c>
      <c r="BY93" s="227">
        <f>BY92/BS92-1</f>
        <v>2.1298060755520654E-2</v>
      </c>
      <c r="BZ93" s="227">
        <f>BZ92/BT92-1</f>
        <v>2.0424836601307117E-2</v>
      </c>
      <c r="CA93" s="227">
        <f>CA92/BU92-1</f>
        <v>2.1533161068044704E-2</v>
      </c>
      <c r="CC93" s="227">
        <f>CC92/BW92-1</f>
        <v>1.975044300059059E-2</v>
      </c>
      <c r="CD93" s="227">
        <f>CD92/BX92-1</f>
        <v>1.9292250027560298E-2</v>
      </c>
      <c r="CE93" s="227">
        <f>CE92/BY92-1</f>
        <v>1.8841693191380404E-2</v>
      </c>
      <c r="CF93" s="227">
        <f>CF92/BZ92-1</f>
        <v>1.8378339034864188E-2</v>
      </c>
      <c r="CG93" s="227">
        <f>CG92/CA92-1</f>
        <v>1.9062981156976244E-2</v>
      </c>
      <c r="CI93" s="227">
        <f>CI92/CC92-1</f>
        <v>1.7919849400861665E-2</v>
      </c>
      <c r="CJ93" s="227">
        <f>CJ92/CD92-1</f>
        <v>1.7665296704881372E-2</v>
      </c>
      <c r="CK93" s="227">
        <f>CK92/CE92-1</f>
        <v>1.7415972421717996E-2</v>
      </c>
      <c r="CL93" s="227">
        <f>CL92/CF92-1</f>
        <v>1.6974591716399257E-2</v>
      </c>
      <c r="CM93" s="227">
        <f>CM92/CG92-1</f>
        <v>1.7492265630620896E-2</v>
      </c>
      <c r="CO93" s="227">
        <f>CO92/CI92-1</f>
        <v>1.6537449320719766E-2</v>
      </c>
      <c r="CP93" s="227">
        <f>CP92/CJ92-1</f>
        <v>1.6295876434745615E-2</v>
      </c>
      <c r="CQ93" s="227">
        <f>CQ92/CK92-1</f>
        <v>1.6059012458970123E-2</v>
      </c>
      <c r="CR93" s="227">
        <f>CR92/CL92-1</f>
        <v>1.5637079204441573E-2</v>
      </c>
      <c r="CS93" s="227">
        <f>CS92/CM92-1</f>
        <v>1.613088556352027E-2</v>
      </c>
      <c r="CU93" s="227">
        <f>CU92/CO92-1</f>
        <v>1.5218836371269528E-2</v>
      </c>
      <c r="CV93" s="227">
        <f>CV92/CP92-1</f>
        <v>1.4988845510317983E-2</v>
      </c>
      <c r="CW93" s="227">
        <f>CW92/CQ92-1</f>
        <v>1.4936779213561291E-2</v>
      </c>
      <c r="CX93" s="227">
        <f>CX92/CR92-1</f>
        <v>1.4531363526277596E-2</v>
      </c>
      <c r="CY93" s="227">
        <f>CY92/CS92-1</f>
        <v>1.4917972895391429E-2</v>
      </c>
      <c r="DA93" s="227">
        <f>DA92/CU92-1</f>
        <v>1.4129161210283181E-2</v>
      </c>
      <c r="DB93" s="227">
        <f>DB92/CV92-1</f>
        <v>1.4080637406415297E-2</v>
      </c>
      <c r="DC93" s="227">
        <f>DC92/CW92-1</f>
        <v>1.4032445752618194E-2</v>
      </c>
      <c r="DD93" s="227">
        <f>DD92/CX92-1</f>
        <v>1.381168366128982E-2</v>
      </c>
      <c r="DE93" s="227">
        <f>DE92/CY92-1</f>
        <v>1.4013044558910392E-2</v>
      </c>
      <c r="DG93" s="227">
        <f>DG92/DA92-1</f>
        <v>1.3592496941688292E-2</v>
      </c>
      <c r="DH93" s="227">
        <f>DH92/DB92-1</f>
        <v>1.3546464372798717E-2</v>
      </c>
      <c r="DI93" s="227">
        <f>DI92/DC92-1</f>
        <v>1.3500742540839772E-2</v>
      </c>
      <c r="DJ93" s="227">
        <f>DJ92/DD92-1</f>
        <v>1.3455328310010728E-2</v>
      </c>
      <c r="DK93" s="227">
        <f>DK92/DE92-1</f>
        <v>1.3523564811684263E-2</v>
      </c>
    </row>
    <row r="95" spans="1:115" hidden="1" x14ac:dyDescent="0.2">
      <c r="B95" t="s">
        <v>221</v>
      </c>
      <c r="O95" s="230">
        <f>O112*1000/(O92*3)</f>
        <v>44.64423641363117</v>
      </c>
      <c r="P95" s="230">
        <f>P112*1000/(P92*3)</f>
        <v>44.478458560302528</v>
      </c>
      <c r="Q95" s="230">
        <f>Q112*1000/(Q92*3)</f>
        <v>43.734280218967299</v>
      </c>
      <c r="R95" s="230">
        <f>R112*1000/(R92*3)</f>
        <v>44.838586940615215</v>
      </c>
      <c r="S95" s="230">
        <f>S112*1000/(S92*12)</f>
        <v>44.422496324313407</v>
      </c>
      <c r="U95" s="230">
        <f>U112*1000/(U92*3)</f>
        <v>42.692939244663386</v>
      </c>
      <c r="V95" s="230">
        <f>V112*1000/(V92*3)</f>
        <v>42.710997442455245</v>
      </c>
      <c r="W95" s="230">
        <f>W112*1000/(W92*3)</f>
        <v>42.41578182946261</v>
      </c>
      <c r="X95" s="230">
        <f>X112*1000/(X92*3)</f>
        <v>43.168893744572372</v>
      </c>
      <c r="Y95" s="230">
        <f>Y112*1000/(Y92*12)</f>
        <v>42.748221482576376</v>
      </c>
      <c r="AA95" s="230">
        <f>AA112*1000/(AA92*3)</f>
        <v>36.07653776242212</v>
      </c>
      <c r="AB95" s="230">
        <f>AB112*1000/(AB92*3)</f>
        <v>35.917760713401037</v>
      </c>
      <c r="AC95" s="230">
        <f>AC112*1000/(AC92*3)</f>
        <v>35.640962470230761</v>
      </c>
      <c r="AD95" s="230">
        <f>AD112*1000/(AD92*3)</f>
        <v>35.368811139268097</v>
      </c>
      <c r="AE95" s="230">
        <f>AE112*1000/(AE92*12)</f>
        <v>35.749240199866072</v>
      </c>
      <c r="AG95" s="230">
        <f>AG112*1000/(AG92*3)</f>
        <v>35.374039190213274</v>
      </c>
      <c r="AH95" s="230">
        <f>AH112*1000/(AH92*3)</f>
        <v>35.215151392868194</v>
      </c>
      <c r="AI95" s="230">
        <f>AI112*1000/(AI92*3)</f>
        <v>35.16117776525217</v>
      </c>
      <c r="AJ95" s="230">
        <f>AJ112*1000/(AJ92*3)</f>
        <v>35.169610880849866</v>
      </c>
      <c r="AK95" s="230">
        <f>AK112*1000/(AK92*12)</f>
        <v>35.229696003444261</v>
      </c>
      <c r="AM95" s="230">
        <f>AM112*1000/(AM92*3)</f>
        <v>35.625251306795334</v>
      </c>
      <c r="AN95" s="230">
        <f>AN112*1000/(AN92*3)</f>
        <v>35.781771398705423</v>
      </c>
      <c r="AO95" s="230">
        <f>AO112*1000/(AO92*3)</f>
        <v>35.62648611614879</v>
      </c>
      <c r="AP95" s="230">
        <f>AP112*1000/(AP92*3)</f>
        <v>35.592558164598742</v>
      </c>
      <c r="AQ95" s="230">
        <f>AQ112*1000/(AQ92*12)</f>
        <v>35.656619569851323</v>
      </c>
      <c r="AS95" s="230">
        <f>AS112*1000/(AS92*3)</f>
        <v>34.879015942380839</v>
      </c>
      <c r="AT95" s="230">
        <f>AT112*1000/(AT92*3)</f>
        <v>35.00249632298371</v>
      </c>
      <c r="AU95" s="230">
        <f>AU112*1000/(AU92*3)</f>
        <v>34.914334318927459</v>
      </c>
      <c r="AV95" s="230">
        <f>AV112*1000/(AV92*3)</f>
        <v>34.870383115393437</v>
      </c>
      <c r="AW95" s="230">
        <f>AW112*1000/(AW92*12)</f>
        <v>34.91655449512686</v>
      </c>
      <c r="AY95" s="230">
        <f>AY112*1000/(AY92*3)</f>
        <v>34.733983923434685</v>
      </c>
      <c r="AZ95" s="230">
        <f>AT95*(1+AZ96)</f>
        <v>35.177508804598624</v>
      </c>
      <c r="BA95" s="230">
        <f>AU95*(1+BA96)</f>
        <v>35.176191826319418</v>
      </c>
      <c r="BB95" s="230">
        <f>AV95*(1+BB96)</f>
        <v>35.219086946547371</v>
      </c>
      <c r="BC95" s="230">
        <f>BC112*1000/(BC92*12)</f>
        <v>34.616293898861549</v>
      </c>
      <c r="BE95" s="230">
        <f>BE112*1000/(BE92*3)</f>
        <v>34.529914529914528</v>
      </c>
      <c r="BF95" s="230">
        <f>AZ95*(1+BF96)</f>
        <v>35.529283892644614</v>
      </c>
      <c r="BG95" s="230">
        <f>BA95*(1+BG96)</f>
        <v>35.527953744582611</v>
      </c>
      <c r="BH95" s="230">
        <f>BB95*(1+BH96)</f>
        <v>35.571277816012845</v>
      </c>
      <c r="BI95" s="230">
        <f>BI112*1000/(BI92*12)</f>
        <v>34.452838558995836</v>
      </c>
      <c r="BK95" s="230">
        <f>BK112*1000/(BK92*3)</f>
        <v>34.219700770586492</v>
      </c>
      <c r="BL95" s="230">
        <f>BF95*(1+BL96)</f>
        <v>35.973399941302667</v>
      </c>
      <c r="BM95" s="230">
        <f>BG95*(1+BM96)</f>
        <v>35.972053166389891</v>
      </c>
      <c r="BN95" s="230">
        <f>BH95*(1+BN96)</f>
        <v>36.015918788713002</v>
      </c>
      <c r="BO95" s="230">
        <f>BO112*1000/(BO92*12)</f>
        <v>33.969096360727661</v>
      </c>
      <c r="BQ95" s="230">
        <f>BK95*(1+BQ96)</f>
        <v>34.647447030218821</v>
      </c>
      <c r="BR95" s="230">
        <f>BL95*(1+BR96)</f>
        <v>36.42306744056895</v>
      </c>
      <c r="BS95" s="230">
        <f>BM95*(1+BS96)</f>
        <v>36.421703830969761</v>
      </c>
      <c r="BT95" s="230">
        <f>BN95*(1+BT96)</f>
        <v>36.466117773571909</v>
      </c>
      <c r="BU95" s="230">
        <f ca="1">BU112*1000/(BU92*12)</f>
        <v>33.558301598044864</v>
      </c>
      <c r="BW95" s="230">
        <f>BQ95*(1+BW96)</f>
        <v>35.080540118096557</v>
      </c>
      <c r="BX95" s="230">
        <f>BR95*(1+BX96)</f>
        <v>36.878355783576062</v>
      </c>
      <c r="BY95" s="230">
        <f>BS95*(1+BY96)</f>
        <v>36.876975128856884</v>
      </c>
      <c r="BZ95" s="230">
        <f>BT95*(1+BZ96)</f>
        <v>36.921944245741557</v>
      </c>
      <c r="CA95" s="230">
        <f ca="1">CA112*1000/(CA92*12)</f>
        <v>34.192425576340952</v>
      </c>
      <c r="CC95" s="230">
        <f>BW95*(1+CC96)</f>
        <v>35.519046869572762</v>
      </c>
      <c r="CD95" s="230">
        <f>BX95*(1+CD96)</f>
        <v>37.339335230870759</v>
      </c>
      <c r="CE95" s="230">
        <f>BY95*(1+CE96)</f>
        <v>37.337937317967594</v>
      </c>
      <c r="CF95" s="230">
        <f>BZ95*(1+CF96)</f>
        <v>37.383468548813326</v>
      </c>
      <c r="CG95" s="230">
        <f ca="1">CG112*1000/(CG92*12)</f>
        <v>35.120636344977598</v>
      </c>
      <c r="CI95" s="230">
        <f>CC95*(1+CI96)</f>
        <v>35.963034955442417</v>
      </c>
      <c r="CJ95" s="230">
        <f>CD95*(1+CJ96)</f>
        <v>37.80607692125664</v>
      </c>
      <c r="CK95" s="230">
        <f>CE95*(1+CK96)</f>
        <v>37.804661534442189</v>
      </c>
      <c r="CL95" s="230">
        <f>CF95*(1+CL96)</f>
        <v>37.850761905673494</v>
      </c>
      <c r="CM95" s="230">
        <f ca="1">CM112*1000/(CM92*12)</f>
        <v>36.282249254612189</v>
      </c>
      <c r="CO95" s="230">
        <f>CI95*(1+CO96)</f>
        <v>36.412572892385448</v>
      </c>
      <c r="CP95" s="230">
        <f>CJ95*(1+CP96)</f>
        <v>38.278652882772349</v>
      </c>
      <c r="CQ95" s="230">
        <f>CK95*(1+CQ96)</f>
        <v>38.277219803622714</v>
      </c>
      <c r="CR95" s="230">
        <f>CL95*(1+CR96)</f>
        <v>38.323896429494411</v>
      </c>
      <c r="CS95" s="230">
        <f ca="1">CS112*1000/(CS92*12)</f>
        <v>37.572042103527934</v>
      </c>
      <c r="CU95" s="230">
        <f>CO95*(1+CU96)</f>
        <v>36.867730053540264</v>
      </c>
      <c r="CV95" s="230">
        <f>CP95*(1+CV96)</f>
        <v>38.757136043807002</v>
      </c>
      <c r="CW95" s="230">
        <f>CQ95*(1+CW96)</f>
        <v>38.755685051167994</v>
      </c>
      <c r="CX95" s="230">
        <f>CR95*(1+CX96)</f>
        <v>38.802945134863087</v>
      </c>
      <c r="CY95" s="230">
        <f ca="1">CY112*1000/(CY92*12)</f>
        <v>38.905620862896114</v>
      </c>
      <c r="DA95" s="230">
        <f>CU95*(1+DA96)</f>
        <v>37.328576679209519</v>
      </c>
      <c r="DB95" s="230">
        <f>CV95*(1+DB96)</f>
        <v>39.241600244354586</v>
      </c>
      <c r="DC95" s="230">
        <f>CW95*(1+DC96)</f>
        <v>39.240131114307594</v>
      </c>
      <c r="DD95" s="230">
        <f>CX95*(1+DD96)</f>
        <v>39.287981949048877</v>
      </c>
      <c r="DE95" s="230">
        <f ca="1">DE112*1000/(DE92*12)</f>
        <v>40.255453929712871</v>
      </c>
      <c r="DG95" s="230">
        <f>DA95*(1+DG96)</f>
        <v>37.795183887699636</v>
      </c>
      <c r="DH95" s="230">
        <f>DB95*(1+DH96)</f>
        <v>39.732120247409014</v>
      </c>
      <c r="DI95" s="230">
        <f>DC95*(1+DI96)</f>
        <v>39.730632753236435</v>
      </c>
      <c r="DJ95" s="230">
        <f>DD95*(1+DJ96)</f>
        <v>39.779081723411984</v>
      </c>
      <c r="DK95" s="230">
        <f ca="1">DK112*1000/(DK92*12)</f>
        <v>41.618786999680246</v>
      </c>
    </row>
    <row r="96" spans="1:115" hidden="1" x14ac:dyDescent="0.2">
      <c r="B96" s="241" t="s">
        <v>74</v>
      </c>
      <c r="O96" s="103" t="s">
        <v>35</v>
      </c>
      <c r="P96" s="103" t="s">
        <v>35</v>
      </c>
      <c r="Q96" s="103" t="s">
        <v>35</v>
      </c>
      <c r="R96" s="103" t="s">
        <v>35</v>
      </c>
      <c r="S96" s="103" t="s">
        <v>35</v>
      </c>
      <c r="U96" s="227">
        <f>U95/O95-1</f>
        <v>-4.3707706206214669E-2</v>
      </c>
      <c r="V96" s="227">
        <f>V95/P95-1</f>
        <v>-3.9737463371196102E-2</v>
      </c>
      <c r="W96" s="227">
        <f>W95/Q95-1</f>
        <v>-3.0147938479912706E-2</v>
      </c>
      <c r="X96" s="227">
        <f>X95/R95-1</f>
        <v>-3.7237863857177422E-2</v>
      </c>
      <c r="Y96" s="227">
        <f>Y95/S95-1</f>
        <v>-3.7689796393109543E-2</v>
      </c>
      <c r="AA96" s="227">
        <f>AA95/U95-1</f>
        <v>-0.15497648087249727</v>
      </c>
      <c r="AB96" s="227">
        <f>AB95/V95-1</f>
        <v>-0.15905123120120923</v>
      </c>
      <c r="AC96" s="227">
        <f>AC95/W95-1</f>
        <v>-0.1597240241019432</v>
      </c>
      <c r="AD96" s="227">
        <f>AD95/X95-1</f>
        <v>-0.18068757220087395</v>
      </c>
      <c r="AE96" s="227">
        <f>AE95/Y95-1</f>
        <v>-0.16372567185193887</v>
      </c>
      <c r="AG96" s="227">
        <f>AG95/AA95-1</f>
        <v>-1.9472449846353546E-2</v>
      </c>
      <c r="AH96" s="227">
        <f>AH95/AB95-1</f>
        <v>-1.9561612599938605E-2</v>
      </c>
      <c r="AI96" s="227">
        <f>AI95/AC95-1</f>
        <v>-1.3461609107198846E-2</v>
      </c>
      <c r="AJ96" s="227">
        <f>AJ95/AD95-1</f>
        <v>-5.632088045986583E-3</v>
      </c>
      <c r="AK96" s="227">
        <f>AK95/AE95-1</f>
        <v>-1.453301366734383E-2</v>
      </c>
      <c r="AM96" s="227">
        <f>AM95/AG95-1</f>
        <v>7.1015954732012165E-3</v>
      </c>
      <c r="AN96" s="227">
        <f>AN95/AH95-1</f>
        <v>1.6090233420151812E-2</v>
      </c>
      <c r="AO96" s="227">
        <f>AO95/AI95-1</f>
        <v>1.3233582617828477E-2</v>
      </c>
      <c r="AP96" s="227">
        <f>AP95/AJ95-1</f>
        <v>1.2025930146960295E-2</v>
      </c>
      <c r="AQ96" s="227">
        <f>AQ95/AK95-1</f>
        <v>1.2118286980544068E-2</v>
      </c>
      <c r="AS96" s="227">
        <f>AS95/AM95-1</f>
        <v>-2.0946809834072821E-2</v>
      </c>
      <c r="AT96" s="227">
        <f>AT95/AN95-1</f>
        <v>-2.1778549391490043E-2</v>
      </c>
      <c r="AU96" s="227">
        <f>AU95/AO95-1</f>
        <v>-1.9989392018611829E-2</v>
      </c>
      <c r="AV96" s="227">
        <f>AV95/AP95-1</f>
        <v>-2.0290057429016128E-2</v>
      </c>
      <c r="AW96" s="227">
        <f>AW95/AQ95-1</f>
        <v>-2.0755334735943598E-2</v>
      </c>
      <c r="AY96" s="227">
        <f>AY95/AS95-1</f>
        <v>-4.1581453784631517E-3</v>
      </c>
      <c r="AZ96" s="227">
        <v>5.0000000000000001E-3</v>
      </c>
      <c r="BA96" s="227">
        <v>7.4999999999999997E-3</v>
      </c>
      <c r="BB96" s="227">
        <v>0.01</v>
      </c>
      <c r="BC96" s="227">
        <f>BC95/AW95-1</f>
        <v>-8.5993764449816545E-3</v>
      </c>
      <c r="BE96" s="227">
        <f>BE95/AY95-1</f>
        <v>-5.8752083829484159E-3</v>
      </c>
      <c r="BF96" s="227">
        <v>0.01</v>
      </c>
      <c r="BG96" s="227">
        <v>0.01</v>
      </c>
      <c r="BH96" s="227">
        <v>0.01</v>
      </c>
      <c r="BI96" s="227">
        <f>BI95/BC95-1</f>
        <v>-4.7219191154108664E-3</v>
      </c>
      <c r="BK96" s="227">
        <f>BK95/BE95-1</f>
        <v>-8.9839133270742666E-3</v>
      </c>
      <c r="BL96" s="227">
        <v>1.2500000000000001E-2</v>
      </c>
      <c r="BM96" s="227">
        <v>1.2500000000000001E-2</v>
      </c>
      <c r="BN96" s="227">
        <v>1.2500000000000001E-2</v>
      </c>
      <c r="BO96" s="227">
        <f>BO95/BI95-1</f>
        <v>-1.4040706615213505E-2</v>
      </c>
      <c r="BQ96" s="227">
        <v>1.2500000000000001E-2</v>
      </c>
      <c r="BR96" s="227">
        <v>1.2500000000000001E-2</v>
      </c>
      <c r="BS96" s="227">
        <v>1.2500000000000001E-2</v>
      </c>
      <c r="BT96" s="227">
        <v>1.2500000000000001E-2</v>
      </c>
      <c r="BU96" s="227">
        <f ca="1">BU95/BO95-1</f>
        <v>-1.2093190773179496E-2</v>
      </c>
      <c r="BW96" s="227">
        <v>1.2500000000000001E-2</v>
      </c>
      <c r="BX96" s="227">
        <v>1.2500000000000001E-2</v>
      </c>
      <c r="BY96" s="227">
        <v>1.2500000000000001E-2</v>
      </c>
      <c r="BZ96" s="227">
        <v>1.2500000000000001E-2</v>
      </c>
      <c r="CA96" s="227">
        <f ca="1">CA95/BU95-1</f>
        <v>1.8896188069691622E-2</v>
      </c>
      <c r="CC96" s="227">
        <v>1.2500000000000001E-2</v>
      </c>
      <c r="CD96" s="227">
        <v>1.2500000000000001E-2</v>
      </c>
      <c r="CE96" s="227">
        <v>1.2500000000000001E-2</v>
      </c>
      <c r="CF96" s="227">
        <v>1.2500000000000001E-2</v>
      </c>
      <c r="CG96" s="227">
        <f ca="1">CG95/CA95-1</f>
        <v>2.7146678043189487E-2</v>
      </c>
      <c r="CI96" s="227">
        <v>1.2500000000000001E-2</v>
      </c>
      <c r="CJ96" s="227">
        <v>1.2500000000000001E-2</v>
      </c>
      <c r="CK96" s="227">
        <v>1.2500000000000001E-2</v>
      </c>
      <c r="CL96" s="227">
        <v>1.2500000000000001E-2</v>
      </c>
      <c r="CM96" s="227">
        <f ca="1">CM95/CG95-1</f>
        <v>3.3074939139042803E-2</v>
      </c>
      <c r="CO96" s="227">
        <v>1.2500000000000001E-2</v>
      </c>
      <c r="CP96" s="227">
        <v>1.2500000000000001E-2</v>
      </c>
      <c r="CQ96" s="227">
        <v>1.2500000000000001E-2</v>
      </c>
      <c r="CR96" s="227">
        <v>1.2500000000000001E-2</v>
      </c>
      <c r="CS96" s="227">
        <f ca="1">CS95/CM95-1</f>
        <v>3.5548866881558894E-2</v>
      </c>
      <c r="CU96" s="227">
        <v>1.2500000000000001E-2</v>
      </c>
      <c r="CV96" s="227">
        <v>1.2500000000000001E-2</v>
      </c>
      <c r="CW96" s="227">
        <v>1.2500000000000001E-2</v>
      </c>
      <c r="CX96" s="227">
        <v>1.2500000000000001E-2</v>
      </c>
      <c r="CY96" s="227">
        <f ca="1">CY95/CS95-1</f>
        <v>3.5493912087439128E-2</v>
      </c>
      <c r="DA96" s="227">
        <v>1.2500000000000001E-2</v>
      </c>
      <c r="DB96" s="227">
        <v>1.2500000000000001E-2</v>
      </c>
      <c r="DC96" s="227">
        <v>1.2500000000000001E-2</v>
      </c>
      <c r="DD96" s="227">
        <v>1.2500000000000001E-2</v>
      </c>
      <c r="DE96" s="227">
        <f ca="1">DE95/CY95-1</f>
        <v>3.4695065568381089E-2</v>
      </c>
      <c r="DG96" s="227">
        <v>1.2500000000000001E-2</v>
      </c>
      <c r="DH96" s="227">
        <v>1.2500000000000001E-2</v>
      </c>
      <c r="DI96" s="227">
        <v>1.2500000000000001E-2</v>
      </c>
      <c r="DJ96" s="227">
        <v>1.2500000000000001E-2</v>
      </c>
      <c r="DK96" s="227">
        <f ca="1">DK95/DE95-1</f>
        <v>3.3867040037550922E-2</v>
      </c>
    </row>
    <row r="97" spans="1:115" hidden="1" x14ac:dyDescent="0.2">
      <c r="AA97" s="103"/>
      <c r="AB97" s="103"/>
      <c r="AC97" s="103"/>
      <c r="AD97" s="103"/>
      <c r="AE97" s="103"/>
      <c r="AG97" s="103"/>
      <c r="AH97" s="103"/>
      <c r="AI97" s="103"/>
      <c r="AJ97" s="103"/>
      <c r="AK97" s="103"/>
      <c r="AM97" s="103"/>
      <c r="AN97" s="103"/>
      <c r="AO97" s="103"/>
      <c r="AP97" s="103"/>
      <c r="AQ97" s="103"/>
      <c r="AS97" s="103"/>
      <c r="AT97" s="103"/>
      <c r="AU97" s="103"/>
      <c r="AV97" s="103"/>
      <c r="AW97" s="103"/>
      <c r="AY97" s="103"/>
      <c r="AZ97" s="103"/>
      <c r="BA97" s="103"/>
      <c r="BB97" s="103"/>
      <c r="BC97" s="103"/>
      <c r="BE97" s="103"/>
      <c r="BF97" s="103"/>
      <c r="BG97" s="103"/>
      <c r="BH97" s="103"/>
      <c r="BI97" s="103"/>
      <c r="BK97" s="103"/>
      <c r="BL97" s="103"/>
      <c r="BM97" s="103"/>
      <c r="BN97" s="103"/>
      <c r="BO97" s="103"/>
      <c r="BQ97" s="103"/>
      <c r="BR97" s="103"/>
      <c r="BS97" s="103"/>
      <c r="BT97" s="103"/>
      <c r="BU97" s="103"/>
      <c r="BW97" s="103"/>
      <c r="BX97" s="103"/>
      <c r="BY97" s="103"/>
      <c r="BZ97" s="103"/>
      <c r="CA97" s="103"/>
      <c r="CC97" s="103"/>
      <c r="CD97" s="103"/>
      <c r="CE97" s="103"/>
      <c r="CF97" s="103"/>
      <c r="CG97" s="103"/>
      <c r="CI97" s="103"/>
      <c r="CJ97" s="103"/>
      <c r="CK97" s="103"/>
      <c r="CL97" s="103"/>
      <c r="CM97" s="103"/>
      <c r="CO97" s="103"/>
      <c r="CP97" s="103"/>
      <c r="CQ97" s="103"/>
      <c r="CR97" s="103"/>
      <c r="CS97" s="103"/>
      <c r="CU97" s="103"/>
      <c r="CV97" s="103"/>
      <c r="CW97" s="103"/>
      <c r="CX97" s="103"/>
      <c r="CY97" s="103"/>
      <c r="DA97" s="103"/>
      <c r="DB97" s="103"/>
      <c r="DC97" s="103"/>
      <c r="DD97" s="103"/>
      <c r="DE97" s="103"/>
      <c r="DG97" s="103"/>
      <c r="DH97" s="103"/>
      <c r="DI97" s="103"/>
      <c r="DJ97" s="103"/>
      <c r="DK97" s="103"/>
    </row>
    <row r="98" spans="1:115" x14ac:dyDescent="0.2">
      <c r="B98" s="479" t="s">
        <v>482</v>
      </c>
      <c r="AA98" s="230">
        <f>AA101*1000/(AA92*3)</f>
        <v>31.985458380163454</v>
      </c>
      <c r="AB98" s="230">
        <f>AB101*1000/(AB92*3)</f>
        <v>31.652216992816449</v>
      </c>
      <c r="AC98" s="230">
        <f>AC101*1000/(AC92*3)</f>
        <v>31.217459144288412</v>
      </c>
      <c r="AD98" s="230">
        <f>AD101*1000/(AD92*3)</f>
        <v>30.579307338074607</v>
      </c>
      <c r="AE98" s="230">
        <f>AE101*1000/(AE92*12)</f>
        <v>31.35517436769176</v>
      </c>
      <c r="AG98" s="230">
        <f>AG101*1000/(AG92*3)</f>
        <v>30.12341669373173</v>
      </c>
      <c r="AH98" s="230">
        <f>AH101*1000/(AH92*3)</f>
        <v>29.7270758511225</v>
      </c>
      <c r="AI98" s="230">
        <f>AI101*1000/(AI92*3)</f>
        <v>29.390450116756583</v>
      </c>
      <c r="AJ98" s="230">
        <f>AJ101*1000/(AJ92*3)</f>
        <v>29.160463026303436</v>
      </c>
      <c r="AK98" s="230">
        <f>AK101*1000/(AK92*12)</f>
        <v>29.599133552636005</v>
      </c>
      <c r="AM98" s="230">
        <f>AM101*1000/(AM92*3)</f>
        <v>29.379439753384265</v>
      </c>
      <c r="AN98" s="230">
        <f>AN101*1000/(AN92*3)</f>
        <v>29.375896219461531</v>
      </c>
      <c r="AO98" s="230">
        <f>AO101*1000/(AO92*3)</f>
        <v>29.151385698357043</v>
      </c>
      <c r="AP98" s="230">
        <f>AP101*1000/(AP92*3)</f>
        <v>29.01830820838217</v>
      </c>
      <c r="AQ98" s="230">
        <f>AQ101*1000/(AQ92*12)</f>
        <v>29.23158004276646</v>
      </c>
      <c r="AS98" s="230">
        <f>AS101*1000/(AS92*3)</f>
        <v>28.108224757897009</v>
      </c>
      <c r="AT98" s="230">
        <f>AT101*1000/(AT92*3)</f>
        <v>28.012791968586811</v>
      </c>
      <c r="AU98" s="230">
        <f>AU101*1000/(AU92*3)</f>
        <v>27.812656108658377</v>
      </c>
      <c r="AV98" s="230">
        <f>AV101*1000/(AV92*3)</f>
        <v>27.583228749173447</v>
      </c>
      <c r="AW98" s="230">
        <f>AW101*1000/(AW92*12)</f>
        <v>27.879266313790183</v>
      </c>
      <c r="AY98" s="230">
        <f>AY101*1000/(AY92*3)</f>
        <v>27.287146812915019</v>
      </c>
      <c r="AZ98" s="230">
        <f>AZ101*1000/(AZ92*3)</f>
        <v>27.035330261136714</v>
      </c>
      <c r="BA98" s="230">
        <f>BA101*1000/(BA92*3)</f>
        <v>26.864166069390247</v>
      </c>
      <c r="BB98" s="230">
        <f>BB101*1000/(BB92*3)</f>
        <v>26.677231907025885</v>
      </c>
      <c r="BC98" s="230">
        <f>BC101*1000/(BC92*12)</f>
        <v>26.964481338301351</v>
      </c>
      <c r="BE98" s="230">
        <f>BE101*1000/(BE92*3)</f>
        <v>26.561472715318867</v>
      </c>
      <c r="BF98" s="230">
        <f>BF101*1000/(BF92*3)</f>
        <v>26.482440990213011</v>
      </c>
      <c r="BG98" s="230">
        <f>BG101*1000/(BG92*3)</f>
        <v>26.296947210831217</v>
      </c>
      <c r="BH98" s="230">
        <f>BH101*1000/(BH92*3)</f>
        <v>26.11587788432918</v>
      </c>
      <c r="BI98" s="230">
        <f>BI101*1000/(BI92*12)</f>
        <v>26.363173758171214</v>
      </c>
      <c r="BK98" s="230">
        <f>BK101*1000/(BK92*3)</f>
        <v>25.780556520396743</v>
      </c>
      <c r="BL98" s="230">
        <f>BL101*1000/(BL92*3)</f>
        <v>25.463674556819345</v>
      </c>
      <c r="BM98" s="230">
        <f>BM101*1000/(BM92*3)</f>
        <v>25.172149961744452</v>
      </c>
      <c r="BN98" s="230">
        <f ca="1">BN101*1000/(BN92*3)</f>
        <v>24.894282707660842</v>
      </c>
      <c r="BO98" s="230">
        <f ca="1">BO101*1000/(BO92*12)</f>
        <v>25.325798904444476</v>
      </c>
      <c r="BQ98" s="230">
        <f>BK98*(1+BQ99)</f>
        <v>24.491528694376903</v>
      </c>
      <c r="BR98" s="230">
        <f>BL98*(1+BR99)</f>
        <v>24.317809201762476</v>
      </c>
      <c r="BS98" s="230">
        <f>BM98*(1+BS99)</f>
        <v>24.291124713083395</v>
      </c>
      <c r="BT98" s="230">
        <f ca="1">BN98*(1+BT99)</f>
        <v>24.271925639969322</v>
      </c>
      <c r="BU98" s="230">
        <f ca="1">BU101*1000/(BU92*12)</f>
        <v>24.342643873853159</v>
      </c>
      <c r="BW98" s="230">
        <f>BQ98*(1+BW99)</f>
        <v>24.491528694376903</v>
      </c>
      <c r="BX98" s="230">
        <f>BR98*(1+BX99)</f>
        <v>24.439398247771287</v>
      </c>
      <c r="BY98" s="230">
        <f>BS98*(1+BY99)</f>
        <v>24.473308148431521</v>
      </c>
      <c r="BZ98" s="230">
        <f ca="1">BT98*(1+BZ99)</f>
        <v>24.514644896369013</v>
      </c>
      <c r="CA98" s="230">
        <f ca="1">CA101*1000/(CA92*12)</f>
        <v>24.479784238886534</v>
      </c>
      <c r="CC98" s="230">
        <f>BW98*(1+CC99)</f>
        <v>24.797672803056614</v>
      </c>
      <c r="CD98" s="230">
        <f>BX98*(1+CD99)</f>
        <v>24.805989221487852</v>
      </c>
      <c r="CE98" s="230">
        <f>BY98*(1+CE99)</f>
        <v>24.901591041029075</v>
      </c>
      <c r="CF98" s="230">
        <f ca="1">BZ98*(1+CF99)</f>
        <v>25.004937794296396</v>
      </c>
      <c r="CG98" s="230">
        <f ca="1">CG101*1000/(CG92*12)</f>
        <v>24.877934801719881</v>
      </c>
      <c r="CI98" s="230">
        <f>CC98*(1+CI99)</f>
        <v>25.355620441125385</v>
      </c>
      <c r="CJ98" s="230">
        <f>CD98*(1+CJ99)</f>
        <v>25.426138952025045</v>
      </c>
      <c r="CK98" s="230">
        <f>CE98*(1+CK99)</f>
        <v>25.586384794657377</v>
      </c>
      <c r="CL98" s="230">
        <f ca="1">CF98*(1+CL99)</f>
        <v>25.75508592812529</v>
      </c>
      <c r="CM98" s="230">
        <f ca="1">CM101*1000/(CM92*12)</f>
        <v>25.531485381713704</v>
      </c>
      <c r="CO98" s="230">
        <f>CI98*(1+CO99)</f>
        <v>26.116289054359147</v>
      </c>
      <c r="CP98" s="230">
        <f>CJ98*(1+CP99)</f>
        <v>26.188923120585798</v>
      </c>
      <c r="CQ98" s="230">
        <f>CK98*(1+CQ99)</f>
        <v>26.353976338497098</v>
      </c>
      <c r="CR98" s="230">
        <f ca="1">CL98*(1+CR99)</f>
        <v>26.527738505969047</v>
      </c>
      <c r="CS98" s="230">
        <f ca="1">CS101*1000/(CS92*12)</f>
        <v>26.297378380636999</v>
      </c>
      <c r="CU98" s="230">
        <f>CO98*(1+CU99)</f>
        <v>26.899777725989921</v>
      </c>
      <c r="CV98" s="230">
        <f>CP98*(1+CV99)</f>
        <v>26.974590814203374</v>
      </c>
      <c r="CW98" s="230">
        <f>CQ98*(1+CW99)</f>
        <v>27.144595628652013</v>
      </c>
      <c r="CX98" s="230">
        <f ca="1">CR98*(1+CX99)</f>
        <v>27.323570661148118</v>
      </c>
      <c r="CY98" s="230">
        <f ca="1">CY101*1000/(CY92*12)</f>
        <v>27.086261585021468</v>
      </c>
      <c r="DA98" s="230">
        <f>CU98*(1+DA99)</f>
        <v>27.706771057769618</v>
      </c>
      <c r="DB98" s="230">
        <f>CV98*(1+DB99)</f>
        <v>27.783828538629475</v>
      </c>
      <c r="DC98" s="230">
        <f>CW98*(1+DC99)</f>
        <v>27.958933497511573</v>
      </c>
      <c r="DD98" s="230">
        <f ca="1">CX98*(1+DD99)</f>
        <v>28.143277780982562</v>
      </c>
      <c r="DE98" s="230">
        <f ca="1">DE101*1000/(DE92*12)</f>
        <v>27.89883013822789</v>
      </c>
      <c r="DG98" s="230">
        <f>DA98*(1+DG99)</f>
        <v>28.537974189502709</v>
      </c>
      <c r="DH98" s="230">
        <f>DB98*(1+DH99)</f>
        <v>28.61734339478836</v>
      </c>
      <c r="DI98" s="230">
        <f>DC98*(1+DI99)</f>
        <v>28.797701502436922</v>
      </c>
      <c r="DJ98" s="230">
        <f ca="1">DD98*(1+DJ99)</f>
        <v>28.98757611441204</v>
      </c>
      <c r="DK98" s="230">
        <f ca="1">DK101*1000/(DK92*12)</f>
        <v>28.735786419490079</v>
      </c>
    </row>
    <row r="99" spans="1:115" x14ac:dyDescent="0.2">
      <c r="B99" s="479" t="s">
        <v>483</v>
      </c>
      <c r="AA99" s="568" t="s">
        <v>35</v>
      </c>
      <c r="AB99" s="568" t="s">
        <v>35</v>
      </c>
      <c r="AC99" s="568" t="s">
        <v>35</v>
      </c>
      <c r="AD99" s="568" t="s">
        <v>35</v>
      </c>
      <c r="AE99" s="568" t="s">
        <v>35</v>
      </c>
      <c r="AG99" s="227">
        <f>AG98/AA98-1</f>
        <v>-5.8215257205334048E-2</v>
      </c>
      <c r="AH99" s="227">
        <f>AH98/AB98-1</f>
        <v>-6.0821684058682712E-2</v>
      </c>
      <c r="AI99" s="227">
        <f>AI98/AC98-1</f>
        <v>-5.8525231636800346E-2</v>
      </c>
      <c r="AJ99" s="227">
        <f>AJ98/AD98-1</f>
        <v>-4.639883749114726E-2</v>
      </c>
      <c r="AK99" s="227">
        <f>AK98/AE98-1</f>
        <v>-5.6004817401531404E-2</v>
      </c>
      <c r="AM99" s="227">
        <f>AM98/AG98-1</f>
        <v>-2.4697628025119656E-2</v>
      </c>
      <c r="AN99" s="227">
        <f>AN98/AH98-1</f>
        <v>-1.1813460342339988E-2</v>
      </c>
      <c r="AO99" s="227">
        <f>AO98/AI98-1</f>
        <v>-8.1340849646681646E-3</v>
      </c>
      <c r="AP99" s="227">
        <f>AP98/AJ98-1</f>
        <v>-4.8749163479687718E-3</v>
      </c>
      <c r="AQ99" s="227">
        <f>AQ98/AK98-1</f>
        <v>-1.2417711796053998E-2</v>
      </c>
      <c r="AS99" s="227">
        <f>AS98/AM98-1</f>
        <v>-4.3268864422127851E-2</v>
      </c>
      <c r="AT99" s="227">
        <f>AT98/AN98-1</f>
        <v>-4.6402133255483924E-2</v>
      </c>
      <c r="AU99" s="227">
        <f>AU98/AO98-1</f>
        <v>-4.5923360335289876E-2</v>
      </c>
      <c r="AV99" s="227">
        <f>AV98/AP98-1</f>
        <v>-4.945427724122764E-2</v>
      </c>
      <c r="AW99" s="227">
        <f>AW98/AQ98-1</f>
        <v>-4.6262081180620807E-2</v>
      </c>
      <c r="AY99" s="227">
        <f>AY98/AS98-1</f>
        <v>-2.9211305660678866E-2</v>
      </c>
      <c r="AZ99" s="227">
        <f>AZ98/AT98-1</f>
        <v>-3.4893405432282809E-2</v>
      </c>
      <c r="BA99" s="227">
        <f>BA98/AU98-1</f>
        <v>-3.4102821232268266E-2</v>
      </c>
      <c r="BB99" s="227">
        <f>BB98/AV98-1</f>
        <v>-3.2845931503747927E-2</v>
      </c>
      <c r="BC99" s="227">
        <f>BC98/AW98-1</f>
        <v>-3.2812376236613594E-2</v>
      </c>
      <c r="BE99" s="227">
        <f>BE98/AY98-1</f>
        <v>-2.6593989564811849E-2</v>
      </c>
      <c r="BF99" s="227">
        <f>BF98/AZ98-1</f>
        <v>-2.045062019155286E-2</v>
      </c>
      <c r="BG99" s="227">
        <f>BG98/BA98-1</f>
        <v>-2.1114329664799647E-2</v>
      </c>
      <c r="BH99" s="227">
        <f>BH98/BB98-1</f>
        <v>-2.1042438910195305E-2</v>
      </c>
      <c r="BI99" s="227">
        <f>BI98/BC98-1</f>
        <v>-2.2299986882225564E-2</v>
      </c>
      <c r="BK99" s="227">
        <f>BK98/BE98-1</f>
        <v>-2.9400334962290886E-2</v>
      </c>
      <c r="BL99" s="227">
        <f>BL98/BF98-1</f>
        <v>-3.8469506408799869E-2</v>
      </c>
      <c r="BM99" s="227">
        <f>BM98/BG98-1</f>
        <v>-4.2772921132970265E-2</v>
      </c>
      <c r="BN99" s="227">
        <f ca="1">BN98/BH98-1</f>
        <v>-4.677595683663982E-2</v>
      </c>
      <c r="BO99" s="227">
        <f ca="1">BO98/BI98-1</f>
        <v>-3.9349391816120294E-2</v>
      </c>
      <c r="BQ99" s="227">
        <v>-0.05</v>
      </c>
      <c r="BR99" s="227">
        <v>-4.4999999999999998E-2</v>
      </c>
      <c r="BS99" s="227">
        <v>-3.5000000000000003E-2</v>
      </c>
      <c r="BT99" s="227">
        <v>-2.5000000000000001E-2</v>
      </c>
      <c r="BU99" s="227">
        <f ca="1">BU98/BO98-1</f>
        <v>-3.8820296816728717E-2</v>
      </c>
      <c r="BW99" s="227">
        <v>0</v>
      </c>
      <c r="BX99" s="227">
        <v>5.0000000000000001E-3</v>
      </c>
      <c r="BY99" s="227">
        <v>7.4999999999999997E-3</v>
      </c>
      <c r="BZ99" s="227">
        <v>0.01</v>
      </c>
      <c r="CA99" s="227">
        <f ca="1">CA98/BU98-1</f>
        <v>5.6337497990790464E-3</v>
      </c>
      <c r="CC99" s="227">
        <v>1.2500000000000001E-2</v>
      </c>
      <c r="CD99" s="227">
        <v>1.4999999999999999E-2</v>
      </c>
      <c r="CE99" s="227">
        <v>1.7500000000000002E-2</v>
      </c>
      <c r="CF99" s="227">
        <v>0.02</v>
      </c>
      <c r="CG99" s="227">
        <f ca="1">CG98/CA98-1</f>
        <v>1.6264463728437484E-2</v>
      </c>
      <c r="CI99" s="227">
        <v>2.2499999999999999E-2</v>
      </c>
      <c r="CJ99" s="227">
        <v>2.5000000000000001E-2</v>
      </c>
      <c r="CK99" s="227">
        <v>2.75E-2</v>
      </c>
      <c r="CL99" s="227">
        <v>0.03</v>
      </c>
      <c r="CM99" s="227">
        <f ca="1">CM98/CG98-1</f>
        <v>2.627029072962439E-2</v>
      </c>
      <c r="CO99" s="227">
        <v>0.03</v>
      </c>
      <c r="CP99" s="227">
        <v>0.03</v>
      </c>
      <c r="CQ99" s="227">
        <v>0.03</v>
      </c>
      <c r="CR99" s="227">
        <v>0.03</v>
      </c>
      <c r="CS99" s="227">
        <f ca="1">CS98/CM98-1</f>
        <v>2.999798043367452E-2</v>
      </c>
      <c r="CU99" s="227">
        <v>0.03</v>
      </c>
      <c r="CV99" s="227">
        <v>0.03</v>
      </c>
      <c r="CW99" s="227">
        <v>0.03</v>
      </c>
      <c r="CX99" s="227">
        <v>0.03</v>
      </c>
      <c r="CY99" s="227">
        <f ca="1">CY98/CS98-1</f>
        <v>2.9998549397810992E-2</v>
      </c>
      <c r="DA99" s="227">
        <v>0.03</v>
      </c>
      <c r="DB99" s="227">
        <v>0.03</v>
      </c>
      <c r="DC99" s="227">
        <v>0.03</v>
      </c>
      <c r="DD99" s="227">
        <v>0.03</v>
      </c>
      <c r="DE99" s="227">
        <f ca="1">DE98/CY98-1</f>
        <v>2.9999287670461117E-2</v>
      </c>
      <c r="DG99" s="227">
        <v>0.03</v>
      </c>
      <c r="DH99" s="227">
        <v>0.03</v>
      </c>
      <c r="DI99" s="227">
        <v>0.03</v>
      </c>
      <c r="DJ99" s="227">
        <v>0.03</v>
      </c>
      <c r="DK99" s="227">
        <f ca="1">DK98/DE98-1</f>
        <v>2.9999690923074418E-2</v>
      </c>
    </row>
    <row r="100" spans="1:115" x14ac:dyDescent="0.2">
      <c r="AA100" s="103"/>
      <c r="AB100" s="103"/>
      <c r="AC100" s="103"/>
      <c r="AD100" s="103"/>
      <c r="AE100" s="103"/>
      <c r="AG100" s="103"/>
      <c r="AH100" s="103"/>
      <c r="AI100" s="103"/>
      <c r="AJ100" s="103"/>
      <c r="AK100" s="103"/>
      <c r="AM100" s="103"/>
      <c r="AN100" s="103"/>
      <c r="AO100" s="103"/>
      <c r="AP100" s="103"/>
      <c r="AQ100" s="103"/>
      <c r="AS100" s="103"/>
      <c r="AT100" s="103"/>
      <c r="AU100" s="103"/>
      <c r="AV100" s="103"/>
      <c r="AW100" s="103"/>
      <c r="AY100" s="103"/>
      <c r="AZ100" s="103"/>
      <c r="BA100" s="103"/>
      <c r="BB100" s="103"/>
      <c r="BC100" s="103"/>
      <c r="BE100" s="103"/>
      <c r="BF100" s="103"/>
      <c r="BG100" s="103"/>
      <c r="BH100" s="103"/>
      <c r="BI100" s="103"/>
      <c r="BK100" s="103"/>
      <c r="BL100" s="103"/>
      <c r="BM100" s="103"/>
      <c r="BN100" s="103"/>
      <c r="BO100" s="103"/>
      <c r="BQ100" s="103"/>
      <c r="BR100" s="103"/>
      <c r="BS100" s="103"/>
      <c r="BT100" s="103"/>
      <c r="BU100" s="103"/>
      <c r="BW100" s="103"/>
      <c r="BX100" s="103"/>
      <c r="BY100" s="103"/>
      <c r="BZ100" s="103"/>
      <c r="CA100" s="103"/>
      <c r="CC100" s="103"/>
      <c r="CD100" s="103"/>
      <c r="CE100" s="103"/>
      <c r="CF100" s="103"/>
      <c r="CG100" s="103"/>
      <c r="CI100" s="103"/>
      <c r="CJ100" s="103"/>
      <c r="CK100" s="103"/>
      <c r="CL100" s="103"/>
      <c r="CM100" s="103"/>
      <c r="CO100" s="103"/>
      <c r="CP100" s="103"/>
      <c r="CQ100" s="103"/>
      <c r="CR100" s="103"/>
      <c r="CS100" s="103"/>
      <c r="CU100" s="103"/>
      <c r="CV100" s="103"/>
      <c r="CW100" s="103"/>
      <c r="CX100" s="103"/>
      <c r="CY100" s="103"/>
      <c r="DA100" s="103"/>
      <c r="DB100" s="103"/>
      <c r="DC100" s="103"/>
      <c r="DD100" s="103"/>
      <c r="DE100" s="103"/>
      <c r="DG100" s="103"/>
      <c r="DH100" s="103"/>
      <c r="DI100" s="103"/>
      <c r="DJ100" s="103"/>
      <c r="DK100" s="103"/>
    </row>
    <row r="101" spans="1:115" x14ac:dyDescent="0.2">
      <c r="B101" s="485" t="s">
        <v>480</v>
      </c>
      <c r="AA101" s="197">
        <f>AA112-AA109</f>
        <v>1152.58</v>
      </c>
      <c r="AB101" s="197">
        <f>AB112-AB109</f>
        <v>1150.02</v>
      </c>
      <c r="AC101" s="197">
        <f>AC112-AC109</f>
        <v>1140.405</v>
      </c>
      <c r="AD101" s="197">
        <f>AD112-AD109</f>
        <v>1122.23</v>
      </c>
      <c r="AE101" s="197">
        <f>AA101+AB101+AC101+AD101</f>
        <v>4565.2350000000006</v>
      </c>
      <c r="AG101" s="197">
        <f>AG112-AG109</f>
        <v>1113</v>
      </c>
      <c r="AH101" s="197">
        <f>AH112-AH109</f>
        <v>1105</v>
      </c>
      <c r="AI101" s="197">
        <f>AI112-AI109</f>
        <v>1095</v>
      </c>
      <c r="AJ101" s="197">
        <f>AJ112-AJ109</f>
        <v>1087</v>
      </c>
      <c r="AK101" s="197">
        <f>AG101+AH101+AI101+AJ101</f>
        <v>4400</v>
      </c>
      <c r="AM101" s="197">
        <f>AM112-AM109</f>
        <v>1096</v>
      </c>
      <c r="AN101" s="197">
        <f>AN112-AN109</f>
        <v>1096</v>
      </c>
      <c r="AO101" s="197">
        <f>AO112-AO109</f>
        <v>1085</v>
      </c>
      <c r="AP101" s="197">
        <f>AP112-AP109</f>
        <v>1077</v>
      </c>
      <c r="AQ101" s="197">
        <f>AM101+AN101+AO101+AP101</f>
        <v>4354</v>
      </c>
      <c r="AS101" s="197">
        <f>AS112-AS109</f>
        <v>1042</v>
      </c>
      <c r="AT101" s="197">
        <f>AT112-AT109</f>
        <v>1038</v>
      </c>
      <c r="AU101" s="197">
        <f>AU112-AU109</f>
        <v>1030</v>
      </c>
      <c r="AV101" s="197">
        <f>AV112-AV109</f>
        <v>1022</v>
      </c>
      <c r="AW101" s="197">
        <f>AS101+AT101+AU101+AV101</f>
        <v>4132</v>
      </c>
      <c r="AY101" s="197">
        <f>AY112-AY109</f>
        <v>1015</v>
      </c>
      <c r="AZ101" s="197">
        <f>AZ112-AZ109</f>
        <v>1012</v>
      </c>
      <c r="BA101" s="197">
        <f>BA112-BA109</f>
        <v>1012</v>
      </c>
      <c r="BB101" s="197">
        <f>BB112-BB109</f>
        <v>1010</v>
      </c>
      <c r="BC101" s="197">
        <f>AY101+AZ101+BA101+BB101</f>
        <v>4049</v>
      </c>
      <c r="BE101" s="197">
        <f>BE112-BE109</f>
        <v>1010</v>
      </c>
      <c r="BF101" s="197">
        <f>BF112-BF109</f>
        <v>1012</v>
      </c>
      <c r="BG101" s="197">
        <f>BG112-BG109</f>
        <v>1010</v>
      </c>
      <c r="BH101" s="197">
        <f>BH112-BH109</f>
        <v>1009</v>
      </c>
      <c r="BI101" s="197">
        <f>BE101+BF101+BG101+BH101</f>
        <v>4041</v>
      </c>
      <c r="BK101" s="197">
        <f>BK112-BK109</f>
        <v>1002</v>
      </c>
      <c r="BL101" s="197">
        <f>BL112-BL109</f>
        <v>994</v>
      </c>
      <c r="BM101" s="197">
        <f>BM112-BM109</f>
        <v>987</v>
      </c>
      <c r="BN101" s="197">
        <f ca="1">BN112-BN109</f>
        <v>982.60223275408111</v>
      </c>
      <c r="BO101" s="197">
        <f ca="1">BK101+BL101+BM101+BN101</f>
        <v>3965.6022327540813</v>
      </c>
      <c r="BQ101" s="197">
        <f>BQ98*3*BQ92/1000</f>
        <v>973.28110455019089</v>
      </c>
      <c r="BR101" s="197">
        <f>BR98*3*BR92/1000</f>
        <v>971.30193513679694</v>
      </c>
      <c r="BS101" s="197">
        <f>BS98*3*BS92/1000</f>
        <v>975.15505604437635</v>
      </c>
      <c r="BT101" s="197">
        <f ca="1">BT98*3*BT92/1000</f>
        <v>980.39162044964075</v>
      </c>
      <c r="BU101" s="197">
        <f ca="1">BQ101+BR101+BS101+BT101</f>
        <v>3900.1297161810053</v>
      </c>
      <c r="BW101" s="197">
        <f>BW98*3*BW92/1000</f>
        <v>995.13979390992222</v>
      </c>
      <c r="BX101" s="197">
        <f>BX98*3*BX92/1000</f>
        <v>997.60401677489995</v>
      </c>
      <c r="BY101" s="197">
        <f>BY98*3*BY92/1000</f>
        <v>1003.393397431618</v>
      </c>
      <c r="BZ101" s="197">
        <f ca="1">BZ98*3*BZ92/1000</f>
        <v>1010.4201186936415</v>
      </c>
      <c r="CA101" s="197">
        <f ca="1">BW101+BX101+BY101+BZ101</f>
        <v>4006.5573268100816</v>
      </c>
      <c r="CC101" s="197">
        <f>CC98*3*CC92/1000</f>
        <v>1027.4791737582493</v>
      </c>
      <c r="CD101" s="197">
        <f>CD98*3*CD92/1000</f>
        <v>1032.1027935384452</v>
      </c>
      <c r="CE101" s="197">
        <f>CE98*3*CE92/1000</f>
        <v>1040.1892609658664</v>
      </c>
      <c r="CF101" s="197">
        <f ca="1">CF98*3*CF92/1000</f>
        <v>1049.5697614466942</v>
      </c>
      <c r="CG101" s="197">
        <f ca="1">CC101+CD101+CE101+CF101</f>
        <v>4149.3409897092552</v>
      </c>
      <c r="CI101" s="197">
        <f>CI98*3*CI92/1000</f>
        <v>1069.4240033453455</v>
      </c>
      <c r="CJ101" s="197">
        <f>CJ98*3*CJ92/1000</f>
        <v>1076.5935755066446</v>
      </c>
      <c r="CK101" s="197">
        <f>CK98*3*CK92/1000</f>
        <v>1087.4085605805412</v>
      </c>
      <c r="CL101" s="197">
        <f ca="1">CL98*3*CL92/1000</f>
        <v>1099.4073530138842</v>
      </c>
      <c r="CM101" s="197">
        <f ca="1">CI101+CJ101+CK101+CL101</f>
        <v>4332.8334924464152</v>
      </c>
      <c r="CO101" s="197">
        <f>CO98*3*CO92/1000</f>
        <v>1119.7228350611213</v>
      </c>
      <c r="CP101" s="197">
        <f>CP98*3*CP92/1000</f>
        <v>1126.9617397250479</v>
      </c>
      <c r="CQ101" s="197">
        <f>CQ98*3*CQ92/1000</f>
        <v>1138.0174062489818</v>
      </c>
      <c r="CR101" s="197">
        <f ca="1">CR98*3*CR92/1000</f>
        <v>1150.0968390570354</v>
      </c>
      <c r="CS101" s="197">
        <f ca="1">CO101+CP101+CQ101+CR101</f>
        <v>4534.7988200921864</v>
      </c>
      <c r="CU101" s="197">
        <f>CU98*3*CU92/1000</f>
        <v>1170.8666250791634</v>
      </c>
      <c r="CV101" s="197">
        <f>CV98*3*CV92/1000</f>
        <v>1178.1692029919609</v>
      </c>
      <c r="CW101" s="197">
        <f>CW98*3*CW92/1000</f>
        <v>1189.6661926169318</v>
      </c>
      <c r="CX101" s="197">
        <f ca="1">CX98*3*CX92/1000</f>
        <v>1201.8135937452694</v>
      </c>
      <c r="CY101" s="197">
        <f ca="1">CU101+CV101+CW101+CX101</f>
        <v>4740.515614433325</v>
      </c>
      <c r="DA101" s="197">
        <f>DA98*3*DA92/1000</f>
        <v>1223.0322880320666</v>
      </c>
      <c r="DB101" s="197">
        <f>DB98*3*DB92/1000</f>
        <v>1230.6013336329768</v>
      </c>
      <c r="DC101" s="197">
        <f>DC98*3*DC92/1000</f>
        <v>1242.5509224964094</v>
      </c>
      <c r="DD101" s="197">
        <f ca="1">DD98*3*DD92/1000</f>
        <v>1254.9650428095745</v>
      </c>
      <c r="DE101" s="197">
        <f ca="1">DA101+DB101+DC101+DD101</f>
        <v>4951.149586971027</v>
      </c>
      <c r="DG101" s="197">
        <f>DG98*3*DG92/1000</f>
        <v>1276.8460411867302</v>
      </c>
      <c r="DH101" s="197">
        <f>DH98*3*DH92/1000</f>
        <v>1284.6897796788389</v>
      </c>
      <c r="DI101" s="197">
        <f>DI98*3*DI92/1000</f>
        <v>1297.1060710727638</v>
      </c>
      <c r="DJ101" s="197">
        <f ca="1">DJ98*3*DJ92/1000</f>
        <v>1310.006539762509</v>
      </c>
      <c r="DK101" s="197">
        <f ca="1">DG101+DH101+DI101+DJ101</f>
        <v>5168.6484317008417</v>
      </c>
    </row>
    <row r="102" spans="1:115" x14ac:dyDescent="0.2">
      <c r="B102" s="241" t="s">
        <v>74</v>
      </c>
      <c r="AA102" s="568" t="s">
        <v>35</v>
      </c>
      <c r="AB102" s="568" t="s">
        <v>35</v>
      </c>
      <c r="AC102" s="568" t="s">
        <v>35</v>
      </c>
      <c r="AD102" s="568" t="s">
        <v>35</v>
      </c>
      <c r="AE102" s="568" t="s">
        <v>35</v>
      </c>
      <c r="AG102" s="227">
        <f>AG101/AA101-1</f>
        <v>-3.4340349476825849E-2</v>
      </c>
      <c r="AH102" s="227">
        <f>AH101/AB101-1</f>
        <v>-3.9147145267038774E-2</v>
      </c>
      <c r="AI102" s="227">
        <f>AI101/AC101-1</f>
        <v>-3.9814802635905644E-2</v>
      </c>
      <c r="AJ102" s="227">
        <f>AJ101/AD101-1</f>
        <v>-3.139285173271078E-2</v>
      </c>
      <c r="AK102" s="227">
        <f>AK101/AE101-1</f>
        <v>-3.6194193727157598E-2</v>
      </c>
      <c r="AM102" s="227">
        <f>AM101/AG101-1</f>
        <v>-1.5274034141958714E-2</v>
      </c>
      <c r="AN102" s="227">
        <f>AN101/AH101-1</f>
        <v>-8.1447963800904688E-3</v>
      </c>
      <c r="AO102" s="227">
        <f>AO101/AI101-1</f>
        <v>-9.1324200913242004E-3</v>
      </c>
      <c r="AP102" s="227">
        <f>AP101/AJ101-1</f>
        <v>-9.1996320147194055E-3</v>
      </c>
      <c r="AQ102" s="227">
        <f>AQ101/AK101-1</f>
        <v>-1.0454545454545494E-2</v>
      </c>
      <c r="AS102" s="227">
        <f>AS101/AM101-1</f>
        <v>-4.9270072992700698E-2</v>
      </c>
      <c r="AT102" s="227">
        <f>AT101/AN101-1</f>
        <v>-5.2919708029197099E-2</v>
      </c>
      <c r="AU102" s="227">
        <f>AU101/AO101-1</f>
        <v>-5.0691244239631339E-2</v>
      </c>
      <c r="AV102" s="227">
        <f>AV101/AP101-1</f>
        <v>-5.1067780872794843E-2</v>
      </c>
      <c r="AW102" s="227">
        <f>AW101/AQ101-1</f>
        <v>-5.0987597611391822E-2</v>
      </c>
      <c r="AY102" s="227">
        <f>AY101/AS101-1</f>
        <v>-2.5911708253358978E-2</v>
      </c>
      <c r="AZ102" s="227">
        <f>AZ101/AT101-1</f>
        <v>-2.5048169556840083E-2</v>
      </c>
      <c r="BA102" s="227">
        <f>BA101/AU101-1</f>
        <v>-1.747572815533982E-2</v>
      </c>
      <c r="BB102" s="227">
        <f>BB101/AV101-1</f>
        <v>-1.1741682974559686E-2</v>
      </c>
      <c r="BC102" s="227">
        <f>BC101/AW101-1</f>
        <v>-2.0087124878993223E-2</v>
      </c>
      <c r="BE102" s="227">
        <f>BE101/AY101-1</f>
        <v>-4.9261083743842304E-3</v>
      </c>
      <c r="BF102" s="227">
        <f>BF101/AZ101-1</f>
        <v>0</v>
      </c>
      <c r="BG102" s="227">
        <f>BG101/BA101-1</f>
        <v>-1.9762845849802257E-3</v>
      </c>
      <c r="BH102" s="227">
        <f>BH101/BB101-1</f>
        <v>-9.9009900990099098E-4</v>
      </c>
      <c r="BI102" s="227">
        <f>BI101/BC101-1</f>
        <v>-1.9757964929612015E-3</v>
      </c>
      <c r="BK102" s="227">
        <f>BK101/BE101-1</f>
        <v>-7.9207920792079278E-3</v>
      </c>
      <c r="BL102" s="227">
        <f>BL101/BF101-1</f>
        <v>-1.7786561264822143E-2</v>
      </c>
      <c r="BM102" s="227">
        <f>BM101/BG101-1</f>
        <v>-2.2772277227722793E-2</v>
      </c>
      <c r="BN102" s="227">
        <f ca="1">BN101/BH101-1</f>
        <v>-2.6162306487531151E-2</v>
      </c>
      <c r="BO102" s="227">
        <f ca="1">BO101/BI101-1</f>
        <v>-1.8658195309556702E-2</v>
      </c>
      <c r="BQ102" s="227">
        <f>BQ101/BK101-1</f>
        <v>-2.8661572305198724E-2</v>
      </c>
      <c r="BR102" s="227">
        <f>BR101/BL101-1</f>
        <v>-2.2835075315093656E-2</v>
      </c>
      <c r="BS102" s="227">
        <f>BS101/BM101-1</f>
        <v>-1.2000956388676487E-2</v>
      </c>
      <c r="BT102" s="227">
        <f ca="1">BT101/BN101-1</f>
        <v>-2.2497529832029572E-3</v>
      </c>
      <c r="BU102" s="227">
        <f ca="1">BU101/BO101-1</f>
        <v>-1.6510106846395867E-2</v>
      </c>
      <c r="BW102" s="227">
        <f>BW101/BQ101-1</f>
        <v>2.2458762692031842E-2</v>
      </c>
      <c r="BX102" s="227">
        <f>BX101/BR101-1</f>
        <v>2.7079202343397668E-2</v>
      </c>
      <c r="BY102" s="227">
        <f>BY101/BS101-1</f>
        <v>2.8957796211187103E-2</v>
      </c>
      <c r="BZ102" s="227">
        <f ca="1">BZ101/BT101-1</f>
        <v>3.0629084967320086E-2</v>
      </c>
      <c r="CA102" s="227">
        <f ca="1">CA101/BU101-1</f>
        <v>2.7288223308964632E-2</v>
      </c>
      <c r="CC102" s="227">
        <f>CC101/BW101-1</f>
        <v>3.2497323538098088E-2</v>
      </c>
      <c r="CD102" s="227">
        <f>CD101/BX101-1</f>
        <v>3.4581633777973853E-2</v>
      </c>
      <c r="CE102" s="227">
        <f>CE101/BY101-1</f>
        <v>3.6671422822229571E-2</v>
      </c>
      <c r="CF102" s="227">
        <f ca="1">CF101/BZ101-1</f>
        <v>3.8745905815561921E-2</v>
      </c>
      <c r="CG102" s="227">
        <f ca="1">CG101/CA101-1</f>
        <v>3.5637494050997143E-2</v>
      </c>
      <c r="CI102" s="227">
        <f>CI101/CC101-1</f>
        <v>4.0823046012380848E-2</v>
      </c>
      <c r="CJ102" s="227">
        <f>CJ101/CD101-1</f>
        <v>4.3106929122503246E-2</v>
      </c>
      <c r="CK102" s="227">
        <f>CK101/CE101-1</f>
        <v>4.539491166331544E-2</v>
      </c>
      <c r="CL102" s="227">
        <f ca="1">CL101/CF101-1</f>
        <v>4.7483829467891203E-2</v>
      </c>
      <c r="CM102" s="227">
        <f ca="1">CM101/CG101-1</f>
        <v>4.4222083263881773E-2</v>
      </c>
      <c r="CO102" s="227">
        <f>CO101/CI101-1</f>
        <v>4.7033572800341261E-2</v>
      </c>
      <c r="CP102" s="227">
        <f>CP101/CJ101-1</f>
        <v>4.6784752727787815E-2</v>
      </c>
      <c r="CQ102" s="227">
        <f>CQ101/CK101-1</f>
        <v>4.6540782832739325E-2</v>
      </c>
      <c r="CR102" s="227">
        <f ca="1">CR101/CL101-1</f>
        <v>4.6106191580575162E-2</v>
      </c>
      <c r="CS102" s="227">
        <f ca="1">CS101/CM101-1</f>
        <v>4.661275998670722E-2</v>
      </c>
      <c r="CU102" s="227">
        <f>CU101/CO101-1</f>
        <v>4.5675401462407894E-2</v>
      </c>
      <c r="CV102" s="227">
        <f>CV101/CP101-1</f>
        <v>4.5438510875627891E-2</v>
      </c>
      <c r="CW102" s="227">
        <f>CW101/CQ101-1</f>
        <v>4.5384882589967868E-2</v>
      </c>
      <c r="CX102" s="227">
        <f ca="1">CX101/CR101-1</f>
        <v>4.4967304432065536E-2</v>
      </c>
      <c r="CY102" s="227">
        <f ca="1">CY101/CS101-1</f>
        <v>4.5364039840020132E-2</v>
      </c>
      <c r="DA102" s="227">
        <f>DA101/CU101-1</f>
        <v>4.4553036046591776E-2</v>
      </c>
      <c r="DB102" s="227">
        <f>DB101/CV101-1</f>
        <v>4.4503056528607754E-2</v>
      </c>
      <c r="DC102" s="227">
        <f>DC101/CW101-1</f>
        <v>4.4453419125196847E-2</v>
      </c>
      <c r="DD102" s="227">
        <f ca="1">DD101/CX101-1</f>
        <v>4.422603417112847E-2</v>
      </c>
      <c r="DE102" s="227">
        <f ca="1">DE101/CY101-1</f>
        <v>4.4432713584233285E-2</v>
      </c>
      <c r="DG102" s="227">
        <f>DG101/DA101-1</f>
        <v>4.4000271849938821E-2</v>
      </c>
      <c r="DH102" s="227">
        <f>DH101/DB101-1</f>
        <v>4.3952858303982545E-2</v>
      </c>
      <c r="DI102" s="227">
        <f>DI101/DC101-1</f>
        <v>4.3905764817064874E-2</v>
      </c>
      <c r="DJ102" s="227">
        <f ca="1">DJ101/DD101-1</f>
        <v>4.3858988159311219E-2</v>
      </c>
      <c r="DK102" s="227">
        <f ca="1">DK101/DE101-1</f>
        <v>4.3928958499287463E-2</v>
      </c>
    </row>
    <row r="103" spans="1:115" x14ac:dyDescent="0.2">
      <c r="AA103" s="103"/>
      <c r="AB103" s="103"/>
      <c r="AC103" s="103"/>
      <c r="AD103" s="103"/>
      <c r="AE103" s="103"/>
      <c r="AG103" s="103"/>
      <c r="AH103" s="103"/>
      <c r="AI103" s="103"/>
      <c r="AJ103" s="103"/>
      <c r="AK103" s="103"/>
      <c r="AM103" s="103"/>
      <c r="AN103" s="103"/>
      <c r="AO103" s="103"/>
      <c r="AP103" s="103"/>
      <c r="AQ103" s="103"/>
      <c r="AS103" s="103"/>
      <c r="AT103" s="103"/>
      <c r="AU103" s="103"/>
      <c r="AV103" s="103"/>
      <c r="AW103" s="103"/>
      <c r="AY103" s="103"/>
      <c r="AZ103" s="103"/>
      <c r="BA103" s="103"/>
      <c r="BB103" s="103"/>
      <c r="BC103" s="103"/>
      <c r="BE103" s="103"/>
      <c r="BF103" s="103"/>
      <c r="BG103" s="103"/>
      <c r="BH103" s="103"/>
      <c r="BI103" s="103"/>
      <c r="BK103" s="103"/>
      <c r="BL103" s="103"/>
      <c r="BM103" s="103"/>
      <c r="BN103" s="103"/>
      <c r="BO103" s="103"/>
      <c r="BQ103" s="103"/>
      <c r="BR103" s="103"/>
      <c r="BS103" s="103"/>
      <c r="BT103" s="103"/>
      <c r="BU103" s="103"/>
      <c r="BW103" s="103"/>
      <c r="BX103" s="103"/>
      <c r="BY103" s="103"/>
      <c r="BZ103" s="103"/>
      <c r="CA103" s="103"/>
      <c r="CC103" s="103"/>
      <c r="CD103" s="103"/>
      <c r="CE103" s="103"/>
      <c r="CF103" s="103"/>
      <c r="CG103" s="103"/>
      <c r="CI103" s="103"/>
      <c r="CJ103" s="103"/>
      <c r="CK103" s="103"/>
      <c r="CL103" s="103"/>
      <c r="CM103" s="103"/>
      <c r="CO103" s="103"/>
      <c r="CP103" s="103"/>
      <c r="CQ103" s="103"/>
      <c r="CR103" s="103"/>
      <c r="CS103" s="103"/>
      <c r="CU103" s="103"/>
      <c r="CV103" s="103"/>
      <c r="CW103" s="103"/>
      <c r="CX103" s="103"/>
      <c r="CY103" s="103"/>
      <c r="DA103" s="103"/>
      <c r="DB103" s="103"/>
      <c r="DC103" s="103"/>
      <c r="DD103" s="103"/>
      <c r="DE103" s="103"/>
      <c r="DG103" s="103"/>
      <c r="DH103" s="103"/>
      <c r="DI103" s="103"/>
      <c r="DJ103" s="103"/>
      <c r="DK103" s="103"/>
    </row>
    <row r="104" spans="1:115" x14ac:dyDescent="0.2">
      <c r="B104" s="479" t="s">
        <v>477</v>
      </c>
      <c r="O104" s="114">
        <f>(M16+O16)/2</f>
        <v>400</v>
      </c>
      <c r="P104" s="114">
        <f>(O16+P16)/2</f>
        <v>504.5</v>
      </c>
      <c r="Q104" s="114">
        <f>(P16+Q16)/2</f>
        <v>619.5</v>
      </c>
      <c r="R104" s="114">
        <f>(Q16+R16)/2</f>
        <v>742</v>
      </c>
      <c r="S104" s="114">
        <f>(O104+P104+Q104+R104)/4</f>
        <v>566.5</v>
      </c>
      <c r="T104" s="114"/>
      <c r="U104" s="114">
        <f>(S16+U16)/2</f>
        <v>851</v>
      </c>
      <c r="V104" s="114">
        <f>(U16+V16)/2</f>
        <v>933.5</v>
      </c>
      <c r="W104" s="114">
        <f>(V16+W16)/2</f>
        <v>1006.5</v>
      </c>
      <c r="X104" s="114">
        <f>(W16+X16)/2</f>
        <v>1099</v>
      </c>
      <c r="Y104" s="114">
        <f>(U104+V104+W104+X104)/4</f>
        <v>972.5</v>
      </c>
      <c r="Z104" s="473"/>
      <c r="AA104" s="114">
        <f>(Y16+AA16)/2</f>
        <v>1206.5</v>
      </c>
      <c r="AB104" s="114">
        <f>(AA16+AB16)/2</f>
        <v>1279</v>
      </c>
      <c r="AC104" s="114">
        <f>(AB16+AC16)/2</f>
        <v>1338</v>
      </c>
      <c r="AD104" s="114">
        <f>(AC16+AD16)/2</f>
        <v>1464</v>
      </c>
      <c r="AE104" s="114">
        <f>(AA104+AB104+AC104+AD104)/4</f>
        <v>1321.875</v>
      </c>
      <c r="AF104" s="473"/>
      <c r="AG104" s="114">
        <f>(AE16+AG16)/2</f>
        <v>1639</v>
      </c>
      <c r="AH104" s="114">
        <f>(AG16+AH16)/2</f>
        <v>1777.5</v>
      </c>
      <c r="AI104" s="114">
        <f>(AH16+AI16)/2</f>
        <v>1868</v>
      </c>
      <c r="AJ104" s="114">
        <f>(AI16+AJ16)/2</f>
        <v>1936</v>
      </c>
      <c r="AK104" s="114">
        <f>(AG104+AH104+AI104+AJ104)/4</f>
        <v>1805.125</v>
      </c>
      <c r="AL104" s="473"/>
      <c r="AM104" s="114">
        <f>(AK16+AM16)/2</f>
        <v>2001</v>
      </c>
      <c r="AN104" s="114">
        <f>(AM16+AN16)/2</f>
        <v>2057</v>
      </c>
      <c r="AO104" s="114">
        <f>(AN16+AO16)/2</f>
        <v>2099.5</v>
      </c>
      <c r="AP104" s="114">
        <f>(AO16+AP16)/2</f>
        <v>2149</v>
      </c>
      <c r="AQ104" s="114">
        <f>(AM104+AN104+AO104+AP104)/4</f>
        <v>2076.625</v>
      </c>
      <c r="AR104" s="473"/>
      <c r="AS104" s="114">
        <f>(AQ16+AS16)/2</f>
        <v>2216</v>
      </c>
      <c r="AT104" s="114">
        <f>(AS16+AT16)/2</f>
        <v>2286.5</v>
      </c>
      <c r="AU104" s="114">
        <f>(AT16+AU16)/2</f>
        <v>2347.5</v>
      </c>
      <c r="AV104" s="114">
        <f>(AU16+AV16)/2</f>
        <v>2409.5</v>
      </c>
      <c r="AW104" s="114">
        <f>(AS104+AT104+AU104+AV104)/4</f>
        <v>2314.875</v>
      </c>
      <c r="AX104" s="473"/>
      <c r="AY104" s="114">
        <f>(AW16+AY16)/2</f>
        <v>2479</v>
      </c>
      <c r="AZ104" s="114">
        <f>(AY16+AZ16)/2</f>
        <v>2547</v>
      </c>
      <c r="BA104" s="114">
        <f>(AZ16+BA16)/2</f>
        <v>2605</v>
      </c>
      <c r="BB104" s="114">
        <f>(BA16+BB16)/2</f>
        <v>2657.5</v>
      </c>
      <c r="BC104" s="114">
        <f>(AY104+AZ104+BA104+BB104)/4</f>
        <v>2572.125</v>
      </c>
      <c r="BD104" s="473"/>
      <c r="BE104" s="114">
        <f>(BC16+BE16)/2</f>
        <v>2709.5</v>
      </c>
      <c r="BF104" s="114">
        <f>(BE16+BF16)/2</f>
        <v>2756.5</v>
      </c>
      <c r="BG104" s="114">
        <f>(BF16+BG16)/2</f>
        <v>2797.5</v>
      </c>
      <c r="BH104" s="114">
        <f>(BG16+BH16)/2</f>
        <v>2848.5</v>
      </c>
      <c r="BI104" s="114">
        <f>(BE104+BF104+BG104+BH104)/4</f>
        <v>2778</v>
      </c>
      <c r="BJ104" s="473"/>
      <c r="BK104" s="114">
        <f>(BI16+BK16)/2</f>
        <v>2917</v>
      </c>
      <c r="BL104" s="114">
        <f>(BK16+BL16)/2</f>
        <v>2989.5</v>
      </c>
      <c r="BM104" s="114">
        <f>(BL16+BM16)/2</f>
        <v>3056.5</v>
      </c>
      <c r="BN104" s="114">
        <f>(BM16+BN16)/2</f>
        <v>3114</v>
      </c>
      <c r="BO104" s="114">
        <f>(BK104+BL104+BM104+BN104)/4</f>
        <v>3019.25</v>
      </c>
      <c r="BP104" s="473"/>
      <c r="BQ104" s="114">
        <f>(BO16+BQ16)/2</f>
        <v>3171.5</v>
      </c>
      <c r="BR104" s="114">
        <f>(BQ16+BR16)/2</f>
        <v>3236.5</v>
      </c>
      <c r="BS104" s="114">
        <f>(BR16+BS16)/2</f>
        <v>3301.5</v>
      </c>
      <c r="BT104" s="114">
        <f>(BS16+BT16)/2</f>
        <v>3369</v>
      </c>
      <c r="BU104" s="114">
        <f>(BQ104+BR104+BS104+BT104)/4</f>
        <v>3269.625</v>
      </c>
      <c r="BV104" s="473"/>
      <c r="BW104" s="114">
        <f>(BU16+BW16)/2</f>
        <v>3436.5</v>
      </c>
      <c r="BX104" s="114">
        <f>(BW16+BX16)/2</f>
        <v>3501.5</v>
      </c>
      <c r="BY104" s="114">
        <f>(BX16+BY16)/2</f>
        <v>3566.5</v>
      </c>
      <c r="BZ104" s="114">
        <f>(BY16+BZ16)/2</f>
        <v>3639</v>
      </c>
      <c r="CA104" s="114">
        <f>(BW104+BX104+BY104+BZ104)/4</f>
        <v>3535.875</v>
      </c>
      <c r="CB104" s="473"/>
      <c r="CC104" s="114">
        <f>(CA16+CC16)/2</f>
        <v>3714</v>
      </c>
      <c r="CD104" s="114">
        <f>(CC16+CD16)/2</f>
        <v>3784</v>
      </c>
      <c r="CE104" s="114">
        <f>(CD16+CE16)/2</f>
        <v>3854</v>
      </c>
      <c r="CF104" s="114">
        <f>(CE16+CF16)/2</f>
        <v>3924</v>
      </c>
      <c r="CG104" s="114">
        <f>(CC104+CD104+CE104+CF104)/4</f>
        <v>3819</v>
      </c>
      <c r="CH104" s="473"/>
      <c r="CI104" s="114">
        <f>(CG16+CI16)/2</f>
        <v>3994</v>
      </c>
      <c r="CJ104" s="114">
        <f>(CI16+CJ16)/2</f>
        <v>4064</v>
      </c>
      <c r="CK104" s="114">
        <f>(CJ16+CK16)/2</f>
        <v>4134</v>
      </c>
      <c r="CL104" s="114">
        <f>(CK16+CL16)/2</f>
        <v>4204</v>
      </c>
      <c r="CM104" s="114">
        <f>(CI104+CJ104+CK104+CL104)/4</f>
        <v>4099</v>
      </c>
      <c r="CN104" s="473"/>
      <c r="CO104" s="114">
        <f>(CM16+CO16)/2</f>
        <v>4274</v>
      </c>
      <c r="CP104" s="114">
        <f>(CO16+CP16)/2</f>
        <v>4344</v>
      </c>
      <c r="CQ104" s="114">
        <f>(CP16+CQ16)/2</f>
        <v>4414</v>
      </c>
      <c r="CR104" s="114">
        <f>(CQ16+CR16)/2</f>
        <v>4484</v>
      </c>
      <c r="CS104" s="114">
        <f>(CO104+CP104+CQ104+CR104)/4</f>
        <v>4379</v>
      </c>
      <c r="CT104" s="473"/>
      <c r="CU104" s="114">
        <f>(CS16+CU16)/2</f>
        <v>4554</v>
      </c>
      <c r="CV104" s="114">
        <f>(CU16+CV16)/2</f>
        <v>4624</v>
      </c>
      <c r="CW104" s="114">
        <f>(CV16+CW16)/2</f>
        <v>4694</v>
      </c>
      <c r="CX104" s="114">
        <f>(CW16+CX16)/2</f>
        <v>4764</v>
      </c>
      <c r="CY104" s="114">
        <f>(CU104+CV104+CW104+CX104)/4</f>
        <v>4659</v>
      </c>
      <c r="CZ104" s="473"/>
      <c r="DA104" s="114">
        <f>(CY16+DA16)/2</f>
        <v>4834</v>
      </c>
      <c r="DB104" s="114">
        <f>(DA16+DB16)/2</f>
        <v>4904</v>
      </c>
      <c r="DC104" s="114">
        <f>(DB16+DC16)/2</f>
        <v>4974</v>
      </c>
      <c r="DD104" s="114">
        <f>(DC16+DD16)/2</f>
        <v>5044</v>
      </c>
      <c r="DE104" s="114">
        <f>(DA104+DB104+DC104+DD104)/4</f>
        <v>4939</v>
      </c>
      <c r="DF104" s="473"/>
      <c r="DG104" s="114">
        <f>(DE16+DG16)/2</f>
        <v>5114</v>
      </c>
      <c r="DH104" s="114">
        <f>(DG16+DH16)/2</f>
        <v>5184</v>
      </c>
      <c r="DI104" s="114">
        <f>(DH16+DI16)/2</f>
        <v>5254</v>
      </c>
      <c r="DJ104" s="114">
        <f>(DI16+DJ16)/2</f>
        <v>5324</v>
      </c>
      <c r="DK104" s="114">
        <f>(DG104+DH104+DI104+DJ104)/4</f>
        <v>5219</v>
      </c>
    </row>
    <row r="105" spans="1:115" x14ac:dyDescent="0.2">
      <c r="AA105" s="103"/>
      <c r="AB105" s="103"/>
      <c r="AC105" s="103"/>
      <c r="AD105" s="103"/>
      <c r="AE105" s="103"/>
      <c r="AG105" s="103"/>
      <c r="AH105" s="103"/>
      <c r="AI105" s="103"/>
      <c r="AJ105" s="103"/>
      <c r="AK105" s="103"/>
      <c r="AM105" s="103"/>
      <c r="AN105" s="103"/>
      <c r="AO105" s="103"/>
      <c r="AP105" s="103"/>
      <c r="AQ105" s="103"/>
      <c r="AS105" s="103"/>
      <c r="AT105" s="103"/>
      <c r="AU105" s="103"/>
      <c r="AV105" s="103"/>
      <c r="AW105" s="103"/>
      <c r="AY105" s="103"/>
      <c r="AZ105" s="103"/>
      <c r="BA105" s="103"/>
      <c r="BB105" s="103"/>
      <c r="BC105" s="103"/>
      <c r="BE105" s="103"/>
      <c r="BF105" s="103"/>
      <c r="BG105" s="103"/>
      <c r="BH105" s="103"/>
      <c r="BI105" s="103"/>
      <c r="BK105" s="103"/>
      <c r="BL105" s="103"/>
      <c r="BM105" s="103"/>
      <c r="BN105" s="103"/>
      <c r="BO105" s="103"/>
      <c r="BQ105" s="103"/>
      <c r="BR105" s="103"/>
      <c r="BS105" s="103"/>
      <c r="BT105" s="103"/>
      <c r="BU105" s="103"/>
      <c r="BW105" s="103"/>
      <c r="BX105" s="103"/>
      <c r="BY105" s="103"/>
      <c r="BZ105" s="103"/>
      <c r="CA105" s="103"/>
      <c r="CC105" s="103"/>
      <c r="CD105" s="103"/>
      <c r="CE105" s="103"/>
      <c r="CF105" s="103"/>
      <c r="CG105" s="103"/>
      <c r="CI105" s="103"/>
      <c r="CJ105" s="103"/>
      <c r="CK105" s="103"/>
      <c r="CL105" s="103"/>
      <c r="CM105" s="103"/>
      <c r="CO105" s="103"/>
      <c r="CP105" s="103"/>
      <c r="CQ105" s="103"/>
      <c r="CR105" s="103"/>
      <c r="CS105" s="103"/>
      <c r="CU105" s="103"/>
      <c r="CV105" s="103"/>
      <c r="CW105" s="103"/>
      <c r="CX105" s="103"/>
      <c r="CY105" s="103"/>
      <c r="DA105" s="103"/>
      <c r="DB105" s="103"/>
      <c r="DC105" s="103"/>
      <c r="DD105" s="103"/>
      <c r="DE105" s="103"/>
      <c r="DG105" s="103"/>
      <c r="DH105" s="103"/>
      <c r="DI105" s="103"/>
      <c r="DJ105" s="103"/>
      <c r="DK105" s="103"/>
    </row>
    <row r="106" spans="1:115" x14ac:dyDescent="0.2">
      <c r="B106" s="479" t="s">
        <v>478</v>
      </c>
      <c r="AA106" s="230">
        <f>AA109*1000/(AA104*3)</f>
        <v>40.729382511396601</v>
      </c>
      <c r="AB106" s="230">
        <f>AB109*1000/(AB104*3)</f>
        <v>40.39093041438624</v>
      </c>
      <c r="AC106" s="230">
        <f>AC109*1000/(AC104*3)</f>
        <v>40.257847533632287</v>
      </c>
      <c r="AD106" s="230">
        <f>AD109*1000/(AD104*3)</f>
        <v>40.020491803278681</v>
      </c>
      <c r="AE106" s="230">
        <f>AE109*1000/(AE104*12)</f>
        <v>40.331914893617018</v>
      </c>
      <c r="AG106" s="230">
        <f>AG109*1000/(AG104*3)</f>
        <v>39.454952206630061</v>
      </c>
      <c r="AH106" s="230">
        <f>AH109*1000/(AH104*3)</f>
        <v>38.255977496483823</v>
      </c>
      <c r="AI106" s="230">
        <f>AI109*1000/(AI104*3)</f>
        <v>38.365453247680229</v>
      </c>
      <c r="AJ106" s="230">
        <f>AJ109*1000/(AJ104*3)</f>
        <v>38.567493112947659</v>
      </c>
      <c r="AK106" s="230">
        <f>AK109*1000/(AK104*12)</f>
        <v>38.639983380652311</v>
      </c>
      <c r="AM106" s="230">
        <f>AM109*1000/(AM104*3)</f>
        <v>38.813926370148259</v>
      </c>
      <c r="AN106" s="230">
        <f>AN109*1000/(AN104*3)</f>
        <v>38.729541403338196</v>
      </c>
      <c r="AO106" s="230">
        <f>AO109*1000/(AO104*3)</f>
        <v>38.263078510756529</v>
      </c>
      <c r="AP106" s="230">
        <f>AP109*1000/(AP104*3)</f>
        <v>37.847060648363581</v>
      </c>
      <c r="AQ106" s="230">
        <f>AQ109*1000/(AQ104*12)</f>
        <v>38.403659784506111</v>
      </c>
      <c r="AS106" s="230">
        <f>AS109*1000/(AS104*3)</f>
        <v>37.755716004813479</v>
      </c>
      <c r="AT106" s="230">
        <f>AT109*1000/(AT104*3)</f>
        <v>37.75785407099643</v>
      </c>
      <c r="AU106" s="230">
        <f>AU109*1000/(AU104*3)</f>
        <v>37.344692935747247</v>
      </c>
      <c r="AV106" s="230">
        <f>AV109*1000/(AV104*3)</f>
        <v>37.35214774849554</v>
      </c>
      <c r="AW106" s="230">
        <f>AW109*1000/(AW104*12)</f>
        <v>37.547023777381789</v>
      </c>
      <c r="AY106" s="230">
        <f>AY109*1000/(AY104*3)</f>
        <v>37.246201425305905</v>
      </c>
      <c r="AZ106" s="230">
        <f>AZ109*1000/(AZ104*3)</f>
        <v>37.298782881821751</v>
      </c>
      <c r="BA106" s="230">
        <f>BA109*1000/(BA104*3)</f>
        <v>37.236084452975049</v>
      </c>
      <c r="BB106" s="230">
        <f>BB109*1000/(BB104*3)</f>
        <v>37.127626215114454</v>
      </c>
      <c r="BC106" s="230">
        <f>BC109*1000/(BC104*12)</f>
        <v>37.226029061573598</v>
      </c>
      <c r="BE106" s="230">
        <f>BE109*1000/(BE104*3)</f>
        <v>37.276250230669866</v>
      </c>
      <c r="BF106" s="230">
        <f>BF109*1000/(BF104*3)</f>
        <v>37.245298990265432</v>
      </c>
      <c r="BG106" s="230">
        <f>BG109*1000/(BG104*3)</f>
        <v>37.176050044682754</v>
      </c>
      <c r="BH106" s="230">
        <f>BH109*1000/(BH104*3)</f>
        <v>37.095547364109763</v>
      </c>
      <c r="BI106" s="230">
        <f>BI109*1000/(BI104*12)</f>
        <v>37.197024238060955</v>
      </c>
      <c r="BK106" s="230">
        <f>BK109*1000/(BK104*3)</f>
        <v>37.481430693635012</v>
      </c>
      <c r="BL106" s="230">
        <f>BL109*1000/(BL104*3)</f>
        <v>37.241456207838546</v>
      </c>
      <c r="BM106" s="230">
        <f>BM109*1000/(BM104*3)</f>
        <v>37.29756257156879</v>
      </c>
      <c r="BN106" s="230">
        <f ca="1">BN109*1000/(BN104*3)</f>
        <v>37.400745798107351</v>
      </c>
      <c r="BO106" s="230">
        <f ca="1">BO109*1000/(BO104*12)</f>
        <v>37.354689830419225</v>
      </c>
      <c r="BQ106" s="230">
        <f>BK106*(1+BQ107)</f>
        <v>37.856245000571363</v>
      </c>
      <c r="BR106" s="230">
        <f>BL106*(1+BR107)</f>
        <v>37.706974410436523</v>
      </c>
      <c r="BS106" s="230">
        <f>BM106*(1+BS107)</f>
        <v>37.484050384426631</v>
      </c>
      <c r="BT106" s="230">
        <f ca="1">BN106*(1+BT107)</f>
        <v>37.494247662602618</v>
      </c>
      <c r="BU106" s="230">
        <f ca="1">BU109*1000/(BU104*12)</f>
        <v>37.632099737598544</v>
      </c>
      <c r="BW106" s="230">
        <f>BQ106*(1+BW107)</f>
        <v>37.856245000571363</v>
      </c>
      <c r="BX106" s="230">
        <f>BR106*(1+BX107)</f>
        <v>37.610821625689908</v>
      </c>
      <c r="BY106" s="230">
        <f>BS106*(1+BY107)</f>
        <v>37.296630132504497</v>
      </c>
      <c r="BZ106" s="230">
        <f ca="1">BT106*(1+BZ107)</f>
        <v>37.119305185976593</v>
      </c>
      <c r="CA106" s="230">
        <f ca="1">CA109*1000/(CA104*12)</f>
        <v>37.464761961760722</v>
      </c>
      <c r="CC106" s="230">
        <f>BW106*(1+CC107)</f>
        <v>37.666963775568505</v>
      </c>
      <c r="CD106" s="230">
        <f>BX106*(1+CD107)</f>
        <v>37.422767517561461</v>
      </c>
      <c r="CE106" s="230">
        <f>BY106*(1+CE107)</f>
        <v>37.110146981841972</v>
      </c>
      <c r="CF106" s="230">
        <f ca="1">BZ106*(1+CF107)</f>
        <v>36.933708660046712</v>
      </c>
      <c r="CG106" s="230">
        <f ca="1">CG109*1000/(CG104*12)</f>
        <v>37.277640416271026</v>
      </c>
      <c r="CI106" s="230">
        <f>CC106*(1+CI107)</f>
        <v>37.478628956690663</v>
      </c>
      <c r="CJ106" s="230">
        <f>CD106*(1+CJ107)</f>
        <v>37.235653679973652</v>
      </c>
      <c r="CK106" s="230">
        <f>CE106*(1+CK107)</f>
        <v>36.924596246932765</v>
      </c>
      <c r="CL106" s="230">
        <f ca="1">CF106*(1+CL107)</f>
        <v>36.749040116746478</v>
      </c>
      <c r="CM106" s="230">
        <f ca="1">CM109*1000/(CM104*12)</f>
        <v>37.091643458408008</v>
      </c>
      <c r="CO106" s="230">
        <f>CI106*(1+CO107)</f>
        <v>37.384932384298942</v>
      </c>
      <c r="CP106" s="230">
        <f>CJ106*(1+CP107)</f>
        <v>37.142564545773716</v>
      </c>
      <c r="CQ106" s="230">
        <f>CK106*(1+CQ107)</f>
        <v>36.832284756315438</v>
      </c>
      <c r="CR106" s="230">
        <f ca="1">CL106*(1+CR107)</f>
        <v>36.657167516454614</v>
      </c>
      <c r="CS106" s="230">
        <f ca="1">CS109*1000/(CS104*12)</f>
        <v>36.999254707438546</v>
      </c>
      <c r="CU106" s="230">
        <f>CO106*(1+CU107)</f>
        <v>37.384932384298942</v>
      </c>
      <c r="CV106" s="230">
        <f>CP106*(1+CV107)</f>
        <v>37.142564545773716</v>
      </c>
      <c r="CW106" s="230">
        <f>CQ106*(1+CW107)</f>
        <v>36.832284756315438</v>
      </c>
      <c r="CX106" s="230">
        <f ca="1">CR106*(1+CX107)</f>
        <v>36.657167516454614</v>
      </c>
      <c r="CY106" s="230">
        <f ca="1">CY109*1000/(CY104*12)</f>
        <v>36.999554154984409</v>
      </c>
      <c r="DA106" s="230">
        <f>CU106*(1+DA107)</f>
        <v>37.384932384298942</v>
      </c>
      <c r="DB106" s="230">
        <f>CV106*(1+DB107)</f>
        <v>37.142564545773716</v>
      </c>
      <c r="DC106" s="230">
        <f>CW106*(1+DC107)</f>
        <v>36.832284756315438</v>
      </c>
      <c r="DD106" s="230">
        <f ca="1">CX106*(1+DD107)</f>
        <v>36.657167516454614</v>
      </c>
      <c r="DE106" s="230">
        <f ca="1">DE109*1000/(DE104*12)</f>
        <v>36.999819650186545</v>
      </c>
      <c r="DG106" s="230">
        <f>DA106*(1+DG107)</f>
        <v>37.384932384298942</v>
      </c>
      <c r="DH106" s="230">
        <f>DB106*(1+DH107)</f>
        <v>37.142564545773716</v>
      </c>
      <c r="DI106" s="230">
        <f>DC106*(1+DI107)</f>
        <v>36.832284756315438</v>
      </c>
      <c r="DJ106" s="230">
        <f ca="1">DD106*(1+DJ107)</f>
        <v>36.657167516454614</v>
      </c>
      <c r="DK106" s="230">
        <f ca="1">DK109*1000/(DK104*12)</f>
        <v>37.000056657687367</v>
      </c>
    </row>
    <row r="107" spans="1:115" x14ac:dyDescent="0.2">
      <c r="B107" s="479" t="s">
        <v>479</v>
      </c>
      <c r="AA107" s="568" t="s">
        <v>35</v>
      </c>
      <c r="AB107" s="568" t="s">
        <v>35</v>
      </c>
      <c r="AC107" s="568" t="s">
        <v>35</v>
      </c>
      <c r="AD107" s="568" t="s">
        <v>35</v>
      </c>
      <c r="AE107" s="568" t="s">
        <v>35</v>
      </c>
      <c r="AG107" s="227">
        <f>AG106/AA106-1</f>
        <v>-3.1290194601156451E-2</v>
      </c>
      <c r="AH107" s="227">
        <f>AH106/AB106-1</f>
        <v>-5.2857235423871329E-2</v>
      </c>
      <c r="AI107" s="227">
        <f>AI106/AC106-1</f>
        <v>-4.7006842190733367E-2</v>
      </c>
      <c r="AJ107" s="227">
        <f>AJ106/AD106-1</f>
        <v>-3.6306367684666552E-2</v>
      </c>
      <c r="AK107" s="227">
        <f>AK106/AE106-1</f>
        <v>-4.1950190498702966E-2</v>
      </c>
      <c r="AM107" s="227">
        <f>AM106/AG106-1</f>
        <v>-1.6247031123613476E-2</v>
      </c>
      <c r="AN107" s="227">
        <f>AN106/AH106-1</f>
        <v>1.2378821241671334E-2</v>
      </c>
      <c r="AO107" s="227">
        <f>AO106/AI106-1</f>
        <v>-2.6684094219554533E-3</v>
      </c>
      <c r="AP107" s="227">
        <f>AP106/AJ106-1</f>
        <v>-1.8679784617430029E-2</v>
      </c>
      <c r="AQ107" s="227">
        <f>AQ106/AK106-1</f>
        <v>-6.1160377275040201E-3</v>
      </c>
      <c r="AS107" s="227">
        <f>AS106/AM106-1</f>
        <v>-2.7263677352380666E-2</v>
      </c>
      <c r="AT107" s="227">
        <f>AT106/AN106-1</f>
        <v>-2.5089048233811861E-2</v>
      </c>
      <c r="AU107" s="227">
        <f>AU106/AO106-1</f>
        <v>-2.4001873627369164E-2</v>
      </c>
      <c r="AV107" s="227">
        <f>AV106/AP106-1</f>
        <v>-1.3076653546923223E-2</v>
      </c>
      <c r="AW107" s="227">
        <f>AW106/AQ106-1</f>
        <v>-2.2306103426890878E-2</v>
      </c>
      <c r="AY107" s="227">
        <f>AY106/AS106-1</f>
        <v>-1.3495031571977512E-2</v>
      </c>
      <c r="AZ107" s="227">
        <f>AZ106/AT106-1</f>
        <v>-1.2158296610593533E-2</v>
      </c>
      <c r="BA107" s="227">
        <f>BA106/AU106-1</f>
        <v>-2.9082708742327323E-3</v>
      </c>
      <c r="BB107" s="227">
        <f>BB106/AV106-1</f>
        <v>-6.0109403853525478E-3</v>
      </c>
      <c r="BC107" s="227">
        <f>BC106/AW106-1</f>
        <v>-8.5491387469586178E-3</v>
      </c>
      <c r="BE107" s="227">
        <f>BE106/AY106-1</f>
        <v>8.0676160827364285E-4</v>
      </c>
      <c r="BF107" s="227">
        <f>BF106/AZ106-1</f>
        <v>-1.4339312820415007E-3</v>
      </c>
      <c r="BG107" s="227">
        <f>BG106/BA106-1</f>
        <v>-1.6122642639322393E-3</v>
      </c>
      <c r="BH107" s="227">
        <f>BH106/BB106-1</f>
        <v>-8.6401567444227556E-4</v>
      </c>
      <c r="BI107" s="227">
        <f>BI106/BC106-1</f>
        <v>-7.7915437783249164E-4</v>
      </c>
      <c r="BK107" s="227">
        <f>BK106/BE106-1</f>
        <v>5.5043214297432197E-3</v>
      </c>
      <c r="BL107" s="227">
        <f>BL106/BF106-1</f>
        <v>-1.0317496519196556E-4</v>
      </c>
      <c r="BM107" s="227">
        <f>BM106/BG106-1</f>
        <v>3.2685701342662909E-3</v>
      </c>
      <c r="BN107" s="227">
        <f ca="1">BN106/BH106-1</f>
        <v>8.227360308285192E-3</v>
      </c>
      <c r="BO107" s="227">
        <f ca="1">BO106/BI106-1</f>
        <v>4.2386614410123702E-3</v>
      </c>
      <c r="BQ107" s="227">
        <v>0.01</v>
      </c>
      <c r="BR107" s="227">
        <v>1.2500000000000001E-2</v>
      </c>
      <c r="BS107" s="227">
        <v>5.0000000000000001E-3</v>
      </c>
      <c r="BT107" s="227">
        <v>2.5000000000000001E-3</v>
      </c>
      <c r="BU107" s="227">
        <f ca="1">BU106/BO106-1</f>
        <v>7.4263742635447549E-3</v>
      </c>
      <c r="BW107" s="227">
        <v>0</v>
      </c>
      <c r="BX107" s="227">
        <v>-2.5500000000000002E-3</v>
      </c>
      <c r="BY107" s="227">
        <v>-5.0000000000000001E-3</v>
      </c>
      <c r="BZ107" s="227">
        <v>-0.01</v>
      </c>
      <c r="CA107" s="227">
        <f ca="1">CA106/BU106-1</f>
        <v>-4.4466765608254244E-3</v>
      </c>
      <c r="CC107" s="227">
        <v>-5.0000000000000001E-3</v>
      </c>
      <c r="CD107" s="227">
        <v>-5.0000000000000001E-3</v>
      </c>
      <c r="CE107" s="227">
        <v>-5.0000000000000001E-3</v>
      </c>
      <c r="CF107" s="227">
        <v>-5.0000000000000001E-3</v>
      </c>
      <c r="CG107" s="227">
        <f ca="1">CG106/CA106-1</f>
        <v>-4.9946012116848237E-3</v>
      </c>
      <c r="CI107" s="227">
        <v>-5.0000000000000001E-3</v>
      </c>
      <c r="CJ107" s="227">
        <v>-5.0000000000000001E-3</v>
      </c>
      <c r="CK107" s="227">
        <v>-5.0000000000000001E-3</v>
      </c>
      <c r="CL107" s="227">
        <v>-5.0000000000000001E-3</v>
      </c>
      <c r="CM107" s="227">
        <f ca="1">CM106/CG106-1</f>
        <v>-4.9895045873621369E-3</v>
      </c>
      <c r="CO107" s="227">
        <v>-2.5000000000000001E-3</v>
      </c>
      <c r="CP107" s="227">
        <v>-2.5000000000000001E-3</v>
      </c>
      <c r="CQ107" s="227">
        <v>-2.5000000000000001E-3</v>
      </c>
      <c r="CR107" s="227">
        <v>-2.5000000000000001E-3</v>
      </c>
      <c r="CS107" s="227">
        <f ca="1">CS106/CM106-1</f>
        <v>-2.4908238717721298E-3</v>
      </c>
      <c r="CU107" s="227">
        <v>0</v>
      </c>
      <c r="CV107" s="227">
        <v>0</v>
      </c>
      <c r="CW107" s="227">
        <v>0</v>
      </c>
      <c r="CX107" s="227">
        <v>0</v>
      </c>
      <c r="CY107" s="227">
        <f ca="1">CY106/CS106-1</f>
        <v>8.0933399397853378E-6</v>
      </c>
      <c r="DA107" s="227">
        <v>0</v>
      </c>
      <c r="DB107" s="227">
        <v>0</v>
      </c>
      <c r="DC107" s="227">
        <v>0</v>
      </c>
      <c r="DD107" s="227">
        <v>0</v>
      </c>
      <c r="DE107" s="227">
        <f ca="1">DE106/CY106-1</f>
        <v>7.1756324691030215E-6</v>
      </c>
      <c r="DG107" s="227">
        <v>0</v>
      </c>
      <c r="DH107" s="227">
        <v>0</v>
      </c>
      <c r="DI107" s="227">
        <v>0</v>
      </c>
      <c r="DJ107" s="227">
        <v>0</v>
      </c>
      <c r="DK107" s="227">
        <f ca="1">DK106/DE106-1</f>
        <v>6.4056393533906686E-6</v>
      </c>
    </row>
    <row r="108" spans="1:115" x14ac:dyDescent="0.2">
      <c r="AA108" s="103"/>
      <c r="AB108" s="103"/>
      <c r="AC108" s="103"/>
      <c r="AD108" s="103"/>
      <c r="AE108" s="103"/>
      <c r="AG108" s="103"/>
      <c r="AH108" s="103"/>
      <c r="AI108" s="103"/>
      <c r="AJ108" s="103"/>
      <c r="AK108" s="103"/>
      <c r="AM108" s="103"/>
      <c r="AN108" s="103"/>
      <c r="AO108" s="103"/>
      <c r="AP108" s="103"/>
      <c r="AQ108" s="103"/>
      <c r="AS108" s="103"/>
      <c r="AT108" s="103"/>
      <c r="AU108" s="103"/>
      <c r="AV108" s="103"/>
      <c r="AW108" s="103"/>
      <c r="AY108" s="103"/>
      <c r="AZ108" s="103"/>
      <c r="BA108" s="103"/>
      <c r="BB108" s="103"/>
      <c r="BC108" s="103"/>
      <c r="BE108" s="103"/>
      <c r="BF108" s="103"/>
      <c r="BG108" s="103"/>
      <c r="BH108" s="103"/>
      <c r="BI108" s="103"/>
      <c r="BK108" s="103"/>
      <c r="BL108" s="103"/>
      <c r="BM108" s="103"/>
      <c r="BN108" s="103"/>
      <c r="BO108" s="103"/>
      <c r="BQ108" s="103"/>
      <c r="BR108" s="103"/>
      <c r="BS108" s="103"/>
      <c r="BT108" s="103"/>
      <c r="BU108" s="103"/>
      <c r="BW108" s="103"/>
      <c r="BX108" s="103"/>
      <c r="BY108" s="103"/>
      <c r="BZ108" s="103"/>
      <c r="CA108" s="103"/>
      <c r="CC108" s="103"/>
      <c r="CD108" s="103"/>
      <c r="CE108" s="103"/>
      <c r="CF108" s="103"/>
      <c r="CG108" s="103"/>
      <c r="CI108" s="103"/>
      <c r="CJ108" s="103"/>
      <c r="CK108" s="103"/>
      <c r="CL108" s="103"/>
      <c r="CM108" s="103"/>
      <c r="CO108" s="103"/>
      <c r="CP108" s="103"/>
      <c r="CQ108" s="103"/>
      <c r="CR108" s="103"/>
      <c r="CS108" s="103"/>
      <c r="CU108" s="103"/>
      <c r="CV108" s="103"/>
      <c r="CW108" s="103"/>
      <c r="CX108" s="103"/>
      <c r="CY108" s="103"/>
      <c r="DA108" s="103"/>
      <c r="DB108" s="103"/>
      <c r="DC108" s="103"/>
      <c r="DD108" s="103"/>
      <c r="DE108" s="103"/>
      <c r="DG108" s="103"/>
      <c r="DH108" s="103"/>
      <c r="DI108" s="103"/>
      <c r="DJ108" s="103"/>
      <c r="DK108" s="103"/>
    </row>
    <row r="109" spans="1:115" s="485" customFormat="1" x14ac:dyDescent="0.2">
      <c r="A109"/>
      <c r="B109" s="485" t="s">
        <v>481</v>
      </c>
      <c r="C109" s="103"/>
      <c r="D109" s="103"/>
      <c r="E109" s="103"/>
      <c r="F109" s="103"/>
      <c r="G109" s="103"/>
      <c r="H109" s="103"/>
      <c r="I109" s="103"/>
      <c r="J109" s="103"/>
      <c r="K109" s="103"/>
      <c r="L109" s="103"/>
      <c r="M109" s="103"/>
      <c r="N109" s="103"/>
      <c r="O109" s="103"/>
      <c r="P109" s="103"/>
      <c r="Q109" s="103"/>
      <c r="R109" s="103"/>
      <c r="S109" s="103"/>
      <c r="T109" s="103"/>
      <c r="U109" s="103"/>
      <c r="V109" s="103"/>
      <c r="W109" s="103"/>
      <c r="X109" s="103"/>
      <c r="Y109" s="103"/>
      <c r="Z109"/>
      <c r="AA109" s="380">
        <f>156*0.945</f>
        <v>147.41999999999999</v>
      </c>
      <c r="AB109" s="380">
        <f>164*0.945</f>
        <v>154.97999999999999</v>
      </c>
      <c r="AC109" s="380">
        <f>171*0.945</f>
        <v>161.595</v>
      </c>
      <c r="AD109" s="380">
        <f>186*0.945</f>
        <v>175.76999999999998</v>
      </c>
      <c r="AE109" s="380">
        <f>AA109+AB109+AC109+AD109</f>
        <v>639.76499999999999</v>
      </c>
      <c r="AG109" s="129">
        <v>194</v>
      </c>
      <c r="AH109" s="129">
        <v>204</v>
      </c>
      <c r="AI109" s="129">
        <v>215</v>
      </c>
      <c r="AJ109" s="129">
        <v>224</v>
      </c>
      <c r="AK109" s="129">
        <f>AG109+AH109+AI109+AJ109</f>
        <v>837</v>
      </c>
      <c r="AM109" s="129">
        <v>233</v>
      </c>
      <c r="AN109" s="129">
        <v>239</v>
      </c>
      <c r="AO109" s="129">
        <v>241</v>
      </c>
      <c r="AP109" s="129">
        <v>244</v>
      </c>
      <c r="AQ109" s="129">
        <f>AM109+AN109+AO109+AP109</f>
        <v>957</v>
      </c>
      <c r="AS109" s="197">
        <v>251</v>
      </c>
      <c r="AT109" s="197">
        <v>259</v>
      </c>
      <c r="AU109" s="197">
        <v>263</v>
      </c>
      <c r="AV109" s="197">
        <v>270</v>
      </c>
      <c r="AW109" s="197">
        <f>AS109+AT109+AU109+AV109</f>
        <v>1043</v>
      </c>
      <c r="AX109" s="545"/>
      <c r="AY109" s="197">
        <v>277</v>
      </c>
      <c r="AZ109" s="197">
        <v>285</v>
      </c>
      <c r="BA109" s="197">
        <v>291</v>
      </c>
      <c r="BB109" s="197">
        <v>296</v>
      </c>
      <c r="BC109" s="197">
        <f>AY109+AZ109+BA109+BB109</f>
        <v>1149</v>
      </c>
      <c r="BE109" s="197">
        <v>303</v>
      </c>
      <c r="BF109" s="197">
        <v>308</v>
      </c>
      <c r="BG109" s="197">
        <v>312</v>
      </c>
      <c r="BH109" s="197">
        <v>317</v>
      </c>
      <c r="BI109" s="197">
        <f>BE109+BF109+BG109+BH109</f>
        <v>1240</v>
      </c>
      <c r="BK109" s="197">
        <v>328</v>
      </c>
      <c r="BL109" s="197">
        <v>334</v>
      </c>
      <c r="BM109" s="197">
        <v>342</v>
      </c>
      <c r="BN109" s="197">
        <f ca="1">BN104*3*BN106/1000</f>
        <v>349.39776724591889</v>
      </c>
      <c r="BO109" s="197">
        <f ca="1">BK109+BL109+BM109+BN109</f>
        <v>1353.3977672459189</v>
      </c>
      <c r="BQ109" s="197">
        <f>BQ104*3*BQ106/1000</f>
        <v>360.18324305793624</v>
      </c>
      <c r="BR109" s="197">
        <f>BR104*3*BR106/1000</f>
        <v>366.11586803813344</v>
      </c>
      <c r="BS109" s="197">
        <f>BS104*3*BS106/1000</f>
        <v>371.26077703255356</v>
      </c>
      <c r="BT109" s="197">
        <f ca="1">BT104*3*BT106/1000</f>
        <v>378.95436112592466</v>
      </c>
      <c r="BU109" s="197">
        <f ca="1">BQ109+BR109+BS109+BT109</f>
        <v>1476.5142492545478</v>
      </c>
      <c r="BW109" s="197">
        <f>BW104*3*BW106/1000</f>
        <v>390.27895783339045</v>
      </c>
      <c r="BX109" s="197">
        <f>BX104*3*BX106/1000</f>
        <v>395.08287576705965</v>
      </c>
      <c r="BY109" s="197">
        <f>BY104*3*BY106/1000</f>
        <v>399.05529410273186</v>
      </c>
      <c r="BZ109" s="197">
        <f ca="1">BZ104*3*BZ106/1000</f>
        <v>405.23145471530648</v>
      </c>
      <c r="CA109" s="197">
        <f ca="1">BW109+BX109+BY109+BZ109</f>
        <v>1589.6485824184883</v>
      </c>
      <c r="CC109" s="197">
        <f>CC104*3*CC106/1000</f>
        <v>419.68531038738428</v>
      </c>
      <c r="CD109" s="197">
        <f>CD104*3*CD106/1000</f>
        <v>424.82325685935768</v>
      </c>
      <c r="CE109" s="197">
        <f>CE104*3*CE106/1000</f>
        <v>429.0675194040569</v>
      </c>
      <c r="CF109" s="197">
        <f ca="1">CF104*3*CF106/1000</f>
        <v>434.78361834606989</v>
      </c>
      <c r="CG109" s="197">
        <f ca="1">CC109+CD109+CE109+CF109</f>
        <v>1708.3597049968687</v>
      </c>
      <c r="CI109" s="197">
        <f>CI104*3*CI106/1000</f>
        <v>449.06893215906751</v>
      </c>
      <c r="CJ109" s="197">
        <f>CJ104*3*CJ106/1000</f>
        <v>453.97708966623873</v>
      </c>
      <c r="CK109" s="197">
        <f>CK104*3*CK106/1000</f>
        <v>457.93884265446019</v>
      </c>
      <c r="CL109" s="197">
        <f ca="1">CL104*3*CL106/1000</f>
        <v>463.47889395240657</v>
      </c>
      <c r="CM109" s="197">
        <f ca="1">CI109+CJ109+CK109+CL109</f>
        <v>1824.4637584321731</v>
      </c>
      <c r="CO109" s="197">
        <f>CO104*3*CO106/1000</f>
        <v>479.34960303148102</v>
      </c>
      <c r="CP109" s="197">
        <f>CP104*3*CP106/1000</f>
        <v>484.04190116052308</v>
      </c>
      <c r="CQ109" s="197">
        <f>CQ104*3*CQ106/1000</f>
        <v>487.73311474312908</v>
      </c>
      <c r="CR109" s="197">
        <f ca="1">CR104*3*CR106/1000</f>
        <v>493.11221743134746</v>
      </c>
      <c r="CS109" s="197">
        <f ca="1">CO109+CP109+CQ109+CR109</f>
        <v>1944.2368363664807</v>
      </c>
      <c r="CU109" s="197">
        <f>CU104*3*CU106/1000</f>
        <v>510.7529462342921</v>
      </c>
      <c r="CV109" s="197">
        <f>CV104*3*CV106/1000</f>
        <v>515.24165537897295</v>
      </c>
      <c r="CW109" s="197">
        <f>CW104*3*CW106/1000</f>
        <v>518.67223393843403</v>
      </c>
      <c r="CX109" s="197">
        <f ca="1">CX104*3*CX106/1000</f>
        <v>523.9042381451693</v>
      </c>
      <c r="CY109" s="197">
        <f ca="1">CU109+CV109+CW109+CX109</f>
        <v>2068.5710736968686</v>
      </c>
      <c r="DA109" s="197">
        <f>DA104*3*DA106/1000</f>
        <v>542.15628943710317</v>
      </c>
      <c r="DB109" s="197">
        <f>DB104*3*DB106/1000</f>
        <v>546.44140959742288</v>
      </c>
      <c r="DC109" s="197">
        <f>DC104*3*DC106/1000</f>
        <v>549.61135313373893</v>
      </c>
      <c r="DD109" s="197">
        <f ca="1">DD104*3*DD106/1000</f>
        <v>554.6962588589912</v>
      </c>
      <c r="DE109" s="197">
        <f ca="1">DA109+DB109+DC109+DD109</f>
        <v>2192.9053110272562</v>
      </c>
      <c r="DG109" s="197">
        <f>DG104*3*DG106/1000</f>
        <v>573.55963263991441</v>
      </c>
      <c r="DH109" s="197">
        <f>DH104*3*DH106/1000</f>
        <v>577.64116381587291</v>
      </c>
      <c r="DI109" s="197">
        <f>DI104*3*DI106/1000</f>
        <v>580.55047232904394</v>
      </c>
      <c r="DJ109" s="197">
        <f ca="1">DJ104*3*DJ106/1000</f>
        <v>585.4882795728131</v>
      </c>
      <c r="DK109" s="197">
        <f ca="1">DG109+DH109+DI109+DJ109</f>
        <v>2317.2395483576447</v>
      </c>
    </row>
    <row r="110" spans="1:115" x14ac:dyDescent="0.2">
      <c r="B110" s="241" t="s">
        <v>74</v>
      </c>
      <c r="AA110" s="568" t="s">
        <v>35</v>
      </c>
      <c r="AB110" s="568" t="s">
        <v>35</v>
      </c>
      <c r="AC110" s="568" t="s">
        <v>35</v>
      </c>
      <c r="AD110" s="568" t="s">
        <v>35</v>
      </c>
      <c r="AE110" s="568" t="s">
        <v>35</v>
      </c>
      <c r="AG110" s="227">
        <f>AG109/AA109-1</f>
        <v>0.31596798263464931</v>
      </c>
      <c r="AH110" s="227">
        <f>AH109/AB109-1</f>
        <v>0.31629887727448702</v>
      </c>
      <c r="AI110" s="227">
        <f>AI109/AC109-1</f>
        <v>0.33048671060366974</v>
      </c>
      <c r="AJ110" s="227">
        <f>AJ109/AD109-1</f>
        <v>0.27439267224213482</v>
      </c>
      <c r="AK110" s="227">
        <f>AK109/AE109-1</f>
        <v>0.30829288879510441</v>
      </c>
      <c r="AM110" s="227">
        <f>AM109/AG109-1</f>
        <v>0.2010309278350515</v>
      </c>
      <c r="AN110" s="227">
        <f>AN109/AH109-1</f>
        <v>0.17156862745098045</v>
      </c>
      <c r="AO110" s="227">
        <f>AO109/AI109-1</f>
        <v>0.12093023255813962</v>
      </c>
      <c r="AP110" s="227">
        <f>AP109/AJ109-1</f>
        <v>8.9285714285714191E-2</v>
      </c>
      <c r="AQ110" s="227">
        <f>AQ109/AK109-1</f>
        <v>0.14336917562724016</v>
      </c>
      <c r="AS110" s="227">
        <f>AS109/AM109-1</f>
        <v>7.7253218884120178E-2</v>
      </c>
      <c r="AT110" s="227">
        <f>AT109/AN109-1</f>
        <v>8.3682008368200833E-2</v>
      </c>
      <c r="AU110" s="227">
        <f>AU109/AO109-1</f>
        <v>9.1286307053941806E-2</v>
      </c>
      <c r="AV110" s="227">
        <f>AV109/AP109-1</f>
        <v>0.10655737704918034</v>
      </c>
      <c r="AW110" s="227">
        <f>AW109/AQ109-1</f>
        <v>8.9864158829676022E-2</v>
      </c>
      <c r="AY110" s="227">
        <f>AY109/AS109-1</f>
        <v>0.10358565737051784</v>
      </c>
      <c r="AZ110" s="227">
        <f>AZ109/AT109-1</f>
        <v>0.10038610038610041</v>
      </c>
      <c r="BA110" s="227">
        <f>BA109/AU109-1</f>
        <v>0.10646387832699622</v>
      </c>
      <c r="BB110" s="227">
        <f>BB109/AV109-1</f>
        <v>9.6296296296296324E-2</v>
      </c>
      <c r="BC110" s="227">
        <f>BC109/AW109-1</f>
        <v>0.1016299137104506</v>
      </c>
      <c r="BE110" s="227">
        <f>BE109/AY109-1</f>
        <v>9.3862815884476536E-2</v>
      </c>
      <c r="BF110" s="227">
        <f>BF109/AZ109-1</f>
        <v>8.0701754385964941E-2</v>
      </c>
      <c r="BG110" s="227">
        <f>BG109/BA109-1</f>
        <v>7.2164948453608213E-2</v>
      </c>
      <c r="BH110" s="227">
        <f>BH109/BB109-1</f>
        <v>7.0945945945946054E-2</v>
      </c>
      <c r="BI110" s="227">
        <f>BI109/BC109-1</f>
        <v>7.9199303742384597E-2</v>
      </c>
      <c r="BK110" s="227">
        <f>BK109/BE109-1</f>
        <v>8.2508250825082508E-2</v>
      </c>
      <c r="BL110" s="227">
        <f>BL109/BF109-1</f>
        <v>8.4415584415584499E-2</v>
      </c>
      <c r="BM110" s="227">
        <f>BM109/BG109-1</f>
        <v>9.6153846153846256E-2</v>
      </c>
      <c r="BN110" s="227">
        <f ca="1">BN109/BH109-1</f>
        <v>0.10220115850447598</v>
      </c>
      <c r="BO110" s="227">
        <f ca="1">BO109/BI109-1</f>
        <v>9.1449812295095967E-2</v>
      </c>
      <c r="BQ110" s="227">
        <f>BQ109/BK109-1</f>
        <v>9.8119643469317896E-2</v>
      </c>
      <c r="BR110" s="227">
        <f>BR109/BL109-1</f>
        <v>9.6155293527345531E-2</v>
      </c>
      <c r="BS110" s="227">
        <f>BS109/BM109-1</f>
        <v>8.5557827580565959E-2</v>
      </c>
      <c r="BT110" s="227">
        <f ca="1">BT109/BN109-1</f>
        <v>8.4592967244701223E-2</v>
      </c>
      <c r="BU110" s="227">
        <f ca="1">BU109/BO109-1</f>
        <v>9.0968438834625465E-2</v>
      </c>
      <c r="BW110" s="227">
        <f>BW109/BQ109-1</f>
        <v>8.3556676651426631E-2</v>
      </c>
      <c r="BX110" s="227">
        <f>BX109/BR109-1</f>
        <v>7.9119782172099473E-2</v>
      </c>
      <c r="BY110" s="227">
        <f>BY109/BS109-1</f>
        <v>7.4865212782068813E-2</v>
      </c>
      <c r="BZ110" s="227">
        <f ca="1">BZ109/BT109-1</f>
        <v>6.9341050756901224E-2</v>
      </c>
      <c r="CA110" s="227">
        <f ca="1">CA109/BU109-1</f>
        <v>7.6622581340517915E-2</v>
      </c>
      <c r="CC110" s="227">
        <f>CC109/BW109-1</f>
        <v>7.5347010039284124E-2</v>
      </c>
      <c r="CD110" s="227">
        <f>CD109/BX109-1</f>
        <v>7.527631015279157E-2</v>
      </c>
      <c r="CE110" s="227">
        <f>CE109/BY109-1</f>
        <v>7.5208187298471785E-2</v>
      </c>
      <c r="CF110" s="227">
        <f ca="1">CF109/BZ109-1</f>
        <v>7.2926628194558862E-2</v>
      </c>
      <c r="CG110" s="227">
        <f ca="1">CG109/CA109-1</f>
        <v>7.4677588425092978E-2</v>
      </c>
      <c r="CI110" s="227">
        <f>CI109/CC109-1</f>
        <v>7.0013462574044061E-2</v>
      </c>
      <c r="CJ110" s="227">
        <f>CJ109/CD109-1</f>
        <v>6.8625792811839226E-2</v>
      </c>
      <c r="CK110" s="227">
        <f>CK109/CE109-1</f>
        <v>6.7288531395952367E-2</v>
      </c>
      <c r="CL110" s="227">
        <f ca="1">CL109/CF109-1</f>
        <v>6.5998980632008042E-2</v>
      </c>
      <c r="CM110" s="227">
        <f ca="1">CM109/CG109-1</f>
        <v>6.7962299213512045E-2</v>
      </c>
      <c r="CO110" s="227">
        <f>CO109/CI109-1</f>
        <v>6.7429894842263582E-2</v>
      </c>
      <c r="CP110" s="227">
        <f>CP109/CJ109-1</f>
        <v>6.6225393700787505E-2</v>
      </c>
      <c r="CQ110" s="227">
        <f>CQ109/CK109-1</f>
        <v>6.5061683599419551E-2</v>
      </c>
      <c r="CR110" s="227">
        <f ca="1">CR109/CL109-1</f>
        <v>6.3936726926736576E-2</v>
      </c>
      <c r="CS110" s="227">
        <f ca="1">CS109/CM109-1</f>
        <v>6.5648373326545384E-2</v>
      </c>
      <c r="CU110" s="227">
        <f>CU109/CO109-1</f>
        <v>6.5512400561534845E-2</v>
      </c>
      <c r="CV110" s="227">
        <f>CV109/CP109-1</f>
        <v>6.4456721915285398E-2</v>
      </c>
      <c r="CW110" s="227">
        <f>CW109/CQ109-1</f>
        <v>6.3434526506569888E-2</v>
      </c>
      <c r="CX110" s="227">
        <f ca="1">CX109/CR109-1</f>
        <v>6.2444246208742227E-2</v>
      </c>
      <c r="CY110" s="227">
        <f ca="1">CY109/CS109-1</f>
        <v>6.3950150004745243E-2</v>
      </c>
      <c r="DA110" s="227">
        <f>DA109/CU109-1</f>
        <v>6.1484409310496257E-2</v>
      </c>
      <c r="DB110" s="227">
        <f>DB109/CV109-1</f>
        <v>6.0553633217993008E-2</v>
      </c>
      <c r="DC110" s="227">
        <f>DC109/CW109-1</f>
        <v>5.9650617809970052E-2</v>
      </c>
      <c r="DD110" s="227">
        <f ca="1">DD109/CX109-1</f>
        <v>5.8774139378673373E-2</v>
      </c>
      <c r="DE110" s="227">
        <f ca="1">DE109/CY109-1</f>
        <v>6.0106340512720458E-2</v>
      </c>
      <c r="DG110" s="227">
        <f>DG109/DA109-1</f>
        <v>5.7923045097228121E-2</v>
      </c>
      <c r="DH110" s="227">
        <f>DH109/DB109-1</f>
        <v>5.7096247960848556E-2</v>
      </c>
      <c r="DI110" s="227">
        <f>DI109/DC109-1</f>
        <v>5.6292722155207198E-2</v>
      </c>
      <c r="DJ110" s="227">
        <f ca="1">DJ109/DD109-1</f>
        <v>5.5511498810467907E-2</v>
      </c>
      <c r="DK110" s="227">
        <f ca="1">DK109/DE109-1</f>
        <v>5.6698406768938225E-2</v>
      </c>
    </row>
    <row r="111" spans="1:115" x14ac:dyDescent="0.2">
      <c r="AA111" s="103"/>
      <c r="AB111" s="103"/>
      <c r="AC111" s="103"/>
      <c r="AD111" s="103"/>
      <c r="AE111" s="103"/>
      <c r="AG111" s="103"/>
      <c r="AH111" s="103"/>
      <c r="AI111" s="103"/>
      <c r="AJ111" s="103"/>
      <c r="AK111" s="103"/>
      <c r="AM111" s="103"/>
      <c r="AN111" s="103"/>
      <c r="AO111" s="103"/>
      <c r="AP111" s="103"/>
      <c r="AQ111" s="103"/>
      <c r="AS111" s="103"/>
      <c r="AT111" s="103"/>
      <c r="AU111" s="103"/>
      <c r="AV111" s="103"/>
      <c r="AW111" s="103"/>
      <c r="AY111" s="103"/>
      <c r="AZ111" s="103"/>
      <c r="BA111" s="103"/>
      <c r="BB111" s="103"/>
      <c r="BC111" s="103"/>
      <c r="BE111" s="103"/>
      <c r="BF111" s="103"/>
      <c r="BG111" s="103"/>
      <c r="BH111" s="103"/>
      <c r="BI111" s="103"/>
      <c r="BK111" s="103"/>
      <c r="BL111" s="103"/>
      <c r="BM111" s="103"/>
      <c r="BN111" s="103"/>
      <c r="BO111" s="103"/>
      <c r="BQ111" s="103"/>
      <c r="BR111" s="103"/>
      <c r="BS111" s="103"/>
      <c r="BT111" s="103"/>
      <c r="BU111" s="103"/>
      <c r="BW111" s="103"/>
      <c r="BX111" s="103"/>
      <c r="BY111" s="103"/>
      <c r="BZ111" s="103"/>
      <c r="CA111" s="103"/>
      <c r="CC111" s="103"/>
      <c r="CD111" s="103"/>
      <c r="CE111" s="103"/>
      <c r="CF111" s="103"/>
      <c r="CG111" s="103"/>
      <c r="CI111" s="103"/>
      <c r="CJ111" s="103"/>
      <c r="CK111" s="103"/>
      <c r="CL111" s="103"/>
      <c r="CM111" s="103"/>
      <c r="CO111" s="103"/>
      <c r="CP111" s="103"/>
      <c r="CQ111" s="103"/>
      <c r="CR111" s="103"/>
      <c r="CS111" s="103"/>
      <c r="CU111" s="103"/>
      <c r="CV111" s="103"/>
      <c r="CW111" s="103"/>
      <c r="CX111" s="103"/>
      <c r="CY111" s="103"/>
      <c r="DA111" s="103"/>
      <c r="DB111" s="103"/>
      <c r="DC111" s="103"/>
      <c r="DD111" s="103"/>
      <c r="DE111" s="103"/>
      <c r="DG111" s="103"/>
      <c r="DH111" s="103"/>
      <c r="DI111" s="103"/>
      <c r="DJ111" s="103"/>
      <c r="DK111" s="103"/>
    </row>
    <row r="112" spans="1:115" x14ac:dyDescent="0.2">
      <c r="A112">
        <v>2</v>
      </c>
      <c r="B112" s="226" t="s">
        <v>373</v>
      </c>
      <c r="O112" s="197">
        <v>1445</v>
      </c>
      <c r="P112" s="197">
        <v>1482</v>
      </c>
      <c r="Q112" s="197">
        <v>1478</v>
      </c>
      <c r="R112" s="197">
        <v>1532</v>
      </c>
      <c r="S112" s="197">
        <f>O112+P112+Q112+R112</f>
        <v>5937</v>
      </c>
      <c r="T112" s="197"/>
      <c r="U112" s="197">
        <v>1482</v>
      </c>
      <c r="V112" s="197">
        <v>1503</v>
      </c>
      <c r="W112" s="197">
        <v>1504</v>
      </c>
      <c r="X112" s="197">
        <v>1541</v>
      </c>
      <c r="Y112" s="197">
        <f>U112+V112+W112+X112</f>
        <v>6030</v>
      </c>
      <c r="AA112" s="197">
        <f>1151+149</f>
        <v>1300</v>
      </c>
      <c r="AB112" s="197">
        <f>1149+156</f>
        <v>1305</v>
      </c>
      <c r="AC112" s="197">
        <f>1141+161</f>
        <v>1302</v>
      </c>
      <c r="AD112" s="197">
        <f>1122+176</f>
        <v>1298</v>
      </c>
      <c r="AE112" s="197">
        <f>AA112+AB112+AC112+AD112</f>
        <v>5205</v>
      </c>
      <c r="AG112" s="197">
        <f>1113+194</f>
        <v>1307</v>
      </c>
      <c r="AH112" s="197">
        <f>1105+204</f>
        <v>1309</v>
      </c>
      <c r="AI112" s="197">
        <f>1095+215</f>
        <v>1310</v>
      </c>
      <c r="AJ112" s="197">
        <f>1087+224</f>
        <v>1311</v>
      </c>
      <c r="AK112" s="197">
        <f>AG112+AH112+AI112+AJ112</f>
        <v>5237</v>
      </c>
      <c r="AM112" s="197">
        <f>1078+233+18</f>
        <v>1329</v>
      </c>
      <c r="AN112" s="197">
        <f>1075+239+21</f>
        <v>1335</v>
      </c>
      <c r="AO112" s="197">
        <f>1065+241+20</f>
        <v>1326</v>
      </c>
      <c r="AP112" s="197">
        <f>1057+244+20</f>
        <v>1321</v>
      </c>
      <c r="AQ112" s="197">
        <f>AM112+AN112+AO112+AP112</f>
        <v>5311</v>
      </c>
      <c r="AS112" s="197">
        <f>1022+251+20</f>
        <v>1293</v>
      </c>
      <c r="AT112" s="197">
        <f>1018+259+20</f>
        <v>1297</v>
      </c>
      <c r="AU112" s="197">
        <f>1010+263+20</f>
        <v>1293</v>
      </c>
      <c r="AV112" s="197">
        <f>1003+270+19</f>
        <v>1292</v>
      </c>
      <c r="AW112" s="197">
        <f>AS112+AT112+AU112+AV112</f>
        <v>5175</v>
      </c>
      <c r="AY112" s="197">
        <f>996+277+19</f>
        <v>1292</v>
      </c>
      <c r="AZ112" s="197">
        <f>995+285+17</f>
        <v>1297</v>
      </c>
      <c r="BA112" s="197">
        <f>994+291+18</f>
        <v>1303</v>
      </c>
      <c r="BB112" s="197">
        <f>993+296+17</f>
        <v>1306</v>
      </c>
      <c r="BC112" s="197">
        <f>AY112+AZ112+BA112+BB112</f>
        <v>5198</v>
      </c>
      <c r="BE112" s="197">
        <f>993+303+17</f>
        <v>1313</v>
      </c>
      <c r="BF112" s="197">
        <f>995+308+17</f>
        <v>1320</v>
      </c>
      <c r="BG112" s="197">
        <f>994+312+16</f>
        <v>1322</v>
      </c>
      <c r="BH112" s="197">
        <f>993+317+16</f>
        <v>1326</v>
      </c>
      <c r="BI112" s="197">
        <f>BE112+BF112+BG112+BH112</f>
        <v>5281</v>
      </c>
      <c r="BK112" s="197">
        <f>986+328+16</f>
        <v>1330</v>
      </c>
      <c r="BL112" s="197">
        <f>979+334+15</f>
        <v>1328</v>
      </c>
      <c r="BM112" s="197">
        <f>972+342+15</f>
        <v>1329</v>
      </c>
      <c r="BN112" s="197">
        <f>972+346+14</f>
        <v>1332</v>
      </c>
      <c r="BO112" s="197">
        <f>BK112+BL112+BM112+BN112</f>
        <v>5319</v>
      </c>
      <c r="BQ112" s="197">
        <f>BQ101+BQ109</f>
        <v>1333.4643476081271</v>
      </c>
      <c r="BR112" s="197">
        <f>BR101+BR109</f>
        <v>1337.4178031749304</v>
      </c>
      <c r="BS112" s="197">
        <f>BS101+BS109</f>
        <v>1346.4158330769299</v>
      </c>
      <c r="BT112" s="197">
        <f ca="1">BT101+BT109</f>
        <v>1359.3459815755655</v>
      </c>
      <c r="BU112" s="197">
        <f ca="1">BQ112+BR112+BS112+BT112</f>
        <v>5376.6439654355527</v>
      </c>
      <c r="BW112" s="197">
        <f>BW101+BW109</f>
        <v>1385.4187517433127</v>
      </c>
      <c r="BX112" s="197">
        <f>BX101+BX109</f>
        <v>1392.6868925419597</v>
      </c>
      <c r="BY112" s="197">
        <f>BY101+BY109</f>
        <v>1402.44869153435</v>
      </c>
      <c r="BZ112" s="197">
        <f ca="1">BZ101+BZ109</f>
        <v>1415.651573408948</v>
      </c>
      <c r="CA112" s="197">
        <f ca="1">BW112+BX112+BY112+BZ112</f>
        <v>5596.2059092285708</v>
      </c>
      <c r="CC112" s="197">
        <f>CC101+CC109</f>
        <v>1447.1644841456337</v>
      </c>
      <c r="CD112" s="197">
        <f>CD101+CD109</f>
        <v>1456.926050397803</v>
      </c>
      <c r="CE112" s="197">
        <f>CE101+CE109</f>
        <v>1469.2567803699233</v>
      </c>
      <c r="CF112" s="197">
        <f ca="1">CF101+CF109</f>
        <v>1484.3533797927641</v>
      </c>
      <c r="CG112" s="197">
        <f ca="1">CC112+CD112+CE112+CF112</f>
        <v>5857.7006947061236</v>
      </c>
      <c r="CI112" s="197">
        <f>CI101+CI109</f>
        <v>1518.492935504413</v>
      </c>
      <c r="CJ112" s="197">
        <f>CJ101+CJ109</f>
        <v>1530.5706651728833</v>
      </c>
      <c r="CK112" s="197">
        <f>CK101+CK109</f>
        <v>1545.3474032350014</v>
      </c>
      <c r="CL112" s="197">
        <f ca="1">CL101+CL109</f>
        <v>1562.8862469662909</v>
      </c>
      <c r="CM112" s="197">
        <f ca="1">CI112+CJ112+CK112+CL112</f>
        <v>6157.2972508785888</v>
      </c>
      <c r="CO112" s="197">
        <f>CO101+CO109</f>
        <v>1599.0724380926022</v>
      </c>
      <c r="CP112" s="197">
        <f>CP101+CP109</f>
        <v>1611.003640885571</v>
      </c>
      <c r="CQ112" s="197">
        <f>CQ101+CQ109</f>
        <v>1625.750520992111</v>
      </c>
      <c r="CR112" s="197">
        <f ca="1">CR101+CR109</f>
        <v>1643.2090564883829</v>
      </c>
      <c r="CS112" s="197">
        <f ca="1">CO112+CP112+CQ112+CR112</f>
        <v>6479.0356564586673</v>
      </c>
      <c r="CU112" s="197">
        <f>CU101+CU109</f>
        <v>1681.6195713134555</v>
      </c>
      <c r="CV112" s="197">
        <f>CV101+CV109</f>
        <v>1693.410858370934</v>
      </c>
      <c r="CW112" s="197">
        <f>CW101+CW109</f>
        <v>1708.3384265553659</v>
      </c>
      <c r="CX112" s="197">
        <f ca="1">CX101+CX109</f>
        <v>1725.7178318904387</v>
      </c>
      <c r="CY112" s="197">
        <f ca="1">CU112+CV112+CW112+CX112</f>
        <v>6809.0866881301945</v>
      </c>
      <c r="DA112" s="197">
        <f>DA101+DA109</f>
        <v>1765.1885774691698</v>
      </c>
      <c r="DB112" s="197">
        <f>DB101+DB109</f>
        <v>1777.0427432303995</v>
      </c>
      <c r="DC112" s="197">
        <f>DC101+DC109</f>
        <v>1792.1622756301483</v>
      </c>
      <c r="DD112" s="197">
        <f ca="1">DD101+DD109</f>
        <v>1809.6613016685656</v>
      </c>
      <c r="DE112" s="197">
        <f ca="1">DA112+DB112+DC112+DD112</f>
        <v>7144.0548979982832</v>
      </c>
      <c r="DG112" s="197">
        <f>DG101+DG109</f>
        <v>1850.4056738266445</v>
      </c>
      <c r="DH112" s="197">
        <f>DH101+DH109</f>
        <v>1862.3309434947118</v>
      </c>
      <c r="DI112" s="197">
        <f>DI101+DI109</f>
        <v>1877.6565434018078</v>
      </c>
      <c r="DJ112" s="197">
        <f ca="1">DJ101+DJ109</f>
        <v>1895.4948193353221</v>
      </c>
      <c r="DK112" s="197">
        <f ca="1">DG112+DH112+DI112+DJ112</f>
        <v>7485.8879800584864</v>
      </c>
    </row>
    <row r="113" spans="1:115" x14ac:dyDescent="0.2">
      <c r="B113" s="241" t="s">
        <v>74</v>
      </c>
      <c r="O113" s="103" t="s">
        <v>35</v>
      </c>
      <c r="P113" s="103" t="s">
        <v>35</v>
      </c>
      <c r="Q113" s="103" t="s">
        <v>35</v>
      </c>
      <c r="R113" s="103" t="s">
        <v>35</v>
      </c>
      <c r="S113" s="103" t="s">
        <v>35</v>
      </c>
      <c r="U113" s="227">
        <f>U112/O112-1</f>
        <v>2.5605536332179879E-2</v>
      </c>
      <c r="V113" s="227">
        <f>V112/P112-1</f>
        <v>1.4170040485830038E-2</v>
      </c>
      <c r="W113" s="227">
        <f>W112/Q112-1</f>
        <v>1.7591339648173276E-2</v>
      </c>
      <c r="X113" s="227">
        <f>X112/R112-1</f>
        <v>5.8746736292427659E-3</v>
      </c>
      <c r="Y113" s="227">
        <f>Y112/S112-1</f>
        <v>1.5664477008590305E-2</v>
      </c>
      <c r="AA113" s="227">
        <f>AA112/U112-1</f>
        <v>-0.1228070175438597</v>
      </c>
      <c r="AB113" s="227">
        <f>AB112/V112-1</f>
        <v>-0.13173652694610782</v>
      </c>
      <c r="AC113" s="227">
        <f>AC112/W112-1</f>
        <v>-0.13430851063829785</v>
      </c>
      <c r="AD113" s="227">
        <f>AD112/X112-1</f>
        <v>-0.15768981181051267</v>
      </c>
      <c r="AE113" s="227">
        <f>AE112/Y112-1</f>
        <v>-0.13681592039800994</v>
      </c>
      <c r="AG113" s="227">
        <f>AG112/AA112-1</f>
        <v>5.3846153846153211E-3</v>
      </c>
      <c r="AH113" s="227">
        <f>AH112/AB112-1</f>
        <v>3.0651340996168397E-3</v>
      </c>
      <c r="AI113" s="227">
        <f>AI112/AC112-1</f>
        <v>6.1443932411673341E-3</v>
      </c>
      <c r="AJ113" s="227">
        <f>AJ112/AD112-1</f>
        <v>1.001540832049308E-2</v>
      </c>
      <c r="AK113" s="227">
        <f>AK112/AE112-1</f>
        <v>6.147934678194078E-3</v>
      </c>
      <c r="AM113" s="227">
        <f>AM112/AG112-1</f>
        <v>1.6832440703901996E-2</v>
      </c>
      <c r="AN113" s="227">
        <f>AN112/AH112-1</f>
        <v>1.9862490450725634E-2</v>
      </c>
      <c r="AO113" s="227">
        <f>AO112/AI112-1</f>
        <v>1.2213740458015376E-2</v>
      </c>
      <c r="AP113" s="227">
        <f>AP112/AJ112-1</f>
        <v>7.6277650648359785E-3</v>
      </c>
      <c r="AQ113" s="227">
        <f>AQ112/AK112-1</f>
        <v>1.4130227229329773E-2</v>
      </c>
      <c r="AS113" s="227">
        <f>AS112/AM112-1</f>
        <v>-2.7088036117381531E-2</v>
      </c>
      <c r="AT113" s="227">
        <f>AT112/AN112-1</f>
        <v>-2.8464419475655478E-2</v>
      </c>
      <c r="AU113" s="227">
        <f>AU112/AO112-1</f>
        <v>-2.4886877828054321E-2</v>
      </c>
      <c r="AV113" s="227">
        <f>AV112/AP112-1</f>
        <v>-2.195306585919754E-2</v>
      </c>
      <c r="AW113" s="227">
        <f>AW112/AQ112-1</f>
        <v>-2.5607230276784021E-2</v>
      </c>
      <c r="AY113" s="227">
        <f>AY112/AS112-1</f>
        <v>-7.7339520494967839E-4</v>
      </c>
      <c r="AZ113" s="227">
        <f>AZ112/AT112-1</f>
        <v>0</v>
      </c>
      <c r="BA113" s="227">
        <f>BA112/AU112-1</f>
        <v>7.733952049497228E-3</v>
      </c>
      <c r="BB113" s="227">
        <f>BB112/AV112-1</f>
        <v>1.0835913312693402E-2</v>
      </c>
      <c r="BC113" s="227">
        <f>BC112/AW112-1</f>
        <v>4.4444444444444731E-3</v>
      </c>
      <c r="BE113" s="227">
        <f>BE112/AY112-1</f>
        <v>1.6253869969040213E-2</v>
      </c>
      <c r="BF113" s="227">
        <f>BF112/AZ112-1</f>
        <v>1.7733230531996824E-2</v>
      </c>
      <c r="BG113" s="227">
        <f>BG112/BA112-1</f>
        <v>1.4581734458940954E-2</v>
      </c>
      <c r="BH113" s="227">
        <f>BH112/BB112-1</f>
        <v>1.5313935681470214E-2</v>
      </c>
      <c r="BI113" s="227">
        <f>BI112/BC112-1</f>
        <v>1.5967679876875751E-2</v>
      </c>
      <c r="BK113" s="227">
        <f>BK112/BE112-1</f>
        <v>1.2947448591013044E-2</v>
      </c>
      <c r="BL113" s="227">
        <f>BL112/BF112-1</f>
        <v>6.0606060606060996E-3</v>
      </c>
      <c r="BM113" s="227">
        <f>BM112/BG112-1</f>
        <v>5.2950075642965722E-3</v>
      </c>
      <c r="BN113" s="227">
        <f>BN112/BH112-1</f>
        <v>4.5248868778280382E-3</v>
      </c>
      <c r="BO113" s="227">
        <f>BO112/BI112-1</f>
        <v>7.1956068926339878E-3</v>
      </c>
      <c r="BQ113" s="227">
        <f>BQ112/BK112-1</f>
        <v>2.6047726376896563E-3</v>
      </c>
      <c r="BR113" s="227">
        <f>BR112/BL112-1</f>
        <v>7.0917192582307109E-3</v>
      </c>
      <c r="BS113" s="227">
        <f>BS112/BM112-1</f>
        <v>1.3104464316726849E-2</v>
      </c>
      <c r="BT113" s="227">
        <f ca="1">BT112/BN112-1</f>
        <v>2.053001619787187E-2</v>
      </c>
      <c r="BU113" s="227">
        <f ca="1">BU112/BO112-1</f>
        <v>1.083736894821441E-2</v>
      </c>
      <c r="BW113" s="227">
        <f>BW112/BQ112-1</f>
        <v>3.8961974670247201E-2</v>
      </c>
      <c r="BX113" s="227">
        <f>BX112/BR112-1</f>
        <v>4.1325223304059966E-2</v>
      </c>
      <c r="BY113" s="227">
        <f>BY112/BS112-1</f>
        <v>4.1616309821141728E-2</v>
      </c>
      <c r="BZ113" s="227">
        <f ca="1">BZ112/BT112-1</f>
        <v>4.1421089697945002E-2</v>
      </c>
      <c r="CA113" s="227">
        <f ca="1">CA112/BU112-1</f>
        <v>4.0836243799013072E-2</v>
      </c>
      <c r="CC113" s="227">
        <f>CC112/BW112-1</f>
        <v>4.456828112411837E-2</v>
      </c>
      <c r="CD113" s="227">
        <f>CD112/BX112-1</f>
        <v>4.6126059058825941E-2</v>
      </c>
      <c r="CE113" s="227">
        <f>CE112/BY112-1</f>
        <v>4.7636743674723592E-2</v>
      </c>
      <c r="CF113" s="227">
        <f ca="1">CF112/BZ112-1</f>
        <v>4.8530166373057071E-2</v>
      </c>
      <c r="CG113" s="227">
        <f ca="1">CG112/CA112-1</f>
        <v>4.6727155812177568E-2</v>
      </c>
      <c r="CI113" s="227">
        <f>CI112/CC112-1</f>
        <v>4.9288420314494985E-2</v>
      </c>
      <c r="CJ113" s="227">
        <f>CJ112/CD112-1</f>
        <v>5.0547942879442864E-2</v>
      </c>
      <c r="CK113" s="227">
        <f>CK112/CE112-1</f>
        <v>5.1788512315675828E-2</v>
      </c>
      <c r="CL113" s="227">
        <f ca="1">CL112/CF112-1</f>
        <v>5.2907123224586128E-2</v>
      </c>
      <c r="CM113" s="227">
        <f ca="1">CM112/CG112-1</f>
        <v>5.1145760390800543E-2</v>
      </c>
      <c r="CO113" s="227">
        <f>CO112/CI112-1</f>
        <v>5.3065444497061298E-2</v>
      </c>
      <c r="CP113" s="227">
        <f>CP112/CJ112-1</f>
        <v>5.2550971701527116E-2</v>
      </c>
      <c r="CQ113" s="227">
        <f>CQ112/CK112-1</f>
        <v>5.2029153825732255E-2</v>
      </c>
      <c r="CR113" s="227">
        <f ca="1">CR112/CL112-1</f>
        <v>5.1393893623420173E-2</v>
      </c>
      <c r="CS113" s="227">
        <f ca="1">CS112/CM112-1</f>
        <v>5.2253187148658453E-2</v>
      </c>
      <c r="CU113" s="227">
        <f>CU112/CO112-1</f>
        <v>5.162188482175134E-2</v>
      </c>
      <c r="CV113" s="227">
        <f>CV112/CP112-1</f>
        <v>5.1152719580486838E-2</v>
      </c>
      <c r="CW113" s="227">
        <f>CW112/CQ112-1</f>
        <v>5.0799864122359928E-2</v>
      </c>
      <c r="CX113" s="227">
        <f ca="1">CX112/CR112-1</f>
        <v>5.0211977031322519E-2</v>
      </c>
      <c r="CY113" s="227">
        <f ca="1">CY112/CS112-1</f>
        <v>5.094138220130251E-2</v>
      </c>
      <c r="DA113" s="227">
        <f>DA112/CU112-1</f>
        <v>4.9695548018890756E-2</v>
      </c>
      <c r="DB113" s="227">
        <f>DB112/CV112-1</f>
        <v>4.9386647337267942E-2</v>
      </c>
      <c r="DC113" s="227">
        <f>DC112/CW112-1</f>
        <v>4.9067472680926594E-2</v>
      </c>
      <c r="DD113" s="227">
        <f ca="1">DD112/CX112-1</f>
        <v>4.86426391539172E-2</v>
      </c>
      <c r="DE113" s="227">
        <f ca="1">DE112/CY112-1</f>
        <v>4.9194293627075725E-2</v>
      </c>
      <c r="DG113" s="227">
        <f>DG112/DA112-1</f>
        <v>4.827648300311016E-2</v>
      </c>
      <c r="DH113" s="227">
        <f>DH112/DB112-1</f>
        <v>4.7994456289369269E-2</v>
      </c>
      <c r="DI113" s="227">
        <f>DI112/DC112-1</f>
        <v>4.7704534870648629E-2</v>
      </c>
      <c r="DJ113" s="227">
        <f ca="1">DJ112/DD112-1</f>
        <v>4.7430708490928897E-2</v>
      </c>
      <c r="DK113" s="227">
        <f ca="1">DK112/DE112-1</f>
        <v>4.7848607960163214E-2</v>
      </c>
    </row>
    <row r="115" spans="1:115" x14ac:dyDescent="0.2">
      <c r="A115" s="278"/>
      <c r="B115" s="278"/>
      <c r="C115" s="279"/>
      <c r="D115" s="279"/>
      <c r="E115" s="279"/>
      <c r="F115" s="279"/>
      <c r="G115" s="279"/>
      <c r="H115" s="279"/>
      <c r="I115" s="279"/>
      <c r="J115" s="279"/>
      <c r="K115" s="279"/>
      <c r="L115" s="279"/>
      <c r="M115" s="279"/>
      <c r="N115" s="279"/>
      <c r="O115" s="279"/>
      <c r="P115" s="279"/>
      <c r="Q115" s="279"/>
      <c r="R115" s="279"/>
      <c r="S115" s="279"/>
      <c r="T115" s="279"/>
      <c r="U115" s="279"/>
      <c r="V115" s="279"/>
      <c r="W115" s="279"/>
      <c r="X115" s="279"/>
      <c r="Y115" s="279"/>
      <c r="Z115" s="278"/>
      <c r="AA115" s="278"/>
      <c r="AB115" s="278"/>
      <c r="AC115" s="278"/>
      <c r="AD115" s="278"/>
      <c r="AE115" s="278"/>
      <c r="AF115" s="278"/>
      <c r="AG115" s="278"/>
      <c r="AH115" s="278"/>
      <c r="AI115" s="278"/>
      <c r="AJ115" s="278"/>
      <c r="AK115" s="278"/>
      <c r="AL115" s="278"/>
      <c r="AM115" s="278"/>
      <c r="AN115" s="278"/>
      <c r="AO115" s="278"/>
      <c r="AP115" s="278"/>
      <c r="AQ115" s="278"/>
      <c r="AR115" s="278"/>
      <c r="AS115" s="278"/>
      <c r="AT115" s="278"/>
      <c r="AU115" s="278"/>
      <c r="AV115" s="278"/>
      <c r="AW115" s="278"/>
      <c r="AX115" s="278"/>
      <c r="AY115" s="278"/>
      <c r="AZ115" s="278"/>
      <c r="BA115" s="278"/>
      <c r="BB115" s="278"/>
      <c r="BC115" s="278"/>
      <c r="BD115" s="278"/>
      <c r="BE115" s="278"/>
      <c r="BF115" s="278"/>
      <c r="BG115" s="278"/>
      <c r="BH115" s="278"/>
      <c r="BI115" s="278"/>
      <c r="BJ115" s="278"/>
      <c r="BK115" s="278"/>
      <c r="BL115" s="278"/>
      <c r="BM115" s="278"/>
      <c r="BN115" s="278"/>
      <c r="BO115" s="278"/>
      <c r="BP115" s="278"/>
      <c r="BQ115" s="278"/>
      <c r="BR115" s="278"/>
      <c r="BS115" s="278"/>
      <c r="BT115" s="278"/>
      <c r="BU115" s="278"/>
      <c r="BV115" s="278"/>
      <c r="BW115" s="278"/>
      <c r="BX115" s="278"/>
      <c r="BY115" s="278"/>
      <c r="BZ115" s="278"/>
      <c r="CA115" s="278"/>
      <c r="CB115" s="278"/>
      <c r="CC115" s="278"/>
      <c r="CD115" s="278"/>
      <c r="CE115" s="278"/>
      <c r="CF115" s="278"/>
      <c r="CG115" s="278"/>
      <c r="CH115" s="278"/>
      <c r="CI115" s="278"/>
      <c r="CJ115" s="278"/>
      <c r="CK115" s="278"/>
      <c r="CL115" s="278"/>
      <c r="CM115" s="278"/>
      <c r="CN115" s="278"/>
      <c r="CO115" s="278"/>
      <c r="CP115" s="278"/>
      <c r="CQ115" s="278"/>
      <c r="CR115" s="278"/>
      <c r="CS115" s="278"/>
      <c r="CT115" s="278"/>
      <c r="CU115" s="278"/>
      <c r="CV115" s="278"/>
      <c r="CW115" s="278"/>
      <c r="CX115" s="278"/>
      <c r="CY115" s="278"/>
      <c r="CZ115" s="278"/>
      <c r="DA115" s="278"/>
      <c r="DB115" s="278"/>
      <c r="DC115" s="278"/>
      <c r="DD115" s="278"/>
      <c r="DE115" s="278"/>
      <c r="DF115" s="278"/>
      <c r="DG115" s="278"/>
      <c r="DH115" s="278"/>
      <c r="DI115" s="278"/>
      <c r="DJ115" s="278"/>
      <c r="DK115" s="278"/>
    </row>
    <row r="117" spans="1:115" x14ac:dyDescent="0.2">
      <c r="B117" t="s">
        <v>235</v>
      </c>
      <c r="O117" s="114">
        <f>O52-O65/2</f>
        <v>10722</v>
      </c>
      <c r="P117" s="114">
        <f>P52-P65/2</f>
        <v>10825</v>
      </c>
      <c r="Q117" s="114">
        <f>Q52-Q65/2</f>
        <v>10826</v>
      </c>
      <c r="R117" s="114">
        <f>R52-R65/2</f>
        <v>10923.5</v>
      </c>
      <c r="S117" s="114">
        <f>(O117+P117+Q117+R117)/4</f>
        <v>10824.125</v>
      </c>
      <c r="U117" s="114">
        <f>U52-U65/2</f>
        <v>11070</v>
      </c>
      <c r="V117" s="114">
        <f>V52-V65/2</f>
        <v>11073</v>
      </c>
      <c r="W117" s="114">
        <f>W52-W65/2</f>
        <v>11035</v>
      </c>
      <c r="X117" s="114">
        <f>X52-X65/2</f>
        <v>11117.5</v>
      </c>
      <c r="Y117" s="114">
        <f>(U117+V117+W117+X117)/4</f>
        <v>11073.875</v>
      </c>
      <c r="AA117" s="114">
        <f>AA52-AA65/2</f>
        <v>11227.5</v>
      </c>
      <c r="AB117" s="114">
        <f>AB52-AB65/2</f>
        <v>11260</v>
      </c>
      <c r="AC117" s="114">
        <f>AC52-AC65/2</f>
        <v>11262.5</v>
      </c>
      <c r="AD117" s="114">
        <f>AD52-AD65/2</f>
        <v>11280</v>
      </c>
      <c r="AE117" s="114">
        <f>(AA117+AB117+AC117+AD117)/4</f>
        <v>11257.5</v>
      </c>
      <c r="AG117" s="114">
        <f>AG52-AG65/2</f>
        <v>11287.5</v>
      </c>
      <c r="AH117" s="114">
        <f>AH52-AH65/2</f>
        <v>11290</v>
      </c>
      <c r="AI117" s="114">
        <f>AI52-AI65/2</f>
        <v>11215</v>
      </c>
      <c r="AJ117" s="114">
        <f>AJ52-AJ65/2</f>
        <v>11115</v>
      </c>
      <c r="AK117" s="114">
        <f>(AG117+AH117+AI117+AJ117)/4</f>
        <v>11226.875</v>
      </c>
      <c r="AM117" s="114">
        <f>AM52-AM65/2</f>
        <v>11127.5</v>
      </c>
      <c r="AN117" s="114">
        <f>AN52-AN65/2</f>
        <v>11177.5</v>
      </c>
      <c r="AO117" s="114">
        <f>AO52-AO65/2</f>
        <v>11180</v>
      </c>
      <c r="AP117" s="114">
        <f>AP52-AP65/2</f>
        <v>11195</v>
      </c>
      <c r="AQ117" s="114">
        <f>(AM117+AN117+AO117+AP117)/4</f>
        <v>11170</v>
      </c>
      <c r="AS117" s="114">
        <f>AS52-AS65/2</f>
        <v>11245</v>
      </c>
      <c r="AT117" s="114">
        <f>AT52-AT65/2</f>
        <v>11315</v>
      </c>
      <c r="AU117" s="114">
        <f>AU52-AU65/2</f>
        <v>11390</v>
      </c>
      <c r="AV117" s="114">
        <f>AV52-AV65/2</f>
        <v>11432.5</v>
      </c>
      <c r="AW117" s="114">
        <f>(AS117+AT117+AU117+AV117)/4</f>
        <v>11345.625</v>
      </c>
      <c r="AY117" s="114">
        <f>AY52-AY65/2</f>
        <v>11470</v>
      </c>
      <c r="AZ117" s="114">
        <f>AZ52-AZ65/2</f>
        <v>11507.5</v>
      </c>
      <c r="BA117" s="114">
        <f>BA52-BA65/2</f>
        <v>11507.5</v>
      </c>
      <c r="BB117" s="114">
        <f>BB52-BB65/2</f>
        <v>11527.5</v>
      </c>
      <c r="BC117" s="114">
        <f>(AY117+AZ117+BA117+BB117)/4</f>
        <v>11503.125</v>
      </c>
      <c r="BE117" s="114">
        <f>BE52-BE65/2</f>
        <v>11655</v>
      </c>
      <c r="BF117" s="114">
        <f>BF52-BF65/2</f>
        <v>11825</v>
      </c>
      <c r="BG117" s="114">
        <f>BG52-BG65/2</f>
        <v>11950</v>
      </c>
      <c r="BH117" s="114">
        <f>BH52-BH65/2</f>
        <v>12022.5</v>
      </c>
      <c r="BI117" s="114">
        <f>(BE117+BF117+BG117+BH117)/4</f>
        <v>11863.125</v>
      </c>
      <c r="BK117" s="114">
        <f>BK52-BK65/2</f>
        <v>12082.5</v>
      </c>
      <c r="BL117" s="114">
        <f>BL52-BL65/2</f>
        <v>12157.5</v>
      </c>
      <c r="BM117" s="114">
        <f>BM52-BM65/2</f>
        <v>12225</v>
      </c>
      <c r="BN117" s="114">
        <f>BN52-BN65/2</f>
        <v>12305</v>
      </c>
      <c r="BO117" s="114">
        <f>(BK117+BL117+BM117+BN117)/4</f>
        <v>12192.5</v>
      </c>
      <c r="BQ117" s="114">
        <f>BQ52-BQ65/2</f>
        <v>12382.5</v>
      </c>
      <c r="BR117" s="114">
        <f>BR52-BR65/2</f>
        <v>12435</v>
      </c>
      <c r="BS117" s="114">
        <f>BS52-BS65/2</f>
        <v>12477.5</v>
      </c>
      <c r="BT117" s="114">
        <f>BT52-BT65/2</f>
        <v>12512.5</v>
      </c>
      <c r="BU117" s="114">
        <f>(BQ117+BR117+BS117+BT117)/4</f>
        <v>12451.875</v>
      </c>
      <c r="BW117" s="114">
        <f>BW52-BW65/2</f>
        <v>12542.5</v>
      </c>
      <c r="BX117" s="114">
        <f>BX52-BX65/2</f>
        <v>12562.5</v>
      </c>
      <c r="BY117" s="114">
        <f>BY52-BY65/2</f>
        <v>12570</v>
      </c>
      <c r="BZ117" s="114">
        <f>BZ52-BZ65/2</f>
        <v>12577.5</v>
      </c>
      <c r="CA117" s="114">
        <f>(BW117+BX117+BY117+BZ117)/4</f>
        <v>12563.125</v>
      </c>
      <c r="CC117" s="114">
        <f>CC52-CC65/2</f>
        <v>12575</v>
      </c>
      <c r="CD117" s="114">
        <f>CD52-CD65/2</f>
        <v>12555</v>
      </c>
      <c r="CE117" s="114">
        <f>CE52-CE65/2</f>
        <v>12535</v>
      </c>
      <c r="CF117" s="114">
        <f>CF52-CF65/2</f>
        <v>12515</v>
      </c>
      <c r="CG117" s="114">
        <f>(CC117+CD117+CE117+CF117)/4</f>
        <v>12545</v>
      </c>
      <c r="CI117" s="114">
        <f>CI52-CI65/2</f>
        <v>12487.5</v>
      </c>
      <c r="CJ117" s="114">
        <f>CJ52-CJ65/2</f>
        <v>12452.5</v>
      </c>
      <c r="CK117" s="114">
        <f>CK52-CK65/2</f>
        <v>12417.5</v>
      </c>
      <c r="CL117" s="114">
        <f>CL52-CL65/2</f>
        <v>12382.5</v>
      </c>
      <c r="CM117" s="114">
        <f>(CI117+CJ117+CK117+CL117)/4</f>
        <v>12435</v>
      </c>
      <c r="CO117" s="114">
        <f>CO52-CO65/2</f>
        <v>12350</v>
      </c>
      <c r="CP117" s="114">
        <f>CP52-CP65/2</f>
        <v>12320</v>
      </c>
      <c r="CQ117" s="114">
        <f>CQ52-CQ65/2</f>
        <v>12290</v>
      </c>
      <c r="CR117" s="114">
        <f>CR52-CR65/2</f>
        <v>12260</v>
      </c>
      <c r="CS117" s="114">
        <f>(CO117+CP117+CQ117+CR117)/4</f>
        <v>12305</v>
      </c>
      <c r="CU117" s="114">
        <f>CU52-CU65/2</f>
        <v>12230</v>
      </c>
      <c r="CV117" s="114">
        <f>CV52-CV65/2</f>
        <v>12200</v>
      </c>
      <c r="CW117" s="114">
        <f>CW52-CW65/2</f>
        <v>12170</v>
      </c>
      <c r="CX117" s="114">
        <f>CX52-CX65/2</f>
        <v>12140</v>
      </c>
      <c r="CY117" s="114">
        <f>(CU117+CV117+CW117+CX117)/4</f>
        <v>12185</v>
      </c>
      <c r="DA117" s="114">
        <f>DA52-DA65/2</f>
        <v>12112.5</v>
      </c>
      <c r="DB117" s="114">
        <f>DB52-DB65/2</f>
        <v>12087.5</v>
      </c>
      <c r="DC117" s="114">
        <f>DC52-DC65/2</f>
        <v>12062.5</v>
      </c>
      <c r="DD117" s="114">
        <f>DD52-DD65/2</f>
        <v>12037.5</v>
      </c>
      <c r="DE117" s="114">
        <f>(DA117+DB117+DC117+DD117)/4</f>
        <v>12075</v>
      </c>
      <c r="DG117" s="114">
        <f>DG52-DG65/2</f>
        <v>12012.5</v>
      </c>
      <c r="DH117" s="114">
        <f>DH52-DH65/2</f>
        <v>11987.5</v>
      </c>
      <c r="DI117" s="114">
        <f>DI52-DI65/2</f>
        <v>11962.5</v>
      </c>
      <c r="DJ117" s="114">
        <f>DJ52-DJ65/2</f>
        <v>11937.5</v>
      </c>
      <c r="DK117" s="114">
        <f>(DG117+DH117+DI117+DJ117)/4</f>
        <v>11975</v>
      </c>
    </row>
    <row r="118" spans="1:115" x14ac:dyDescent="0.2">
      <c r="B118" s="241" t="s">
        <v>74</v>
      </c>
      <c r="O118" s="103" t="s">
        <v>35</v>
      </c>
      <c r="P118" s="103" t="s">
        <v>35</v>
      </c>
      <c r="Q118" s="103" t="s">
        <v>35</v>
      </c>
      <c r="R118" s="103" t="s">
        <v>35</v>
      </c>
      <c r="S118" s="103" t="s">
        <v>35</v>
      </c>
      <c r="U118" s="227">
        <f>U117/O117-1</f>
        <v>3.2456631225517674E-2</v>
      </c>
      <c r="V118" s="227">
        <f>V117/P117-1</f>
        <v>2.2909930715935278E-2</v>
      </c>
      <c r="W118" s="227">
        <f>W117/Q117-1</f>
        <v>1.9305375946794712E-2</v>
      </c>
      <c r="X118" s="227">
        <f>X117/R117-1</f>
        <v>1.7759875497779909E-2</v>
      </c>
      <c r="Y118" s="227">
        <f>Y117/S117-1</f>
        <v>2.3073458593650731E-2</v>
      </c>
      <c r="AA118" s="227">
        <f>AA117/U117-1</f>
        <v>1.4227642276422703E-2</v>
      </c>
      <c r="AB118" s="227">
        <f>AB117/V117-1</f>
        <v>1.6887925584755603E-2</v>
      </c>
      <c r="AC118" s="227">
        <f>AC117/W117-1</f>
        <v>2.0616221114635236E-2</v>
      </c>
      <c r="AD118" s="227">
        <f>AD117/X117-1</f>
        <v>1.4616595457611847E-2</v>
      </c>
      <c r="AE118" s="227">
        <f>AE117/Y117-1</f>
        <v>1.658181982368423E-2</v>
      </c>
      <c r="AG118" s="227">
        <f>AG117/AA117-1</f>
        <v>5.3440213760855837E-3</v>
      </c>
      <c r="AH118" s="227">
        <f>AH117/AB117-1</f>
        <v>2.6642984014209059E-3</v>
      </c>
      <c r="AI118" s="227">
        <f>AI117/AC117-1</f>
        <v>-4.2175360710321463E-3</v>
      </c>
      <c r="AJ118" s="227">
        <f>AJ117/AD117-1</f>
        <v>-1.4627659574468099E-2</v>
      </c>
      <c r="AK118" s="227">
        <f>AK117/AE117-1</f>
        <v>-2.7204086164779318E-3</v>
      </c>
      <c r="AM118" s="227">
        <f>AM117/AG117-1</f>
        <v>-1.417497231450715E-2</v>
      </c>
      <c r="AN118" s="227">
        <f>AN117/AH117-1</f>
        <v>-9.9645704162976134E-3</v>
      </c>
      <c r="AO118" s="227">
        <f>AO117/AI117-1</f>
        <v>-3.1208203299153414E-3</v>
      </c>
      <c r="AP118" s="227">
        <f>AP117/AJ117-1</f>
        <v>7.1974808816914759E-3</v>
      </c>
      <c r="AQ118" s="227">
        <f>AQ117/AK117-1</f>
        <v>-5.0659689361465254E-3</v>
      </c>
      <c r="AS118" s="227">
        <f>AS117/AM117-1</f>
        <v>1.0559424848348709E-2</v>
      </c>
      <c r="AT118" s="227">
        <f>AT117/AN117-1</f>
        <v>1.2301498546186451E-2</v>
      </c>
      <c r="AU118" s="227">
        <f>AU117/AO117-1</f>
        <v>1.878354203935606E-2</v>
      </c>
      <c r="AV118" s="227">
        <f>AV117/AP117-1</f>
        <v>2.1214828048235823E-2</v>
      </c>
      <c r="AW118" s="227">
        <f>AW117/AQ117-1</f>
        <v>1.5722918531781538E-2</v>
      </c>
      <c r="AY118" s="227">
        <f>AY117/AS117-1</f>
        <v>2.0008892841262726E-2</v>
      </c>
      <c r="AZ118" s="227">
        <f>AZ117/AT117-1</f>
        <v>1.7012814847547464E-2</v>
      </c>
      <c r="BA118" s="227">
        <f>BA117/AU117-1</f>
        <v>1.0316066725197581E-2</v>
      </c>
      <c r="BB118" s="227">
        <f>BB117/AV117-1</f>
        <v>8.3096435600262808E-3</v>
      </c>
      <c r="BC118" s="227">
        <f>BC117/AW117-1</f>
        <v>1.3882002974714869E-2</v>
      </c>
      <c r="BE118" s="227">
        <f>BE117/AY117-1</f>
        <v>1.6129032258064502E-2</v>
      </c>
      <c r="BF118" s="227">
        <f>BF117/AZ117-1</f>
        <v>2.7590701716271981E-2</v>
      </c>
      <c r="BG118" s="227">
        <f>BG117/BA117-1</f>
        <v>3.8453182706930322E-2</v>
      </c>
      <c r="BH118" s="227">
        <f>BH117/BB117-1</f>
        <v>4.2940793754066453E-2</v>
      </c>
      <c r="BI118" s="227">
        <f>BI117/BC117-1</f>
        <v>3.1295843520782407E-2</v>
      </c>
      <c r="BK118" s="227">
        <f>BK117/BE117-1</f>
        <v>3.6679536679536717E-2</v>
      </c>
      <c r="BL118" s="227">
        <f>BL117/BF117-1</f>
        <v>2.8118393234672245E-2</v>
      </c>
      <c r="BM118" s="227">
        <f>BM117/BG117-1</f>
        <v>2.3012552301255207E-2</v>
      </c>
      <c r="BN118" s="227">
        <f>BN117/BH117-1</f>
        <v>2.3497608650447033E-2</v>
      </c>
      <c r="BO118" s="227">
        <f>BO117/BI117-1</f>
        <v>2.7764606711975226E-2</v>
      </c>
      <c r="BQ118" s="227">
        <f>BQ117/BK117-1</f>
        <v>2.4829298572315306E-2</v>
      </c>
      <c r="BR118" s="227">
        <f>BR117/BL117-1</f>
        <v>2.2825416409623767E-2</v>
      </c>
      <c r="BS118" s="227">
        <f>BS117/BM117-1</f>
        <v>2.0654396728016389E-2</v>
      </c>
      <c r="BT118" s="227">
        <f>BT117/BN117-1</f>
        <v>1.6863063795205191E-2</v>
      </c>
      <c r="BU118" s="227">
        <f>BU117/BO117-1</f>
        <v>2.1273323764609442E-2</v>
      </c>
      <c r="BW118" s="227">
        <f>BW117/BQ117-1</f>
        <v>1.2921461740359463E-2</v>
      </c>
      <c r="BX118" s="227">
        <f>BX117/BR117-1</f>
        <v>1.0253317249698357E-2</v>
      </c>
      <c r="BY118" s="227">
        <f>BY117/BS117-1</f>
        <v>7.4133440192345468E-3</v>
      </c>
      <c r="BZ118" s="227">
        <f>BZ117/BT117-1</f>
        <v>5.1948051948051965E-3</v>
      </c>
      <c r="CA118" s="227">
        <f>CA117/BU117-1</f>
        <v>8.9343974301059337E-3</v>
      </c>
      <c r="CC118" s="227">
        <f>CC117/BW117-1</f>
        <v>2.5911899541559702E-3</v>
      </c>
      <c r="CD118" s="227">
        <f>CD117/BX117-1</f>
        <v>-5.9701492537311829E-4</v>
      </c>
      <c r="CE118" s="227">
        <f>CE117/BY117-1</f>
        <v>-2.7844073190135266E-3</v>
      </c>
      <c r="CF118" s="227">
        <f>CF117/BZ117-1</f>
        <v>-4.9691910157025898E-3</v>
      </c>
      <c r="CG118" s="227">
        <f>CG117/CA117-1</f>
        <v>-1.4427142928212788E-3</v>
      </c>
      <c r="CI118" s="227">
        <f>CI117/CC117-1</f>
        <v>-6.958250497017926E-3</v>
      </c>
      <c r="CJ118" s="227">
        <f>CJ117/CD117-1</f>
        <v>-8.1640780565511717E-3</v>
      </c>
      <c r="CK118" s="227">
        <f>CK117/CE117-1</f>
        <v>-9.3737534902273989E-3</v>
      </c>
      <c r="CL118" s="227">
        <f>CL117/CF117-1</f>
        <v>-1.0587295245705119E-2</v>
      </c>
      <c r="CM118" s="227">
        <f>CM117/CG117-1</f>
        <v>-8.7684336389000084E-3</v>
      </c>
      <c r="CO118" s="227">
        <f>CO117/CI117-1</f>
        <v>-1.1011011011010985E-2</v>
      </c>
      <c r="CP118" s="227">
        <f>CP117/CJ117-1</f>
        <v>-1.0640433647861824E-2</v>
      </c>
      <c r="CQ118" s="227">
        <f>CQ117/CK117-1</f>
        <v>-1.0267767263941963E-2</v>
      </c>
      <c r="CR118" s="227">
        <f>CR117/CL117-1</f>
        <v>-9.8929941449626968E-3</v>
      </c>
      <c r="CS118" s="227">
        <f>CS117/CM117-1</f>
        <v>-1.0454362685967E-2</v>
      </c>
      <c r="CU118" s="227">
        <f>CU117/CO117-1</f>
        <v>-9.7165991902834481E-3</v>
      </c>
      <c r="CV118" s="227">
        <f>CV117/CP117-1</f>
        <v>-9.7402597402597157E-3</v>
      </c>
      <c r="CW118" s="227">
        <f>CW117/CQ117-1</f>
        <v>-9.7640358014645656E-3</v>
      </c>
      <c r="CX118" s="227">
        <f>CX117/CR117-1</f>
        <v>-9.7879282218596986E-3</v>
      </c>
      <c r="CY118" s="227">
        <f>CY117/CS117-1</f>
        <v>-9.7521332791548065E-3</v>
      </c>
      <c r="DA118" s="227">
        <f>DA117/CU117-1</f>
        <v>-9.6075224856909669E-3</v>
      </c>
      <c r="DB118" s="227">
        <f>DB117/CV117-1</f>
        <v>-9.2213114754098324E-3</v>
      </c>
      <c r="DC118" s="227">
        <f>DC117/CW117-1</f>
        <v>-8.8331963845521555E-3</v>
      </c>
      <c r="DD118" s="227">
        <f>DD117/CX117-1</f>
        <v>-8.443163097199391E-3</v>
      </c>
      <c r="DE118" s="227">
        <f>DE117/CY117-1</f>
        <v>-9.0274928190398063E-3</v>
      </c>
      <c r="DG118" s="227">
        <f>DG117/DA117-1</f>
        <v>-8.2559339525283271E-3</v>
      </c>
      <c r="DH118" s="227">
        <f>DH117/DB117-1</f>
        <v>-8.2730093071354815E-3</v>
      </c>
      <c r="DI118" s="227">
        <f>DI117/DC117-1</f>
        <v>-8.2901554404145594E-3</v>
      </c>
      <c r="DJ118" s="227">
        <f>DJ117/DD117-1</f>
        <v>-8.3073727933541397E-3</v>
      </c>
      <c r="DK118" s="227">
        <f>DK117/DE117-1</f>
        <v>-8.281573498964856E-3</v>
      </c>
    </row>
    <row r="120" spans="1:115" x14ac:dyDescent="0.2">
      <c r="B120" s="479" t="s">
        <v>402</v>
      </c>
      <c r="O120" s="230">
        <f>O143*1000/(O117*3)</f>
        <v>34.539575949760618</v>
      </c>
      <c r="P120" s="230">
        <f>P143*1000/(P117*3)</f>
        <v>32.856043110084677</v>
      </c>
      <c r="Q120" s="230">
        <f>Q143*1000/(Q117*3)</f>
        <v>35.039103393066078</v>
      </c>
      <c r="R120" s="230">
        <f>R143*1000/(R117*3)</f>
        <v>33.597290245800338</v>
      </c>
      <c r="S120" s="230">
        <f>S143*1000/(S117*12)</f>
        <v>34.005828030749214</v>
      </c>
      <c r="U120" s="230">
        <f>U143*1000/(U117*3)</f>
        <v>33.032219211080999</v>
      </c>
      <c r="V120" s="230">
        <f>V143*1000/(V117*3)</f>
        <v>31.939552665643156</v>
      </c>
      <c r="W120" s="230">
        <f>W143*1000/(W117*3)</f>
        <v>33.408850626793537</v>
      </c>
      <c r="X120" s="230">
        <f>X143*1000/(X117*3)</f>
        <v>33.340829023311599</v>
      </c>
      <c r="Y120" s="230">
        <f>Y143*1000/(Y117*12)</f>
        <v>32.930357861784302</v>
      </c>
      <c r="AA120" s="230">
        <f>AA143*1000/(AA117*3)</f>
        <v>28.412380316187932</v>
      </c>
      <c r="AB120" s="230">
        <f>AB143*1000/(AB117*3)</f>
        <v>28.093546477205447</v>
      </c>
      <c r="AC120" s="230">
        <f>AC143*1000/(AC117*3)</f>
        <v>27.672955974842768</v>
      </c>
      <c r="AD120" s="230">
        <f>AD143*1000/(AD117*3)</f>
        <v>26.92080378250591</v>
      </c>
      <c r="AE120" s="230">
        <f>AE143*1000/(AE117*12)</f>
        <v>27.774076541564881</v>
      </c>
      <c r="AG120" s="230">
        <f>AG143*1000/(AG117*3)</f>
        <v>27.168696936138797</v>
      </c>
      <c r="AH120" s="230">
        <f>AH143*1000/(AH117*3)</f>
        <v>26.483613817537645</v>
      </c>
      <c r="AI120" s="230">
        <f>AI143*1000/(AI117*3)</f>
        <v>27.017387427552386</v>
      </c>
      <c r="AJ120" s="230">
        <f>AJ143*1000/(AJ117*3)</f>
        <v>26.060878692457639</v>
      </c>
      <c r="AK120" s="230">
        <f>AK143*1000/(AK117*12)</f>
        <v>26.684481062925645</v>
      </c>
      <c r="AM120" s="230">
        <f>AM143*1000/(AM117*3)</f>
        <v>25.911780124316632</v>
      </c>
      <c r="AN120" s="230">
        <f>AN143*1000/(AN117*3)</f>
        <v>24.602997092373069</v>
      </c>
      <c r="AO120" s="230">
        <f>AO143*1000/(AO117*3)</f>
        <v>25.730471079308288</v>
      </c>
      <c r="AP120" s="230">
        <f>AP143*1000/(AP117*3)</f>
        <v>25.993747208575257</v>
      </c>
      <c r="AQ120" s="230">
        <f>AQ143*1000/(AQ117*12)</f>
        <v>25.559534467323186</v>
      </c>
      <c r="AS120" s="230">
        <f>AS143*1000/(AS117*3)</f>
        <v>25.374240403142139</v>
      </c>
      <c r="AT120" s="230">
        <f>AT143*1000/(AT117*3)</f>
        <v>24.893209603770806</v>
      </c>
      <c r="AU120" s="230">
        <f>AU143*1000/(AU117*3)</f>
        <v>24.582967515364356</v>
      </c>
      <c r="AV120" s="230">
        <f>AV143*1000/(AV117*3)</f>
        <v>25.016400612289527</v>
      </c>
      <c r="AW120" s="230">
        <f>AW143*1000/(AW117*12)</f>
        <v>24.965570429130171</v>
      </c>
      <c r="AY120" s="230">
        <f>AY143*1000/(AY117*3)</f>
        <v>23.946527172333624</v>
      </c>
      <c r="AZ120" s="230">
        <f>AZ143*1000/(AZ117*3)</f>
        <v>23.926424795423273</v>
      </c>
      <c r="BA120" s="230">
        <f>BA143*1000/(BA117*3)</f>
        <v>24.50575711492505</v>
      </c>
      <c r="BB120" s="230">
        <f>BB143*1000/(BB117*3)</f>
        <v>24.174076483770694</v>
      </c>
      <c r="BC120" s="230">
        <f>BC143*1000/(BC117*12)</f>
        <v>24.138368197047903</v>
      </c>
      <c r="BE120" s="230">
        <f>BE143*1000/(BE117*3)</f>
        <v>24.252824252824254</v>
      </c>
      <c r="BF120" s="230">
        <f>BF143*1000/(BF117*3)</f>
        <v>24.101479915433405</v>
      </c>
      <c r="BG120" s="230">
        <f>BG143*1000/(BG117*3)</f>
        <v>23.709902370990235</v>
      </c>
      <c r="BH120" s="230">
        <f>BH143*1000/(BH117*3)</f>
        <v>23.705552089831567</v>
      </c>
      <c r="BI120" s="230">
        <f>BI143*1000/(BI117*12)</f>
        <v>23.939729202887097</v>
      </c>
      <c r="BK120" s="230">
        <f>BK143*1000/(BK117*3)</f>
        <v>23.394716877026003</v>
      </c>
      <c r="BL120" s="230">
        <f>BL143*1000/(BL117*3)</f>
        <v>23.360065803002261</v>
      </c>
      <c r="BM120" s="230">
        <f>BM143*1000/(BM117*3)</f>
        <v>23.830947511929107</v>
      </c>
      <c r="BN120" s="230">
        <f>BN143*1000/(BN117*3)</f>
        <v>23.784369497494243</v>
      </c>
      <c r="BO120" s="230">
        <f>BO143*1000/(BO117*12)</f>
        <v>23.5937393206206</v>
      </c>
      <c r="BQ120" s="230">
        <f>BQ143*1000/(BQ117*3)</f>
        <v>23.580790174305132</v>
      </c>
      <c r="BR120" s="230">
        <f>BR143*1000/(BR117*3)</f>
        <v>23.770390751909932</v>
      </c>
      <c r="BS120" s="230">
        <f>BS143*1000/(BS117*3)</f>
        <v>24.027064930207708</v>
      </c>
      <c r="BT120" s="230">
        <f>BT143*1000/(BT117*3)</f>
        <v>24.145905134865135</v>
      </c>
      <c r="BU120" s="230">
        <f>BU143*1000/(BU117*12)</f>
        <v>23.881890960196753</v>
      </c>
      <c r="BW120" s="230">
        <f>BW143*1000/(BW117*3)</f>
        <v>24.031177903926647</v>
      </c>
      <c r="BX120" s="230">
        <f>BX143*1000/(BX117*3)</f>
        <v>24.244404675820899</v>
      </c>
      <c r="BY120" s="230">
        <f>BY143*1000/(BY117*3)</f>
        <v>24.516175406523466</v>
      </c>
      <c r="BZ120" s="230">
        <f>BZ143*1000/(BZ117*3)</f>
        <v>24.639549352415028</v>
      </c>
      <c r="CA120" s="230">
        <f>CA143*1000/(CA117*12)</f>
        <v>24.35806456275807</v>
      </c>
      <c r="CC120" s="230">
        <f>CC143*1000/(CC117*3)</f>
        <v>24.568045556508942</v>
      </c>
      <c r="CD120" s="230">
        <f>CD143*1000/(CD117*3)</f>
        <v>24.80044140270012</v>
      </c>
      <c r="CE120" s="230">
        <f>CE143*1000/(CE117*3)</f>
        <v>25.076750597455128</v>
      </c>
      <c r="CF120" s="230">
        <f>CF143*1000/(CF117*3)</f>
        <v>25.211083262269277</v>
      </c>
      <c r="CG120" s="230">
        <f>CG143*1000/(CG117*12)</f>
        <v>24.913640702479075</v>
      </c>
      <c r="CI120" s="230">
        <f>CI143*1000/(CI117*3)</f>
        <v>25.283695085493655</v>
      </c>
      <c r="CJ120" s="230">
        <f>CJ143*1000/(CJ117*3)</f>
        <v>25.499377920328449</v>
      </c>
      <c r="CK120" s="230">
        <f>CK143*1000/(CK117*3)</f>
        <v>25.758113661885403</v>
      </c>
      <c r="CL120" s="230">
        <f>CL143*1000/(CL117*3)</f>
        <v>25.879699264739273</v>
      </c>
      <c r="CM120" s="230">
        <f>CM143*1000/(CM117*12)</f>
        <v>25.604501376660391</v>
      </c>
      <c r="CO120" s="230">
        <f>CO143*1000/(CO117*3)</f>
        <v>26.054448605980252</v>
      </c>
      <c r="CP120" s="230">
        <f>CP143*1000/(CP117*3)</f>
        <v>26.275059997585476</v>
      </c>
      <c r="CQ120" s="230">
        <f>CQ143*1000/(CQ117*3)</f>
        <v>26.537328662376133</v>
      </c>
      <c r="CR120" s="230">
        <f>CR143*1000/(CR117*3)</f>
        <v>26.666482967400359</v>
      </c>
      <c r="CS120" s="230">
        <f>CS143*1000/(CS117*12)</f>
        <v>26.382690570805369</v>
      </c>
      <c r="CU120" s="230">
        <f>CU143*1000/(CU117*3)</f>
        <v>26.890448663092926</v>
      </c>
      <c r="CV120" s="230">
        <f>CV143*1000/(CV117*3)</f>
        <v>27.09729245124737</v>
      </c>
      <c r="CW120" s="230">
        <f>CW143*1000/(CW117*3)</f>
        <v>27.344497174741484</v>
      </c>
      <c r="CX120" s="230">
        <f>CX143*1000/(CX117*3)</f>
        <v>27.462626349603855</v>
      </c>
      <c r="CY120" s="230">
        <f>CY143*1000/(CY117*12)</f>
        <v>27.198111808691813</v>
      </c>
      <c r="DA120" s="230">
        <f>DA143*1000/(DA117*3)</f>
        <v>27.719366583423266</v>
      </c>
      <c r="DB120" s="230">
        <f>DB143*1000/(DB117*3)</f>
        <v>27.90261650905946</v>
      </c>
      <c r="DC120" s="230">
        <f>DC143*1000/(DC117*3)</f>
        <v>28.124730117501429</v>
      </c>
      <c r="DD120" s="230">
        <f>DD143*1000/(DD117*3)</f>
        <v>28.221615781135501</v>
      </c>
      <c r="DE120" s="230">
        <f>DE143*1000/(DE117*12)</f>
        <v>27.991634819932713</v>
      </c>
      <c r="DG120" s="230">
        <f>DG143*1000/(DG117*3)</f>
        <v>28.519062560183727</v>
      </c>
      <c r="DH120" s="230">
        <f>DH143*1000/(DH117*3)</f>
        <v>28.71091958805096</v>
      </c>
      <c r="DI120" s="230">
        <f>DI143*1000/(DI117*3)</f>
        <v>28.940464248257054</v>
      </c>
      <c r="DJ120" s="230">
        <f>DJ143*1000/(DJ117*3)</f>
        <v>29.04885135031488</v>
      </c>
      <c r="DK120" s="230">
        <f>DK143*1000/(DK117*12)</f>
        <v>28.804349773071539</v>
      </c>
    </row>
    <row r="121" spans="1:115" x14ac:dyDescent="0.2">
      <c r="B121" s="241" t="s">
        <v>74</v>
      </c>
      <c r="O121" s="103" t="s">
        <v>35</v>
      </c>
      <c r="P121" s="103" t="s">
        <v>35</v>
      </c>
      <c r="Q121" s="103" t="s">
        <v>35</v>
      </c>
      <c r="R121" s="103" t="s">
        <v>35</v>
      </c>
      <c r="S121" s="103" t="s">
        <v>35</v>
      </c>
      <c r="U121" s="227">
        <f>U120/O120-1</f>
        <v>-4.3641437314463238E-2</v>
      </c>
      <c r="V121" s="227">
        <f>V120/P120-1</f>
        <v>-2.7894121071451172E-2</v>
      </c>
      <c r="W121" s="227">
        <f>W120/Q120-1</f>
        <v>-4.6526669018453037E-2</v>
      </c>
      <c r="X121" s="227">
        <f>X120/R120-1</f>
        <v>-7.6333900922499476E-3</v>
      </c>
      <c r="Y121" s="227">
        <f>Y120/S120-1</f>
        <v>-3.1626054451385111E-2</v>
      </c>
      <c r="AA121" s="227">
        <f>AA120/U120-1</f>
        <v>-0.13985856855004442</v>
      </c>
      <c r="AB121" s="227">
        <f>AB120/V120-1</f>
        <v>-0.12041515511188716</v>
      </c>
      <c r="AC121" s="227">
        <f>AC120/W120-1</f>
        <v>-0.17168787744378866</v>
      </c>
      <c r="AD121" s="227">
        <f>AD120/X120-1</f>
        <v>-0.1925574566942192</v>
      </c>
      <c r="AE121" s="227">
        <f>AE120/Y120-1</f>
        <v>-0.15658139343220712</v>
      </c>
      <c r="AG121" s="227">
        <f>AG120/AA120-1</f>
        <v>-4.3772586675553726E-2</v>
      </c>
      <c r="AH121" s="227">
        <f>AH120/AB120-1</f>
        <v>-5.7306138296710607E-2</v>
      </c>
      <c r="AI121" s="227">
        <f>AI120/AC120-1</f>
        <v>-2.368986341344792E-2</v>
      </c>
      <c r="AJ121" s="227">
        <f>AJ120/AD120-1</f>
        <v>-3.1942771731321096E-2</v>
      </c>
      <c r="AK121" s="227">
        <f>AK120/AE120-1</f>
        <v>-3.9230664501432422E-2</v>
      </c>
      <c r="AM121" s="227">
        <f>AM120/AG120-1</f>
        <v>-4.6263419065573963E-2</v>
      </c>
      <c r="AN121" s="227">
        <f>AN120/AH120-1</f>
        <v>-7.101057801708377E-2</v>
      </c>
      <c r="AO121" s="227">
        <f>AO120/AI120-1</f>
        <v>-4.7632893879727911E-2</v>
      </c>
      <c r="AP121" s="227">
        <f>AP120/AJ120-1</f>
        <v>-2.5759485961541762E-3</v>
      </c>
      <c r="AQ121" s="227">
        <f>AQ120/AK120-1</f>
        <v>-4.2157334555230186E-2</v>
      </c>
      <c r="AS121" s="227">
        <f>AS120/AM120-1</f>
        <v>-2.0744993921511634E-2</v>
      </c>
      <c r="AT121" s="227">
        <f>AT120/AN120-1</f>
        <v>1.1795819440538979E-2</v>
      </c>
      <c r="AU121" s="227">
        <f>AU120/AO120-1</f>
        <v>-4.4597067826975034E-2</v>
      </c>
      <c r="AV121" s="227">
        <f>AV120/AP120-1</f>
        <v>-3.7599296032366891E-2</v>
      </c>
      <c r="AW121" s="227">
        <f>AW120/AQ120-1</f>
        <v>-2.3238452912840546E-2</v>
      </c>
      <c r="AY121" s="227">
        <f>AY120/AS120-1</f>
        <v>-5.6266245141735061E-2</v>
      </c>
      <c r="AZ121" s="227">
        <f>AZ120/AT120-1</f>
        <v>-3.8837290318765705E-2</v>
      </c>
      <c r="BA121" s="227">
        <f>BA120/AU120-1</f>
        <v>-3.140808789298899E-3</v>
      </c>
      <c r="BB121" s="227">
        <f>BB120/AV120-1</f>
        <v>-3.3670876221299162E-2</v>
      </c>
      <c r="BC121" s="227">
        <f>BC120/AW120-1</f>
        <v>-3.3133720474380901E-2</v>
      </c>
      <c r="BE121" s="227">
        <f>BE120/AY120-1</f>
        <v>1.2790876868546741E-2</v>
      </c>
      <c r="BF121" s="227">
        <f>BF120/AZ120-1</f>
        <v>7.3163927125299288E-3</v>
      </c>
      <c r="BG121" s="227">
        <f>BG120/BA120-1</f>
        <v>-3.2476235694432143E-2</v>
      </c>
      <c r="BH121" s="227">
        <f>BH120/BB120-1</f>
        <v>-1.9381273748085959E-2</v>
      </c>
      <c r="BI121" s="227">
        <f>BI120/BC120-1</f>
        <v>-8.2291807192294009E-3</v>
      </c>
      <c r="BK121" s="227">
        <f>BK120/BE120-1</f>
        <v>-3.5381750465549366E-2</v>
      </c>
      <c r="BL121" s="227">
        <f>BL120/BF120-1</f>
        <v>-3.0762182033327257E-2</v>
      </c>
      <c r="BM121" s="227">
        <f>BM120/BG120-1</f>
        <v>5.1052568266571896E-3</v>
      </c>
      <c r="BN121" s="227">
        <f>BN120/BH120-1</f>
        <v>3.3248501179807821E-3</v>
      </c>
      <c r="BO121" s="227">
        <f>BO120/BI120-1</f>
        <v>-1.4452539514305474E-2</v>
      </c>
      <c r="BQ121" s="227">
        <f>BQ120/BK120-1</f>
        <v>7.9536460414213472E-3</v>
      </c>
      <c r="BR121" s="227">
        <f>BR120/BL120-1</f>
        <v>1.7565230867412129E-2</v>
      </c>
      <c r="BS121" s="227">
        <f>BS120/BM120-1</f>
        <v>8.2295266766221342E-3</v>
      </c>
      <c r="BT121" s="227">
        <f>BT120/BN120-1</f>
        <v>1.5200555869642862E-2</v>
      </c>
      <c r="BU121" s="227">
        <f>BU120/BO120-1</f>
        <v>1.2213055152487495E-2</v>
      </c>
      <c r="BW121" s="227">
        <f>BW120/BQ120-1</f>
        <v>1.9099772581509189E-2</v>
      </c>
      <c r="BX121" s="227">
        <f>BX120/BR120-1</f>
        <v>1.9941360192948343E-2</v>
      </c>
      <c r="BY121" s="227">
        <f>BY120/BS120-1</f>
        <v>2.0356646878696871E-2</v>
      </c>
      <c r="BZ121" s="227">
        <f>BZ120/BT120-1</f>
        <v>2.0444220864477058E-2</v>
      </c>
      <c r="CA121" s="227">
        <f>CA120/BU120-1</f>
        <v>1.9938689250149411E-2</v>
      </c>
      <c r="CC121" s="227">
        <f>CC120/BW120-1</f>
        <v>2.2340463489913809E-2</v>
      </c>
      <c r="CD121" s="227">
        <f>CD120/BX120-1</f>
        <v>2.2934641386916033E-2</v>
      </c>
      <c r="CE121" s="227">
        <f>CE120/BY120-1</f>
        <v>2.2865523746517846E-2</v>
      </c>
      <c r="CF121" s="227">
        <f>CF120/BZ120-1</f>
        <v>2.3195793952222932E-2</v>
      </c>
      <c r="CG121" s="227">
        <f>CG120/CA120-1</f>
        <v>2.2808714472760006E-2</v>
      </c>
      <c r="CI121" s="227">
        <f>CI120/CC120-1</f>
        <v>2.9129282072464679E-2</v>
      </c>
      <c r="CJ121" s="227">
        <f>CJ120/CD120-1</f>
        <v>2.8182422493183257E-2</v>
      </c>
      <c r="CK121" s="227">
        <f>CK120/CE120-1</f>
        <v>2.7171106630514696E-2</v>
      </c>
      <c r="CL121" s="227">
        <f>CL120/CF120-1</f>
        <v>2.6520716920983789E-2</v>
      </c>
      <c r="CM121" s="227">
        <f>CM120/CG120-1</f>
        <v>2.7730217451220174E-2</v>
      </c>
      <c r="CO121" s="227">
        <f>CO120/CI120-1</f>
        <v>3.0484211974570519E-2</v>
      </c>
      <c r="CP121" s="227">
        <f>CP120/CJ120-1</f>
        <v>3.0419647086317392E-2</v>
      </c>
      <c r="CQ121" s="227">
        <f>CQ120/CK120-1</f>
        <v>3.0251244742496075E-2</v>
      </c>
      <c r="CR121" s="227">
        <f>CR120/CL120-1</f>
        <v>3.0401578264592333E-2</v>
      </c>
      <c r="CS121" s="227">
        <f>CS120/CM120-1</f>
        <v>3.0392671300146112E-2</v>
      </c>
      <c r="CU121" s="227">
        <f>CU120/CO120-1</f>
        <v>3.2086653214406846E-2</v>
      </c>
      <c r="CV121" s="227">
        <f>CV120/CP120-1</f>
        <v>3.1293266456382973E-2</v>
      </c>
      <c r="CW121" s="227">
        <f>CW120/CQ120-1</f>
        <v>3.0416343808927992E-2</v>
      </c>
      <c r="CX121" s="227">
        <f>CX120/CR120-1</f>
        <v>2.9855582499453526E-2</v>
      </c>
      <c r="CY121" s="227">
        <f>CY120/CS120-1</f>
        <v>3.0907432875279861E-2</v>
      </c>
      <c r="DA121" s="227">
        <f>DA120/CU120-1</f>
        <v>3.0825737819243804E-2</v>
      </c>
      <c r="DB121" s="227">
        <f>DB120/CV120-1</f>
        <v>2.9719724185027108E-2</v>
      </c>
      <c r="DC121" s="227">
        <f>DC120/CW120-1</f>
        <v>2.8533453651532481E-2</v>
      </c>
      <c r="DD121" s="227">
        <f>DD120/CX120-1</f>
        <v>2.7637175770065969E-2</v>
      </c>
      <c r="DE121" s="227">
        <f>DE120/CY120-1</f>
        <v>2.9175665458780475E-2</v>
      </c>
      <c r="DG121" s="227">
        <f>DG120/DA120-1</f>
        <v>2.8849720441977755E-2</v>
      </c>
      <c r="DH121" s="227">
        <f>DH120/DB120-1</f>
        <v>2.896871978758897E-2</v>
      </c>
      <c r="DI121" s="227">
        <f>DI120/DC120-1</f>
        <v>2.9004158523391999E-2</v>
      </c>
      <c r="DJ121" s="227">
        <f>DJ120/DD120-1</f>
        <v>2.9312126406750183E-2</v>
      </c>
      <c r="DK121" s="227">
        <f>DK120/DE120-1</f>
        <v>2.9034208197089573E-2</v>
      </c>
    </row>
    <row r="122" spans="1:115" x14ac:dyDescent="0.2">
      <c r="B122" s="241"/>
      <c r="U122" s="227"/>
      <c r="V122" s="227"/>
      <c r="W122" s="227"/>
      <c r="X122" s="227"/>
      <c r="Y122" s="227"/>
      <c r="AA122" s="227"/>
      <c r="AB122" s="227"/>
      <c r="AC122" s="227"/>
      <c r="AD122" s="227"/>
      <c r="AE122" s="227"/>
      <c r="AG122" s="227"/>
      <c r="AH122" s="227"/>
      <c r="AI122" s="227"/>
      <c r="AJ122" s="227"/>
      <c r="AK122" s="227"/>
      <c r="AM122" s="227"/>
      <c r="AN122" s="227"/>
      <c r="AO122" s="227"/>
      <c r="AP122" s="227"/>
      <c r="AQ122" s="227"/>
      <c r="AS122" s="227"/>
      <c r="AT122" s="227"/>
      <c r="AU122" s="227"/>
      <c r="AV122" s="227"/>
      <c r="AW122" s="227"/>
      <c r="AY122" s="227"/>
      <c r="AZ122" s="227"/>
      <c r="BA122" s="227"/>
      <c r="BB122" s="227"/>
      <c r="BC122" s="227"/>
      <c r="BE122" s="227"/>
      <c r="BF122" s="227"/>
      <c r="BG122" s="227"/>
      <c r="BH122" s="227"/>
      <c r="BI122" s="227"/>
      <c r="BK122" s="227"/>
      <c r="BL122" s="227"/>
      <c r="BM122" s="227"/>
      <c r="BN122" s="227"/>
      <c r="BO122" s="227"/>
      <c r="BQ122" s="227"/>
      <c r="BR122" s="227"/>
      <c r="BS122" s="227"/>
      <c r="BT122" s="227"/>
      <c r="BU122" s="227"/>
      <c r="BW122" s="227"/>
      <c r="BX122" s="227"/>
      <c r="BY122" s="227"/>
      <c r="BZ122" s="227"/>
      <c r="CA122" s="227"/>
      <c r="CC122" s="227"/>
      <c r="CD122" s="227"/>
      <c r="CE122" s="227"/>
      <c r="CF122" s="227"/>
      <c r="CG122" s="227"/>
      <c r="CI122" s="227"/>
      <c r="CJ122" s="227"/>
      <c r="CK122" s="227"/>
      <c r="CL122" s="227"/>
      <c r="CM122" s="227"/>
      <c r="CO122" s="227"/>
      <c r="CP122" s="227"/>
      <c r="CQ122" s="227"/>
      <c r="CR122" s="227"/>
      <c r="CS122" s="227"/>
      <c r="CU122" s="227"/>
      <c r="CV122" s="227"/>
      <c r="CW122" s="227"/>
      <c r="CX122" s="227"/>
      <c r="CY122" s="227"/>
      <c r="DA122" s="227"/>
      <c r="DB122" s="227"/>
      <c r="DC122" s="227"/>
      <c r="DD122" s="227"/>
      <c r="DE122" s="227"/>
      <c r="DG122" s="227"/>
      <c r="DH122" s="227"/>
      <c r="DI122" s="227"/>
      <c r="DJ122" s="227"/>
      <c r="DK122" s="227"/>
    </row>
    <row r="123" spans="1:115" x14ac:dyDescent="0.2">
      <c r="B123" s="478" t="s">
        <v>404</v>
      </c>
      <c r="S123" s="114">
        <f>S52-S125</f>
        <v>11014</v>
      </c>
      <c r="U123" s="114">
        <f>U52-U125</f>
        <v>11126</v>
      </c>
      <c r="V123" s="114">
        <f>V52-V125</f>
        <v>11020</v>
      </c>
      <c r="W123" s="114">
        <f>W52-W125</f>
        <v>11050</v>
      </c>
      <c r="X123" s="114">
        <f>X52-X125</f>
        <v>11185</v>
      </c>
      <c r="Y123" s="114">
        <f>Y52-Y125</f>
        <v>11185</v>
      </c>
      <c r="AA123" s="114">
        <f>AA52-AA125</f>
        <v>11270</v>
      </c>
      <c r="AB123" s="114">
        <f>AB52-AB125</f>
        <v>11250</v>
      </c>
      <c r="AC123" s="114">
        <f>AC52-AC125</f>
        <v>11275</v>
      </c>
      <c r="AD123" s="114">
        <f>AD52-AD125</f>
        <v>11285</v>
      </c>
      <c r="AE123" s="114">
        <f>AE52-AE125</f>
        <v>11285</v>
      </c>
      <c r="AG123" s="114">
        <f>AG52-AG125</f>
        <v>11275</v>
      </c>
      <c r="AH123" s="114">
        <f>AH52-AH125</f>
        <v>11260</v>
      </c>
      <c r="AI123" s="114">
        <f>AI52-AI125</f>
        <v>11105</v>
      </c>
      <c r="AJ123" s="114">
        <f>AJ52-AJ125</f>
        <v>11009</v>
      </c>
      <c r="AK123" s="114">
        <f>AK52-AK125</f>
        <v>11009</v>
      </c>
      <c r="AM123" s="114">
        <f>AM52-AM125</f>
        <v>11038</v>
      </c>
      <c r="AN123" s="114">
        <f>AN52-AN125</f>
        <v>11018</v>
      </c>
      <c r="AO123" s="114">
        <f>AO52-AO125</f>
        <v>10948</v>
      </c>
      <c r="AP123" s="114">
        <f>AP52-AP125</f>
        <v>10946</v>
      </c>
      <c r="AQ123" s="114">
        <f>AQ52-AQ125</f>
        <v>10946</v>
      </c>
      <c r="AS123" s="114">
        <f>AS52-AS125</f>
        <v>10903</v>
      </c>
      <c r="AT123" s="114">
        <f>AT52-AT125</f>
        <v>10885</v>
      </c>
      <c r="AU123" s="114">
        <f>AU52-AU125</f>
        <v>10834</v>
      </c>
      <c r="AV123" s="114">
        <f>AV52-AV125</f>
        <v>10727</v>
      </c>
      <c r="AW123" s="114">
        <f>AW52-AW125</f>
        <v>10727</v>
      </c>
      <c r="AY123" s="114">
        <f>AY52-AY125</f>
        <v>10609</v>
      </c>
      <c r="AZ123" s="114">
        <f>AZ52-AZ125</f>
        <v>10475</v>
      </c>
      <c r="BA123" s="114">
        <f>BA52-BA125</f>
        <v>10273</v>
      </c>
      <c r="BB123" s="114">
        <f>BB52-BB125</f>
        <v>10116</v>
      </c>
      <c r="BC123" s="114">
        <f>BC52-BC125</f>
        <v>10116</v>
      </c>
      <c r="BE123" s="114">
        <f>BE52-BE125</f>
        <v>10009</v>
      </c>
      <c r="BF123" s="114">
        <f>BF52-BF125</f>
        <v>9872</v>
      </c>
      <c r="BG123" s="114">
        <f>BG52-BG125</f>
        <v>9726</v>
      </c>
      <c r="BH123" s="114">
        <f>BH52-BH125</f>
        <v>9490</v>
      </c>
      <c r="BI123" s="114">
        <f>BI52-BI125</f>
        <v>9490</v>
      </c>
      <c r="BK123" s="114">
        <f>BK52-BK125</f>
        <v>9233</v>
      </c>
      <c r="BL123" s="114">
        <f>BL52-BL125</f>
        <v>9026</v>
      </c>
      <c r="BM123" s="114">
        <f>BM52-BM125</f>
        <v>8770</v>
      </c>
      <c r="BN123" s="114">
        <f>BN52-BN125</f>
        <v>8572</v>
      </c>
      <c r="BO123" s="114">
        <f>BO52-BO125</f>
        <v>8572</v>
      </c>
      <c r="BQ123" s="114">
        <f>BQ52-BQ125</f>
        <v>8352</v>
      </c>
      <c r="BR123" s="114">
        <f>BR52-BR125</f>
        <v>8127</v>
      </c>
      <c r="BS123" s="114">
        <f>BS52-BS125</f>
        <v>7862</v>
      </c>
      <c r="BT123" s="114">
        <f>BT52-BT125</f>
        <v>7597</v>
      </c>
      <c r="BU123" s="114">
        <f>BU52-BU125</f>
        <v>7597</v>
      </c>
      <c r="BW123" s="114">
        <f>BW52-BW125</f>
        <v>7362</v>
      </c>
      <c r="BX123" s="114">
        <f>BX52-BX125</f>
        <v>7117</v>
      </c>
      <c r="BY123" s="114">
        <f>BY52-BY125</f>
        <v>6857</v>
      </c>
      <c r="BZ123" s="114">
        <f>BZ52-BZ125</f>
        <v>6612</v>
      </c>
      <c r="CA123" s="114">
        <f>CA52-CA125</f>
        <v>6612</v>
      </c>
      <c r="CC123" s="114">
        <f>CC52-CC125</f>
        <v>6367</v>
      </c>
      <c r="CD123" s="114">
        <f>CD52-CD125</f>
        <v>6122</v>
      </c>
      <c r="CE123" s="114">
        <f>CE52-CE125</f>
        <v>5877</v>
      </c>
      <c r="CF123" s="114">
        <f>CF52-CF125</f>
        <v>5632</v>
      </c>
      <c r="CG123" s="114">
        <f>CG52-CG125</f>
        <v>5632</v>
      </c>
      <c r="CI123" s="114">
        <f>CI52-CI125</f>
        <v>5422</v>
      </c>
      <c r="CJ123" s="114">
        <f>CJ52-CJ125</f>
        <v>5212</v>
      </c>
      <c r="CK123" s="114">
        <f>CK52-CK125</f>
        <v>5002</v>
      </c>
      <c r="CL123" s="114">
        <f>CL52-CL125</f>
        <v>4792</v>
      </c>
      <c r="CM123" s="114">
        <f>CM52-CM125</f>
        <v>4792</v>
      </c>
      <c r="CO123" s="114">
        <f>CO52-CO125</f>
        <v>4587</v>
      </c>
      <c r="CP123" s="114">
        <f>CP52-CP125</f>
        <v>4382</v>
      </c>
      <c r="CQ123" s="114">
        <f>CQ52-CQ125</f>
        <v>4177</v>
      </c>
      <c r="CR123" s="114">
        <f>CR52-CR125</f>
        <v>3972</v>
      </c>
      <c r="CS123" s="114">
        <f>CS52-CS125</f>
        <v>3972</v>
      </c>
      <c r="CU123" s="114">
        <f>CU52-CU125</f>
        <v>3792</v>
      </c>
      <c r="CV123" s="114">
        <f>CV52-CV125</f>
        <v>3612</v>
      </c>
      <c r="CW123" s="114">
        <f>CW52-CW125</f>
        <v>3432</v>
      </c>
      <c r="CX123" s="114">
        <f>CX52-CX125</f>
        <v>3252</v>
      </c>
      <c r="CY123" s="114">
        <f>CY52-CY125</f>
        <v>3252</v>
      </c>
      <c r="DA123" s="114">
        <f>DA52-DA125</f>
        <v>3102</v>
      </c>
      <c r="DB123" s="114">
        <f>DB52-DB125</f>
        <v>2952</v>
      </c>
      <c r="DC123" s="114">
        <f>DC52-DC125</f>
        <v>2802</v>
      </c>
      <c r="DD123" s="114">
        <f>DD52-DD125</f>
        <v>2652</v>
      </c>
      <c r="DE123" s="114">
        <f>DE52-DE125</f>
        <v>2652</v>
      </c>
      <c r="DG123" s="114">
        <f>DG52-DG125</f>
        <v>2502</v>
      </c>
      <c r="DH123" s="114">
        <f>DH52-DH125</f>
        <v>2352</v>
      </c>
      <c r="DI123" s="114">
        <f>DI52-DI125</f>
        <v>2202</v>
      </c>
      <c r="DJ123" s="114">
        <f>DJ52-DJ125</f>
        <v>2052</v>
      </c>
      <c r="DK123" s="114">
        <f>DK52-DK125</f>
        <v>2052</v>
      </c>
    </row>
    <row r="124" spans="1:115" x14ac:dyDescent="0.2">
      <c r="B124" s="241"/>
      <c r="U124" s="227"/>
      <c r="V124" s="227"/>
      <c r="W124" s="227"/>
      <c r="X124" s="227"/>
      <c r="Y124" s="227"/>
      <c r="AA124" s="227"/>
      <c r="AB124" s="227"/>
      <c r="AC124" s="227"/>
      <c r="AD124" s="227"/>
      <c r="AE124" s="227"/>
      <c r="AG124" s="227"/>
      <c r="AH124" s="227"/>
      <c r="AI124" s="227"/>
      <c r="AJ124" s="227"/>
      <c r="AK124" s="227"/>
      <c r="AM124" s="227"/>
      <c r="AN124" s="227"/>
      <c r="AO124" s="227"/>
      <c r="AP124" s="227"/>
      <c r="AQ124" s="227"/>
      <c r="AS124" s="227"/>
      <c r="AT124" s="227"/>
      <c r="AU124" s="227"/>
      <c r="AV124" s="227"/>
      <c r="AW124" s="227"/>
      <c r="AY124" s="227"/>
      <c r="AZ124" s="227"/>
      <c r="BA124" s="227"/>
      <c r="BB124" s="227"/>
      <c r="BC124" s="227"/>
      <c r="BE124" s="227"/>
      <c r="BF124" s="227"/>
      <c r="BG124" s="227"/>
      <c r="BH124" s="227"/>
      <c r="BI124" s="227"/>
      <c r="BK124" s="227"/>
      <c r="BL124" s="227"/>
      <c r="BM124" s="227"/>
      <c r="BN124" s="227"/>
      <c r="BO124" s="227"/>
      <c r="BQ124" s="227"/>
      <c r="BR124" s="227"/>
      <c r="BS124" s="227"/>
      <c r="BT124" s="227"/>
      <c r="BU124" s="227"/>
      <c r="BW124" s="227"/>
      <c r="BX124" s="227"/>
      <c r="BY124" s="227"/>
      <c r="BZ124" s="227"/>
      <c r="CA124" s="227"/>
      <c r="CC124" s="227"/>
      <c r="CD124" s="227"/>
      <c r="CE124" s="227"/>
      <c r="CF124" s="227"/>
      <c r="CG124" s="227"/>
      <c r="CI124" s="227"/>
      <c r="CJ124" s="227"/>
      <c r="CK124" s="227"/>
      <c r="CL124" s="227"/>
      <c r="CM124" s="227"/>
      <c r="CO124" s="227"/>
      <c r="CP124" s="227"/>
      <c r="CQ124" s="227"/>
      <c r="CR124" s="227"/>
      <c r="CS124" s="227"/>
      <c r="CU124" s="227"/>
      <c r="CV124" s="227"/>
      <c r="CW124" s="227"/>
      <c r="CX124" s="227"/>
      <c r="CY124" s="227"/>
      <c r="DA124" s="227"/>
      <c r="DB124" s="227"/>
      <c r="DC124" s="227"/>
      <c r="DD124" s="227"/>
      <c r="DE124" s="227"/>
      <c r="DG124" s="227"/>
      <c r="DH124" s="227"/>
      <c r="DI124" s="227"/>
      <c r="DJ124" s="227"/>
      <c r="DK124" s="227"/>
    </row>
    <row r="125" spans="1:115" x14ac:dyDescent="0.2">
      <c r="B125" s="478" t="s">
        <v>405</v>
      </c>
      <c r="U125" s="227"/>
      <c r="V125" s="227"/>
      <c r="W125" s="227"/>
      <c r="X125" s="227"/>
      <c r="Y125" s="227"/>
      <c r="AA125" s="227"/>
      <c r="AB125" s="227"/>
      <c r="AC125" s="227"/>
      <c r="AD125" s="227"/>
      <c r="AE125" s="227"/>
      <c r="AG125" s="114">
        <v>15</v>
      </c>
      <c r="AH125" s="114">
        <v>30</v>
      </c>
      <c r="AI125" s="114">
        <v>35</v>
      </c>
      <c r="AJ125" s="114">
        <v>81</v>
      </c>
      <c r="AK125" s="114">
        <f>AJ125</f>
        <v>81</v>
      </c>
      <c r="AM125" s="114">
        <v>127</v>
      </c>
      <c r="AN125" s="114">
        <v>172</v>
      </c>
      <c r="AO125" s="114">
        <v>222</v>
      </c>
      <c r="AP125" s="114">
        <v>274</v>
      </c>
      <c r="AQ125" s="114">
        <f>AP125</f>
        <v>274</v>
      </c>
      <c r="AS125" s="114">
        <v>367</v>
      </c>
      <c r="AT125" s="114">
        <v>475</v>
      </c>
      <c r="AU125" s="114">
        <f>AT125+AU126</f>
        <v>586</v>
      </c>
      <c r="AV125" s="114">
        <f>AU125+AV126</f>
        <v>718</v>
      </c>
      <c r="AW125" s="114">
        <f>AV125</f>
        <v>718</v>
      </c>
      <c r="AY125" s="114">
        <f>AW125+AY126</f>
        <v>886</v>
      </c>
      <c r="AZ125" s="114">
        <f>AY125+AZ126</f>
        <v>1045</v>
      </c>
      <c r="BA125" s="114">
        <f>AZ125+BA126</f>
        <v>1222</v>
      </c>
      <c r="BB125" s="114">
        <f>BA125+BB126</f>
        <v>1444</v>
      </c>
      <c r="BC125" s="114">
        <f>BB125</f>
        <v>1444</v>
      </c>
      <c r="BE125" s="114">
        <f>BC125+BE126</f>
        <v>1741</v>
      </c>
      <c r="BF125" s="114">
        <f>BE125+BF126</f>
        <v>2028</v>
      </c>
      <c r="BG125" s="114">
        <f>BF125+BG126</f>
        <v>2274</v>
      </c>
      <c r="BH125" s="114">
        <f>BG125+BH126</f>
        <v>2555</v>
      </c>
      <c r="BI125" s="114">
        <f>BH125</f>
        <v>2555</v>
      </c>
      <c r="BK125" s="114">
        <f>BI125+BK126</f>
        <v>2887</v>
      </c>
      <c r="BL125" s="114">
        <f>BK125+BL126</f>
        <v>3169</v>
      </c>
      <c r="BM125" s="114">
        <f>BL125+BM126</f>
        <v>3485</v>
      </c>
      <c r="BN125" s="114">
        <f>BM125+BN126</f>
        <v>3783</v>
      </c>
      <c r="BO125" s="114">
        <f>BN125</f>
        <v>3783</v>
      </c>
      <c r="BQ125" s="114">
        <f>BO125+BQ126</f>
        <v>4058</v>
      </c>
      <c r="BR125" s="114">
        <f>BQ125+BR126</f>
        <v>4333</v>
      </c>
      <c r="BS125" s="114">
        <f>BR125+BS126</f>
        <v>4633</v>
      </c>
      <c r="BT125" s="114">
        <f>BS125+BT126</f>
        <v>4933</v>
      </c>
      <c r="BU125" s="114">
        <f>BT125</f>
        <v>4933</v>
      </c>
      <c r="BW125" s="114">
        <f>BU125+BW126</f>
        <v>5193</v>
      </c>
      <c r="BX125" s="114">
        <f>BW125+BX126</f>
        <v>5453</v>
      </c>
      <c r="BY125" s="114">
        <f>BX125+BY126</f>
        <v>5713</v>
      </c>
      <c r="BZ125" s="114">
        <f>BY125+BZ126</f>
        <v>5973</v>
      </c>
      <c r="CA125" s="114">
        <f>BZ125</f>
        <v>5973</v>
      </c>
      <c r="CC125" s="114">
        <f>CA125+CC126</f>
        <v>6198</v>
      </c>
      <c r="CD125" s="114">
        <f>CC125+CD126</f>
        <v>6423</v>
      </c>
      <c r="CE125" s="114">
        <f>CD125+CE126</f>
        <v>6648</v>
      </c>
      <c r="CF125" s="114">
        <f>CE125+CF126</f>
        <v>6873</v>
      </c>
      <c r="CG125" s="114">
        <f>CF125</f>
        <v>6873</v>
      </c>
      <c r="CI125" s="114">
        <f>CG125+CI126</f>
        <v>7048</v>
      </c>
      <c r="CJ125" s="114">
        <f>CI125+CJ126</f>
        <v>7223</v>
      </c>
      <c r="CK125" s="114">
        <f>CJ125+CK126</f>
        <v>7398</v>
      </c>
      <c r="CL125" s="114">
        <f>CK125+CL126</f>
        <v>7573</v>
      </c>
      <c r="CM125" s="114">
        <f>CL125</f>
        <v>7573</v>
      </c>
      <c r="CO125" s="114">
        <f>CM125+CO126</f>
        <v>7748</v>
      </c>
      <c r="CP125" s="114">
        <f>CO125+CP126</f>
        <v>7923</v>
      </c>
      <c r="CQ125" s="114">
        <f>CP125+CQ126</f>
        <v>8098</v>
      </c>
      <c r="CR125" s="114">
        <f>CQ125+CR126</f>
        <v>8273</v>
      </c>
      <c r="CS125" s="114">
        <f>CR125</f>
        <v>8273</v>
      </c>
      <c r="CU125" s="114">
        <f>CS125+CU126</f>
        <v>8423</v>
      </c>
      <c r="CV125" s="114">
        <f>CU125+CV126</f>
        <v>8573</v>
      </c>
      <c r="CW125" s="114">
        <f>CV125+CW126</f>
        <v>8723</v>
      </c>
      <c r="CX125" s="114">
        <f>CW125+CX126</f>
        <v>8873</v>
      </c>
      <c r="CY125" s="114">
        <f>CX125</f>
        <v>8873</v>
      </c>
      <c r="DA125" s="114">
        <f>CY125+DA126</f>
        <v>8998</v>
      </c>
      <c r="DB125" s="114">
        <f>DA125+DB126</f>
        <v>9123</v>
      </c>
      <c r="DC125" s="114">
        <f>DB125+DC126</f>
        <v>9248</v>
      </c>
      <c r="DD125" s="114">
        <f>DC125+DD126</f>
        <v>9373</v>
      </c>
      <c r="DE125" s="114">
        <f>DD125</f>
        <v>9373</v>
      </c>
      <c r="DG125" s="114">
        <f>DE125+DG126</f>
        <v>9498</v>
      </c>
      <c r="DH125" s="114">
        <f>DG125+DH126</f>
        <v>9623</v>
      </c>
      <c r="DI125" s="114">
        <f>DH125+DI126</f>
        <v>9748</v>
      </c>
      <c r="DJ125" s="114">
        <f>DI125+DJ126</f>
        <v>9873</v>
      </c>
      <c r="DK125" s="114">
        <f>DJ125</f>
        <v>9873</v>
      </c>
    </row>
    <row r="126" spans="1:115" x14ac:dyDescent="0.2">
      <c r="B126" s="478" t="s">
        <v>403</v>
      </c>
      <c r="U126" s="227"/>
      <c r="V126" s="227"/>
      <c r="W126" s="227"/>
      <c r="X126" s="227"/>
      <c r="Y126" s="227"/>
      <c r="AA126" s="227"/>
      <c r="AB126" s="227"/>
      <c r="AC126" s="227"/>
      <c r="AD126" s="227"/>
      <c r="AE126" s="227"/>
      <c r="AG126" s="114">
        <f>AG125</f>
        <v>15</v>
      </c>
      <c r="AH126" s="114">
        <f>AH125-AG125</f>
        <v>15</v>
      </c>
      <c r="AI126" s="114">
        <f>AI125-AH125</f>
        <v>5</v>
      </c>
      <c r="AJ126" s="114">
        <f>AJ125-AI125</f>
        <v>46</v>
      </c>
      <c r="AK126" s="114">
        <f>AG126+AH126+AI126+AJ126</f>
        <v>81</v>
      </c>
      <c r="AM126" s="114">
        <f>AM125-AK125</f>
        <v>46</v>
      </c>
      <c r="AN126" s="114">
        <f>AN125-AM125</f>
        <v>45</v>
      </c>
      <c r="AO126" s="114">
        <f>AO125-AN125</f>
        <v>50</v>
      </c>
      <c r="AP126" s="114">
        <f>AP125-AO125</f>
        <v>52</v>
      </c>
      <c r="AQ126" s="114">
        <f>AM126+AN126+AO126+AP126</f>
        <v>193</v>
      </c>
      <c r="AS126" s="114">
        <f>AS125-AQ125</f>
        <v>93</v>
      </c>
      <c r="AT126" s="114">
        <f>AT125-AS125</f>
        <v>108</v>
      </c>
      <c r="AU126" s="114">
        <v>111</v>
      </c>
      <c r="AV126" s="114">
        <v>132</v>
      </c>
      <c r="AW126" s="114">
        <f>AS126+AT126+AU126+AV126</f>
        <v>444</v>
      </c>
      <c r="AY126" s="114">
        <v>168</v>
      </c>
      <c r="AZ126" s="114">
        <v>159</v>
      </c>
      <c r="BA126" s="114">
        <v>177</v>
      </c>
      <c r="BB126" s="114">
        <v>222</v>
      </c>
      <c r="BC126" s="114">
        <f>AY126+AZ126+BA126+BB126</f>
        <v>726</v>
      </c>
      <c r="BE126" s="114">
        <v>297</v>
      </c>
      <c r="BF126" s="114">
        <v>287</v>
      </c>
      <c r="BG126" s="114">
        <v>246</v>
      </c>
      <c r="BH126" s="114">
        <v>281</v>
      </c>
      <c r="BI126" s="114">
        <f>BE126+BF126+BG126+BH126</f>
        <v>1111</v>
      </c>
      <c r="BK126" s="114">
        <v>332</v>
      </c>
      <c r="BL126" s="114">
        <v>282</v>
      </c>
      <c r="BM126" s="114">
        <v>316</v>
      </c>
      <c r="BN126" s="114">
        <v>298</v>
      </c>
      <c r="BO126" s="114">
        <f>BK126+BL126+BM126+BN126</f>
        <v>1228</v>
      </c>
      <c r="BQ126" s="114">
        <v>275</v>
      </c>
      <c r="BR126" s="114">
        <v>275</v>
      </c>
      <c r="BS126" s="114">
        <v>300</v>
      </c>
      <c r="BT126" s="114">
        <v>300</v>
      </c>
      <c r="BU126" s="114">
        <f>BQ126+BR126+BS126+BT126</f>
        <v>1150</v>
      </c>
      <c r="BW126" s="114">
        <v>260</v>
      </c>
      <c r="BX126" s="114">
        <v>260</v>
      </c>
      <c r="BY126" s="114">
        <v>260</v>
      </c>
      <c r="BZ126" s="114">
        <v>260</v>
      </c>
      <c r="CA126" s="114">
        <f>BW126+BX126+BY126+BZ126</f>
        <v>1040</v>
      </c>
      <c r="CC126" s="114">
        <v>225</v>
      </c>
      <c r="CD126" s="114">
        <v>225</v>
      </c>
      <c r="CE126" s="114">
        <v>225</v>
      </c>
      <c r="CF126" s="114">
        <v>225</v>
      </c>
      <c r="CG126" s="114">
        <f>CC126+CD126+CE126+CF126</f>
        <v>900</v>
      </c>
      <c r="CI126" s="114">
        <v>175</v>
      </c>
      <c r="CJ126" s="114">
        <v>175</v>
      </c>
      <c r="CK126" s="114">
        <v>175</v>
      </c>
      <c r="CL126" s="114">
        <v>175</v>
      </c>
      <c r="CM126" s="114">
        <f>CI126+CJ126+CK126+CL126</f>
        <v>700</v>
      </c>
      <c r="CO126" s="114">
        <v>175</v>
      </c>
      <c r="CP126" s="114">
        <v>175</v>
      </c>
      <c r="CQ126" s="114">
        <v>175</v>
      </c>
      <c r="CR126" s="114">
        <v>175</v>
      </c>
      <c r="CS126" s="114">
        <f>CO126+CP126+CQ126+CR126</f>
        <v>700</v>
      </c>
      <c r="CU126" s="114">
        <v>150</v>
      </c>
      <c r="CV126" s="114">
        <v>150</v>
      </c>
      <c r="CW126" s="114">
        <v>150</v>
      </c>
      <c r="CX126" s="114">
        <v>150</v>
      </c>
      <c r="CY126" s="114">
        <f>CU126+CV126+CW126+CX126</f>
        <v>600</v>
      </c>
      <c r="DA126" s="114">
        <v>125</v>
      </c>
      <c r="DB126" s="114">
        <v>125</v>
      </c>
      <c r="DC126" s="114">
        <v>125</v>
      </c>
      <c r="DD126" s="114">
        <v>125</v>
      </c>
      <c r="DE126" s="114">
        <f>DA126+DB126+DC126+DD126</f>
        <v>500</v>
      </c>
      <c r="DG126" s="114">
        <v>125</v>
      </c>
      <c r="DH126" s="114">
        <v>125</v>
      </c>
      <c r="DI126" s="114">
        <v>125</v>
      </c>
      <c r="DJ126" s="114">
        <v>125</v>
      </c>
      <c r="DK126" s="114">
        <f>DG126+DH126+DI126+DJ126</f>
        <v>500</v>
      </c>
    </row>
    <row r="127" spans="1:115" x14ac:dyDescent="0.2">
      <c r="B127" s="478"/>
      <c r="U127" s="227"/>
      <c r="V127" s="227"/>
      <c r="W127" s="227"/>
      <c r="X127" s="227"/>
      <c r="Y127" s="227"/>
      <c r="AA127" s="227"/>
      <c r="AB127" s="227"/>
      <c r="AC127" s="227"/>
      <c r="AD127" s="227"/>
      <c r="AE127" s="227"/>
      <c r="AG127" s="114"/>
      <c r="AH127" s="114"/>
      <c r="AI127" s="114"/>
      <c r="AJ127" s="114"/>
      <c r="AK127" s="114"/>
      <c r="AM127" s="114"/>
      <c r="AN127" s="114"/>
      <c r="AO127" s="114"/>
      <c r="AP127" s="114"/>
      <c r="AQ127" s="114"/>
      <c r="AS127" s="114"/>
      <c r="AT127" s="114"/>
      <c r="AU127" s="114"/>
      <c r="AV127" s="114"/>
      <c r="AW127" s="114"/>
      <c r="AY127" s="114"/>
      <c r="AZ127" s="114"/>
      <c r="BA127" s="114"/>
      <c r="BB127" s="114"/>
      <c r="BC127" s="114"/>
      <c r="BE127" s="114"/>
      <c r="BF127" s="114"/>
      <c r="BG127" s="114"/>
      <c r="BH127" s="114"/>
      <c r="BI127" s="114"/>
      <c r="BK127" s="114"/>
      <c r="BL127" s="114"/>
      <c r="BM127" s="114"/>
      <c r="BN127" s="114"/>
      <c r="BO127" s="114"/>
      <c r="BQ127" s="114"/>
      <c r="BR127" s="114"/>
      <c r="BS127" s="114"/>
      <c r="BT127" s="114"/>
      <c r="BU127" s="114"/>
      <c r="BW127" s="114"/>
      <c r="BX127" s="114"/>
      <c r="BY127" s="114"/>
      <c r="BZ127" s="114"/>
      <c r="CA127" s="114"/>
      <c r="CC127" s="114"/>
      <c r="CD127" s="114"/>
      <c r="CE127" s="114"/>
      <c r="CF127" s="114"/>
      <c r="CG127" s="114"/>
      <c r="CI127" s="114"/>
      <c r="CJ127" s="114"/>
      <c r="CK127" s="114"/>
      <c r="CL127" s="114"/>
      <c r="CM127" s="114"/>
      <c r="CO127" s="114"/>
      <c r="CP127" s="114"/>
      <c r="CQ127" s="114"/>
      <c r="CR127" s="114"/>
      <c r="CS127" s="114"/>
      <c r="CU127" s="114"/>
      <c r="CV127" s="114"/>
      <c r="CW127" s="114"/>
      <c r="CX127" s="114"/>
      <c r="CY127" s="114"/>
      <c r="DA127" s="114"/>
      <c r="DB127" s="114"/>
      <c r="DC127" s="114"/>
      <c r="DD127" s="114"/>
      <c r="DE127" s="114"/>
      <c r="DG127" s="114"/>
      <c r="DH127" s="114"/>
      <c r="DI127" s="114"/>
      <c r="DJ127" s="114"/>
      <c r="DK127" s="114"/>
    </row>
    <row r="128" spans="1:115" x14ac:dyDescent="0.2">
      <c r="B128" s="478" t="s">
        <v>399</v>
      </c>
      <c r="U128" s="230">
        <v>10.199999999999999</v>
      </c>
      <c r="V128" s="230">
        <v>10.199999999999999</v>
      </c>
      <c r="W128" s="230">
        <v>10.199999999999999</v>
      </c>
      <c r="X128" s="230">
        <v>10.199999999999999</v>
      </c>
      <c r="Y128" s="227"/>
      <c r="AA128" s="230">
        <v>10.199999999999999</v>
      </c>
      <c r="AB128" s="230">
        <v>10.199999999999999</v>
      </c>
      <c r="AC128" s="230">
        <v>10.199999999999999</v>
      </c>
      <c r="AD128" s="230">
        <v>10.199999999999999</v>
      </c>
      <c r="AE128" s="227"/>
      <c r="AG128" s="230">
        <v>10.199999999999999</v>
      </c>
      <c r="AH128" s="230">
        <v>10.199999999999999</v>
      </c>
      <c r="AI128" s="230">
        <v>10.199999999999999</v>
      </c>
      <c r="AJ128" s="230">
        <v>10.199999999999999</v>
      </c>
      <c r="AK128" s="114"/>
      <c r="AM128" s="230">
        <v>10.199999999999999</v>
      </c>
      <c r="AN128" s="230">
        <v>10.199999999999999</v>
      </c>
      <c r="AO128" s="230">
        <v>10.199999999999999</v>
      </c>
      <c r="AP128" s="230">
        <v>10.199999999999999</v>
      </c>
      <c r="AQ128" s="114"/>
      <c r="AS128" s="230">
        <v>10.199999999999999</v>
      </c>
      <c r="AT128" s="230">
        <v>10.199999999999999</v>
      </c>
      <c r="AU128" s="230">
        <v>10.199999999999999</v>
      </c>
      <c r="AV128" s="230">
        <v>10.199999999999999</v>
      </c>
      <c r="AW128" s="114"/>
      <c r="AY128" s="230">
        <v>10.199999999999999</v>
      </c>
      <c r="AZ128" s="230">
        <v>10.199999999999999</v>
      </c>
      <c r="BA128" s="230">
        <v>10.199999999999999</v>
      </c>
      <c r="BB128" s="230">
        <v>10.199999999999999</v>
      </c>
      <c r="BC128" s="114"/>
      <c r="BE128" s="230">
        <v>10.199999999999999</v>
      </c>
      <c r="BF128" s="230">
        <v>10.199999999999999</v>
      </c>
      <c r="BG128" s="230">
        <v>10</v>
      </c>
      <c r="BH128" s="230">
        <v>10</v>
      </c>
      <c r="BI128" s="114"/>
      <c r="BK128" s="230">
        <v>10</v>
      </c>
      <c r="BL128" s="230">
        <v>10</v>
      </c>
      <c r="BM128" s="230">
        <v>10</v>
      </c>
      <c r="BN128" s="230">
        <v>10</v>
      </c>
      <c r="BO128" s="114"/>
      <c r="BQ128" s="230">
        <v>10</v>
      </c>
      <c r="BR128" s="230">
        <v>10</v>
      </c>
      <c r="BS128" s="230">
        <v>10</v>
      </c>
      <c r="BT128" s="230">
        <v>10</v>
      </c>
      <c r="BU128" s="114"/>
      <c r="BW128" s="230">
        <v>10</v>
      </c>
      <c r="BX128" s="230">
        <v>10</v>
      </c>
      <c r="BY128" s="230">
        <v>10</v>
      </c>
      <c r="BZ128" s="230">
        <v>10</v>
      </c>
      <c r="CA128" s="114"/>
      <c r="CC128" s="230">
        <v>10</v>
      </c>
      <c r="CD128" s="230">
        <v>10</v>
      </c>
      <c r="CE128" s="230">
        <v>10</v>
      </c>
      <c r="CF128" s="230">
        <v>10</v>
      </c>
      <c r="CG128" s="114"/>
      <c r="CI128" s="230">
        <v>10</v>
      </c>
      <c r="CJ128" s="230">
        <v>10</v>
      </c>
      <c r="CK128" s="230">
        <v>10</v>
      </c>
      <c r="CL128" s="230">
        <v>10</v>
      </c>
      <c r="CM128" s="114"/>
      <c r="CO128" s="230">
        <v>10</v>
      </c>
      <c r="CP128" s="230">
        <v>10</v>
      </c>
      <c r="CQ128" s="230">
        <v>10</v>
      </c>
      <c r="CR128" s="230">
        <v>10</v>
      </c>
      <c r="CS128" s="114"/>
      <c r="CU128" s="230">
        <v>10</v>
      </c>
      <c r="CV128" s="230">
        <v>10</v>
      </c>
      <c r="CW128" s="230">
        <v>10</v>
      </c>
      <c r="CX128" s="230">
        <v>10</v>
      </c>
      <c r="CY128" s="114"/>
      <c r="DA128" s="230">
        <v>10</v>
      </c>
      <c r="DB128" s="230">
        <v>10</v>
      </c>
      <c r="DC128" s="230">
        <v>10</v>
      </c>
      <c r="DD128" s="230">
        <v>10</v>
      </c>
      <c r="DE128" s="114"/>
      <c r="DG128" s="230">
        <v>10</v>
      </c>
      <c r="DH128" s="230">
        <v>10</v>
      </c>
      <c r="DI128" s="230">
        <v>10</v>
      </c>
      <c r="DJ128" s="230">
        <v>10</v>
      </c>
      <c r="DK128" s="114"/>
    </row>
    <row r="129" spans="1:115" x14ac:dyDescent="0.2">
      <c r="B129" s="241" t="s">
        <v>74</v>
      </c>
      <c r="U129" s="227"/>
      <c r="V129" s="227"/>
      <c r="W129" s="227"/>
      <c r="X129" s="227"/>
      <c r="Y129" s="227"/>
      <c r="AA129" s="227"/>
      <c r="AB129" s="227"/>
      <c r="AC129" s="227"/>
      <c r="AD129" s="227"/>
      <c r="AE129" s="227"/>
      <c r="AG129" s="114"/>
      <c r="AH129" s="114"/>
      <c r="AI129" s="114"/>
      <c r="AJ129" s="114"/>
      <c r="AK129" s="114"/>
      <c r="AM129" s="114"/>
      <c r="AN129" s="114"/>
      <c r="AO129" s="114"/>
      <c r="AP129" s="114"/>
      <c r="AQ129" s="114"/>
      <c r="AS129" s="480" t="s">
        <v>35</v>
      </c>
      <c r="AT129" s="480" t="s">
        <v>35</v>
      </c>
      <c r="AU129" s="480" t="s">
        <v>35</v>
      </c>
      <c r="AV129" s="480" t="s">
        <v>35</v>
      </c>
      <c r="AW129" s="114"/>
      <c r="AY129" s="480" t="s">
        <v>35</v>
      </c>
      <c r="AZ129" s="480" t="s">
        <v>35</v>
      </c>
      <c r="BA129" s="480" t="s">
        <v>35</v>
      </c>
      <c r="BB129" s="480" t="s">
        <v>35</v>
      </c>
      <c r="BC129" s="114"/>
      <c r="BE129" s="480" t="s">
        <v>35</v>
      </c>
      <c r="BF129" s="480" t="s">
        <v>35</v>
      </c>
      <c r="BG129" s="480" t="s">
        <v>35</v>
      </c>
      <c r="BH129" s="480" t="s">
        <v>35</v>
      </c>
      <c r="BI129" s="114"/>
      <c r="BK129" s="480" t="s">
        <v>35</v>
      </c>
      <c r="BL129" s="480" t="s">
        <v>35</v>
      </c>
      <c r="BM129" s="480" t="s">
        <v>35</v>
      </c>
      <c r="BN129" s="480" t="s">
        <v>35</v>
      </c>
      <c r="BO129" s="114"/>
      <c r="BQ129" s="480" t="s">
        <v>35</v>
      </c>
      <c r="BR129" s="480" t="s">
        <v>35</v>
      </c>
      <c r="BS129" s="480" t="s">
        <v>35</v>
      </c>
      <c r="BT129" s="480" t="s">
        <v>35</v>
      </c>
      <c r="BU129" s="114"/>
      <c r="BW129" s="480" t="s">
        <v>35</v>
      </c>
      <c r="BX129" s="480" t="s">
        <v>35</v>
      </c>
      <c r="BY129" s="480" t="s">
        <v>35</v>
      </c>
      <c r="BZ129" s="480" t="s">
        <v>35</v>
      </c>
      <c r="CA129" s="114"/>
      <c r="CC129" s="480" t="s">
        <v>35</v>
      </c>
      <c r="CD129" s="480" t="s">
        <v>35</v>
      </c>
      <c r="CE129" s="480" t="s">
        <v>35</v>
      </c>
      <c r="CF129" s="480" t="s">
        <v>35</v>
      </c>
      <c r="CG129" s="114"/>
      <c r="CI129" s="480" t="s">
        <v>35</v>
      </c>
      <c r="CJ129" s="480" t="s">
        <v>35</v>
      </c>
      <c r="CK129" s="480" t="s">
        <v>35</v>
      </c>
      <c r="CL129" s="480" t="s">
        <v>35</v>
      </c>
      <c r="CM129" s="114"/>
      <c r="CO129" s="480" t="s">
        <v>35</v>
      </c>
      <c r="CP129" s="480" t="s">
        <v>35</v>
      </c>
      <c r="CQ129" s="480" t="s">
        <v>35</v>
      </c>
      <c r="CR129" s="480" t="s">
        <v>35</v>
      </c>
      <c r="CS129" s="114"/>
      <c r="CU129" s="480" t="s">
        <v>35</v>
      </c>
      <c r="CV129" s="480" t="s">
        <v>35</v>
      </c>
      <c r="CW129" s="480" t="s">
        <v>35</v>
      </c>
      <c r="CX129" s="480" t="s">
        <v>35</v>
      </c>
      <c r="CY129" s="114"/>
      <c r="DA129" s="480" t="s">
        <v>35</v>
      </c>
      <c r="DB129" s="480" t="s">
        <v>35</v>
      </c>
      <c r="DC129" s="480" t="s">
        <v>35</v>
      </c>
      <c r="DD129" s="480" t="s">
        <v>35</v>
      </c>
      <c r="DE129" s="114"/>
      <c r="DG129" s="480" t="s">
        <v>35</v>
      </c>
      <c r="DH129" s="480" t="s">
        <v>35</v>
      </c>
      <c r="DI129" s="480" t="s">
        <v>35</v>
      </c>
      <c r="DJ129" s="480" t="s">
        <v>35</v>
      </c>
      <c r="DK129" s="114"/>
    </row>
    <row r="130" spans="1:115" x14ac:dyDescent="0.2">
      <c r="B130" s="478"/>
      <c r="U130" s="227"/>
      <c r="V130" s="227"/>
      <c r="W130" s="227"/>
      <c r="X130" s="227"/>
      <c r="Y130" s="227"/>
      <c r="AA130" s="227"/>
      <c r="AB130" s="227"/>
      <c r="AC130" s="227"/>
      <c r="AD130" s="227"/>
      <c r="AE130" s="227"/>
      <c r="AG130" s="227"/>
      <c r="AH130" s="227"/>
      <c r="AI130" s="227"/>
      <c r="AJ130" s="227"/>
      <c r="AK130" s="227"/>
      <c r="AM130" s="227"/>
      <c r="AN130" s="227"/>
      <c r="AO130" s="227"/>
      <c r="AP130" s="227"/>
      <c r="AQ130" s="227"/>
      <c r="AS130" s="227"/>
      <c r="AT130" s="227"/>
      <c r="AU130" s="227"/>
      <c r="AV130" s="227"/>
      <c r="AW130" s="227"/>
      <c r="AY130" s="227"/>
      <c r="AZ130" s="227"/>
      <c r="BA130" s="227"/>
      <c r="BB130" s="227"/>
      <c r="BC130" s="227"/>
      <c r="BE130" s="227"/>
      <c r="BF130" s="227"/>
      <c r="BG130" s="227"/>
      <c r="BH130" s="227"/>
      <c r="BI130" s="227"/>
      <c r="BK130" s="227"/>
      <c r="BL130" s="227"/>
      <c r="BM130" s="227"/>
      <c r="BN130" s="227"/>
      <c r="BO130" s="227"/>
      <c r="BQ130" s="227"/>
      <c r="BR130" s="227"/>
      <c r="BS130" s="227"/>
      <c r="BT130" s="227"/>
      <c r="BU130" s="227"/>
      <c r="BW130" s="227"/>
      <c r="BX130" s="227"/>
      <c r="BY130" s="227"/>
      <c r="BZ130" s="227"/>
      <c r="CA130" s="227"/>
      <c r="CC130" s="227"/>
      <c r="CD130" s="227"/>
      <c r="CE130" s="227"/>
      <c r="CF130" s="227"/>
      <c r="CG130" s="227"/>
      <c r="CI130" s="227"/>
      <c r="CJ130" s="227"/>
      <c r="CK130" s="227"/>
      <c r="CL130" s="227"/>
      <c r="CM130" s="227"/>
      <c r="CO130" s="227"/>
      <c r="CP130" s="227"/>
      <c r="CQ130" s="227"/>
      <c r="CR130" s="227"/>
      <c r="CS130" s="227"/>
      <c r="CU130" s="227"/>
      <c r="CV130" s="227"/>
      <c r="CW130" s="227"/>
      <c r="CX130" s="227"/>
      <c r="CY130" s="227"/>
      <c r="DA130" s="227"/>
      <c r="DB130" s="227"/>
      <c r="DC130" s="227"/>
      <c r="DD130" s="227"/>
      <c r="DE130" s="227"/>
      <c r="DG130" s="227"/>
      <c r="DH130" s="227"/>
      <c r="DI130" s="227"/>
      <c r="DJ130" s="227"/>
      <c r="DK130" s="227"/>
    </row>
    <row r="131" spans="1:115" x14ac:dyDescent="0.2">
      <c r="B131" s="478" t="s">
        <v>400</v>
      </c>
      <c r="U131" s="227"/>
      <c r="V131" s="227"/>
      <c r="W131" s="227"/>
      <c r="X131" s="227"/>
      <c r="Y131" s="227"/>
      <c r="AA131" s="230">
        <v>20</v>
      </c>
      <c r="AB131" s="230">
        <v>20</v>
      </c>
      <c r="AC131" s="230">
        <v>20</v>
      </c>
      <c r="AD131" s="230">
        <v>20</v>
      </c>
      <c r="AE131" s="227"/>
      <c r="AG131" s="230">
        <v>20</v>
      </c>
      <c r="AH131" s="230">
        <v>20</v>
      </c>
      <c r="AI131" s="230">
        <v>20</v>
      </c>
      <c r="AJ131" s="230">
        <v>20</v>
      </c>
      <c r="AK131" s="227"/>
      <c r="AM131" s="230">
        <v>20</v>
      </c>
      <c r="AN131" s="230">
        <v>20</v>
      </c>
      <c r="AO131" s="230">
        <v>20</v>
      </c>
      <c r="AP131" s="230">
        <v>20</v>
      </c>
      <c r="AQ131" s="227"/>
      <c r="AS131" s="230">
        <v>20</v>
      </c>
      <c r="AT131" s="230">
        <v>20</v>
      </c>
      <c r="AU131" s="230">
        <v>20</v>
      </c>
      <c r="AV131" s="230">
        <v>20</v>
      </c>
      <c r="AW131" s="227"/>
      <c r="AY131" s="230">
        <v>20</v>
      </c>
      <c r="AZ131" s="230">
        <v>20</v>
      </c>
      <c r="BA131" s="230">
        <v>20</v>
      </c>
      <c r="BB131" s="230">
        <v>20</v>
      </c>
      <c r="BC131" s="227"/>
      <c r="BE131" s="230">
        <v>20</v>
      </c>
      <c r="BF131" s="230">
        <v>20</v>
      </c>
      <c r="BG131" s="230">
        <v>20</v>
      </c>
      <c r="BH131" s="230">
        <v>20</v>
      </c>
      <c r="BI131" s="227"/>
      <c r="BK131" s="230">
        <f>BE131*1.01</f>
        <v>20.2</v>
      </c>
      <c r="BL131" s="230">
        <f>BF131*1.01</f>
        <v>20.2</v>
      </c>
      <c r="BM131" s="230">
        <f>BG131*1.01</f>
        <v>20.2</v>
      </c>
      <c r="BN131" s="230">
        <f>BH131*1.01</f>
        <v>20.2</v>
      </c>
      <c r="BO131" s="227"/>
      <c r="BQ131" s="230">
        <f>BK131*1.01</f>
        <v>20.402000000000001</v>
      </c>
      <c r="BR131" s="230">
        <f>BL131*1.01</f>
        <v>20.402000000000001</v>
      </c>
      <c r="BS131" s="230">
        <f>BM131*1.01</f>
        <v>20.402000000000001</v>
      </c>
      <c r="BT131" s="230">
        <f>BN131*1.01</f>
        <v>20.402000000000001</v>
      </c>
      <c r="BU131" s="227"/>
      <c r="BW131" s="230">
        <f>BQ131*1.01</f>
        <v>20.606020000000001</v>
      </c>
      <c r="BX131" s="230">
        <f>BR131*1.01</f>
        <v>20.606020000000001</v>
      </c>
      <c r="BY131" s="230">
        <f>BS131*1.01</f>
        <v>20.606020000000001</v>
      </c>
      <c r="BZ131" s="230">
        <f>BT131*1.01</f>
        <v>20.606020000000001</v>
      </c>
      <c r="CA131" s="227"/>
      <c r="CC131" s="230">
        <f>BW131*1.01</f>
        <v>20.8120802</v>
      </c>
      <c r="CD131" s="230">
        <f>BX131*1.01</f>
        <v>20.8120802</v>
      </c>
      <c r="CE131" s="230">
        <f>BY131*1.01</f>
        <v>20.8120802</v>
      </c>
      <c r="CF131" s="230">
        <f>BZ131*1.01</f>
        <v>20.8120802</v>
      </c>
      <c r="CG131" s="227"/>
      <c r="CI131" s="230">
        <f>CC131*1.02</f>
        <v>21.228321804</v>
      </c>
      <c r="CJ131" s="230">
        <f>CD131*1.02</f>
        <v>21.228321804</v>
      </c>
      <c r="CK131" s="230">
        <f>CE131*1.02</f>
        <v>21.228321804</v>
      </c>
      <c r="CL131" s="230">
        <f>CF131*1.02</f>
        <v>21.228321804</v>
      </c>
      <c r="CM131" s="227"/>
      <c r="CO131" s="230">
        <f>CI131*1.025</f>
        <v>21.759029849099999</v>
      </c>
      <c r="CP131" s="230">
        <f>CJ131*1.025</f>
        <v>21.759029849099999</v>
      </c>
      <c r="CQ131" s="230">
        <f>CK131*1.025</f>
        <v>21.759029849099999</v>
      </c>
      <c r="CR131" s="230">
        <f>CL131*1.025</f>
        <v>21.759029849099999</v>
      </c>
      <c r="CS131" s="227"/>
      <c r="CU131" s="230">
        <f>CO131*1.025</f>
        <v>22.303005595327498</v>
      </c>
      <c r="CV131" s="230">
        <f>CP131*1.025</f>
        <v>22.303005595327498</v>
      </c>
      <c r="CW131" s="230">
        <f>CQ131*1.025</f>
        <v>22.303005595327498</v>
      </c>
      <c r="CX131" s="230">
        <f>CR131*1.025</f>
        <v>22.303005595327498</v>
      </c>
      <c r="CY131" s="227"/>
      <c r="DA131" s="230">
        <f>CU131*1.025</f>
        <v>22.860580735210682</v>
      </c>
      <c r="DB131" s="230">
        <f>CV131*1.025</f>
        <v>22.860580735210682</v>
      </c>
      <c r="DC131" s="230">
        <f>CW131*1.025</f>
        <v>22.860580735210682</v>
      </c>
      <c r="DD131" s="230">
        <f>CX131*1.025</f>
        <v>22.860580735210682</v>
      </c>
      <c r="DE131" s="227"/>
      <c r="DG131" s="230">
        <f>DA131*1.025</f>
        <v>23.432095253590948</v>
      </c>
      <c r="DH131" s="230">
        <f>DB131*1.025</f>
        <v>23.432095253590948</v>
      </c>
      <c r="DI131" s="230">
        <f>DC131*1.025</f>
        <v>23.432095253590948</v>
      </c>
      <c r="DJ131" s="230">
        <f>DD131*1.025</f>
        <v>23.432095253590948</v>
      </c>
      <c r="DK131" s="227"/>
    </row>
    <row r="132" spans="1:115" x14ac:dyDescent="0.2">
      <c r="B132" s="241" t="s">
        <v>74</v>
      </c>
      <c r="U132" s="227"/>
      <c r="V132" s="227"/>
      <c r="W132" s="227"/>
      <c r="X132" s="227"/>
      <c r="Y132" s="227"/>
      <c r="AA132" s="480" t="s">
        <v>35</v>
      </c>
      <c r="AB132" s="480" t="s">
        <v>35</v>
      </c>
      <c r="AC132" s="480" t="s">
        <v>35</v>
      </c>
      <c r="AD132" s="480" t="s">
        <v>35</v>
      </c>
      <c r="AE132" s="227"/>
      <c r="AG132" s="227">
        <f>AG131/AA131-1</f>
        <v>0</v>
      </c>
      <c r="AH132" s="227">
        <f>AH131/AB131-1</f>
        <v>0</v>
      </c>
      <c r="AI132" s="227">
        <f>AI131/AC131-1</f>
        <v>0</v>
      </c>
      <c r="AJ132" s="227">
        <f>AJ131/AD131-1</f>
        <v>0</v>
      </c>
      <c r="AK132" s="227"/>
      <c r="AM132" s="227">
        <f>AM131/AG131-1</f>
        <v>0</v>
      </c>
      <c r="AN132" s="227">
        <f>AN131/AH131-1</f>
        <v>0</v>
      </c>
      <c r="AO132" s="227">
        <f>AO131/AI131-1</f>
        <v>0</v>
      </c>
      <c r="AP132" s="227">
        <f>AP131/AJ131-1</f>
        <v>0</v>
      </c>
      <c r="AQ132" s="227"/>
      <c r="AS132" s="227">
        <f>AS131/AM131-1</f>
        <v>0</v>
      </c>
      <c r="AT132" s="227">
        <f>AT131/AN131-1</f>
        <v>0</v>
      </c>
      <c r="AU132" s="227">
        <f>AU131/AO131-1</f>
        <v>0</v>
      </c>
      <c r="AV132" s="227">
        <f>AV131/AP131-1</f>
        <v>0</v>
      </c>
      <c r="AW132" s="227"/>
      <c r="AY132" s="227">
        <f>AY131/AS131-1</f>
        <v>0</v>
      </c>
      <c r="AZ132" s="227">
        <f>AZ131/AT131-1</f>
        <v>0</v>
      </c>
      <c r="BA132" s="227">
        <f>BA131/AU131-1</f>
        <v>0</v>
      </c>
      <c r="BB132" s="227">
        <f>BB131/AV131-1</f>
        <v>0</v>
      </c>
      <c r="BC132" s="227"/>
      <c r="BE132" s="227">
        <f>BE131/AY131-1</f>
        <v>0</v>
      </c>
      <c r="BF132" s="227">
        <f>BF131/AZ131-1</f>
        <v>0</v>
      </c>
      <c r="BG132" s="227">
        <f>BG131/BA131-1</f>
        <v>0</v>
      </c>
      <c r="BH132" s="227">
        <f>BH131/BB131-1</f>
        <v>0</v>
      </c>
      <c r="BI132" s="227"/>
      <c r="BK132" s="227">
        <f>BK131/BE131-1</f>
        <v>1.0000000000000009E-2</v>
      </c>
      <c r="BL132" s="227">
        <f>BL131/BF131-1</f>
        <v>1.0000000000000009E-2</v>
      </c>
      <c r="BM132" s="227">
        <f>BM131/BG131-1</f>
        <v>1.0000000000000009E-2</v>
      </c>
      <c r="BN132" s="227">
        <f>BN131/BH131-1</f>
        <v>1.0000000000000009E-2</v>
      </c>
      <c r="BO132" s="227"/>
      <c r="BQ132" s="227">
        <f>BQ131/BK131-1</f>
        <v>1.0000000000000009E-2</v>
      </c>
      <c r="BR132" s="227">
        <f>BR131/BL131-1</f>
        <v>1.0000000000000009E-2</v>
      </c>
      <c r="BS132" s="227">
        <f>BS131/BM131-1</f>
        <v>1.0000000000000009E-2</v>
      </c>
      <c r="BT132" s="227">
        <f>BT131/BN131-1</f>
        <v>1.0000000000000009E-2</v>
      </c>
      <c r="BU132" s="227"/>
      <c r="BW132" s="227">
        <v>1.4999999999999999E-2</v>
      </c>
      <c r="BX132" s="227">
        <v>1.4999999999999999E-2</v>
      </c>
      <c r="BY132" s="227">
        <v>1.4999999999999999E-2</v>
      </c>
      <c r="BZ132" s="227">
        <v>1.4999999999999999E-2</v>
      </c>
      <c r="CA132" s="227"/>
      <c r="CC132" s="227">
        <v>0.02</v>
      </c>
      <c r="CD132" s="227">
        <v>0.02</v>
      </c>
      <c r="CE132" s="227">
        <v>0.02</v>
      </c>
      <c r="CF132" s="227">
        <v>0.02</v>
      </c>
      <c r="CG132" s="227"/>
      <c r="CI132" s="227">
        <v>2.5000000000000001E-2</v>
      </c>
      <c r="CJ132" s="227">
        <v>2.5000000000000001E-2</v>
      </c>
      <c r="CK132" s="227">
        <v>2.5000000000000001E-2</v>
      </c>
      <c r="CL132" s="227">
        <v>2.5000000000000001E-2</v>
      </c>
      <c r="CM132" s="227"/>
      <c r="CO132" s="227">
        <v>0.03</v>
      </c>
      <c r="CP132" s="227">
        <v>0.03</v>
      </c>
      <c r="CQ132" s="227">
        <v>0.03</v>
      </c>
      <c r="CR132" s="227">
        <v>0.03</v>
      </c>
      <c r="CS132" s="227"/>
      <c r="CU132" s="227">
        <v>0.03</v>
      </c>
      <c r="CV132" s="227">
        <v>0.03</v>
      </c>
      <c r="CW132" s="227">
        <v>0.03</v>
      </c>
      <c r="CX132" s="227">
        <v>0.03</v>
      </c>
      <c r="CY132" s="227"/>
      <c r="DA132" s="227">
        <v>0.03</v>
      </c>
      <c r="DB132" s="227">
        <v>0.03</v>
      </c>
      <c r="DC132" s="227">
        <v>0.03</v>
      </c>
      <c r="DD132" s="227">
        <v>0.03</v>
      </c>
      <c r="DE132" s="227"/>
      <c r="DG132" s="227">
        <v>0.03</v>
      </c>
      <c r="DH132" s="227">
        <v>0.03</v>
      </c>
      <c r="DI132" s="227">
        <v>0.03</v>
      </c>
      <c r="DJ132" s="227">
        <v>0.03</v>
      </c>
      <c r="DK132" s="227"/>
    </row>
    <row r="133" spans="1:115" x14ac:dyDescent="0.2">
      <c r="B133" s="241"/>
      <c r="U133" s="227"/>
      <c r="V133" s="227"/>
      <c r="W133" s="227"/>
      <c r="X133" s="227"/>
      <c r="Y133" s="227"/>
      <c r="AA133" s="227"/>
      <c r="AB133" s="227"/>
      <c r="AC133" s="227"/>
      <c r="AD133" s="227"/>
      <c r="AE133" s="227"/>
      <c r="AG133" s="227"/>
      <c r="AH133" s="227"/>
      <c r="AI133" s="227"/>
      <c r="AJ133" s="227"/>
      <c r="AK133" s="227"/>
      <c r="AM133" s="227"/>
      <c r="AN133" s="227"/>
      <c r="AO133" s="227"/>
      <c r="AP133" s="227"/>
      <c r="AQ133" s="227"/>
      <c r="AS133" s="227"/>
      <c r="AT133" s="227"/>
      <c r="AU133" s="227"/>
      <c r="AV133" s="227"/>
      <c r="AW133" s="227"/>
      <c r="AY133" s="227"/>
      <c r="AZ133" s="227"/>
      <c r="BA133" s="227"/>
      <c r="BB133" s="227"/>
      <c r="BC133" s="227"/>
      <c r="BE133" s="227"/>
      <c r="BF133" s="227"/>
      <c r="BG133" s="227"/>
      <c r="BH133" s="227"/>
      <c r="BI133" s="227"/>
      <c r="BK133" s="227"/>
      <c r="BL133" s="227"/>
      <c r="BM133" s="227"/>
      <c r="BN133" s="227"/>
      <c r="BO133" s="227"/>
      <c r="BQ133" s="227"/>
      <c r="BR133" s="227"/>
      <c r="BS133" s="227"/>
      <c r="BT133" s="227"/>
      <c r="BU133" s="227"/>
      <c r="BW133" s="227"/>
      <c r="BX133" s="227"/>
      <c r="BY133" s="227"/>
      <c r="BZ133" s="227"/>
      <c r="CA133" s="227"/>
      <c r="CC133" s="227"/>
      <c r="CD133" s="227"/>
      <c r="CE133" s="227"/>
      <c r="CF133" s="227"/>
      <c r="CG133" s="227"/>
      <c r="CI133" s="227"/>
      <c r="CJ133" s="227"/>
      <c r="CK133" s="227"/>
      <c r="CL133" s="227"/>
      <c r="CM133" s="227"/>
      <c r="CO133" s="227"/>
      <c r="CP133" s="227"/>
      <c r="CQ133" s="227"/>
      <c r="CR133" s="227"/>
      <c r="CS133" s="227"/>
      <c r="CU133" s="227"/>
      <c r="CV133" s="227"/>
      <c r="CW133" s="227"/>
      <c r="CX133" s="227"/>
      <c r="CY133" s="227"/>
      <c r="DA133" s="227"/>
      <c r="DB133" s="227"/>
      <c r="DC133" s="227"/>
      <c r="DD133" s="227"/>
      <c r="DE133" s="227"/>
      <c r="DG133" s="227"/>
      <c r="DH133" s="227"/>
      <c r="DI133" s="227"/>
      <c r="DJ133" s="227"/>
      <c r="DK133" s="227"/>
    </row>
    <row r="134" spans="1:115" s="485" customFormat="1" x14ac:dyDescent="0.2">
      <c r="B134" s="273" t="s">
        <v>406</v>
      </c>
      <c r="C134" s="129"/>
      <c r="D134" s="129"/>
      <c r="E134" s="129"/>
      <c r="F134" s="129"/>
      <c r="G134" s="129"/>
      <c r="H134" s="129"/>
      <c r="I134" s="129"/>
      <c r="J134" s="129"/>
      <c r="K134" s="129"/>
      <c r="L134" s="129"/>
      <c r="M134" s="129"/>
      <c r="N134" s="129"/>
      <c r="O134" s="129"/>
      <c r="P134" s="129"/>
      <c r="Q134" s="129"/>
      <c r="R134" s="129"/>
      <c r="S134" s="129"/>
      <c r="T134" s="129"/>
      <c r="U134" s="615">
        <f>((S123+U123)/2)*3*U128/1000</f>
        <v>338.74200000000002</v>
      </c>
      <c r="V134" s="615">
        <f>((U123+V123)/2)*3*V128/1000</f>
        <v>338.8338</v>
      </c>
      <c r="W134" s="615">
        <f>((V123+W123)/2)*3*W128/1000</f>
        <v>337.67099999999999</v>
      </c>
      <c r="X134" s="615">
        <f>((W123+X123)/2)*3*X128/1000</f>
        <v>340.19549999999998</v>
      </c>
      <c r="Y134" s="615">
        <f>(U134+V134+W134+X134)</f>
        <v>1355.4423000000002</v>
      </c>
      <c r="AA134" s="615">
        <f>((Y123+AA123)/2)*3*AA128/1000</f>
        <v>343.56150000000002</v>
      </c>
      <c r="AB134" s="615">
        <f>((AA123+AB123)/2)*3*AB128/1000</f>
        <v>344.55599999999998</v>
      </c>
      <c r="AC134" s="615">
        <f>((AB123+AC123)/2)*3*AC128/1000</f>
        <v>344.63249999999999</v>
      </c>
      <c r="AD134" s="615">
        <f>((AC123+AD123)/2)*3*AD128/1000</f>
        <v>345.16800000000001</v>
      </c>
      <c r="AE134" s="615">
        <f>(AA134+AB134+AC134+AD134)</f>
        <v>1377.9180000000001</v>
      </c>
      <c r="AG134" s="615">
        <f>((AE123+AG123)/2)*3*AG128/1000</f>
        <v>345.16800000000001</v>
      </c>
      <c r="AH134" s="615">
        <f>((AG123+AH123)/2)*3*AH128/1000</f>
        <v>344.78550000000001</v>
      </c>
      <c r="AI134" s="615">
        <f>((AH123+AI123)/2)*3*AI128/1000</f>
        <v>342.18450000000001</v>
      </c>
      <c r="AJ134" s="615">
        <f>((AI123+AJ123)/2)*3*AJ128/1000</f>
        <v>338.34419999999994</v>
      </c>
      <c r="AK134" s="615">
        <f>(AG134+AH134+AI134+AJ134)</f>
        <v>1370.4822000000001</v>
      </c>
      <c r="AM134" s="615">
        <f>((AK123+AM123)/2)*3*AM128/1000</f>
        <v>337.31909999999999</v>
      </c>
      <c r="AN134" s="615">
        <f>((AM123+AN123)/2)*3*AN128/1000</f>
        <v>337.45679999999999</v>
      </c>
      <c r="AO134" s="615">
        <f>((AN123+AO123)/2)*3*AO128/1000</f>
        <v>336.07979999999998</v>
      </c>
      <c r="AP134" s="615">
        <f>((AO123+AP123)/2)*3*AP128/1000</f>
        <v>334.97819999999996</v>
      </c>
      <c r="AQ134" s="615">
        <f>(AM134+AN134+AO134+AP134)</f>
        <v>1345.8338999999999</v>
      </c>
      <c r="AS134" s="615">
        <f>((AQ123+AS123)/2)*3*AS128/1000</f>
        <v>334.28969999999993</v>
      </c>
      <c r="AT134" s="615">
        <f>((AS123+AT123)/2)*3*AT128/1000</f>
        <v>333.35639999999995</v>
      </c>
      <c r="AU134" s="615">
        <f>((AT123+AU123)/2)*3*AU128/1000</f>
        <v>332.30069999999995</v>
      </c>
      <c r="AV134" s="615">
        <f>((AU123+AV123)/2)*3*AV128/1000</f>
        <v>329.88329999999996</v>
      </c>
      <c r="AW134" s="615">
        <f>(AS134+AT134+AU134+AV134)</f>
        <v>1329.8300999999999</v>
      </c>
      <c r="AY134" s="615">
        <f>((AW123+AY123)/2)*3*AY128/1000</f>
        <v>326.44079999999997</v>
      </c>
      <c r="AZ134" s="615">
        <f>((AY123+AZ123)/2)*3*AZ128/1000</f>
        <v>322.58519999999993</v>
      </c>
      <c r="BA134" s="615">
        <f>((AZ123+BA123)/2)*3*BA128/1000</f>
        <v>317.44439999999997</v>
      </c>
      <c r="BB134" s="615">
        <f>((BA123+BB123)/2)*3*BB128/1000</f>
        <v>311.95169999999996</v>
      </c>
      <c r="BC134" s="615">
        <f>(AY134+AZ134+BA134+BB134)</f>
        <v>1278.4220999999998</v>
      </c>
      <c r="BE134" s="615">
        <f>((BC123+BE123)/2)*3*BE128/1000</f>
        <v>307.91250000000002</v>
      </c>
      <c r="BF134" s="615">
        <f>((BE123+BF123)/2)*3*BF128/1000</f>
        <v>304.17930000000001</v>
      </c>
      <c r="BG134" s="615">
        <f>((BF123+BG123)/2)*3*BG128/1000</f>
        <v>293.97000000000003</v>
      </c>
      <c r="BH134" s="615">
        <f>((BG123+BH123)/2)*3*BH128/1000</f>
        <v>288.24</v>
      </c>
      <c r="BI134" s="615">
        <f>(BE134+BF134+BG134+BH134)</f>
        <v>1194.3018000000002</v>
      </c>
      <c r="BK134" s="615">
        <f>((BI123+BK123)/2)*3*BK128/1000</f>
        <v>280.84500000000003</v>
      </c>
      <c r="BL134" s="615">
        <f>((BK123+BL123)/2)*3*BL128/1000</f>
        <v>273.88499999999999</v>
      </c>
      <c r="BM134" s="615">
        <f>((BL123+BM123)/2)*3*BM128/1000</f>
        <v>266.94</v>
      </c>
      <c r="BN134" s="615">
        <f>((BM123+BN123)/2)*3*BN128/1000</f>
        <v>260.13</v>
      </c>
      <c r="BO134" s="615">
        <f>(BK134+BL134+BM134+BN134)</f>
        <v>1081.8000000000002</v>
      </c>
      <c r="BQ134" s="615">
        <f>((BO123+BQ123)/2)*3*BQ128/1000</f>
        <v>253.86</v>
      </c>
      <c r="BR134" s="615">
        <f>((BQ123+BR123)/2)*3*BR128/1000</f>
        <v>247.185</v>
      </c>
      <c r="BS134" s="615">
        <f>((BR123+BS123)/2)*3*BS128/1000</f>
        <v>239.83500000000001</v>
      </c>
      <c r="BT134" s="615">
        <f>((BS123+BT123)/2)*3*BT128/1000</f>
        <v>231.88499999999999</v>
      </c>
      <c r="BU134" s="615">
        <f>(BQ134+BR134+BS134+BT134)</f>
        <v>972.76499999999999</v>
      </c>
      <c r="BW134" s="615">
        <f>((BU123+BW123)/2)*3*BW128/1000</f>
        <v>224.38499999999999</v>
      </c>
      <c r="BX134" s="615">
        <f>((BW123+BX123)/2)*3*BX128/1000</f>
        <v>217.185</v>
      </c>
      <c r="BY134" s="615">
        <f>((BX123+BY123)/2)*3*BY128/1000</f>
        <v>209.61</v>
      </c>
      <c r="BZ134" s="615">
        <f>((BY123+BZ123)/2)*3*BZ128/1000</f>
        <v>202.035</v>
      </c>
      <c r="CA134" s="615">
        <f>(BW134+BX134+BY134+BZ134)</f>
        <v>853.21500000000003</v>
      </c>
      <c r="CC134" s="615">
        <f>((CA123+CC123)/2)*3*CC128/1000</f>
        <v>194.685</v>
      </c>
      <c r="CD134" s="615">
        <f>((CC123+CD123)/2)*3*CD128/1000</f>
        <v>187.33500000000001</v>
      </c>
      <c r="CE134" s="615">
        <f>((CD123+CE123)/2)*3*CE128/1000</f>
        <v>179.98500000000001</v>
      </c>
      <c r="CF134" s="615">
        <f>((CE123+CF123)/2)*3*CF128/1000</f>
        <v>172.63499999999999</v>
      </c>
      <c r="CG134" s="615">
        <f>(CC134+CD134+CE134+CF134)</f>
        <v>734.64</v>
      </c>
      <c r="CI134" s="615">
        <f>((CG123+CI123)/2)*3*CI128/1000</f>
        <v>165.81</v>
      </c>
      <c r="CJ134" s="615">
        <f>((CI123+CJ123)/2)*3*CJ128/1000</f>
        <v>159.51</v>
      </c>
      <c r="CK134" s="615">
        <f>((CJ123+CK123)/2)*3*CK128/1000</f>
        <v>153.21</v>
      </c>
      <c r="CL134" s="615">
        <f>((CK123+CL123)/2)*3*CL128/1000</f>
        <v>146.91</v>
      </c>
      <c r="CM134" s="615">
        <f>(CI134+CJ134+CK134+CL134)</f>
        <v>625.43999999999994</v>
      </c>
      <c r="CO134" s="615">
        <f>((CM123+CO123)/2)*3*CO128/1000</f>
        <v>140.685</v>
      </c>
      <c r="CP134" s="615">
        <f>((CO123+CP123)/2)*3*CP128/1000</f>
        <v>134.535</v>
      </c>
      <c r="CQ134" s="615">
        <f>((CP123+CQ123)/2)*3*CQ128/1000</f>
        <v>128.38499999999999</v>
      </c>
      <c r="CR134" s="615">
        <f>((CQ123+CR123)/2)*3*CR128/1000</f>
        <v>122.235</v>
      </c>
      <c r="CS134" s="615">
        <f>(CO134+CP134+CQ134+CR134)</f>
        <v>525.84</v>
      </c>
      <c r="CU134" s="615">
        <f>((CS123+CU123)/2)*3*CU128/1000</f>
        <v>116.46</v>
      </c>
      <c r="CV134" s="615">
        <f>((CU123+CV123)/2)*3*CV128/1000</f>
        <v>111.06</v>
      </c>
      <c r="CW134" s="615">
        <f>((CV123+CW123)/2)*3*CW128/1000</f>
        <v>105.66</v>
      </c>
      <c r="CX134" s="615">
        <f>((CW123+CX123)/2)*3*CX128/1000</f>
        <v>100.26</v>
      </c>
      <c r="CY134" s="615">
        <f>(CU134+CV134+CW134+CX134)</f>
        <v>433.43999999999994</v>
      </c>
      <c r="DA134" s="615">
        <f>((CY123+DA123)/2)*3*DA128/1000</f>
        <v>95.31</v>
      </c>
      <c r="DB134" s="615">
        <f>((DA123+DB123)/2)*3*DB128/1000</f>
        <v>90.81</v>
      </c>
      <c r="DC134" s="615">
        <f>((DB123+DC123)/2)*3*DC128/1000</f>
        <v>86.31</v>
      </c>
      <c r="DD134" s="615">
        <f>((DC123+DD123)/2)*3*DD128/1000</f>
        <v>81.81</v>
      </c>
      <c r="DE134" s="615">
        <f>(DA134+DB134+DC134+DD134)</f>
        <v>354.24</v>
      </c>
      <c r="DG134" s="615">
        <f>((DE123+DG123)/2)*3*DG128/1000</f>
        <v>77.31</v>
      </c>
      <c r="DH134" s="615">
        <f>((DG123+DH123)/2)*3*DH128/1000</f>
        <v>72.81</v>
      </c>
      <c r="DI134" s="615">
        <f>((DH123+DI123)/2)*3*DI128/1000</f>
        <v>68.31</v>
      </c>
      <c r="DJ134" s="615">
        <f>((DI123+DJ123)/2)*3*DJ128/1000</f>
        <v>63.81</v>
      </c>
      <c r="DK134" s="615">
        <f>(DG134+DH134+DI134+DJ134)</f>
        <v>282.24</v>
      </c>
    </row>
    <row r="135" spans="1:115" x14ac:dyDescent="0.2">
      <c r="B135" s="241" t="s">
        <v>74</v>
      </c>
      <c r="U135" s="227"/>
      <c r="V135" s="227"/>
      <c r="W135" s="227"/>
      <c r="X135" s="227"/>
      <c r="Y135" s="227"/>
      <c r="AA135" s="227"/>
      <c r="AB135" s="227"/>
      <c r="AC135" s="227"/>
      <c r="AD135" s="227"/>
      <c r="AE135" s="227"/>
      <c r="AG135" s="227">
        <f>AG134/AA134-1</f>
        <v>4.676018704074858E-3</v>
      </c>
      <c r="AH135" s="227">
        <f>AH134/AB134-1</f>
        <v>6.6607460035528199E-4</v>
      </c>
      <c r="AI135" s="227">
        <f>AI134/AC134-1</f>
        <v>-7.1032186459488722E-3</v>
      </c>
      <c r="AJ135" s="227">
        <f>AJ134/AD134-1</f>
        <v>-1.9769503546099521E-2</v>
      </c>
      <c r="AK135" s="227">
        <f>AK134/AE134-1</f>
        <v>-5.3964023984010012E-3</v>
      </c>
      <c r="AM135" s="227">
        <f>AM134/AG134-1</f>
        <v>-2.2739361702127647E-2</v>
      </c>
      <c r="AN135" s="227">
        <f>AN134/AH134-1</f>
        <v>-2.1255824273352597E-2</v>
      </c>
      <c r="AO135" s="227">
        <f>AO134/AI134-1</f>
        <v>-1.7840375586854584E-2</v>
      </c>
      <c r="AP135" s="227">
        <f>AP134/AJ134-1</f>
        <v>-9.9484489463688153E-3</v>
      </c>
      <c r="AQ135" s="227">
        <f>AQ134/AK134-1</f>
        <v>-1.798512961350418E-2</v>
      </c>
      <c r="AS135" s="227">
        <f>AS134/AM134-1</f>
        <v>-8.980813716152003E-3</v>
      </c>
      <c r="AT135" s="227">
        <f>AT134/AN134-1</f>
        <v>-1.2150888647080249E-2</v>
      </c>
      <c r="AU135" s="227">
        <f>AU134/AO134-1</f>
        <v>-1.1244650824000835E-2</v>
      </c>
      <c r="AV135" s="227">
        <f>AV134/AP134-1</f>
        <v>-1.5209646478487215E-2</v>
      </c>
      <c r="AW135" s="227">
        <f>AW134/AQ134-1</f>
        <v>-1.1891363414162748E-2</v>
      </c>
      <c r="AY135" s="227">
        <f>AY134/AS134-1</f>
        <v>-2.3479335438692739E-2</v>
      </c>
      <c r="AZ135" s="227">
        <f>AZ134/AT134-1</f>
        <v>-3.2311364053607572E-2</v>
      </c>
      <c r="BA135" s="227">
        <f>BA134/AU134-1</f>
        <v>-4.4707399051521657E-2</v>
      </c>
      <c r="BB135" s="227">
        <f>BB134/AV134-1</f>
        <v>-5.435740457307181E-2</v>
      </c>
      <c r="BC135" s="227">
        <f>BC134/AW134-1</f>
        <v>-3.8657569865503949E-2</v>
      </c>
      <c r="BE135" s="227">
        <f>BE134/AY134-1</f>
        <v>-5.6758530183726896E-2</v>
      </c>
      <c r="BF135" s="227">
        <f>BF134/AZ134-1</f>
        <v>-5.7057484348320808E-2</v>
      </c>
      <c r="BG135" s="227">
        <f>BG134/BA134-1</f>
        <v>-7.3948067756117175E-2</v>
      </c>
      <c r="BH135" s="227">
        <f>BH134/BB134-1</f>
        <v>-7.6010805518931135E-2</v>
      </c>
      <c r="BI135" s="227">
        <f>BI134/BC134-1</f>
        <v>-6.5800098418198227E-2</v>
      </c>
      <c r="BK135" s="227">
        <f>BK134/BE134-1</f>
        <v>-8.7906466934599914E-2</v>
      </c>
      <c r="BL135" s="227">
        <f>BL134/BF134-1</f>
        <v>-9.9593562086571996E-2</v>
      </c>
      <c r="BM135" s="227">
        <f>BM134/BG134-1</f>
        <v>-9.1948157975303646E-2</v>
      </c>
      <c r="BN135" s="227">
        <f>BN134/BH134-1</f>
        <v>-9.7522897585345603E-2</v>
      </c>
      <c r="BO135" s="227">
        <f>BO134/BI134-1</f>
        <v>-9.4198803016122046E-2</v>
      </c>
      <c r="BQ135" s="227">
        <f>BQ134/BK134-1</f>
        <v>-9.6085029108583075E-2</v>
      </c>
      <c r="BR135" s="227">
        <f>BR134/BL134-1</f>
        <v>-9.7486171203242211E-2</v>
      </c>
      <c r="BS135" s="227">
        <f>BS134/BM134-1</f>
        <v>-0.1015396718363677</v>
      </c>
      <c r="BT135" s="227">
        <f>BT134/BN134-1</f>
        <v>-0.10858032522200445</v>
      </c>
      <c r="BU135" s="227">
        <f>BU134/BO134-1</f>
        <v>-0.10079034941763743</v>
      </c>
      <c r="BW135" s="227">
        <f>BW134/BQ134-1</f>
        <v>-0.11610730323800533</v>
      </c>
      <c r="BX135" s="227">
        <f>BX134/BR134-1</f>
        <v>-0.1213665877783846</v>
      </c>
      <c r="BY135" s="227">
        <f>BY134/BS134-1</f>
        <v>-0.12602414159734809</v>
      </c>
      <c r="BZ135" s="227">
        <f>BZ134/BT134-1</f>
        <v>-0.12872760204411671</v>
      </c>
      <c r="CA135" s="227">
        <f>CA134/BU134-1</f>
        <v>-0.12289710258901165</v>
      </c>
      <c r="CC135" s="227">
        <f>CC134/BW134-1</f>
        <v>-0.13236178888963157</v>
      </c>
      <c r="CD135" s="227">
        <f>CD134/BX134-1</f>
        <v>-0.1374404309689895</v>
      </c>
      <c r="CE135" s="227">
        <f>CE134/BY134-1</f>
        <v>-0.14133390582510375</v>
      </c>
      <c r="CF135" s="227">
        <f>CF134/BZ134-1</f>
        <v>-0.1455193407082932</v>
      </c>
      <c r="CG135" s="227">
        <f>CG134/CA134-1</f>
        <v>-0.13897434995868574</v>
      </c>
      <c r="CI135" s="227">
        <f>CI134/CC134-1</f>
        <v>-0.14831651128746437</v>
      </c>
      <c r="CJ135" s="227">
        <f>CJ134/CD134-1</f>
        <v>-0.14853070702217963</v>
      </c>
      <c r="CK135" s="227">
        <f>CK134/CE134-1</f>
        <v>-0.14876239686640558</v>
      </c>
      <c r="CL135" s="227">
        <f>CL134/CF134-1</f>
        <v>-0.14901381527500213</v>
      </c>
      <c r="CM135" s="227">
        <f>CM134/CG134-1</f>
        <v>-0.14864423391048687</v>
      </c>
      <c r="CO135" s="227">
        <f>CO134/CI134-1</f>
        <v>-0.15152885833182561</v>
      </c>
      <c r="CP135" s="227">
        <f>CP134/CJ134-1</f>
        <v>-0.15657325559526047</v>
      </c>
      <c r="CQ135" s="227">
        <f>CQ134/CK134-1</f>
        <v>-0.1620325044057177</v>
      </c>
      <c r="CR135" s="227">
        <f>CR134/CL134-1</f>
        <v>-0.16795997549520114</v>
      </c>
      <c r="CS135" s="227">
        <f>CS134/CM134-1</f>
        <v>-0.15924788948580182</v>
      </c>
      <c r="CU135" s="227">
        <f>CU134/CO134-1</f>
        <v>-0.17219319756903728</v>
      </c>
      <c r="CV135" s="227">
        <f>CV134/CP134-1</f>
        <v>-0.17448990968892852</v>
      </c>
      <c r="CW135" s="227">
        <f>CW134/CQ134-1</f>
        <v>-0.17700665965650186</v>
      </c>
      <c r="CX135" s="227">
        <f>CX134/CR134-1</f>
        <v>-0.17977665971284817</v>
      </c>
      <c r="CY135" s="227">
        <f>CY134/CS134-1</f>
        <v>-0.17571884984025576</v>
      </c>
      <c r="DA135" s="227">
        <f>DA134/CU134-1</f>
        <v>-0.18160741885625964</v>
      </c>
      <c r="DB135" s="227">
        <f>DB134/CV134-1</f>
        <v>-0.18233387358184761</v>
      </c>
      <c r="DC135" s="227">
        <f>DC134/CW134-1</f>
        <v>-0.18313458262350935</v>
      </c>
      <c r="DD135" s="227">
        <f>DD134/CX134-1</f>
        <v>-0.18402154398563741</v>
      </c>
      <c r="DE135" s="227">
        <f>DE134/CY134-1</f>
        <v>-0.18272425249169422</v>
      </c>
      <c r="DG135" s="227">
        <f>DG134/DA134-1</f>
        <v>-0.18885741265344669</v>
      </c>
      <c r="DH135" s="227">
        <f>DH134/DB134-1</f>
        <v>-0.19821605550049548</v>
      </c>
      <c r="DI135" s="227">
        <f>DI134/DC134-1</f>
        <v>-0.20855057351407713</v>
      </c>
      <c r="DJ135" s="227">
        <f>DJ134/DD134-1</f>
        <v>-0.22002200220022006</v>
      </c>
      <c r="DK135" s="227">
        <f>DK134/DE134-1</f>
        <v>-0.2032520325203252</v>
      </c>
    </row>
    <row r="136" spans="1:115" x14ac:dyDescent="0.2">
      <c r="B136" s="241"/>
      <c r="U136" s="227"/>
      <c r="V136" s="227"/>
      <c r="W136" s="227"/>
      <c r="X136" s="227"/>
      <c r="Y136" s="227"/>
      <c r="AA136" s="227"/>
      <c r="AB136" s="227"/>
      <c r="AC136" s="227"/>
      <c r="AD136" s="227"/>
      <c r="AE136" s="227"/>
      <c r="AG136" s="227"/>
      <c r="AH136" s="227"/>
      <c r="AI136" s="227"/>
      <c r="AJ136" s="227"/>
      <c r="AK136" s="227"/>
      <c r="AM136" s="227"/>
      <c r="AN136" s="227"/>
      <c r="AO136" s="227"/>
      <c r="AP136" s="227"/>
      <c r="AQ136" s="227"/>
      <c r="AS136" s="227"/>
      <c r="AT136" s="227"/>
      <c r="AU136" s="227"/>
      <c r="AV136" s="227"/>
      <c r="AW136" s="227"/>
      <c r="AY136" s="227"/>
      <c r="AZ136" s="227"/>
      <c r="BA136" s="227"/>
      <c r="BB136" s="227"/>
      <c r="BC136" s="227"/>
      <c r="BE136" s="227"/>
      <c r="BF136" s="227"/>
      <c r="BG136" s="227"/>
      <c r="BH136" s="227"/>
      <c r="BI136" s="227"/>
      <c r="BK136" s="227"/>
      <c r="BL136" s="227"/>
      <c r="BM136" s="227"/>
      <c r="BN136" s="227"/>
      <c r="BO136" s="227"/>
      <c r="BQ136" s="227"/>
      <c r="BR136" s="227"/>
      <c r="BS136" s="227"/>
      <c r="BT136" s="227"/>
      <c r="BU136" s="227"/>
      <c r="BW136" s="227"/>
      <c r="BX136" s="227"/>
      <c r="BY136" s="227"/>
      <c r="BZ136" s="227"/>
      <c r="CA136" s="227"/>
      <c r="CC136" s="227"/>
      <c r="CD136" s="227"/>
      <c r="CE136" s="227"/>
      <c r="CF136" s="227"/>
      <c r="CG136" s="227"/>
      <c r="CI136" s="227"/>
      <c r="CJ136" s="227"/>
      <c r="CK136" s="227"/>
      <c r="CL136" s="227"/>
      <c r="CM136" s="227"/>
      <c r="CO136" s="227"/>
      <c r="CP136" s="227"/>
      <c r="CQ136" s="227"/>
      <c r="CR136" s="227"/>
      <c r="CS136" s="227"/>
      <c r="CU136" s="227"/>
      <c r="CV136" s="227"/>
      <c r="CW136" s="227"/>
      <c r="CX136" s="227"/>
      <c r="CY136" s="227"/>
      <c r="DA136" s="227"/>
      <c r="DB136" s="227"/>
      <c r="DC136" s="227"/>
      <c r="DD136" s="227"/>
      <c r="DE136" s="227"/>
      <c r="DG136" s="227"/>
      <c r="DH136" s="227"/>
      <c r="DI136" s="227"/>
      <c r="DJ136" s="227"/>
      <c r="DK136" s="227"/>
    </row>
    <row r="137" spans="1:115" s="485" customFormat="1" x14ac:dyDescent="0.2">
      <c r="B137" s="273" t="s">
        <v>407</v>
      </c>
      <c r="C137" s="129"/>
      <c r="D137" s="129"/>
      <c r="E137" s="129"/>
      <c r="F137" s="129"/>
      <c r="G137" s="129"/>
      <c r="H137" s="129"/>
      <c r="I137" s="129"/>
      <c r="J137" s="129"/>
      <c r="K137" s="129"/>
      <c r="L137" s="129"/>
      <c r="M137" s="129"/>
      <c r="N137" s="129"/>
      <c r="O137" s="129"/>
      <c r="P137" s="129"/>
      <c r="Q137" s="129"/>
      <c r="R137" s="129"/>
      <c r="S137" s="129"/>
      <c r="T137" s="129"/>
      <c r="U137" s="390"/>
      <c r="V137" s="390"/>
      <c r="W137" s="390"/>
      <c r="X137" s="390"/>
      <c r="Y137" s="390"/>
      <c r="AA137" s="615">
        <f>(Y125+AA125)/2*3*AA131/1000</f>
        <v>0</v>
      </c>
      <c r="AB137" s="615">
        <f>(AA125+AB125)/2*3*AB131/1000</f>
        <v>0</v>
      </c>
      <c r="AC137" s="615">
        <f>(AB125+AC125)/2*3*AC131/1000</f>
        <v>0</v>
      </c>
      <c r="AD137" s="615">
        <f>(AC125+AD125)/2*3*AD131/1000</f>
        <v>0</v>
      </c>
      <c r="AE137" s="390"/>
      <c r="AG137" s="615">
        <f>(AE125+AG125)/2*3*AG131/1000</f>
        <v>0.45</v>
      </c>
      <c r="AH137" s="615">
        <f>(AG125+AH125)/2*3*AH131/1000</f>
        <v>1.35</v>
      </c>
      <c r="AI137" s="615">
        <f>(AH125+AI125)/2*3*AI131/1000</f>
        <v>1.95</v>
      </c>
      <c r="AJ137" s="615">
        <f>(AI125+AJ125)/2*3*AJ131/1000</f>
        <v>3.48</v>
      </c>
      <c r="AK137" s="615">
        <f>(AG137+AH137+AI137+AJ137)</f>
        <v>7.23</v>
      </c>
      <c r="AM137" s="615">
        <f>(AK125+AM125)/2*3*AM131/1000</f>
        <v>6.24</v>
      </c>
      <c r="AN137" s="615">
        <f>(AM125+AN125)/2*3*AN131/1000</f>
        <v>8.9700000000000006</v>
      </c>
      <c r="AO137" s="615">
        <f>(AN125+AO125)/2*3*AO131/1000</f>
        <v>11.82</v>
      </c>
      <c r="AP137" s="615">
        <f>(AO125+AP125)/2*3*AP131/1000</f>
        <v>14.88</v>
      </c>
      <c r="AQ137" s="615">
        <f>(AM137+AN137+AO137+AP137)</f>
        <v>41.910000000000004</v>
      </c>
      <c r="AS137" s="615">
        <f>(AQ125+AS125)/2*3*AS131/1000</f>
        <v>19.23</v>
      </c>
      <c r="AT137" s="615">
        <f>(AS125+AT125)/2*3*AT131/1000</f>
        <v>25.26</v>
      </c>
      <c r="AU137" s="615">
        <f>(AT125+AU125)/2*3*AU131/1000</f>
        <v>31.83</v>
      </c>
      <c r="AV137" s="615">
        <f>(AU125+AV125)/2*3*AV131/1000</f>
        <v>39.119999999999997</v>
      </c>
      <c r="AW137" s="615">
        <f>(AS137+AT137+AU137+AV137)</f>
        <v>115.44</v>
      </c>
      <c r="AY137" s="615">
        <f>(AW125+AY125)/2*3*AY131/1000</f>
        <v>48.12</v>
      </c>
      <c r="AZ137" s="615">
        <f>(AY125+AZ125)/2*3*AZ131/1000</f>
        <v>57.93</v>
      </c>
      <c r="BA137" s="615">
        <f>(AZ125+BA125)/2*3*BA131/1000</f>
        <v>68.010000000000005</v>
      </c>
      <c r="BB137" s="615">
        <f>(BA125+BB125)/2*3*BB131/1000</f>
        <v>79.98</v>
      </c>
      <c r="BC137" s="615">
        <f>(AY137+AZ137+BA137+BB137)</f>
        <v>254.04000000000002</v>
      </c>
      <c r="BE137" s="615">
        <f>(BC125+BE125)/2*3*BE131/1000</f>
        <v>95.55</v>
      </c>
      <c r="BF137" s="615">
        <f>(BE125+BF125)/2*3*BF131/1000</f>
        <v>113.07</v>
      </c>
      <c r="BG137" s="615">
        <f>(BF125+BG125)/2*3*BG131/1000</f>
        <v>129.06</v>
      </c>
      <c r="BH137" s="615">
        <f>(BG125+BH125)/2*3*BH131/1000</f>
        <v>144.87</v>
      </c>
      <c r="BI137" s="615">
        <f>(BE137+BF137+BG137+BH137)</f>
        <v>482.55</v>
      </c>
      <c r="BK137" s="615">
        <f>(BI125+BK125)/2*3*BK131/1000</f>
        <v>164.89260000000002</v>
      </c>
      <c r="BL137" s="615">
        <f>(BK125+BL125)/2*3*BL131/1000</f>
        <v>183.49679999999998</v>
      </c>
      <c r="BM137" s="615">
        <f>(BL125+BM125)/2*3*BM131/1000</f>
        <v>201.61619999999999</v>
      </c>
      <c r="BN137" s="615">
        <f>(BM125+BN125)/2*3*BN131/1000</f>
        <v>220.22039999999998</v>
      </c>
      <c r="BO137" s="615">
        <f>(BK137+BL137+BM137+BN137)</f>
        <v>770.22599999999989</v>
      </c>
      <c r="BQ137" s="615">
        <f>(BO125+BQ125)/2*3*BQ131/1000</f>
        <v>239.95812300000003</v>
      </c>
      <c r="BR137" s="615">
        <f>(BQ125+BR125)/2*3*BR131/1000</f>
        <v>256.78977300000003</v>
      </c>
      <c r="BS137" s="615">
        <f>(BR125+BS125)/2*3*BS131/1000</f>
        <v>274.38649800000002</v>
      </c>
      <c r="BT137" s="615">
        <f>(BS125+BT125)/2*3*BT131/1000</f>
        <v>292.74829800000003</v>
      </c>
      <c r="BU137" s="615">
        <f>(BQ137+BR137+BS137+BT137)</f>
        <v>1063.8826920000001</v>
      </c>
      <c r="BW137" s="615">
        <f>(BU125+BW125)/2*3*BW131/1000</f>
        <v>312.98483778000002</v>
      </c>
      <c r="BX137" s="615">
        <f>(BW125+BX125)/2*3*BX131/1000</f>
        <v>329.05753338000005</v>
      </c>
      <c r="BY137" s="615">
        <f>(BX125+BY125)/2*3*BY131/1000</f>
        <v>345.13022898000003</v>
      </c>
      <c r="BZ137" s="615">
        <f>(BY125+BZ125)/2*3*BZ131/1000</f>
        <v>361.20292458</v>
      </c>
      <c r="CA137" s="615">
        <f>(BW137+BX137+BY137+BZ137)</f>
        <v>1348.3755247200002</v>
      </c>
      <c r="CC137" s="615">
        <f>(CA125+CC125)/2*3*CC131/1000</f>
        <v>379.95574217130002</v>
      </c>
      <c r="CD137" s="615">
        <f>(CC125+CD125)/2*3*CD131/1000</f>
        <v>394.00389630630002</v>
      </c>
      <c r="CE137" s="615">
        <f>(CD125+CE125)/2*3*CE131/1000</f>
        <v>408.05205044130003</v>
      </c>
      <c r="CF137" s="615">
        <f>(CE125+CF125)/2*3*CF131/1000</f>
        <v>422.10020457629997</v>
      </c>
      <c r="CG137" s="615">
        <f>(CC137+CD137+CE137+CF137)</f>
        <v>1604.1118934952001</v>
      </c>
      <c r="CI137" s="615">
        <f>(CG125+CI125)/2*3*CI131/1000</f>
        <v>443.27920175022604</v>
      </c>
      <c r="CJ137" s="615">
        <f>(CI125+CJ125)/2*3*CJ131/1000</f>
        <v>454.42407069732599</v>
      </c>
      <c r="CK137" s="615">
        <f>(CJ125+CK125)/2*3*CK131/1000</f>
        <v>465.568939644426</v>
      </c>
      <c r="CL137" s="615">
        <f>(CK125+CL125)/2*3*CL131/1000</f>
        <v>476.713808591526</v>
      </c>
      <c r="CM137" s="615">
        <f>(CI137+CJ137+CK137+CL137)</f>
        <v>1839.986020683504</v>
      </c>
      <c r="CO137" s="615">
        <f>(CM125+CO125)/2*3*CO131/1000</f>
        <v>500.05514447709163</v>
      </c>
      <c r="CP137" s="615">
        <f>(CO125+CP125)/2*3*CP131/1000</f>
        <v>511.47863514786911</v>
      </c>
      <c r="CQ137" s="615">
        <f>(CP125+CQ125)/2*3*CQ131/1000</f>
        <v>522.9021258186466</v>
      </c>
      <c r="CR137" s="615">
        <f>(CQ125+CR125)/2*3*CR131/1000</f>
        <v>534.32561648942419</v>
      </c>
      <c r="CS137" s="615">
        <f>(CO137+CP137+CQ137+CR137)</f>
        <v>2068.7615219330314</v>
      </c>
      <c r="CU137" s="615">
        <f>(CS125+CU125)/2*3*CU131/1000</f>
        <v>558.55647212938186</v>
      </c>
      <c r="CV137" s="615">
        <f>(CU125+CV125)/2*3*CV131/1000</f>
        <v>568.59282464727926</v>
      </c>
      <c r="CW137" s="615">
        <f>(CV125+CW125)/2*3*CW131/1000</f>
        <v>578.62917716517666</v>
      </c>
      <c r="CX137" s="615">
        <f>(CW125+CX125)/2*3*CX131/1000</f>
        <v>588.66552968307394</v>
      </c>
      <c r="CY137" s="615">
        <f>(CU137+CV137+CW137+CX137)</f>
        <v>2294.4440036249121</v>
      </c>
      <c r="DA137" s="615">
        <f>(CY125+DA125)/2*3*DA131/1000</f>
        <v>612.81215747842521</v>
      </c>
      <c r="DB137" s="615">
        <f>(DA125+DB125)/2*3*DB131/1000</f>
        <v>621.38487525412916</v>
      </c>
      <c r="DC137" s="615">
        <f>(DB125+DC125)/2*3*DC131/1000</f>
        <v>629.95759302983322</v>
      </c>
      <c r="DD137" s="615">
        <f>(DC125+DD125)/2*3*DD131/1000</f>
        <v>638.53031080553717</v>
      </c>
      <c r="DE137" s="615">
        <f>(DA137+DB137+DC137+DD137)</f>
        <v>2502.684936567925</v>
      </c>
      <c r="DG137" s="615">
        <f>(DE125+DG125)/2*3*DG131/1000</f>
        <v>663.28060429577215</v>
      </c>
      <c r="DH137" s="615">
        <f>(DG125+DH125)/2*3*DH131/1000</f>
        <v>672.06764001586885</v>
      </c>
      <c r="DI137" s="615">
        <f>(DH125+DI125)/2*3*DI131/1000</f>
        <v>680.85467573596532</v>
      </c>
      <c r="DJ137" s="615">
        <f>(DI125+DJ125)/2*3*DJ131/1000</f>
        <v>689.6417114560619</v>
      </c>
      <c r="DK137" s="615">
        <f>(DG137+DH137+DI137+DJ137)</f>
        <v>2705.8446315036681</v>
      </c>
    </row>
    <row r="138" spans="1:115" x14ac:dyDescent="0.2">
      <c r="B138" s="241" t="s">
        <v>74</v>
      </c>
      <c r="U138" s="227"/>
      <c r="V138" s="227"/>
      <c r="W138" s="227"/>
      <c r="X138" s="227"/>
      <c r="Y138" s="227"/>
      <c r="AA138" s="227"/>
      <c r="AB138" s="227"/>
      <c r="AC138" s="227"/>
      <c r="AD138" s="227"/>
      <c r="AE138" s="227"/>
      <c r="AG138" s="480" t="s">
        <v>35</v>
      </c>
      <c r="AH138" s="480" t="s">
        <v>35</v>
      </c>
      <c r="AI138" s="480" t="s">
        <v>35</v>
      </c>
      <c r="AJ138" s="480" t="s">
        <v>35</v>
      </c>
      <c r="AK138" s="480" t="s">
        <v>35</v>
      </c>
      <c r="AM138" s="480" t="s">
        <v>35</v>
      </c>
      <c r="AN138" s="480" t="s">
        <v>35</v>
      </c>
      <c r="AO138" s="480" t="s">
        <v>35</v>
      </c>
      <c r="AP138" s="480" t="s">
        <v>35</v>
      </c>
      <c r="AQ138" s="480" t="s">
        <v>35</v>
      </c>
      <c r="AS138" s="227">
        <f>AS137/AM137-1</f>
        <v>2.0817307692307692</v>
      </c>
      <c r="AT138" s="227">
        <f>AT137/AN137-1</f>
        <v>1.8160535117056855</v>
      </c>
      <c r="AU138" s="227">
        <f>AU137/AO137-1</f>
        <v>1.6928934010152283</v>
      </c>
      <c r="AV138" s="227">
        <f>AV137/AP137-1</f>
        <v>1.629032258064516</v>
      </c>
      <c r="AW138" s="227">
        <f>AW137/AQ137-1</f>
        <v>1.7544738725841085</v>
      </c>
      <c r="AY138" s="227">
        <f>AY137/AS137-1</f>
        <v>1.5023400936037441</v>
      </c>
      <c r="AZ138" s="227">
        <f>AZ137/AT137-1</f>
        <v>1.2933491686460807</v>
      </c>
      <c r="BA138" s="227">
        <f>BA137/AU137-1</f>
        <v>1.1366635249764374</v>
      </c>
      <c r="BB138" s="227">
        <f>BB137/AV137-1</f>
        <v>1.044478527607362</v>
      </c>
      <c r="BC138" s="227">
        <f>BC137/AW137-1</f>
        <v>1.2006237006237011</v>
      </c>
      <c r="BE138" s="227">
        <f>BE137/AY137-1</f>
        <v>0.98566084788029928</v>
      </c>
      <c r="BF138" s="227">
        <f>BF137/AZ137-1</f>
        <v>0.95183842568617294</v>
      </c>
      <c r="BG138" s="227">
        <f>BG137/BA137-1</f>
        <v>0.89766210851345374</v>
      </c>
      <c r="BH138" s="227">
        <f>BH137/BB137-1</f>
        <v>0.81132783195798952</v>
      </c>
      <c r="BI138" s="227">
        <f>BI137/BC137-1</f>
        <v>0.89950401511572964</v>
      </c>
      <c r="BK138" s="227">
        <f>BK137/BE137-1</f>
        <v>0.72572056514913674</v>
      </c>
      <c r="BL138" s="227">
        <f>BL137/BF137-1</f>
        <v>0.62286017511276182</v>
      </c>
      <c r="BM138" s="227">
        <f>BM137/BG137-1</f>
        <v>0.56218967921896779</v>
      </c>
      <c r="BN138" s="227">
        <f>BN137/BH137-1</f>
        <v>0.52012424932698265</v>
      </c>
      <c r="BO138" s="227">
        <f>BO137/BI137-1</f>
        <v>0.59615791109729543</v>
      </c>
      <c r="BQ138" s="227">
        <f>BQ137/BK137-1</f>
        <v>0.45523888276368996</v>
      </c>
      <c r="BR138" s="227">
        <f>BR137/BL137-1</f>
        <v>0.39942371202113636</v>
      </c>
      <c r="BS138" s="227">
        <f>BS137/BM137-1</f>
        <v>0.36093477607454183</v>
      </c>
      <c r="BT138" s="227">
        <f>BT137/BN137-1</f>
        <v>0.32934232250963147</v>
      </c>
      <c r="BU138" s="227">
        <f>BU137/BO137-1</f>
        <v>0.38126042486231349</v>
      </c>
      <c r="BW138" s="227">
        <f>BW137/BQ137-1</f>
        <v>0.30433108021935973</v>
      </c>
      <c r="BX138" s="227">
        <f>BX137/BR137-1</f>
        <v>0.28142772017637951</v>
      </c>
      <c r="BY138" s="227">
        <f>BY137/BS137-1</f>
        <v>0.25782511710907885</v>
      </c>
      <c r="BZ138" s="227">
        <f>BZ137/BT137-1</f>
        <v>0.2338344135479824</v>
      </c>
      <c r="CA138" s="227">
        <f>CA137/BU137-1</f>
        <v>0.26740996433091713</v>
      </c>
      <c r="CC138" s="227">
        <f>CC137/BW137-1</f>
        <v>0.21397491605767338</v>
      </c>
      <c r="CD138" s="227">
        <f>CD137/BX137-1</f>
        <v>0.19737084350929912</v>
      </c>
      <c r="CE138" s="227">
        <f>CE137/BY137-1</f>
        <v>0.18231327243417517</v>
      </c>
      <c r="CF138" s="227">
        <f>CF137/BZ137-1</f>
        <v>0.16859575560499729</v>
      </c>
      <c r="CG138" s="227">
        <f>CG137/CA137-1</f>
        <v>0.18966257106180073</v>
      </c>
      <c r="CI138" s="227">
        <f>CI137/CC137-1</f>
        <v>0.16666009366527001</v>
      </c>
      <c r="CJ138" s="227">
        <f>CJ137/CD137-1</f>
        <v>0.15334917993819808</v>
      </c>
      <c r="CK138" s="227">
        <f>CK137/CE137-1</f>
        <v>0.14095478540279993</v>
      </c>
      <c r="CL138" s="227">
        <f>CL137/CF137-1</f>
        <v>0.12938540048812963</v>
      </c>
      <c r="CM138" s="227">
        <f>CM137/CG137-1</f>
        <v>0.14704343764595973</v>
      </c>
      <c r="CO138" s="227">
        <f>CO137/CI137-1</f>
        <v>0.12808167516701374</v>
      </c>
      <c r="CP138" s="227">
        <f>CP137/CJ137-1</f>
        <v>0.12555357017728253</v>
      </c>
      <c r="CQ138" s="227">
        <f>CQ137/CK137-1</f>
        <v>0.12314650160727703</v>
      </c>
      <c r="CR138" s="227">
        <f>CR137/CL137-1</f>
        <v>0.12085198049562496</v>
      </c>
      <c r="CS138" s="227">
        <f>CS137/CM137-1</f>
        <v>0.12433545618164188</v>
      </c>
      <c r="CU138" s="227">
        <f>CU137/CO137-1</f>
        <v>0.11698975262711309</v>
      </c>
      <c r="CV138" s="227">
        <f>CV137/CP137-1</f>
        <v>0.11166485865611642</v>
      </c>
      <c r="CW138" s="227">
        <f>CW137/CQ137-1</f>
        <v>0.10657262343174589</v>
      </c>
      <c r="CX138" s="227">
        <f>CX137/CR137-1</f>
        <v>0.10169812473275885</v>
      </c>
      <c r="CY138" s="227">
        <f>CY137/CS137-1</f>
        <v>0.10909062223905108</v>
      </c>
      <c r="DA138" s="227">
        <f>DA137/CU137-1</f>
        <v>9.7135541447053164E-2</v>
      </c>
      <c r="DB138" s="227">
        <f>DB137/CV137-1</f>
        <v>9.2846846316780196E-2</v>
      </c>
      <c r="DC138" s="227">
        <f>DC137/CW137-1</f>
        <v>8.8706926456984192E-2</v>
      </c>
      <c r="DD138" s="227">
        <f>DD137/CX137-1</f>
        <v>8.4708172311888985E-2</v>
      </c>
      <c r="DE138" s="227">
        <f>DE137/CY137-1</f>
        <v>9.0758777557447656E-2</v>
      </c>
      <c r="DG138" s="227">
        <f>DG137/DA137-1</f>
        <v>8.2355492138100672E-2</v>
      </c>
      <c r="DH138" s="227">
        <f>DH137/DB137-1</f>
        <v>8.1564207273329359E-2</v>
      </c>
      <c r="DI138" s="227">
        <f>DI137/DC137-1</f>
        <v>8.0794458657666768E-2</v>
      </c>
      <c r="DJ138" s="227">
        <f>DJ137/DD137-1</f>
        <v>8.0045378873314865E-2</v>
      </c>
      <c r="DK138" s="227">
        <f>DK137/DE137-1</f>
        <v>8.1176696262194259E-2</v>
      </c>
    </row>
    <row r="139" spans="1:115" x14ac:dyDescent="0.2">
      <c r="B139" s="241"/>
      <c r="U139" s="227"/>
      <c r="V139" s="227"/>
      <c r="W139" s="227"/>
      <c r="X139" s="227"/>
      <c r="Y139" s="227"/>
      <c r="AA139" s="227"/>
      <c r="AB139" s="227"/>
      <c r="AC139" s="227"/>
      <c r="AD139" s="227"/>
      <c r="AE139" s="227"/>
      <c r="AG139" s="227"/>
      <c r="AH139" s="227"/>
      <c r="AI139" s="227"/>
      <c r="AJ139" s="227"/>
      <c r="AK139" s="227"/>
      <c r="AM139" s="227"/>
      <c r="AN139" s="227"/>
      <c r="AO139" s="227"/>
      <c r="AP139" s="227"/>
      <c r="AQ139" s="227"/>
      <c r="AS139" s="227"/>
      <c r="AT139" s="227"/>
      <c r="AU139" s="227"/>
      <c r="AV139" s="227"/>
      <c r="AW139" s="227"/>
      <c r="AY139" s="227"/>
      <c r="AZ139" s="227"/>
      <c r="BA139" s="227"/>
      <c r="BB139" s="227"/>
      <c r="BC139" s="227"/>
      <c r="BE139" s="616"/>
      <c r="BF139" s="616"/>
      <c r="BG139" s="616"/>
      <c r="BH139" s="616"/>
      <c r="BI139" s="227"/>
      <c r="BK139" s="616"/>
      <c r="BL139" s="616"/>
      <c r="BM139" s="616"/>
      <c r="BN139" s="616"/>
      <c r="BO139" s="227"/>
      <c r="BQ139" s="616"/>
      <c r="BR139" s="616"/>
      <c r="BS139" s="616"/>
      <c r="BT139" s="616"/>
      <c r="BU139" s="227"/>
      <c r="BW139" s="227"/>
      <c r="BX139" s="227"/>
      <c r="BY139" s="227"/>
      <c r="BZ139" s="227"/>
      <c r="CA139" s="227"/>
      <c r="CC139" s="227"/>
      <c r="CD139" s="227"/>
      <c r="CE139" s="227"/>
      <c r="CF139" s="227"/>
      <c r="CG139" s="227"/>
      <c r="CI139" s="227"/>
      <c r="CJ139" s="227"/>
      <c r="CK139" s="227"/>
      <c r="CL139" s="227"/>
      <c r="CM139" s="227"/>
      <c r="CO139" s="227"/>
      <c r="CP139" s="227"/>
      <c r="CQ139" s="227"/>
      <c r="CR139" s="227"/>
      <c r="CS139" s="227"/>
      <c r="CU139" s="227"/>
      <c r="CV139" s="227"/>
      <c r="CW139" s="227"/>
      <c r="CX139" s="227"/>
      <c r="CY139" s="227"/>
      <c r="DA139" s="227"/>
      <c r="DB139" s="227"/>
      <c r="DC139" s="227"/>
      <c r="DD139" s="227"/>
      <c r="DE139" s="227"/>
      <c r="DG139" s="227"/>
      <c r="DH139" s="227"/>
      <c r="DI139" s="227"/>
      <c r="DJ139" s="227"/>
      <c r="DK139" s="227"/>
    </row>
    <row r="140" spans="1:115" s="485" customFormat="1" x14ac:dyDescent="0.2">
      <c r="B140" s="273" t="s">
        <v>401</v>
      </c>
      <c r="C140" s="129"/>
      <c r="D140" s="129"/>
      <c r="E140" s="129"/>
      <c r="F140" s="129"/>
      <c r="G140" s="129"/>
      <c r="H140" s="129"/>
      <c r="I140" s="129"/>
      <c r="J140" s="129"/>
      <c r="K140" s="129"/>
      <c r="L140" s="129"/>
      <c r="M140" s="129"/>
      <c r="N140" s="129"/>
      <c r="O140" s="129"/>
      <c r="P140" s="129"/>
      <c r="Q140" s="129"/>
      <c r="R140" s="129"/>
      <c r="S140" s="129"/>
      <c r="T140" s="129"/>
      <c r="U140" s="615">
        <f>U143-U134-U137</f>
        <v>758.25800000000004</v>
      </c>
      <c r="V140" s="615">
        <f>V143-V134-V137</f>
        <v>722.1662</v>
      </c>
      <c r="W140" s="615">
        <f>W143-W134-W137</f>
        <v>768.32899999999995</v>
      </c>
      <c r="X140" s="615">
        <f>X143-X134-X137</f>
        <v>771.80449999999996</v>
      </c>
      <c r="Y140" s="615">
        <f>(U140+V140+W140+X140)</f>
        <v>3020.5577000000003</v>
      </c>
      <c r="AA140" s="615">
        <f>AA143-AA134-AA137</f>
        <v>613.43849999999998</v>
      </c>
      <c r="AB140" s="615">
        <f>AB143-AB134-AB137</f>
        <v>604.44399999999996</v>
      </c>
      <c r="AC140" s="615">
        <f>AC143-AC134-AC137</f>
        <v>590.36750000000006</v>
      </c>
      <c r="AD140" s="615">
        <f>AD143-AD134-AD137</f>
        <v>565.83199999999999</v>
      </c>
      <c r="AE140" s="615">
        <f>(AA140+AB140+AC140+AD140)</f>
        <v>2374.0819999999999</v>
      </c>
      <c r="AG140" s="615">
        <f>AG143-AG134-AG137</f>
        <v>574.38199999999995</v>
      </c>
      <c r="AH140" s="615">
        <f>AH143-AH134-AH137</f>
        <v>550.86450000000002</v>
      </c>
      <c r="AI140" s="615">
        <f>AI143-AI134-AI137</f>
        <v>564.86549999999988</v>
      </c>
      <c r="AJ140" s="615">
        <f>AJ143-AJ134-AJ137</f>
        <v>527.17579999999998</v>
      </c>
      <c r="AK140" s="615">
        <f>(AG140+AH140+AI140+AJ140)</f>
        <v>2217.2878000000001</v>
      </c>
      <c r="AM140" s="615">
        <f>AM143-AM134-AM137</f>
        <v>521.44090000000006</v>
      </c>
      <c r="AN140" s="615">
        <f>AN143-AN134-AN137</f>
        <v>478.57319999999999</v>
      </c>
      <c r="AO140" s="615">
        <f>AO143-AO134-AO137</f>
        <v>515.10019999999997</v>
      </c>
      <c r="AP140" s="615">
        <f>AP143-AP134-AP137</f>
        <v>523.14179999999999</v>
      </c>
      <c r="AQ140" s="615">
        <f>(AM140+AN140+AO140+AP140)</f>
        <v>2038.2561000000001</v>
      </c>
      <c r="AS140" s="615">
        <f>AS143-AS134-AS137</f>
        <v>502.48030000000006</v>
      </c>
      <c r="AT140" s="615">
        <f>AT143-AT134-AT137</f>
        <v>486.38360000000006</v>
      </c>
      <c r="AU140" s="615">
        <f>AU143-AU134-AU137</f>
        <v>475.86930000000007</v>
      </c>
      <c r="AV140" s="615">
        <f>AV143-AV134-AV137</f>
        <v>488.99670000000003</v>
      </c>
      <c r="AW140" s="615">
        <f>(AS140+AT140+AU140+AV140)</f>
        <v>1953.7299000000003</v>
      </c>
      <c r="AY140" s="615">
        <f>AY143-AY134-AY137</f>
        <v>449.43920000000003</v>
      </c>
      <c r="AZ140" s="615">
        <f>AZ143-AZ134-AZ137</f>
        <v>445.48480000000006</v>
      </c>
      <c r="BA140" s="615">
        <f>BA143-BA134-BA137</f>
        <v>460.54560000000004</v>
      </c>
      <c r="BB140" s="615">
        <f>BB143-BB134-BB137</f>
        <v>444.06830000000002</v>
      </c>
      <c r="BC140" s="615">
        <f>(AY140+AZ140+BA140+BB140)</f>
        <v>1799.5379000000003</v>
      </c>
      <c r="BE140" s="615">
        <f>BE143-BE134-BE137</f>
        <v>444.53749999999997</v>
      </c>
      <c r="BF140" s="615">
        <f>BF143-BF134-BF137</f>
        <v>437.75069999999999</v>
      </c>
      <c r="BG140" s="615">
        <f>BG143-BG134-BG137</f>
        <v>426.96999999999997</v>
      </c>
      <c r="BH140" s="615">
        <f>BH143-BH134-BH137</f>
        <v>421.89</v>
      </c>
      <c r="BI140" s="615">
        <f>(BE140+BF140+BG140+BH140)</f>
        <v>1731.1482000000001</v>
      </c>
      <c r="BK140" s="615">
        <f>BK143-BK134-BK137</f>
        <v>402.26239999999996</v>
      </c>
      <c r="BL140" s="615">
        <f>BL143-BL134-BL137</f>
        <v>394.6182</v>
      </c>
      <c r="BM140" s="615">
        <f>BM143-BM134-BM137</f>
        <v>405.44379999999995</v>
      </c>
      <c r="BN140" s="615">
        <f>BN143-BN134-BN137</f>
        <v>397.64960000000002</v>
      </c>
      <c r="BO140" s="615">
        <f>(BK140+BL140+BM140+BN140)</f>
        <v>1599.9739999999999</v>
      </c>
      <c r="BQ140" s="615">
        <f>BK140*(1+BQ141)</f>
        <v>382.14927999999992</v>
      </c>
      <c r="BR140" s="615">
        <f>BL140*(1+BR141)</f>
        <v>382.77965399999999</v>
      </c>
      <c r="BS140" s="615">
        <f>BM140*(1+BS141)</f>
        <v>385.17160999999993</v>
      </c>
      <c r="BT140" s="615">
        <f>BN140*(1+BT141)</f>
        <v>381.74361600000003</v>
      </c>
      <c r="BU140" s="615">
        <f>(BQ140+BR140+BS140+BT140)</f>
        <v>1531.8441599999999</v>
      </c>
      <c r="BW140" s="615">
        <f>BQ140*(1+BW141)</f>
        <v>366.86330879999991</v>
      </c>
      <c r="BX140" s="615">
        <f>BR140*(1+BX141)</f>
        <v>367.46846783999996</v>
      </c>
      <c r="BY140" s="615">
        <f>BS140*(1+BY141)</f>
        <v>369.76474559999991</v>
      </c>
      <c r="BZ140" s="615">
        <f>BT140*(1+BZ141)</f>
        <v>366.47387136000003</v>
      </c>
      <c r="CA140" s="615">
        <f>(BW140+BX140+BY140+BZ140)</f>
        <v>1470.5703935999998</v>
      </c>
      <c r="CC140" s="615">
        <f>BW140*(1+CC141)</f>
        <v>352.18877644799989</v>
      </c>
      <c r="CD140" s="615">
        <f>BX140*(1+CD141)</f>
        <v>352.76972912639997</v>
      </c>
      <c r="CE140" s="615">
        <f>BY140*(1+CE141)</f>
        <v>354.97415577599992</v>
      </c>
      <c r="CF140" s="615">
        <f>BZ140*(1+CF141)</f>
        <v>351.81491650560002</v>
      </c>
      <c r="CG140" s="615">
        <f>(CC140+CD140+CE140+CF140)</f>
        <v>1411.7475778559997</v>
      </c>
      <c r="CI140" s="615">
        <f>CC140*(1+CI141)</f>
        <v>338.10122539007989</v>
      </c>
      <c r="CJ140" s="615">
        <f>CD140*(1+CJ141)</f>
        <v>338.65893996134395</v>
      </c>
      <c r="CK140" s="615">
        <f>CE140*(1+CK141)</f>
        <v>340.77518954495991</v>
      </c>
      <c r="CL140" s="615">
        <f>CF140*(1+CL141)</f>
        <v>337.74231984537602</v>
      </c>
      <c r="CM140" s="615">
        <f>(CI140+CJ140+CK140+CL140)</f>
        <v>1355.2776747417597</v>
      </c>
      <c r="CO140" s="615">
        <f>CI140*(1+CO141)</f>
        <v>324.57717637447666</v>
      </c>
      <c r="CP140" s="615">
        <f>CJ140*(1+CP141)</f>
        <v>325.11258236289018</v>
      </c>
      <c r="CQ140" s="615">
        <f>CK140*(1+CQ141)</f>
        <v>327.14418196316149</v>
      </c>
      <c r="CR140" s="615">
        <f>CL140*(1+CR141)</f>
        <v>324.23262705156094</v>
      </c>
      <c r="CS140" s="615">
        <f>(CO140+CP140+CQ140+CR140)</f>
        <v>1301.0665677520892</v>
      </c>
      <c r="CU140" s="615">
        <f>CO140*(1+CU141)</f>
        <v>311.59408931949758</v>
      </c>
      <c r="CV140" s="615">
        <f>CP140*(1+CV141)</f>
        <v>312.10807906837454</v>
      </c>
      <c r="CW140" s="615">
        <f>CQ140*(1+CW141)</f>
        <v>314.05841468463501</v>
      </c>
      <c r="CX140" s="615">
        <f>CR140*(1+CX141)</f>
        <v>311.26332196949846</v>
      </c>
      <c r="CY140" s="615">
        <f>(CU140+CV140+CW140+CX140)</f>
        <v>1249.0239050420057</v>
      </c>
      <c r="DA140" s="615">
        <f>CU140*(1+DA141)</f>
        <v>299.13032574671769</v>
      </c>
      <c r="DB140" s="615">
        <f>CV140*(1+DB141)</f>
        <v>299.62375590563954</v>
      </c>
      <c r="DC140" s="615">
        <f>CW140*(1+DC141)</f>
        <v>301.49607809724961</v>
      </c>
      <c r="DD140" s="615">
        <f>CX140*(1+DD141)</f>
        <v>298.81278909071852</v>
      </c>
      <c r="DE140" s="615">
        <f>(DA140+DB140+DC140+DD140)</f>
        <v>1199.0629488403254</v>
      </c>
      <c r="DG140" s="615">
        <f>DA140*(1+DG141)</f>
        <v>287.16511271684897</v>
      </c>
      <c r="DH140" s="615">
        <f>DB140*(1+DH141)</f>
        <v>287.63880566941396</v>
      </c>
      <c r="DI140" s="615">
        <f>DC140*(1+DI141)</f>
        <v>289.4362349733596</v>
      </c>
      <c r="DJ140" s="615">
        <f>DD140*(1+DJ141)</f>
        <v>286.86027752708975</v>
      </c>
      <c r="DK140" s="615">
        <f>(DG140+DH140+DI140+DJ140)</f>
        <v>1151.1004308867123</v>
      </c>
    </row>
    <row r="141" spans="1:115" x14ac:dyDescent="0.2">
      <c r="B141" s="241" t="s">
        <v>74</v>
      </c>
      <c r="U141" s="227"/>
      <c r="V141" s="227"/>
      <c r="W141" s="227"/>
      <c r="X141" s="227"/>
      <c r="Y141" s="227"/>
      <c r="AA141" s="227">
        <f>AA140/U140-1</f>
        <v>-0.1909897422776945</v>
      </c>
      <c r="AB141" s="227">
        <f>AB140/V140-1</f>
        <v>-0.16301261399384248</v>
      </c>
      <c r="AC141" s="227">
        <f>AC140/W140-1</f>
        <v>-0.2316214798608407</v>
      </c>
      <c r="AD141" s="227">
        <f>AD140/X140-1</f>
        <v>-0.26687133853197276</v>
      </c>
      <c r="AE141" s="227">
        <f>AE140/Y140-1</f>
        <v>-0.21402527751745992</v>
      </c>
      <c r="AG141" s="227">
        <f>AG140/AA140-1</f>
        <v>-6.366815907381107E-2</v>
      </c>
      <c r="AH141" s="227">
        <f>AH140/AB140-1</f>
        <v>-8.8642620325456001E-2</v>
      </c>
      <c r="AI141" s="227">
        <f>AI140/AC140-1</f>
        <v>-4.3196822318302019E-2</v>
      </c>
      <c r="AJ141" s="227">
        <f>AJ140/AD140-1</f>
        <v>-6.8317451116232442E-2</v>
      </c>
      <c r="AK141" s="227">
        <f>AK140/AE140-1</f>
        <v>-6.6044138323781532E-2</v>
      </c>
      <c r="AM141" s="227">
        <f>AM140/AG140-1</f>
        <v>-9.2170541555967822E-2</v>
      </c>
      <c r="AN141" s="227">
        <f>AN140/AH140-1</f>
        <v>-0.13123245371593206</v>
      </c>
      <c r="AO141" s="227">
        <f>AO140/AI140-1</f>
        <v>-8.8101149742726204E-2</v>
      </c>
      <c r="AP141" s="227">
        <f>AP140/AJ140-1</f>
        <v>-7.6520963215686022E-3</v>
      </c>
      <c r="AQ141" s="227">
        <f>AQ140/AK140-1</f>
        <v>-8.07435552570126E-2</v>
      </c>
      <c r="AS141" s="227">
        <f>AS140/AM140-1</f>
        <v>-3.6361934784939209E-2</v>
      </c>
      <c r="AT141" s="227">
        <f>AT140/AN140-1</f>
        <v>1.6320178396951768E-2</v>
      </c>
      <c r="AU141" s="227">
        <f>AU140/AO140-1</f>
        <v>-7.6161686600004996E-2</v>
      </c>
      <c r="AV141" s="227">
        <f>AV140/AP140-1</f>
        <v>-6.5269301745721653E-2</v>
      </c>
      <c r="AW141" s="227">
        <f>AW140/AQ140-1</f>
        <v>-4.146986239854733E-2</v>
      </c>
      <c r="AY141" s="227">
        <f>AY140/AS140-1</f>
        <v>-0.10555856617662429</v>
      </c>
      <c r="AZ141" s="227">
        <f>AZ140/AT140-1</f>
        <v>-8.4087539135776712E-2</v>
      </c>
      <c r="BA141" s="227">
        <f>BA140/AU140-1</f>
        <v>-3.220148893824426E-2</v>
      </c>
      <c r="BB141" s="227">
        <f>BB140/AV140-1</f>
        <v>-9.1878738649974534E-2</v>
      </c>
      <c r="BC141" s="227">
        <f>BC140/AW140-1</f>
        <v>-7.8921861205072386E-2</v>
      </c>
      <c r="BE141" s="227">
        <f>BE140/AY140-1</f>
        <v>-1.0906258288106763E-2</v>
      </c>
      <c r="BF141" s="227">
        <f>BF140/AZ140-1</f>
        <v>-1.7361086169494611E-2</v>
      </c>
      <c r="BG141" s="227">
        <f>BG140/BA140-1</f>
        <v>-7.2903964341424765E-2</v>
      </c>
      <c r="BH141" s="227">
        <f>BH140/BB140-1</f>
        <v>-4.9943443384722674E-2</v>
      </c>
      <c r="BI141" s="227">
        <f>BI140/BC140-1</f>
        <v>-3.8004034257905994E-2</v>
      </c>
      <c r="BK141" s="227">
        <f>BK140/BE140-1</f>
        <v>-9.5099063633551806E-2</v>
      </c>
      <c r="BL141" s="227">
        <f>BL140/BF140-1</f>
        <v>-9.8532109714501881E-2</v>
      </c>
      <c r="BM141" s="227">
        <f>BM140/BG140-1</f>
        <v>-5.0416188490994718E-2</v>
      </c>
      <c r="BN141" s="227">
        <f>BN140/BH140-1</f>
        <v>-5.7456683021640642E-2</v>
      </c>
      <c r="BO141" s="227">
        <f>BO140/BI140-1</f>
        <v>-7.5772946533404939E-2</v>
      </c>
      <c r="BQ141" s="227">
        <v>-0.05</v>
      </c>
      <c r="BR141" s="227">
        <v>-0.03</v>
      </c>
      <c r="BS141" s="227">
        <v>-0.05</v>
      </c>
      <c r="BT141" s="227">
        <v>-0.04</v>
      </c>
      <c r="BU141" s="227">
        <f>BU140/BO140-1</f>
        <v>-4.2581841954931754E-2</v>
      </c>
      <c r="BW141" s="227">
        <v>-0.04</v>
      </c>
      <c r="BX141" s="227">
        <v>-0.04</v>
      </c>
      <c r="BY141" s="227">
        <v>-0.04</v>
      </c>
      <c r="BZ141" s="227">
        <v>-0.04</v>
      </c>
      <c r="CA141" s="227">
        <f>CA140/BU140-1</f>
        <v>-4.0000000000000036E-2</v>
      </c>
      <c r="CC141" s="227">
        <v>-0.04</v>
      </c>
      <c r="CD141" s="227">
        <v>-0.04</v>
      </c>
      <c r="CE141" s="227">
        <v>-0.04</v>
      </c>
      <c r="CF141" s="227">
        <v>-0.04</v>
      </c>
      <c r="CG141" s="227">
        <f>CG140/CA140-1</f>
        <v>-4.0000000000000036E-2</v>
      </c>
      <c r="CI141" s="227">
        <v>-0.04</v>
      </c>
      <c r="CJ141" s="227">
        <v>-0.04</v>
      </c>
      <c r="CK141" s="227">
        <v>-0.04</v>
      </c>
      <c r="CL141" s="227">
        <v>-0.04</v>
      </c>
      <c r="CM141" s="227">
        <f>CM140/CG140-1</f>
        <v>-4.0000000000000036E-2</v>
      </c>
      <c r="CO141" s="227">
        <v>-0.04</v>
      </c>
      <c r="CP141" s="227">
        <v>-0.04</v>
      </c>
      <c r="CQ141" s="227">
        <v>-0.04</v>
      </c>
      <c r="CR141" s="227">
        <v>-0.04</v>
      </c>
      <c r="CS141" s="227">
        <f>CS140/CM140-1</f>
        <v>-4.0000000000000036E-2</v>
      </c>
      <c r="CU141" s="227">
        <v>-0.04</v>
      </c>
      <c r="CV141" s="227">
        <v>-0.04</v>
      </c>
      <c r="CW141" s="227">
        <v>-0.04</v>
      </c>
      <c r="CX141" s="227">
        <v>-0.04</v>
      </c>
      <c r="CY141" s="227">
        <f>CY140/CS140-1</f>
        <v>-3.9999999999999925E-2</v>
      </c>
      <c r="DA141" s="227">
        <v>-0.04</v>
      </c>
      <c r="DB141" s="227">
        <v>-0.04</v>
      </c>
      <c r="DC141" s="227">
        <v>-0.04</v>
      </c>
      <c r="DD141" s="227">
        <v>-0.04</v>
      </c>
      <c r="DE141" s="227">
        <f>DE140/CY140-1</f>
        <v>-4.0000000000000147E-2</v>
      </c>
      <c r="DG141" s="227">
        <v>-0.04</v>
      </c>
      <c r="DH141" s="227">
        <v>-0.04</v>
      </c>
      <c r="DI141" s="227">
        <v>-0.04</v>
      </c>
      <c r="DJ141" s="227">
        <v>-0.04</v>
      </c>
      <c r="DK141" s="227">
        <f>DK140/DE140-1</f>
        <v>-4.0000000000000036E-2</v>
      </c>
    </row>
    <row r="143" spans="1:115" x14ac:dyDescent="0.2">
      <c r="A143">
        <v>3</v>
      </c>
      <c r="B143" s="226" t="s">
        <v>230</v>
      </c>
      <c r="O143" s="197">
        <f>O165</f>
        <v>1111</v>
      </c>
      <c r="P143" s="197">
        <f>P165</f>
        <v>1067</v>
      </c>
      <c r="Q143" s="197">
        <f>Q165</f>
        <v>1138</v>
      </c>
      <c r="R143" s="197">
        <f>R165</f>
        <v>1101</v>
      </c>
      <c r="S143" s="197">
        <f>O143+P143+Q143+R143</f>
        <v>4417</v>
      </c>
      <c r="T143" s="197"/>
      <c r="U143" s="197">
        <f>U165</f>
        <v>1097</v>
      </c>
      <c r="V143" s="197">
        <f>V165</f>
        <v>1061</v>
      </c>
      <c r="W143" s="197">
        <f>W165</f>
        <v>1106</v>
      </c>
      <c r="X143" s="197">
        <f>X165</f>
        <v>1112</v>
      </c>
      <c r="Y143" s="197">
        <f>U143+V143+W143+X143</f>
        <v>4376</v>
      </c>
      <c r="Z143" s="259"/>
      <c r="AA143" s="197">
        <f>AA165</f>
        <v>957</v>
      </c>
      <c r="AB143" s="197">
        <f>AB165</f>
        <v>949</v>
      </c>
      <c r="AC143" s="197">
        <f>AC165</f>
        <v>935</v>
      </c>
      <c r="AD143" s="197">
        <f>AD165</f>
        <v>911</v>
      </c>
      <c r="AE143" s="197">
        <f>AA143+AB143+AC143+AD143</f>
        <v>3752</v>
      </c>
      <c r="AF143" s="259"/>
      <c r="AG143" s="197">
        <f>AG165</f>
        <v>920</v>
      </c>
      <c r="AH143" s="197">
        <f>AH165</f>
        <v>897</v>
      </c>
      <c r="AI143" s="197">
        <f>AI165</f>
        <v>909</v>
      </c>
      <c r="AJ143" s="197">
        <f>AJ165</f>
        <v>869</v>
      </c>
      <c r="AK143" s="197">
        <f>AG143+AH143+AI143+AJ143</f>
        <v>3595</v>
      </c>
      <c r="AL143" s="259"/>
      <c r="AM143" s="197">
        <f>AM165</f>
        <v>865</v>
      </c>
      <c r="AN143" s="197">
        <f>AN165</f>
        <v>825</v>
      </c>
      <c r="AO143" s="197">
        <f>AO165</f>
        <v>863</v>
      </c>
      <c r="AP143" s="197">
        <f>AP165</f>
        <v>873</v>
      </c>
      <c r="AQ143" s="197">
        <f>AM143+AN143+AO143+AP143</f>
        <v>3426</v>
      </c>
      <c r="AR143" s="259"/>
      <c r="AS143" s="197">
        <f>AS165</f>
        <v>856</v>
      </c>
      <c r="AT143" s="197">
        <f>AT165</f>
        <v>845</v>
      </c>
      <c r="AU143" s="197">
        <f>AU165</f>
        <v>840</v>
      </c>
      <c r="AV143" s="197">
        <f>AV165</f>
        <v>858</v>
      </c>
      <c r="AW143" s="197">
        <f>AS143+AT143+AU143+AV143</f>
        <v>3399</v>
      </c>
      <c r="AX143" s="259"/>
      <c r="AY143" s="197">
        <v>824</v>
      </c>
      <c r="AZ143" s="197">
        <v>826</v>
      </c>
      <c r="BA143" s="197">
        <v>846</v>
      </c>
      <c r="BB143" s="197">
        <v>836</v>
      </c>
      <c r="BC143" s="197">
        <f>AY143+AZ143+BA143+BB143</f>
        <v>3332</v>
      </c>
      <c r="BD143" s="259"/>
      <c r="BE143" s="197">
        <v>848</v>
      </c>
      <c r="BF143" s="197">
        <v>855</v>
      </c>
      <c r="BG143" s="197">
        <v>850</v>
      </c>
      <c r="BH143" s="197">
        <v>855</v>
      </c>
      <c r="BI143" s="197">
        <f>BE143+BF143+BG143+BH143</f>
        <v>3408</v>
      </c>
      <c r="BJ143" s="259"/>
      <c r="BK143" s="197">
        <v>848</v>
      </c>
      <c r="BL143" s="197">
        <v>852</v>
      </c>
      <c r="BM143" s="197">
        <v>874</v>
      </c>
      <c r="BN143" s="197">
        <v>878</v>
      </c>
      <c r="BO143" s="197">
        <f>BK143+BL143+BM143+BN143</f>
        <v>3452</v>
      </c>
      <c r="BP143" s="259"/>
      <c r="BQ143" s="197">
        <f>BQ134+BQ137+BQ140</f>
        <v>875.96740299999988</v>
      </c>
      <c r="BR143" s="197">
        <f>BR134+BR137+BR140</f>
        <v>886.75442700000008</v>
      </c>
      <c r="BS143" s="197">
        <f>BS134+BS137+BS140</f>
        <v>899.39310799999998</v>
      </c>
      <c r="BT143" s="197">
        <f>BT134+BT137+BT140</f>
        <v>906.37691399999994</v>
      </c>
      <c r="BU143" s="197">
        <f>BQ143+BR143+BS143+BT143</f>
        <v>3568.4918519999997</v>
      </c>
      <c r="BV143" s="259"/>
      <c r="BW143" s="197">
        <f>BW134+BW137+BW140</f>
        <v>904.23314657999993</v>
      </c>
      <c r="BX143" s="197">
        <f>BX134+BX137+BX140</f>
        <v>913.71100122000007</v>
      </c>
      <c r="BY143" s="197">
        <f>BY134+BY137+BY140</f>
        <v>924.50497457999995</v>
      </c>
      <c r="BZ143" s="197">
        <f>BZ134+BZ137+BZ140</f>
        <v>929.71179594</v>
      </c>
      <c r="CA143" s="197">
        <f>BW143+BX143+BY143+BZ143</f>
        <v>3672.1609183199998</v>
      </c>
      <c r="CB143" s="259"/>
      <c r="CC143" s="197">
        <f>CC134+CC137+CC140</f>
        <v>926.82951861929985</v>
      </c>
      <c r="CD143" s="197">
        <f>CD134+CD137+CD140</f>
        <v>934.10862543270002</v>
      </c>
      <c r="CE143" s="197">
        <f>CE134+CE137+CE140</f>
        <v>943.01120621730001</v>
      </c>
      <c r="CF143" s="197">
        <f>CF134+CF137+CF140</f>
        <v>946.55012108189999</v>
      </c>
      <c r="CG143" s="197">
        <f>CC143+CD143+CE143+CF143</f>
        <v>3750.4994713511996</v>
      </c>
      <c r="CH143" s="259"/>
      <c r="CI143" s="197">
        <f>CI134+CI137+CI140</f>
        <v>947.19042714030593</v>
      </c>
      <c r="CJ143" s="197">
        <f>CJ134+CJ137+CJ140</f>
        <v>952.59301065866998</v>
      </c>
      <c r="CK143" s="197">
        <f>CK134+CK137+CK140</f>
        <v>959.554129189386</v>
      </c>
      <c r="CL143" s="197">
        <f>CL134+CL137+CL140</f>
        <v>961.36612843690204</v>
      </c>
      <c r="CM143" s="197">
        <f>CI143+CJ143+CK143+CL143</f>
        <v>3820.7036954252635</v>
      </c>
      <c r="CN143" s="259"/>
      <c r="CO143" s="197">
        <f>CO134+CO137+CO140</f>
        <v>965.31732085156841</v>
      </c>
      <c r="CP143" s="197">
        <f>CP134+CP137+CP140</f>
        <v>971.12621751075926</v>
      </c>
      <c r="CQ143" s="197">
        <f>CQ134+CQ137+CQ140</f>
        <v>978.43130778180807</v>
      </c>
      <c r="CR143" s="197">
        <f>CR134+CR137+CR140</f>
        <v>980.79324354098515</v>
      </c>
      <c r="CS143" s="197">
        <f>CO143+CP143+CQ143+CR143</f>
        <v>3895.6680896851208</v>
      </c>
      <c r="CT143" s="259"/>
      <c r="CU143" s="197">
        <f>CU134+CU137+CU140</f>
        <v>986.61056144887948</v>
      </c>
      <c r="CV143" s="197">
        <f>CV134+CV137+CV140</f>
        <v>991.76090371565374</v>
      </c>
      <c r="CW143" s="197">
        <f>CW134+CW137+CW140</f>
        <v>998.34759184981158</v>
      </c>
      <c r="CX143" s="197">
        <f>CX134+CX137+CX140</f>
        <v>1000.1888516525723</v>
      </c>
      <c r="CY143" s="197">
        <f>CU143+CV143+CW143+CX143</f>
        <v>3976.9079086669171</v>
      </c>
      <c r="CZ143" s="259"/>
      <c r="DA143" s="197">
        <f>DA134+DA137+DA140</f>
        <v>1007.2524832251429</v>
      </c>
      <c r="DB143" s="197">
        <f>DB134+DB137+DB140</f>
        <v>1011.8186311597686</v>
      </c>
      <c r="DC143" s="197">
        <f>DC134+DC137+DC140</f>
        <v>1017.7636711270829</v>
      </c>
      <c r="DD143" s="197">
        <f>DD134+DD137+DD140</f>
        <v>1019.1530998962558</v>
      </c>
      <c r="DE143" s="197">
        <f>DA143+DB143+DC143+DD143</f>
        <v>4055.9878854082503</v>
      </c>
      <c r="DF143" s="259"/>
      <c r="DG143" s="197">
        <f>DG134+DG137+DG140</f>
        <v>1027.7557170126211</v>
      </c>
      <c r="DH143" s="197">
        <f>DH134+DH137+DH140</f>
        <v>1032.5164456852826</v>
      </c>
      <c r="DI143" s="197">
        <f>DI134+DI137+DI140</f>
        <v>1038.600910709325</v>
      </c>
      <c r="DJ143" s="197">
        <f>DJ134+DJ137+DJ140</f>
        <v>1040.3119889831517</v>
      </c>
      <c r="DK143" s="197">
        <f>DG143+DH143+DI143+DJ143</f>
        <v>4139.1850623903802</v>
      </c>
    </row>
    <row r="144" spans="1:115" x14ac:dyDescent="0.2">
      <c r="B144" s="241" t="s">
        <v>74</v>
      </c>
      <c r="O144" s="103" t="s">
        <v>35</v>
      </c>
      <c r="P144" s="103" t="s">
        <v>35</v>
      </c>
      <c r="Q144" s="103" t="s">
        <v>35</v>
      </c>
      <c r="R144" s="103" t="s">
        <v>35</v>
      </c>
      <c r="S144" s="103" t="s">
        <v>35</v>
      </c>
      <c r="U144" s="227">
        <f>U143/O143-1</f>
        <v>-1.2601260126012592E-2</v>
      </c>
      <c r="V144" s="227">
        <f>V143/P143-1</f>
        <v>-5.623242736644829E-3</v>
      </c>
      <c r="W144" s="227">
        <f>W143/Q143-1</f>
        <v>-2.8119507908611618E-2</v>
      </c>
      <c r="X144" s="227">
        <f>X143/R143-1</f>
        <v>9.9909173478656133E-3</v>
      </c>
      <c r="Y144" s="227">
        <f>Y143/S143-1</f>
        <v>-9.282318315598781E-3</v>
      </c>
      <c r="AA144" s="227">
        <f>AA143/U143-1</f>
        <v>-0.12762078395624432</v>
      </c>
      <c r="AB144" s="227">
        <f>AB143/V143-1</f>
        <v>-0.1055607917059378</v>
      </c>
      <c r="AC144" s="227">
        <f>AC143/W143-1</f>
        <v>-0.15461121157323687</v>
      </c>
      <c r="AD144" s="227">
        <f>AD143/X143-1</f>
        <v>-0.18075539568345322</v>
      </c>
      <c r="AE144" s="227">
        <f>AE143/Y143-1</f>
        <v>-0.14259597806215718</v>
      </c>
      <c r="AG144" s="227">
        <f>AG143/AA143-1</f>
        <v>-3.8662486938349061E-2</v>
      </c>
      <c r="AH144" s="227">
        <f>AH143/AB143-1</f>
        <v>-5.4794520547945202E-2</v>
      </c>
      <c r="AI144" s="227">
        <f>AI143/AC143-1</f>
        <v>-2.7807486631016065E-2</v>
      </c>
      <c r="AJ144" s="227">
        <f>AJ143/AD143-1</f>
        <v>-4.6103183315038376E-2</v>
      </c>
      <c r="AK144" s="227">
        <f>AK143/AE143-1</f>
        <v>-4.1844349680170589E-2</v>
      </c>
      <c r="AM144" s="227">
        <f>AM143/AG143-1</f>
        <v>-5.9782608695652217E-2</v>
      </c>
      <c r="AN144" s="227">
        <f>AN143/AH143-1</f>
        <v>-8.026755852842804E-2</v>
      </c>
      <c r="AO144" s="227">
        <f>AO143/AI143-1</f>
        <v>-5.0605060506050625E-2</v>
      </c>
      <c r="AP144" s="227">
        <f>AP143/AJ143-1</f>
        <v>4.602991944764101E-3</v>
      </c>
      <c r="AQ144" s="227">
        <f>AQ143/AK143-1</f>
        <v>-4.7009735744089065E-2</v>
      </c>
      <c r="AS144" s="227">
        <f>AS143/AM143-1</f>
        <v>-1.0404624277456698E-2</v>
      </c>
      <c r="AT144" s="227">
        <f>AT143/AN143-1</f>
        <v>2.4242424242424176E-2</v>
      </c>
      <c r="AU144" s="227">
        <f>AU143/AO143-1</f>
        <v>-2.665121668597914E-2</v>
      </c>
      <c r="AV144" s="227">
        <f>AV143/AP143-1</f>
        <v>-1.718213058419249E-2</v>
      </c>
      <c r="AW144" s="227">
        <f>AW143/AQ143-1</f>
        <v>-7.8809106830122211E-3</v>
      </c>
      <c r="AY144" s="227">
        <f>AY143/AS143-1</f>
        <v>-3.7383177570093462E-2</v>
      </c>
      <c r="AZ144" s="227">
        <f>AZ143/AT143-1</f>
        <v>-2.2485207100591764E-2</v>
      </c>
      <c r="BA144" s="227">
        <f>BA143/AU143-1</f>
        <v>7.1428571428571175E-3</v>
      </c>
      <c r="BB144" s="227">
        <f>BB143/AV143-1</f>
        <v>-2.5641025641025661E-2</v>
      </c>
      <c r="BC144" s="227">
        <f>BC143/AW143-1</f>
        <v>-1.9711679905854651E-2</v>
      </c>
      <c r="BE144" s="227">
        <f>BE143/AY143-1</f>
        <v>2.9126213592232997E-2</v>
      </c>
      <c r="BF144" s="227">
        <f>BF143/AZ143-1</f>
        <v>3.510895883777243E-2</v>
      </c>
      <c r="BG144" s="227">
        <f>BG143/BA143-1</f>
        <v>4.7281323877068626E-3</v>
      </c>
      <c r="BH144" s="227">
        <f>BH143/BB143-1</f>
        <v>2.2727272727272707E-2</v>
      </c>
      <c r="BI144" s="227">
        <f>BI143/BC143-1</f>
        <v>2.2809123649459861E-2</v>
      </c>
      <c r="BK144" s="227">
        <f>BK143/BE143-1</f>
        <v>0</v>
      </c>
      <c r="BL144" s="227">
        <f>BL143/BF143-1</f>
        <v>-3.5087719298245723E-3</v>
      </c>
      <c r="BM144" s="227">
        <f>BM143/BG143-1</f>
        <v>2.8235294117647136E-2</v>
      </c>
      <c r="BN144" s="227">
        <f>BN143/BH143-1</f>
        <v>2.6900584795321647E-2</v>
      </c>
      <c r="BO144" s="227">
        <f>BO143/BI143-1</f>
        <v>1.2910798122065748E-2</v>
      </c>
      <c r="BQ144" s="227">
        <f>BQ143/BK143-1</f>
        <v>3.2980428066037515E-2</v>
      </c>
      <c r="BR144" s="227">
        <f>BR143/BL143-1</f>
        <v>4.0791580985915621E-2</v>
      </c>
      <c r="BS144" s="227">
        <f>BS143/BM143-1</f>
        <v>2.9053899313501219E-2</v>
      </c>
      <c r="BT144" s="227">
        <f>BT143/BN143-1</f>
        <v>3.2319947608200339E-2</v>
      </c>
      <c r="BU144" s="227">
        <f>BU143/BO143-1</f>
        <v>3.3746191193510855E-2</v>
      </c>
      <c r="BW144" s="227">
        <f>BW143/BQ143-1</f>
        <v>3.2268031302530087E-2</v>
      </c>
      <c r="BX144" s="227">
        <f>BX143/BR143-1</f>
        <v>3.0399142535095569E-2</v>
      </c>
      <c r="BY144" s="227">
        <f>BY143/BS143-1</f>
        <v>2.7920901724321379E-2</v>
      </c>
      <c r="BZ144" s="227">
        <f>BZ143/BT143-1</f>
        <v>2.5745229804032821E-2</v>
      </c>
      <c r="CA144" s="227">
        <f>CA143/BU143-1</f>
        <v>2.9051226854251544E-2</v>
      </c>
      <c r="CC144" s="227">
        <f>CC143/BW143-1</f>
        <v>2.4989541828635886E-2</v>
      </c>
      <c r="CD144" s="227">
        <f>CD143/BX143-1</f>
        <v>2.2323934138326784E-2</v>
      </c>
      <c r="CE144" s="227">
        <f>CE143/BY143-1</f>
        <v>2.0017449495831396E-2</v>
      </c>
      <c r="CF144" s="227">
        <f>CF143/BZ143-1</f>
        <v>1.8111338605610872E-2</v>
      </c>
      <c r="CG144" s="227">
        <f>CG143/CA143-1</f>
        <v>2.1333093721568108E-2</v>
      </c>
      <c r="CI144" s="227">
        <f>CI143/CC143-1</f>
        <v>2.1968342733988289E-2</v>
      </c>
      <c r="CJ144" s="227">
        <f>CJ143/CD143-1</f>
        <v>1.9788260939574975E-2</v>
      </c>
      <c r="CK144" s="227">
        <f>CK143/CE143-1</f>
        <v>1.7542657884676238E-2</v>
      </c>
      <c r="CL144" s="227">
        <f>CL143/CF143-1</f>
        <v>1.5652639015108383E-2</v>
      </c>
      <c r="CM144" s="227">
        <f>CM143/CG143-1</f>
        <v>1.8718633240807137E-2</v>
      </c>
      <c r="CO144" s="227">
        <f>CO143/CI143-1</f>
        <v>1.9137538969845824E-2</v>
      </c>
      <c r="CP144" s="227">
        <f>CP143/CJ143-1</f>
        <v>1.9455535202042462E-2</v>
      </c>
      <c r="CQ144" s="227">
        <f>CQ143/CK143-1</f>
        <v>1.9672864738093709E-2</v>
      </c>
      <c r="CR144" s="227">
        <f>CR143/CL143-1</f>
        <v>2.0207821483860577E-2</v>
      </c>
      <c r="CS144" s="227">
        <f>CS143/CM143-1</f>
        <v>1.9620572605411946E-2</v>
      </c>
      <c r="CU144" s="227">
        <f>CU143/CO143-1</f>
        <v>2.2058280875481451E-2</v>
      </c>
      <c r="CV144" s="227">
        <f>CV143/CP143-1</f>
        <v>2.1248202172716946E-2</v>
      </c>
      <c r="CW144" s="227">
        <f>CW143/CQ143-1</f>
        <v>2.0355321737563381E-2</v>
      </c>
      <c r="CX144" s="227">
        <f>CX143/CR143-1</f>
        <v>1.9775429979067338E-2</v>
      </c>
      <c r="CY144" s="227">
        <f>CY143/CS143-1</f>
        <v>2.085388619140871E-2</v>
      </c>
      <c r="DA144" s="227">
        <f>DA143/CU143-1</f>
        <v>2.0922056364316433E-2</v>
      </c>
      <c r="DB144" s="227">
        <f>DB143/CV143-1</f>
        <v>2.0224357875943788E-2</v>
      </c>
      <c r="DC144" s="227">
        <f>DC143/CW143-1</f>
        <v>1.944821566734678E-2</v>
      </c>
      <c r="DD144" s="227">
        <f>DD143/CX143-1</f>
        <v>1.8960667490294014E-2</v>
      </c>
      <c r="DE144" s="227">
        <f>DE143/CY143-1</f>
        <v>1.9884789529320823E-2</v>
      </c>
      <c r="DG144" s="227">
        <f>DG143/DA143-1</f>
        <v>2.035560510293144E-2</v>
      </c>
      <c r="DH144" s="227">
        <f>DH143/DB143-1</f>
        <v>2.0456051992035151E-2</v>
      </c>
      <c r="DI144" s="227">
        <f>DI143/DC143-1</f>
        <v>2.0473554100399971E-2</v>
      </c>
      <c r="DJ144" s="227">
        <f>DJ143/DD143-1</f>
        <v>2.0761246851969339E-2</v>
      </c>
      <c r="DK144" s="227">
        <f>DK143/DE143-1</f>
        <v>2.0512185768956082E-2</v>
      </c>
    </row>
    <row r="145" spans="1:115" x14ac:dyDescent="0.2">
      <c r="BK145" s="671" t="s">
        <v>598</v>
      </c>
    </row>
    <row r="146" spans="1:115" x14ac:dyDescent="0.2">
      <c r="A146" s="278"/>
      <c r="B146" s="278"/>
      <c r="C146" s="279"/>
      <c r="D146" s="279"/>
      <c r="E146" s="279"/>
      <c r="F146" s="279"/>
      <c r="G146" s="279"/>
      <c r="H146" s="279"/>
      <c r="I146" s="279"/>
      <c r="J146" s="279"/>
      <c r="K146" s="279"/>
      <c r="L146" s="279"/>
      <c r="M146" s="279"/>
      <c r="N146" s="279"/>
      <c r="O146" s="279"/>
      <c r="P146" s="279"/>
      <c r="Q146" s="279"/>
      <c r="R146" s="279"/>
      <c r="S146" s="279"/>
      <c r="T146" s="279"/>
      <c r="U146" s="279"/>
      <c r="V146" s="279"/>
      <c r="W146" s="279"/>
      <c r="X146" s="279"/>
      <c r="Y146" s="279"/>
      <c r="Z146" s="278"/>
      <c r="AA146" s="278"/>
      <c r="AB146" s="278"/>
      <c r="AC146" s="278"/>
      <c r="AD146" s="278"/>
      <c r="AE146" s="278"/>
      <c r="AF146" s="278"/>
      <c r="AG146" s="278"/>
      <c r="AH146" s="278"/>
      <c r="AI146" s="278"/>
      <c r="AJ146" s="278"/>
      <c r="AK146" s="278"/>
      <c r="AL146" s="278"/>
      <c r="AM146" s="278"/>
      <c r="AN146" s="278"/>
      <c r="AO146" s="278"/>
      <c r="AP146" s="278"/>
      <c r="AQ146" s="278"/>
      <c r="AR146" s="278"/>
      <c r="AS146" s="278"/>
      <c r="AT146" s="278"/>
      <c r="AU146" s="278"/>
      <c r="AV146" s="278"/>
      <c r="AW146" s="278"/>
      <c r="AX146" s="278"/>
      <c r="AY146" s="278"/>
      <c r="AZ146" s="278"/>
      <c r="BA146" s="278"/>
      <c r="BB146" s="278"/>
      <c r="BC146" s="278"/>
      <c r="BD146" s="278"/>
      <c r="BE146" s="278"/>
      <c r="BF146" s="278"/>
      <c r="BG146" s="278"/>
      <c r="BH146" s="278"/>
      <c r="BI146" s="278"/>
      <c r="BJ146" s="278"/>
      <c r="BK146" s="278"/>
      <c r="BL146" s="278"/>
      <c r="BM146" s="278"/>
      <c r="BN146" s="278"/>
      <c r="BO146" s="278"/>
      <c r="BP146" s="278"/>
      <c r="BQ146" s="278"/>
      <c r="BR146" s="278"/>
      <c r="BS146" s="278"/>
      <c r="BT146" s="278"/>
      <c r="BU146" s="278"/>
      <c r="BV146" s="278"/>
      <c r="BW146" s="278"/>
      <c r="BX146" s="278"/>
      <c r="BY146" s="278"/>
      <c r="BZ146" s="278"/>
      <c r="CA146" s="278"/>
      <c r="CB146" s="278"/>
      <c r="CC146" s="278"/>
      <c r="CD146" s="278"/>
      <c r="CE146" s="278"/>
      <c r="CF146" s="278"/>
      <c r="CG146" s="278"/>
      <c r="CH146" s="278"/>
      <c r="CI146" s="278"/>
      <c r="CJ146" s="278"/>
      <c r="CK146" s="278"/>
      <c r="CL146" s="278"/>
      <c r="CM146" s="278"/>
      <c r="CN146" s="278"/>
      <c r="CO146" s="278"/>
      <c r="CP146" s="278"/>
      <c r="CQ146" s="278"/>
      <c r="CR146" s="278"/>
      <c r="CS146" s="278"/>
      <c r="CT146" s="278"/>
      <c r="CU146" s="278"/>
      <c r="CV146" s="278"/>
      <c r="CW146" s="278"/>
      <c r="CX146" s="278"/>
      <c r="CY146" s="278"/>
      <c r="CZ146" s="278"/>
      <c r="DA146" s="278"/>
      <c r="DB146" s="278"/>
      <c r="DC146" s="278"/>
      <c r="DD146" s="278"/>
      <c r="DE146" s="278"/>
      <c r="DF146" s="278"/>
      <c r="DG146" s="278"/>
      <c r="DH146" s="278"/>
      <c r="DI146" s="278"/>
      <c r="DJ146" s="278"/>
      <c r="DK146" s="278"/>
    </row>
    <row r="148" spans="1:115" x14ac:dyDescent="0.2">
      <c r="A148">
        <v>4</v>
      </c>
      <c r="B148" s="226" t="s">
        <v>357</v>
      </c>
      <c r="O148" s="380">
        <v>97</v>
      </c>
      <c r="P148" s="380">
        <v>90</v>
      </c>
      <c r="Q148" s="380">
        <v>80</v>
      </c>
      <c r="R148" s="380">
        <v>77</v>
      </c>
      <c r="S148" s="380">
        <f>O148+P148+Q148+R148</f>
        <v>344</v>
      </c>
      <c r="T148" s="380"/>
      <c r="U148" s="380">
        <v>85</v>
      </c>
      <c r="V148" s="380">
        <v>85</v>
      </c>
      <c r="W148" s="380">
        <v>85</v>
      </c>
      <c r="X148" s="380">
        <v>99</v>
      </c>
      <c r="Y148" s="380">
        <f>U148+V148+W148+X148</f>
        <v>354</v>
      </c>
      <c r="Z148" s="346"/>
      <c r="AA148" s="380">
        <v>22</v>
      </c>
      <c r="AB148" s="380">
        <v>23</v>
      </c>
      <c r="AC148" s="380">
        <v>22</v>
      </c>
      <c r="AD148" s="380">
        <v>23</v>
      </c>
      <c r="AE148" s="380">
        <f>AA148+AB148+AC148+AD148</f>
        <v>90</v>
      </c>
      <c r="AF148" s="346"/>
      <c r="AG148" s="380">
        <v>21</v>
      </c>
      <c r="AH148" s="380">
        <v>20</v>
      </c>
      <c r="AI148" s="380">
        <v>21</v>
      </c>
      <c r="AJ148" s="380">
        <v>21</v>
      </c>
      <c r="AK148" s="380">
        <f>AG148+AH148+AI148+AJ148</f>
        <v>83</v>
      </c>
      <c r="AL148" s="346"/>
      <c r="AM148" s="380">
        <v>0</v>
      </c>
      <c r="AN148" s="380">
        <v>0</v>
      </c>
      <c r="AO148" s="380">
        <v>0</v>
      </c>
      <c r="AP148" s="380">
        <v>0</v>
      </c>
      <c r="AQ148" s="380">
        <v>0</v>
      </c>
      <c r="AR148" s="346"/>
      <c r="AS148" s="380">
        <v>0</v>
      </c>
      <c r="AT148" s="380">
        <v>0</v>
      </c>
      <c r="AU148" s="380">
        <v>0</v>
      </c>
      <c r="AV148" s="380">
        <v>0</v>
      </c>
      <c r="AW148" s="380">
        <v>0</v>
      </c>
      <c r="AX148" s="346"/>
      <c r="AY148" s="380">
        <v>0</v>
      </c>
      <c r="AZ148" s="380">
        <v>0</v>
      </c>
      <c r="BA148" s="380">
        <v>0</v>
      </c>
      <c r="BB148" s="380">
        <v>0</v>
      </c>
      <c r="BC148" s="380">
        <v>0</v>
      </c>
      <c r="BD148" s="346"/>
      <c r="BE148" s="380">
        <v>0</v>
      </c>
      <c r="BF148" s="380">
        <v>0</v>
      </c>
      <c r="BG148" s="380">
        <v>0</v>
      </c>
      <c r="BH148" s="380">
        <v>0</v>
      </c>
      <c r="BI148" s="380">
        <v>0</v>
      </c>
      <c r="BJ148" s="346"/>
      <c r="BK148" s="380">
        <v>0</v>
      </c>
      <c r="BL148" s="380">
        <v>0</v>
      </c>
      <c r="BM148" s="380">
        <v>0</v>
      </c>
      <c r="BN148" s="380">
        <v>0</v>
      </c>
      <c r="BO148" s="380">
        <v>0</v>
      </c>
      <c r="BP148" s="346"/>
      <c r="BQ148" s="380">
        <v>0</v>
      </c>
      <c r="BR148" s="380">
        <v>0</v>
      </c>
      <c r="BS148" s="380">
        <v>0</v>
      </c>
      <c r="BT148" s="380">
        <v>0</v>
      </c>
      <c r="BU148" s="380">
        <v>0</v>
      </c>
      <c r="BV148" s="346"/>
      <c r="BW148" s="380">
        <v>0</v>
      </c>
      <c r="BX148" s="380">
        <v>0</v>
      </c>
      <c r="BY148" s="380">
        <v>0</v>
      </c>
      <c r="BZ148" s="380">
        <v>0</v>
      </c>
      <c r="CA148" s="380">
        <v>0</v>
      </c>
      <c r="CB148" s="346"/>
      <c r="CC148" s="380">
        <v>0</v>
      </c>
      <c r="CD148" s="380">
        <v>0</v>
      </c>
      <c r="CE148" s="380">
        <v>0</v>
      </c>
      <c r="CF148" s="380">
        <v>0</v>
      </c>
      <c r="CG148" s="380">
        <v>0</v>
      </c>
      <c r="CH148" s="346"/>
      <c r="CI148" s="380">
        <v>0</v>
      </c>
      <c r="CJ148" s="380">
        <v>0</v>
      </c>
      <c r="CK148" s="380">
        <v>0</v>
      </c>
      <c r="CL148" s="380">
        <v>0</v>
      </c>
      <c r="CM148" s="380">
        <v>0</v>
      </c>
      <c r="CN148" s="346"/>
      <c r="CO148" s="380">
        <v>0</v>
      </c>
      <c r="CP148" s="380">
        <v>0</v>
      </c>
      <c r="CQ148" s="380">
        <v>0</v>
      </c>
      <c r="CR148" s="380">
        <v>0</v>
      </c>
      <c r="CS148" s="380">
        <v>0</v>
      </c>
      <c r="CT148" s="346"/>
      <c r="CU148" s="380">
        <v>0</v>
      </c>
      <c r="CV148" s="380">
        <v>0</v>
      </c>
      <c r="CW148" s="380">
        <v>0</v>
      </c>
      <c r="CX148" s="380">
        <v>0</v>
      </c>
      <c r="CY148" s="380">
        <v>0</v>
      </c>
      <c r="CZ148" s="346"/>
      <c r="DA148" s="380">
        <v>0</v>
      </c>
      <c r="DB148" s="380">
        <v>0</v>
      </c>
      <c r="DC148" s="380">
        <v>0</v>
      </c>
      <c r="DD148" s="380">
        <v>0</v>
      </c>
      <c r="DE148" s="380">
        <v>0</v>
      </c>
      <c r="DF148" s="346"/>
      <c r="DG148" s="380">
        <v>0</v>
      </c>
      <c r="DH148" s="380">
        <v>0</v>
      </c>
      <c r="DI148" s="380">
        <v>0</v>
      </c>
      <c r="DJ148" s="380">
        <v>0</v>
      </c>
      <c r="DK148" s="380">
        <v>0</v>
      </c>
    </row>
    <row r="149" spans="1:115" x14ac:dyDescent="0.2">
      <c r="B149" s="241" t="s">
        <v>74</v>
      </c>
      <c r="O149" s="103" t="s">
        <v>35</v>
      </c>
      <c r="P149" s="103" t="s">
        <v>35</v>
      </c>
      <c r="Q149" s="103" t="s">
        <v>35</v>
      </c>
      <c r="R149" s="103" t="s">
        <v>35</v>
      </c>
      <c r="S149" s="103" t="s">
        <v>35</v>
      </c>
      <c r="U149" s="103" t="s">
        <v>35</v>
      </c>
      <c r="V149" s="103" t="s">
        <v>35</v>
      </c>
      <c r="W149" s="103" t="s">
        <v>35</v>
      </c>
      <c r="X149" s="103" t="s">
        <v>35</v>
      </c>
      <c r="Y149" s="103" t="s">
        <v>35</v>
      </c>
      <c r="AA149" s="103" t="s">
        <v>35</v>
      </c>
      <c r="AB149" s="103" t="s">
        <v>35</v>
      </c>
      <c r="AC149" s="103" t="s">
        <v>35</v>
      </c>
      <c r="AD149" s="103" t="s">
        <v>35</v>
      </c>
      <c r="AE149" s="103" t="s">
        <v>35</v>
      </c>
      <c r="AG149" s="227">
        <f>AG148/AA148-1</f>
        <v>-4.5454545454545414E-2</v>
      </c>
      <c r="AH149" s="227">
        <f>AH148/AB148-1</f>
        <v>-0.13043478260869568</v>
      </c>
      <c r="AI149" s="227">
        <f>AI148/AC148-1</f>
        <v>-4.5454545454545414E-2</v>
      </c>
      <c r="AJ149" s="227">
        <f>AJ148/AD148-1</f>
        <v>-8.6956521739130488E-2</v>
      </c>
      <c r="AK149" s="227">
        <f>AK148/AE148-1</f>
        <v>-7.7777777777777724E-2</v>
      </c>
      <c r="AM149" s="227" t="s">
        <v>35</v>
      </c>
      <c r="AN149" s="227" t="s">
        <v>35</v>
      </c>
      <c r="AO149" s="227" t="s">
        <v>35</v>
      </c>
      <c r="AP149" s="227" t="s">
        <v>35</v>
      </c>
      <c r="AQ149" s="227" t="s">
        <v>35</v>
      </c>
      <c r="AS149" s="227" t="s">
        <v>35</v>
      </c>
      <c r="AT149" s="227" t="s">
        <v>35</v>
      </c>
      <c r="AU149" s="227" t="s">
        <v>35</v>
      </c>
      <c r="AV149" s="227" t="s">
        <v>35</v>
      </c>
      <c r="AW149" s="227" t="s">
        <v>35</v>
      </c>
      <c r="AY149" s="227" t="s">
        <v>35</v>
      </c>
      <c r="AZ149" s="227" t="s">
        <v>35</v>
      </c>
      <c r="BA149" s="227" t="s">
        <v>35</v>
      </c>
      <c r="BB149" s="227" t="s">
        <v>35</v>
      </c>
      <c r="BC149" s="227" t="s">
        <v>35</v>
      </c>
      <c r="BE149" s="227" t="s">
        <v>35</v>
      </c>
      <c r="BF149" s="227" t="s">
        <v>35</v>
      </c>
      <c r="BG149" s="227" t="s">
        <v>35</v>
      </c>
      <c r="BH149" s="227" t="s">
        <v>35</v>
      </c>
      <c r="BI149" s="227" t="s">
        <v>35</v>
      </c>
      <c r="BK149" s="227" t="s">
        <v>35</v>
      </c>
      <c r="BL149" s="227" t="s">
        <v>35</v>
      </c>
      <c r="BM149" s="227" t="s">
        <v>35</v>
      </c>
      <c r="BN149" s="227" t="s">
        <v>35</v>
      </c>
      <c r="BO149" s="227" t="s">
        <v>35</v>
      </c>
      <c r="BQ149" s="227" t="s">
        <v>35</v>
      </c>
      <c r="BR149" s="227" t="s">
        <v>35</v>
      </c>
      <c r="BS149" s="227" t="s">
        <v>35</v>
      </c>
      <c r="BT149" s="227" t="s">
        <v>35</v>
      </c>
      <c r="BU149" s="227" t="s">
        <v>35</v>
      </c>
      <c r="BW149" s="227" t="s">
        <v>35</v>
      </c>
      <c r="BX149" s="227" t="s">
        <v>35</v>
      </c>
      <c r="BY149" s="227" t="s">
        <v>35</v>
      </c>
      <c r="BZ149" s="227" t="s">
        <v>35</v>
      </c>
      <c r="CA149" s="227" t="s">
        <v>35</v>
      </c>
      <c r="CC149" s="227" t="s">
        <v>35</v>
      </c>
      <c r="CD149" s="227" t="s">
        <v>35</v>
      </c>
      <c r="CE149" s="227" t="s">
        <v>35</v>
      </c>
      <c r="CF149" s="227" t="s">
        <v>35</v>
      </c>
      <c r="CG149" s="227" t="s">
        <v>35</v>
      </c>
      <c r="CI149" s="227" t="s">
        <v>35</v>
      </c>
      <c r="CJ149" s="227" t="s">
        <v>35</v>
      </c>
      <c r="CK149" s="227" t="s">
        <v>35</v>
      </c>
      <c r="CL149" s="227" t="s">
        <v>35</v>
      </c>
      <c r="CM149" s="227" t="s">
        <v>35</v>
      </c>
      <c r="CO149" s="227" t="s">
        <v>35</v>
      </c>
      <c r="CP149" s="227" t="s">
        <v>35</v>
      </c>
      <c r="CQ149" s="227" t="s">
        <v>35</v>
      </c>
      <c r="CR149" s="227" t="s">
        <v>35</v>
      </c>
      <c r="CS149" s="227" t="s">
        <v>35</v>
      </c>
      <c r="CU149" s="227" t="s">
        <v>35</v>
      </c>
      <c r="CV149" s="227" t="s">
        <v>35</v>
      </c>
      <c r="CW149" s="227" t="s">
        <v>35</v>
      </c>
      <c r="CX149" s="227" t="s">
        <v>35</v>
      </c>
      <c r="CY149" s="227" t="s">
        <v>35</v>
      </c>
      <c r="DA149" s="227" t="s">
        <v>35</v>
      </c>
      <c r="DB149" s="227" t="s">
        <v>35</v>
      </c>
      <c r="DC149" s="227" t="s">
        <v>35</v>
      </c>
      <c r="DD149" s="227" t="s">
        <v>35</v>
      </c>
      <c r="DE149" s="227" t="s">
        <v>35</v>
      </c>
      <c r="DG149" s="227" t="s">
        <v>35</v>
      </c>
      <c r="DH149" s="227" t="s">
        <v>35</v>
      </c>
      <c r="DI149" s="227" t="s">
        <v>35</v>
      </c>
      <c r="DJ149" s="227" t="s">
        <v>35</v>
      </c>
      <c r="DK149" s="227" t="s">
        <v>35</v>
      </c>
    </row>
    <row r="151" spans="1:115" x14ac:dyDescent="0.2">
      <c r="A151">
        <v>5</v>
      </c>
      <c r="B151" s="226" t="s">
        <v>223</v>
      </c>
      <c r="O151" s="380">
        <v>44</v>
      </c>
      <c r="P151" s="380">
        <v>39</v>
      </c>
      <c r="Q151" s="380">
        <v>35</v>
      </c>
      <c r="R151" s="380">
        <v>34</v>
      </c>
      <c r="S151" s="380">
        <f>O151+P151+Q151+R151</f>
        <v>152</v>
      </c>
      <c r="T151" s="380"/>
      <c r="U151" s="380">
        <v>70</v>
      </c>
      <c r="V151" s="380">
        <v>71</v>
      </c>
      <c r="W151" s="380">
        <v>70</v>
      </c>
      <c r="X151" s="380">
        <v>71</v>
      </c>
      <c r="Y151" s="380">
        <f>U151+V151+W151+X151</f>
        <v>282</v>
      </c>
      <c r="Z151" s="346"/>
      <c r="AA151" s="380">
        <v>108</v>
      </c>
      <c r="AB151" s="380">
        <v>103</v>
      </c>
      <c r="AC151" s="380">
        <v>105</v>
      </c>
      <c r="AD151" s="380">
        <v>108</v>
      </c>
      <c r="AE151" s="380">
        <f>AA151+AB151+AC151+AD151</f>
        <v>424</v>
      </c>
      <c r="AF151" s="346"/>
      <c r="AG151" s="380">
        <v>98</v>
      </c>
      <c r="AH151" s="380">
        <v>92</v>
      </c>
      <c r="AI151" s="380">
        <v>88</v>
      </c>
      <c r="AJ151" s="380">
        <v>91</v>
      </c>
      <c r="AK151" s="380">
        <f>AG151+AH151+AI151+AJ151</f>
        <v>369</v>
      </c>
      <c r="AL151" s="346"/>
      <c r="AM151" s="380">
        <v>83</v>
      </c>
      <c r="AN151" s="380">
        <v>74</v>
      </c>
      <c r="AO151" s="380">
        <v>71</v>
      </c>
      <c r="AP151" s="380">
        <v>65</v>
      </c>
      <c r="AQ151" s="380">
        <f>AM151+AN151+AO151+AP151</f>
        <v>293</v>
      </c>
      <c r="AR151" s="346"/>
      <c r="AS151" s="380">
        <v>64</v>
      </c>
      <c r="AT151" s="380">
        <v>56</v>
      </c>
      <c r="AU151" s="380">
        <v>59</v>
      </c>
      <c r="AV151" s="380">
        <v>63</v>
      </c>
      <c r="AW151" s="380">
        <f>AS151+AT151+AU151+AV151</f>
        <v>242</v>
      </c>
      <c r="AX151" s="346"/>
      <c r="AY151" s="380">
        <v>60</v>
      </c>
      <c r="AZ151" s="380">
        <v>56</v>
      </c>
      <c r="BA151" s="380">
        <v>54</v>
      </c>
      <c r="BB151" s="380">
        <v>57</v>
      </c>
      <c r="BC151" s="380">
        <f>AY151+AZ151+BA151+BB151</f>
        <v>227</v>
      </c>
      <c r="BD151" s="346"/>
      <c r="BE151" s="380">
        <v>53</v>
      </c>
      <c r="BF151" s="380">
        <v>50</v>
      </c>
      <c r="BG151" s="380">
        <v>49</v>
      </c>
      <c r="BH151" s="380">
        <v>52</v>
      </c>
      <c r="BI151" s="380">
        <f>BE151+BF151+BG151+BH151</f>
        <v>204</v>
      </c>
      <c r="BJ151" s="346"/>
      <c r="BK151" s="380">
        <v>49</v>
      </c>
      <c r="BL151" s="380">
        <v>47</v>
      </c>
      <c r="BM151" s="380">
        <v>47</v>
      </c>
      <c r="BN151" s="380">
        <v>48</v>
      </c>
      <c r="BO151" s="380">
        <f>BK151+BL151+BM151+BN151</f>
        <v>191</v>
      </c>
      <c r="BP151" s="346"/>
      <c r="BQ151" s="380">
        <f>BK151*(1+BQ152)</f>
        <v>46.059999999999995</v>
      </c>
      <c r="BR151" s="380">
        <f>BL151*(1+BR152)</f>
        <v>44.65</v>
      </c>
      <c r="BS151" s="380">
        <f>BM151*(1+BS152)</f>
        <v>45.12</v>
      </c>
      <c r="BT151" s="380">
        <f>BN151*(1+BT152)</f>
        <v>46.56</v>
      </c>
      <c r="BU151" s="380">
        <f>BQ151+BR151+BS151+BT151</f>
        <v>182.39</v>
      </c>
      <c r="BV151" s="346"/>
      <c r="BW151" s="380">
        <f>BQ151*(1+BW152)</f>
        <v>45.138799999999996</v>
      </c>
      <c r="BX151" s="380">
        <f>BR151*(1+BX152)</f>
        <v>43.756999999999998</v>
      </c>
      <c r="BY151" s="380">
        <f>BS151*(1+BY152)</f>
        <v>44.217599999999997</v>
      </c>
      <c r="BZ151" s="380">
        <f>BT151*(1+BZ152)</f>
        <v>45.628799999999998</v>
      </c>
      <c r="CA151" s="380">
        <f>BW151+BX151+BY151+BZ151</f>
        <v>178.74219999999997</v>
      </c>
      <c r="CB151" s="346"/>
      <c r="CC151" s="380">
        <f>BW151*(1+CC152)</f>
        <v>44.236023999999993</v>
      </c>
      <c r="CD151" s="380">
        <f>BX151*(1+CD152)</f>
        <v>42.881859999999996</v>
      </c>
      <c r="CE151" s="380">
        <f>BY151*(1+CE152)</f>
        <v>43.333247999999998</v>
      </c>
      <c r="CF151" s="380">
        <f>BZ151*(1+CF152)</f>
        <v>44.716223999999997</v>
      </c>
      <c r="CG151" s="380">
        <f>CC151+CD151+CE151+CF151</f>
        <v>175.16735599999998</v>
      </c>
      <c r="CH151" s="346"/>
      <c r="CI151" s="380">
        <f>CC151*(1+CI152)</f>
        <v>43.351303519999995</v>
      </c>
      <c r="CJ151" s="380">
        <f>CD151*(1+CJ152)</f>
        <v>42.024222799999997</v>
      </c>
      <c r="CK151" s="380">
        <f>CE151*(1+CK152)</f>
        <v>42.466583039999996</v>
      </c>
      <c r="CL151" s="380">
        <f>CF151*(1+CL152)</f>
        <v>43.821899519999995</v>
      </c>
      <c r="CM151" s="380">
        <f>CI151+CJ151+CK151+CL151</f>
        <v>171.66400887999998</v>
      </c>
      <c r="CN151" s="346"/>
      <c r="CO151" s="380">
        <f>CI151*(1+CO152)</f>
        <v>42.484277449599993</v>
      </c>
      <c r="CP151" s="380">
        <f>CJ151*(1+CP152)</f>
        <v>41.183738343999998</v>
      </c>
      <c r="CQ151" s="380">
        <f>CK151*(1+CQ152)</f>
        <v>41.617251379199999</v>
      </c>
      <c r="CR151" s="380">
        <f>CL151*(1+CR152)</f>
        <v>42.945461529599996</v>
      </c>
      <c r="CS151" s="380">
        <f>CO151+CP151+CQ151+CR151</f>
        <v>168.23072870239997</v>
      </c>
      <c r="CT151" s="346"/>
      <c r="CU151" s="380">
        <f>CO151*(1+CU152)</f>
        <v>41.634591900607994</v>
      </c>
      <c r="CV151" s="380">
        <f>CP151*(1+CV152)</f>
        <v>40.360063577119995</v>
      </c>
      <c r="CW151" s="380">
        <f>CQ151*(1+CW152)</f>
        <v>40.784906351616002</v>
      </c>
      <c r="CX151" s="380">
        <f>CR151*(1+CX152)</f>
        <v>42.086552299007998</v>
      </c>
      <c r="CY151" s="380">
        <f>CU151+CV151+CW151+CX151</f>
        <v>164.866114128352</v>
      </c>
      <c r="CZ151" s="346"/>
      <c r="DA151" s="380">
        <f>CU151*(1+DA152)</f>
        <v>40.801900062595834</v>
      </c>
      <c r="DB151" s="380">
        <f>CV151*(1+DB152)</f>
        <v>39.552862305577591</v>
      </c>
      <c r="DC151" s="380">
        <f>CW151*(1+DC152)</f>
        <v>39.969208224583681</v>
      </c>
      <c r="DD151" s="380">
        <f>CX151*(1+DD152)</f>
        <v>41.244821253027837</v>
      </c>
      <c r="DE151" s="380">
        <f>DA151+DB151+DC151+DD151</f>
        <v>161.56879184578494</v>
      </c>
      <c r="DF151" s="346"/>
      <c r="DG151" s="380">
        <f>DA151*(1+DG152)</f>
        <v>39.985862061343916</v>
      </c>
      <c r="DH151" s="380">
        <f>DB151*(1+DH152)</f>
        <v>38.761805059466042</v>
      </c>
      <c r="DI151" s="380">
        <f>DC151*(1+DI152)</f>
        <v>39.169824060092004</v>
      </c>
      <c r="DJ151" s="380">
        <f>DD151*(1+DJ152)</f>
        <v>40.419924827967279</v>
      </c>
      <c r="DK151" s="380">
        <f>DG151+DH151+DI151+DJ151</f>
        <v>158.33741600886924</v>
      </c>
    </row>
    <row r="152" spans="1:115" x14ac:dyDescent="0.2">
      <c r="B152" s="241" t="s">
        <v>74</v>
      </c>
      <c r="O152" s="103" t="s">
        <v>35</v>
      </c>
      <c r="P152" s="103" t="s">
        <v>35</v>
      </c>
      <c r="Q152" s="103" t="s">
        <v>35</v>
      </c>
      <c r="R152" s="103" t="s">
        <v>35</v>
      </c>
      <c r="S152" s="103" t="s">
        <v>35</v>
      </c>
      <c r="U152" s="103" t="s">
        <v>35</v>
      </c>
      <c r="V152" s="103" t="s">
        <v>35</v>
      </c>
      <c r="W152" s="103" t="s">
        <v>35</v>
      </c>
      <c r="X152" s="103" t="s">
        <v>35</v>
      </c>
      <c r="Y152" s="103" t="s">
        <v>35</v>
      </c>
      <c r="AA152" s="103" t="s">
        <v>35</v>
      </c>
      <c r="AB152" s="103" t="s">
        <v>35</v>
      </c>
      <c r="AC152" s="103" t="s">
        <v>35</v>
      </c>
      <c r="AD152" s="103" t="s">
        <v>35</v>
      </c>
      <c r="AE152" s="103" t="s">
        <v>35</v>
      </c>
      <c r="AG152" s="227">
        <f>AG151/AA151-1</f>
        <v>-9.259259259259256E-2</v>
      </c>
      <c r="AH152" s="227">
        <f>AH151/AB151-1</f>
        <v>-0.10679611650485432</v>
      </c>
      <c r="AI152" s="227">
        <f>AI151/AC151-1</f>
        <v>-0.16190476190476188</v>
      </c>
      <c r="AJ152" s="227">
        <f>AJ151/AD151-1</f>
        <v>-0.15740740740740744</v>
      </c>
      <c r="AK152" s="227">
        <f>AK151/AE151-1</f>
        <v>-0.12971698113207553</v>
      </c>
      <c r="AM152" s="227">
        <f>AM151/AG151-1</f>
        <v>-0.15306122448979587</v>
      </c>
      <c r="AN152" s="227">
        <f>AN151/AH151-1</f>
        <v>-0.19565217391304346</v>
      </c>
      <c r="AO152" s="227">
        <f>AO151/AI151-1</f>
        <v>-0.19318181818181823</v>
      </c>
      <c r="AP152" s="227">
        <f>AP151/AJ151-1</f>
        <v>-0.2857142857142857</v>
      </c>
      <c r="AQ152" s="227">
        <f>AQ151/AK151-1</f>
        <v>-0.20596205962059622</v>
      </c>
      <c r="AS152" s="227">
        <f>AS151/AM151-1</f>
        <v>-0.22891566265060237</v>
      </c>
      <c r="AT152" s="227">
        <f>AT151/AN151-1</f>
        <v>-0.2432432432432432</v>
      </c>
      <c r="AU152" s="227">
        <f>AU151/AO151-1</f>
        <v>-0.16901408450704225</v>
      </c>
      <c r="AV152" s="227">
        <f>AV151/AP151-1</f>
        <v>-3.0769230769230771E-2</v>
      </c>
      <c r="AW152" s="227">
        <f>AW151/AQ151-1</f>
        <v>-0.17406143344709901</v>
      </c>
      <c r="AY152" s="227">
        <f>AY151/AS151-1</f>
        <v>-6.25E-2</v>
      </c>
      <c r="AZ152" s="227">
        <f>AZ151/AT151-1</f>
        <v>0</v>
      </c>
      <c r="BA152" s="227">
        <f>BA151/AU151-1</f>
        <v>-8.4745762711864403E-2</v>
      </c>
      <c r="BB152" s="227">
        <f>BB151/AV151-1</f>
        <v>-9.5238095238095233E-2</v>
      </c>
      <c r="BC152" s="227">
        <f>BC151/AW151-1</f>
        <v>-6.1983471074380181E-2</v>
      </c>
      <c r="BE152" s="227">
        <f>BE151/AY151-1</f>
        <v>-0.1166666666666667</v>
      </c>
      <c r="BF152" s="227">
        <f>BF151/AZ151-1</f>
        <v>-0.1071428571428571</v>
      </c>
      <c r="BG152" s="227">
        <f>BG151/BA151-1</f>
        <v>-9.259259259259256E-2</v>
      </c>
      <c r="BH152" s="227">
        <f>BH151/BB151-1</f>
        <v>-8.7719298245614086E-2</v>
      </c>
      <c r="BI152" s="227">
        <f>BI151/BC151-1</f>
        <v>-0.10132158590308371</v>
      </c>
      <c r="BK152" s="227">
        <f>BK151/BE151-1</f>
        <v>-7.547169811320753E-2</v>
      </c>
      <c r="BL152" s="227">
        <f>BL151/BF151-1</f>
        <v>-6.0000000000000053E-2</v>
      </c>
      <c r="BM152" s="227">
        <f>BM151/BG151-1</f>
        <v>-4.081632653061229E-2</v>
      </c>
      <c r="BN152" s="227">
        <f>BN151/BH151-1</f>
        <v>-7.6923076923076872E-2</v>
      </c>
      <c r="BO152" s="227">
        <f>BO151/BI151-1</f>
        <v>-6.3725490196078427E-2</v>
      </c>
      <c r="BQ152" s="227">
        <v>-0.06</v>
      </c>
      <c r="BR152" s="227">
        <v>-0.05</v>
      </c>
      <c r="BS152" s="227">
        <v>-0.04</v>
      </c>
      <c r="BT152" s="227">
        <v>-0.03</v>
      </c>
      <c r="BU152" s="227">
        <f>BU151/BO151-1</f>
        <v>-4.5078534031413708E-2</v>
      </c>
      <c r="BW152" s="227">
        <v>-0.02</v>
      </c>
      <c r="BX152" s="227">
        <v>-0.02</v>
      </c>
      <c r="BY152" s="227">
        <v>-0.02</v>
      </c>
      <c r="BZ152" s="227">
        <v>-0.02</v>
      </c>
      <c r="CA152" s="227">
        <f>CA151/BU151-1</f>
        <v>-2.0000000000000129E-2</v>
      </c>
      <c r="CC152" s="227">
        <v>-0.02</v>
      </c>
      <c r="CD152" s="227">
        <v>-0.02</v>
      </c>
      <c r="CE152" s="227">
        <v>-0.02</v>
      </c>
      <c r="CF152" s="227">
        <v>-0.02</v>
      </c>
      <c r="CG152" s="227">
        <f>CG151/CA151-1</f>
        <v>-1.9999999999999907E-2</v>
      </c>
      <c r="CI152" s="227">
        <v>-0.02</v>
      </c>
      <c r="CJ152" s="227">
        <v>-0.02</v>
      </c>
      <c r="CK152" s="227">
        <v>-0.02</v>
      </c>
      <c r="CL152" s="227">
        <v>-0.02</v>
      </c>
      <c r="CM152" s="227">
        <f>CM151/CG151-1</f>
        <v>-2.0000000000000018E-2</v>
      </c>
      <c r="CO152" s="227">
        <v>-0.02</v>
      </c>
      <c r="CP152" s="227">
        <v>-0.02</v>
      </c>
      <c r="CQ152" s="227">
        <v>-0.02</v>
      </c>
      <c r="CR152" s="227">
        <v>-0.02</v>
      </c>
      <c r="CS152" s="227">
        <f>CS151/CM151-1</f>
        <v>-2.0000000000000018E-2</v>
      </c>
      <c r="CU152" s="227">
        <v>-0.02</v>
      </c>
      <c r="CV152" s="227">
        <v>-0.02</v>
      </c>
      <c r="CW152" s="227">
        <v>-0.02</v>
      </c>
      <c r="CX152" s="227">
        <v>-0.02</v>
      </c>
      <c r="CY152" s="227">
        <f>CY151/CS151-1</f>
        <v>-1.9999999999999907E-2</v>
      </c>
      <c r="DA152" s="227">
        <v>-0.02</v>
      </c>
      <c r="DB152" s="227">
        <v>-0.02</v>
      </c>
      <c r="DC152" s="227">
        <v>-0.02</v>
      </c>
      <c r="DD152" s="227">
        <v>-0.02</v>
      </c>
      <c r="DE152" s="227">
        <f>DE151/CY151-1</f>
        <v>-2.0000000000000018E-2</v>
      </c>
      <c r="DG152" s="227">
        <v>-0.02</v>
      </c>
      <c r="DH152" s="227">
        <v>-0.02</v>
      </c>
      <c r="DI152" s="227">
        <v>-0.02</v>
      </c>
      <c r="DJ152" s="227">
        <v>-0.02</v>
      </c>
      <c r="DK152" s="227">
        <f>DK151/DE151-1</f>
        <v>-2.0000000000000018E-2</v>
      </c>
    </row>
    <row r="154" spans="1:115" x14ac:dyDescent="0.2">
      <c r="A154" s="278"/>
      <c r="B154" s="278"/>
      <c r="C154" s="279"/>
      <c r="D154" s="279"/>
      <c r="E154" s="279"/>
      <c r="F154" s="279"/>
      <c r="G154" s="279"/>
      <c r="H154" s="279"/>
      <c r="I154" s="279"/>
      <c r="J154" s="279"/>
      <c r="K154" s="279"/>
      <c r="L154" s="279"/>
      <c r="M154" s="279"/>
      <c r="N154" s="279"/>
      <c r="O154" s="279"/>
      <c r="P154" s="279"/>
      <c r="Q154" s="279"/>
      <c r="R154" s="279"/>
      <c r="S154" s="279"/>
      <c r="T154" s="279"/>
      <c r="U154" s="279"/>
      <c r="V154" s="279"/>
      <c r="W154" s="279"/>
      <c r="X154" s="279"/>
      <c r="Y154" s="279"/>
      <c r="Z154" s="278"/>
      <c r="AA154" s="278"/>
      <c r="AB154" s="278"/>
      <c r="AC154" s="278"/>
      <c r="AD154" s="278"/>
      <c r="AE154" s="278"/>
      <c r="AF154" s="278"/>
      <c r="AG154" s="278"/>
      <c r="AH154" s="278"/>
      <c r="AI154" s="278"/>
      <c r="AJ154" s="278"/>
      <c r="AK154" s="278"/>
      <c r="AL154" s="278"/>
      <c r="AM154" s="278"/>
      <c r="AN154" s="278"/>
      <c r="AO154" s="278"/>
      <c r="AP154" s="278"/>
      <c r="AQ154" s="278"/>
      <c r="AR154" s="278"/>
      <c r="AS154" s="278"/>
      <c r="AT154" s="278"/>
      <c r="AU154" s="278"/>
      <c r="AV154" s="278"/>
      <c r="AW154" s="278"/>
      <c r="AX154" s="278"/>
      <c r="AY154" s="278"/>
      <c r="AZ154" s="278"/>
      <c r="BA154" s="278"/>
      <c r="BB154" s="278"/>
      <c r="BC154" s="278"/>
      <c r="BD154" s="278"/>
      <c r="BE154" s="278"/>
      <c r="BF154" s="278"/>
      <c r="BG154" s="278"/>
      <c r="BH154" s="278"/>
      <c r="BI154" s="278"/>
      <c r="BJ154" s="278"/>
      <c r="BK154" s="278"/>
      <c r="BL154" s="278"/>
      <c r="BM154" s="278"/>
      <c r="BN154" s="278"/>
      <c r="BO154" s="278"/>
      <c r="BP154" s="278"/>
      <c r="BQ154" s="278"/>
      <c r="BR154" s="278"/>
      <c r="BS154" s="278"/>
      <c r="BT154" s="278"/>
      <c r="BU154" s="278"/>
      <c r="BV154" s="278"/>
      <c r="BW154" s="278"/>
      <c r="BX154" s="278"/>
      <c r="BY154" s="278"/>
      <c r="BZ154" s="278"/>
      <c r="CA154" s="278"/>
      <c r="CB154" s="278"/>
      <c r="CC154" s="278"/>
      <c r="CD154" s="278"/>
      <c r="CE154" s="278"/>
      <c r="CF154" s="278"/>
      <c r="CG154" s="278"/>
      <c r="CH154" s="278"/>
      <c r="CI154" s="278"/>
      <c r="CJ154" s="278"/>
      <c r="CK154" s="278"/>
      <c r="CL154" s="278"/>
      <c r="CM154" s="278"/>
      <c r="CN154" s="278"/>
      <c r="CO154" s="278"/>
      <c r="CP154" s="278"/>
      <c r="CQ154" s="278"/>
      <c r="CR154" s="278"/>
      <c r="CS154" s="278"/>
      <c r="CT154" s="278"/>
      <c r="CU154" s="278"/>
      <c r="CV154" s="278"/>
      <c r="CW154" s="278"/>
      <c r="CX154" s="278"/>
      <c r="CY154" s="278"/>
      <c r="CZ154" s="278"/>
      <c r="DA154" s="278"/>
      <c r="DB154" s="278"/>
      <c r="DC154" s="278"/>
      <c r="DD154" s="278"/>
      <c r="DE154" s="278"/>
      <c r="DF154" s="278"/>
      <c r="DG154" s="278"/>
      <c r="DH154" s="278"/>
      <c r="DI154" s="278"/>
      <c r="DJ154" s="278"/>
      <c r="DK154" s="278"/>
    </row>
    <row r="155" spans="1:115" ht="13.5" thickBot="1" x14ac:dyDescent="0.25"/>
    <row r="156" spans="1:115" x14ac:dyDescent="0.2">
      <c r="C156" s="712">
        <v>2007</v>
      </c>
      <c r="D156" s="713"/>
      <c r="E156" s="713"/>
      <c r="F156" s="713"/>
      <c r="G156" s="714"/>
      <c r="H156" s="129"/>
      <c r="I156" s="712">
        <v>2008</v>
      </c>
      <c r="J156" s="713"/>
      <c r="K156" s="713"/>
      <c r="L156" s="713"/>
      <c r="M156" s="714"/>
      <c r="N156" s="129"/>
      <c r="O156" s="712">
        <v>2009</v>
      </c>
      <c r="P156" s="713"/>
      <c r="Q156" s="713"/>
      <c r="R156" s="713"/>
      <c r="S156" s="714"/>
      <c r="T156" s="129"/>
      <c r="U156" s="712">
        <v>2010</v>
      </c>
      <c r="V156" s="713"/>
      <c r="W156" s="713"/>
      <c r="X156" s="713"/>
      <c r="Y156" s="714"/>
      <c r="AA156" s="712">
        <v>2011</v>
      </c>
      <c r="AB156" s="713"/>
      <c r="AC156" s="713"/>
      <c r="AD156" s="713"/>
      <c r="AE156" s="714"/>
      <c r="AG156" s="712">
        <v>2012</v>
      </c>
      <c r="AH156" s="713"/>
      <c r="AI156" s="713"/>
      <c r="AJ156" s="713"/>
      <c r="AK156" s="714"/>
      <c r="AM156" s="712">
        <v>2013</v>
      </c>
      <c r="AN156" s="713"/>
      <c r="AO156" s="713"/>
      <c r="AP156" s="713"/>
      <c r="AQ156" s="714"/>
      <c r="AS156" s="712">
        <v>2014</v>
      </c>
      <c r="AT156" s="713"/>
      <c r="AU156" s="713"/>
      <c r="AV156" s="713"/>
      <c r="AW156" s="714"/>
      <c r="AY156" s="712">
        <v>2015</v>
      </c>
      <c r="AZ156" s="713"/>
      <c r="BA156" s="713"/>
      <c r="BB156" s="713"/>
      <c r="BC156" s="714"/>
      <c r="BE156" s="712">
        <v>2016</v>
      </c>
      <c r="BF156" s="713"/>
      <c r="BG156" s="713"/>
      <c r="BH156" s="713"/>
      <c r="BI156" s="714"/>
      <c r="BK156" s="712">
        <v>2017</v>
      </c>
      <c r="BL156" s="713"/>
      <c r="BM156" s="713"/>
      <c r="BN156" s="713"/>
      <c r="BO156" s="714"/>
      <c r="BQ156" s="712">
        <v>2018</v>
      </c>
      <c r="BR156" s="713"/>
      <c r="BS156" s="713"/>
      <c r="BT156" s="713"/>
      <c r="BU156" s="714"/>
      <c r="BW156" s="712">
        <v>2019</v>
      </c>
      <c r="BX156" s="713"/>
      <c r="BY156" s="713"/>
      <c r="BZ156" s="713"/>
      <c r="CA156" s="714"/>
      <c r="CC156" s="712">
        <v>2020</v>
      </c>
      <c r="CD156" s="713"/>
      <c r="CE156" s="713"/>
      <c r="CF156" s="713"/>
      <c r="CG156" s="714"/>
      <c r="CI156" s="712">
        <v>2021</v>
      </c>
      <c r="CJ156" s="713"/>
      <c r="CK156" s="713"/>
      <c r="CL156" s="713"/>
      <c r="CM156" s="714"/>
      <c r="CO156" s="712">
        <v>2022</v>
      </c>
      <c r="CP156" s="713"/>
      <c r="CQ156" s="713"/>
      <c r="CR156" s="713"/>
      <c r="CS156" s="714"/>
      <c r="CU156" s="712">
        <v>2023</v>
      </c>
      <c r="CV156" s="713"/>
      <c r="CW156" s="713"/>
      <c r="CX156" s="713"/>
      <c r="CY156" s="714"/>
      <c r="DA156" s="712">
        <v>2024</v>
      </c>
      <c r="DB156" s="713"/>
      <c r="DC156" s="713"/>
      <c r="DD156" s="713"/>
      <c r="DE156" s="714"/>
      <c r="DG156" s="712">
        <v>2025</v>
      </c>
      <c r="DH156" s="713"/>
      <c r="DI156" s="713"/>
      <c r="DJ156" s="713"/>
      <c r="DK156" s="714"/>
    </row>
    <row r="157" spans="1:115" ht="13.5" thickBot="1" x14ac:dyDescent="0.25">
      <c r="B157" s="281" t="s">
        <v>182</v>
      </c>
      <c r="C157" s="130" t="s">
        <v>20</v>
      </c>
      <c r="D157" s="131" t="s">
        <v>19</v>
      </c>
      <c r="E157" s="131" t="s">
        <v>22</v>
      </c>
      <c r="F157" s="131" t="s">
        <v>21</v>
      </c>
      <c r="G157" s="132" t="s">
        <v>39</v>
      </c>
      <c r="H157" s="129"/>
      <c r="I157" s="130" t="s">
        <v>20</v>
      </c>
      <c r="J157" s="131" t="s">
        <v>19</v>
      </c>
      <c r="K157" s="131" t="s">
        <v>22</v>
      </c>
      <c r="L157" s="131" t="s">
        <v>21</v>
      </c>
      <c r="M157" s="132" t="s">
        <v>39</v>
      </c>
      <c r="N157" s="129"/>
      <c r="O157" s="130" t="s">
        <v>20</v>
      </c>
      <c r="P157" s="131" t="s">
        <v>19</v>
      </c>
      <c r="Q157" s="131" t="s">
        <v>22</v>
      </c>
      <c r="R157" s="131" t="s">
        <v>21</v>
      </c>
      <c r="S157" s="132" t="s">
        <v>39</v>
      </c>
      <c r="T157" s="129"/>
      <c r="U157" s="130" t="s">
        <v>20</v>
      </c>
      <c r="V157" s="131" t="s">
        <v>19</v>
      </c>
      <c r="W157" s="131" t="s">
        <v>22</v>
      </c>
      <c r="X157" s="131" t="s">
        <v>21</v>
      </c>
      <c r="Y157" s="132" t="s">
        <v>39</v>
      </c>
      <c r="AA157" s="130" t="s">
        <v>20</v>
      </c>
      <c r="AB157" s="131" t="s">
        <v>19</v>
      </c>
      <c r="AC157" s="131" t="s">
        <v>22</v>
      </c>
      <c r="AD157" s="131" t="s">
        <v>21</v>
      </c>
      <c r="AE157" s="132" t="s">
        <v>39</v>
      </c>
      <c r="AG157" s="130" t="s">
        <v>20</v>
      </c>
      <c r="AH157" s="131" t="s">
        <v>19</v>
      </c>
      <c r="AI157" s="131" t="s">
        <v>22</v>
      </c>
      <c r="AJ157" s="131" t="s">
        <v>21</v>
      </c>
      <c r="AK157" s="132" t="s">
        <v>39</v>
      </c>
      <c r="AM157" s="130" t="s">
        <v>20</v>
      </c>
      <c r="AN157" s="131" t="s">
        <v>19</v>
      </c>
      <c r="AO157" s="131" t="s">
        <v>22</v>
      </c>
      <c r="AP157" s="131" t="s">
        <v>21</v>
      </c>
      <c r="AQ157" s="132" t="s">
        <v>39</v>
      </c>
      <c r="AS157" s="130" t="s">
        <v>20</v>
      </c>
      <c r="AT157" s="131" t="s">
        <v>19</v>
      </c>
      <c r="AU157" s="131" t="s">
        <v>22</v>
      </c>
      <c r="AV157" s="131" t="s">
        <v>21</v>
      </c>
      <c r="AW157" s="132" t="s">
        <v>39</v>
      </c>
      <c r="AY157" s="130" t="s">
        <v>20</v>
      </c>
      <c r="AZ157" s="131" t="s">
        <v>19</v>
      </c>
      <c r="BA157" s="131" t="s">
        <v>22</v>
      </c>
      <c r="BB157" s="131" t="s">
        <v>21</v>
      </c>
      <c r="BC157" s="132" t="s">
        <v>39</v>
      </c>
      <c r="BE157" s="130" t="s">
        <v>20</v>
      </c>
      <c r="BF157" s="131" t="s">
        <v>19</v>
      </c>
      <c r="BG157" s="131" t="s">
        <v>22</v>
      </c>
      <c r="BH157" s="131" t="s">
        <v>21</v>
      </c>
      <c r="BI157" s="132" t="s">
        <v>39</v>
      </c>
      <c r="BK157" s="130" t="s">
        <v>20</v>
      </c>
      <c r="BL157" s="131" t="s">
        <v>19</v>
      </c>
      <c r="BM157" s="131" t="s">
        <v>22</v>
      </c>
      <c r="BN157" s="131" t="s">
        <v>21</v>
      </c>
      <c r="BO157" s="132" t="s">
        <v>39</v>
      </c>
      <c r="BQ157" s="130" t="s">
        <v>20</v>
      </c>
      <c r="BR157" s="131" t="s">
        <v>19</v>
      </c>
      <c r="BS157" s="131" t="s">
        <v>22</v>
      </c>
      <c r="BT157" s="131" t="s">
        <v>21</v>
      </c>
      <c r="BU157" s="132" t="s">
        <v>39</v>
      </c>
      <c r="BW157" s="130" t="s">
        <v>20</v>
      </c>
      <c r="BX157" s="131" t="s">
        <v>19</v>
      </c>
      <c r="BY157" s="131" t="s">
        <v>22</v>
      </c>
      <c r="BZ157" s="131" t="s">
        <v>21</v>
      </c>
      <c r="CA157" s="132" t="s">
        <v>39</v>
      </c>
      <c r="CC157" s="130" t="s">
        <v>20</v>
      </c>
      <c r="CD157" s="131" t="s">
        <v>19</v>
      </c>
      <c r="CE157" s="131" t="s">
        <v>22</v>
      </c>
      <c r="CF157" s="131" t="s">
        <v>21</v>
      </c>
      <c r="CG157" s="132" t="s">
        <v>39</v>
      </c>
      <c r="CI157" s="130" t="s">
        <v>20</v>
      </c>
      <c r="CJ157" s="131" t="s">
        <v>19</v>
      </c>
      <c r="CK157" s="131" t="s">
        <v>22</v>
      </c>
      <c r="CL157" s="131" t="s">
        <v>21</v>
      </c>
      <c r="CM157" s="132" t="s">
        <v>39</v>
      </c>
      <c r="CO157" s="130" t="s">
        <v>20</v>
      </c>
      <c r="CP157" s="131" t="s">
        <v>19</v>
      </c>
      <c r="CQ157" s="131" t="s">
        <v>22</v>
      </c>
      <c r="CR157" s="131" t="s">
        <v>21</v>
      </c>
      <c r="CS157" s="132" t="s">
        <v>39</v>
      </c>
      <c r="CU157" s="130" t="s">
        <v>20</v>
      </c>
      <c r="CV157" s="131" t="s">
        <v>19</v>
      </c>
      <c r="CW157" s="131" t="s">
        <v>22</v>
      </c>
      <c r="CX157" s="131" t="s">
        <v>21</v>
      </c>
      <c r="CY157" s="132" t="s">
        <v>39</v>
      </c>
      <c r="DA157" s="130" t="s">
        <v>20</v>
      </c>
      <c r="DB157" s="131" t="s">
        <v>19</v>
      </c>
      <c r="DC157" s="131" t="s">
        <v>22</v>
      </c>
      <c r="DD157" s="131" t="s">
        <v>21</v>
      </c>
      <c r="DE157" s="132" t="s">
        <v>39</v>
      </c>
      <c r="DG157" s="130" t="s">
        <v>20</v>
      </c>
      <c r="DH157" s="131" t="s">
        <v>19</v>
      </c>
      <c r="DI157" s="131" t="s">
        <v>22</v>
      </c>
      <c r="DJ157" s="131" t="s">
        <v>21</v>
      </c>
      <c r="DK157" s="132" t="s">
        <v>39</v>
      </c>
    </row>
    <row r="159" spans="1:115" x14ac:dyDescent="0.2">
      <c r="B159" s="273" t="s">
        <v>215</v>
      </c>
      <c r="C159" s="129"/>
      <c r="D159" s="129"/>
      <c r="E159" s="129"/>
      <c r="F159" s="129"/>
      <c r="G159" s="129"/>
      <c r="H159" s="129"/>
      <c r="I159" s="129"/>
      <c r="J159" s="129"/>
      <c r="K159" s="129"/>
      <c r="L159" s="129"/>
      <c r="M159" s="129"/>
      <c r="N159" s="129"/>
      <c r="O159" s="197">
        <f>O86</f>
        <v>1512</v>
      </c>
      <c r="P159" s="197">
        <f>P86</f>
        <v>1440</v>
      </c>
      <c r="Q159" s="197">
        <f>Q86</f>
        <v>1415</v>
      </c>
      <c r="R159" s="197">
        <f>R86</f>
        <v>1367</v>
      </c>
      <c r="S159" s="197">
        <f>O159+P159+Q159+R159</f>
        <v>5734</v>
      </c>
      <c r="T159" s="197"/>
      <c r="U159" s="197">
        <f>U86</f>
        <v>1315</v>
      </c>
      <c r="V159" s="197">
        <f>V86</f>
        <v>1279</v>
      </c>
      <c r="W159" s="197">
        <f>W86</f>
        <v>1252</v>
      </c>
      <c r="X159" s="197">
        <f>X86</f>
        <v>1232</v>
      </c>
      <c r="Y159" s="197">
        <f>U159+V159+W159+X159</f>
        <v>5078</v>
      </c>
      <c r="Z159" s="391"/>
      <c r="AA159" s="197">
        <f>AA86</f>
        <v>1405</v>
      </c>
      <c r="AB159" s="197">
        <f>AB86</f>
        <v>1392</v>
      </c>
      <c r="AC159" s="197">
        <f>AC86</f>
        <v>1384</v>
      </c>
      <c r="AD159" s="197">
        <f>AD86</f>
        <v>1381</v>
      </c>
      <c r="AE159" s="197">
        <f>AA159+AB159+AC159+AD159</f>
        <v>5562</v>
      </c>
      <c r="AF159" s="391"/>
      <c r="AG159" s="197">
        <f>AG86</f>
        <v>1329</v>
      </c>
      <c r="AH159" s="197">
        <f>AH86</f>
        <v>1319</v>
      </c>
      <c r="AI159" s="197">
        <f>AI86</f>
        <v>1302</v>
      </c>
      <c r="AJ159" s="197">
        <f>AJ86</f>
        <v>1291</v>
      </c>
      <c r="AK159" s="197">
        <f>AG159+AH159+AI159+AJ159</f>
        <v>5241</v>
      </c>
      <c r="AL159" s="391"/>
      <c r="AM159" s="197">
        <f>AM86</f>
        <v>1249</v>
      </c>
      <c r="AN159" s="197">
        <f>AN86</f>
        <v>1232</v>
      </c>
      <c r="AO159" s="197">
        <f>AO86</f>
        <v>1235</v>
      </c>
      <c r="AP159" s="197">
        <f>AP86</f>
        <v>1234</v>
      </c>
      <c r="AQ159" s="197">
        <f>AM159+AN159+AO159+AP159</f>
        <v>4950</v>
      </c>
      <c r="AR159" s="391"/>
      <c r="AS159" s="197">
        <f>AS86</f>
        <v>1210</v>
      </c>
      <c r="AT159" s="197">
        <f>AT86</f>
        <v>1210</v>
      </c>
      <c r="AU159" s="197">
        <f>AU86</f>
        <v>1207</v>
      </c>
      <c r="AV159" s="197">
        <f>AV86</f>
        <v>1211</v>
      </c>
      <c r="AW159" s="197">
        <f>AS159+AT159+AU159+AV159</f>
        <v>4838</v>
      </c>
      <c r="AX159" s="391"/>
      <c r="AY159" s="197">
        <f>AY86</f>
        <v>1144</v>
      </c>
      <c r="AZ159" s="197">
        <f>AZ86</f>
        <v>1123</v>
      </c>
      <c r="BA159" s="197">
        <f>BA86</f>
        <v>1102</v>
      </c>
      <c r="BB159" s="197">
        <f>BB86</f>
        <v>1139</v>
      </c>
      <c r="BC159" s="197">
        <f>AY159+AZ159+BA159+BB159</f>
        <v>4508</v>
      </c>
      <c r="BD159" s="391"/>
      <c r="BE159" s="197">
        <f>BE86</f>
        <v>1097.5</v>
      </c>
      <c r="BF159" s="197">
        <f>BF86</f>
        <v>1100.5</v>
      </c>
      <c r="BG159" s="197">
        <f>BG86</f>
        <v>1072.7</v>
      </c>
      <c r="BH159" s="197">
        <f>BH86</f>
        <v>1109</v>
      </c>
      <c r="BI159" s="197">
        <f>BE159+BF159+BG159+BH159</f>
        <v>4379.7</v>
      </c>
      <c r="BJ159" s="391"/>
      <c r="BK159" s="197">
        <f>BK86</f>
        <v>1062</v>
      </c>
      <c r="BL159" s="197">
        <f>BL86</f>
        <v>1058</v>
      </c>
      <c r="BM159" s="197">
        <f>BM86</f>
        <v>1049</v>
      </c>
      <c r="BN159" s="197">
        <f>BN86</f>
        <v>1087</v>
      </c>
      <c r="BO159" s="197">
        <f>BK159+BL159+BM159+BN159</f>
        <v>4256</v>
      </c>
      <c r="BP159" s="391"/>
      <c r="BQ159" s="197">
        <f>BQ86</f>
        <v>1043.4565439199432</v>
      </c>
      <c r="BR159" s="197">
        <f>BR86</f>
        <v>1041.1295093648207</v>
      </c>
      <c r="BS159" s="197">
        <f>BS86</f>
        <v>1030.8169023776511</v>
      </c>
      <c r="BT159" s="197">
        <f>BT86</f>
        <v>1063.8709182513433</v>
      </c>
      <c r="BU159" s="197">
        <f>BQ159+BR159+BS159+BT159</f>
        <v>4179.2738739137576</v>
      </c>
      <c r="BV159" s="391"/>
      <c r="BW159" s="197">
        <f>BW86</f>
        <v>1017.2466780551904</v>
      </c>
      <c r="BX159" s="197">
        <f>BX86</f>
        <v>1015.6137673045602</v>
      </c>
      <c r="BY159" s="197">
        <f>BY86</f>
        <v>1004.1973045409028</v>
      </c>
      <c r="BZ159" s="197">
        <f>BZ86</f>
        <v>1036.5476240853657</v>
      </c>
      <c r="CA159" s="197">
        <f>BW159+BX159+BY159+BZ159</f>
        <v>4073.605373986019</v>
      </c>
      <c r="CB159" s="391"/>
      <c r="CC159" s="197">
        <f>CC86</f>
        <v>988.78129857828742</v>
      </c>
      <c r="CD159" s="197">
        <f>CD86</f>
        <v>987.31746360952752</v>
      </c>
      <c r="CE159" s="197">
        <f>CE86</f>
        <v>976.87399842994148</v>
      </c>
      <c r="CF159" s="197">
        <f>CF86</f>
        <v>1009.3458507528451</v>
      </c>
      <c r="CG159" s="197">
        <f>CC159+CD159+CE159+CF159</f>
        <v>3962.3186113706015</v>
      </c>
      <c r="CH159" s="391"/>
      <c r="CI159" s="197">
        <f>CI86</f>
        <v>962.99269661610469</v>
      </c>
      <c r="CJ159" s="197">
        <f>CJ86</f>
        <v>961.70769631237897</v>
      </c>
      <c r="CK159" s="197">
        <f>CK86</f>
        <v>951.67939739580811</v>
      </c>
      <c r="CL159" s="197">
        <f>CL86</f>
        <v>983.22640054839235</v>
      </c>
      <c r="CM159" s="197">
        <f>CI159+CJ159+CK159+CL159</f>
        <v>3859.6061908726842</v>
      </c>
      <c r="CN159" s="391"/>
      <c r="CO159" s="197">
        <f>CO86</f>
        <v>938.23908351190175</v>
      </c>
      <c r="CP159" s="197">
        <f>CP86</f>
        <v>937.13495004714196</v>
      </c>
      <c r="CQ159" s="197">
        <f>CQ86</f>
        <v>927.51425226359379</v>
      </c>
      <c r="CR159" s="197">
        <f>CR86</f>
        <v>958.17494918963337</v>
      </c>
      <c r="CS159" s="197">
        <f>CO159+CP159+CQ159+CR159</f>
        <v>3761.063235012271</v>
      </c>
      <c r="CT159" s="391"/>
      <c r="CU159" s="197">
        <f>CU86</f>
        <v>914.506744980294</v>
      </c>
      <c r="CV159" s="197">
        <f>CV86</f>
        <v>913.58546681620192</v>
      </c>
      <c r="CW159" s="197">
        <f>CW86</f>
        <v>904.36488868059803</v>
      </c>
      <c r="CX159" s="197">
        <f>CX86</f>
        <v>934.17730948441681</v>
      </c>
      <c r="CY159" s="197">
        <f>CU159+CV159+CW159+CX159</f>
        <v>3666.6344099615108</v>
      </c>
      <c r="CZ159" s="391"/>
      <c r="DA159" s="197">
        <f>DA86</f>
        <v>891.78209804958817</v>
      </c>
      <c r="DB159" s="197">
        <f>DB86</f>
        <v>891.04562041655254</v>
      </c>
      <c r="DC159" s="197">
        <f>DC86</f>
        <v>882.21776334954211</v>
      </c>
      <c r="DD159" s="197">
        <f>DD86</f>
        <v>911.21943021349148</v>
      </c>
      <c r="DE159" s="197">
        <f>DA159+DB159+DC159+DD159</f>
        <v>3576.2649120291744</v>
      </c>
      <c r="DF159" s="391"/>
      <c r="DG159" s="197">
        <f>DG86</f>
        <v>870.05168999127523</v>
      </c>
      <c r="DH159" s="197">
        <f>DH86</f>
        <v>869.50191536509783</v>
      </c>
      <c r="DI159" s="197">
        <f>DI86</f>
        <v>861.05946295963463</v>
      </c>
      <c r="DJ159" s="197">
        <f>DJ86</f>
        <v>889.28739502145174</v>
      </c>
      <c r="DK159" s="197">
        <f>DG159+DH159+DI159+DJ159</f>
        <v>3489.9004633374593</v>
      </c>
    </row>
    <row r="160" spans="1:115" x14ac:dyDescent="0.2">
      <c r="B160" s="241" t="s">
        <v>74</v>
      </c>
      <c r="O160" s="103" t="s">
        <v>35</v>
      </c>
      <c r="P160" s="103" t="s">
        <v>35</v>
      </c>
      <c r="Q160" s="103" t="s">
        <v>35</v>
      </c>
      <c r="R160" s="103" t="s">
        <v>35</v>
      </c>
      <c r="S160" s="103" t="s">
        <v>35</v>
      </c>
      <c r="U160" s="227">
        <f>U159/O159-1</f>
        <v>-0.13029100529100535</v>
      </c>
      <c r="V160" s="227">
        <f>V159/P159-1</f>
        <v>-0.1118055555555556</v>
      </c>
      <c r="W160" s="227">
        <f>W159/Q159-1</f>
        <v>-0.11519434628975267</v>
      </c>
      <c r="X160" s="227">
        <f>X159/R159-1</f>
        <v>-9.875640087783466E-2</v>
      </c>
      <c r="Y160" s="227">
        <f>Y159/S159-1</f>
        <v>-0.11440530170910357</v>
      </c>
      <c r="AA160" s="227">
        <f>AA159/U159-1</f>
        <v>6.8441064638783189E-2</v>
      </c>
      <c r="AB160" s="227">
        <f>AB159/V159-1</f>
        <v>8.8350273651290001E-2</v>
      </c>
      <c r="AC160" s="227">
        <f>AC159/W159-1</f>
        <v>0.10543130990415328</v>
      </c>
      <c r="AD160" s="227">
        <f>AD159/X159-1</f>
        <v>0.12094155844155852</v>
      </c>
      <c r="AE160" s="227">
        <f>AE159/Y159-1</f>
        <v>9.5313115399763726E-2</v>
      </c>
      <c r="AG160" s="227">
        <f>AG159/AA159-1</f>
        <v>-5.409252669039144E-2</v>
      </c>
      <c r="AH160" s="227">
        <f>AH159/AB159-1</f>
        <v>-5.2442528735632155E-2</v>
      </c>
      <c r="AI160" s="227">
        <f>AI159/AC159-1</f>
        <v>-5.9248554913294837E-2</v>
      </c>
      <c r="AJ160" s="227">
        <f>AJ159/AD159-1</f>
        <v>-6.5170166545981179E-2</v>
      </c>
      <c r="AK160" s="227">
        <f>AK159/AE159-1</f>
        <v>-5.7713052858683889E-2</v>
      </c>
      <c r="AM160" s="227">
        <f>AM159/AG159-1</f>
        <v>-6.0195635816403303E-2</v>
      </c>
      <c r="AN160" s="227">
        <f>AN159/AH159-1</f>
        <v>-6.5959059893858973E-2</v>
      </c>
      <c r="AO160" s="227">
        <f>AO159/AI159-1</f>
        <v>-5.1459293394777283E-2</v>
      </c>
      <c r="AP160" s="227">
        <f>AP159/AJ159-1</f>
        <v>-4.4151820294345501E-2</v>
      </c>
      <c r="AQ160" s="227">
        <f>AQ159/AK159-1</f>
        <v>-5.5523755008586195E-2</v>
      </c>
      <c r="AS160" s="227">
        <f>AS159/AM159-1</f>
        <v>-3.1224979983987211E-2</v>
      </c>
      <c r="AT160" s="227">
        <f>AT159/AN159-1</f>
        <v>-1.7857142857142905E-2</v>
      </c>
      <c r="AU160" s="227">
        <f>AU159/AO159-1</f>
        <v>-2.2672064777327972E-2</v>
      </c>
      <c r="AV160" s="227">
        <f>AV159/AP159-1</f>
        <v>-1.8638573743922193E-2</v>
      </c>
      <c r="AW160" s="227">
        <f>AW159/AQ159-1</f>
        <v>-2.2626262626262661E-2</v>
      </c>
      <c r="AY160" s="227">
        <f>AY159/AS159-1</f>
        <v>-5.4545454545454564E-2</v>
      </c>
      <c r="AZ160" s="227">
        <f>AZ159/AT159-1</f>
        <v>-7.1900826446281041E-2</v>
      </c>
      <c r="BA160" s="227">
        <f>BA159/AU159-1</f>
        <v>-8.6992543496271724E-2</v>
      </c>
      <c r="BB160" s="227">
        <f>BB159/AV159-1</f>
        <v>-5.945499587118086E-2</v>
      </c>
      <c r="BC160" s="227">
        <f>BC159/AW159-1</f>
        <v>-6.8210004133939628E-2</v>
      </c>
      <c r="BE160" s="227">
        <f>BE159/AY159-1</f>
        <v>-4.0646853146853124E-2</v>
      </c>
      <c r="BF160" s="227">
        <f>BF159/AZ159-1</f>
        <v>-2.0035618878005312E-2</v>
      </c>
      <c r="BG160" s="227">
        <f>BG159/BA159-1</f>
        <v>-2.6588021778584325E-2</v>
      </c>
      <c r="BH160" s="227">
        <f>BH159/BB159-1</f>
        <v>-2.6338893766461813E-2</v>
      </c>
      <c r="BI160" s="227">
        <f>BI159/BC159-1</f>
        <v>-2.8460514640638923E-2</v>
      </c>
      <c r="BK160" s="227">
        <f>BK159/BE159-1</f>
        <v>-3.2346241457858804E-2</v>
      </c>
      <c r="BL160" s="227">
        <f>BL159/BF159-1</f>
        <v>-3.8618809631985496E-2</v>
      </c>
      <c r="BM160" s="227">
        <f>BM159/BG159-1</f>
        <v>-2.2093782045306321E-2</v>
      </c>
      <c r="BN160" s="227">
        <f>BN159/BH159-1</f>
        <v>-1.9837691614066677E-2</v>
      </c>
      <c r="BO160" s="227">
        <f>BO159/BI159-1</f>
        <v>-2.8243943649108316E-2</v>
      </c>
      <c r="BQ160" s="227">
        <f>BQ159/BK159-1</f>
        <v>-1.7460881431315189E-2</v>
      </c>
      <c r="BR160" s="227">
        <f>BR159/BL159-1</f>
        <v>-1.5945643322475722E-2</v>
      </c>
      <c r="BS160" s="227">
        <f>BS159/BM159-1</f>
        <v>-1.7333744158578579E-2</v>
      </c>
      <c r="BT160" s="227">
        <f>BT159/BN159-1</f>
        <v>-2.1277904092600552E-2</v>
      </c>
      <c r="BU160" s="227">
        <f>BU159/BO159-1</f>
        <v>-1.8027755189436667E-2</v>
      </c>
      <c r="BW160" s="227">
        <f>BW159/BQ159-1</f>
        <v>-2.5118310884601369E-2</v>
      </c>
      <c r="BX160" s="227">
        <f>BX159/BR159-1</f>
        <v>-2.4507750314201937E-2</v>
      </c>
      <c r="BY160" s="227">
        <f>BY159/BS159-1</f>
        <v>-2.5823788662514557E-2</v>
      </c>
      <c r="BZ160" s="227">
        <f>BZ159/BT159-1</f>
        <v>-2.5682903533906343E-2</v>
      </c>
      <c r="CA160" s="227">
        <f>CA159/BU159-1</f>
        <v>-2.5283937620671715E-2</v>
      </c>
      <c r="CC160" s="227">
        <f>CC159/BW159-1</f>
        <v>-2.7982769657526996E-2</v>
      </c>
      <c r="CD160" s="227">
        <f>CD159/BX159-1</f>
        <v>-2.7861284088468996E-2</v>
      </c>
      <c r="CE160" s="227">
        <f>CE159/BY159-1</f>
        <v>-2.720910122682807E-2</v>
      </c>
      <c r="CF160" s="227">
        <f>CF159/BZ159-1</f>
        <v>-2.6242666232073053E-2</v>
      </c>
      <c r="CG160" s="227">
        <f>CG159/CA159-1</f>
        <v>-2.7318984633635135E-2</v>
      </c>
      <c r="CI160" s="227">
        <f>CI159/CC159-1</f>
        <v>-2.6081199148145995E-2</v>
      </c>
      <c r="CJ160" s="227">
        <f>CJ159/CD159-1</f>
        <v>-2.5938736263736217E-2</v>
      </c>
      <c r="CK160" s="227">
        <f>CK159/CE159-1</f>
        <v>-2.5791044776119376E-2</v>
      </c>
      <c r="CL160" s="227">
        <f>CL159/CF159-1</f>
        <v>-2.5877601998334776E-2</v>
      </c>
      <c r="CM160" s="227">
        <f>CM159/CG159-1</f>
        <v>-2.5922302210419246E-2</v>
      </c>
      <c r="CO160" s="227">
        <f>CO159/CI159-1</f>
        <v>-2.5704881450488215E-2</v>
      </c>
      <c r="CP160" s="227">
        <f>CP159/CJ159-1</f>
        <v>-2.5551159005444135E-2</v>
      </c>
      <c r="CQ160" s="227">
        <f>CQ159/CK159-1</f>
        <v>-2.5392107046070644E-2</v>
      </c>
      <c r="CR160" s="227">
        <f>CR159/CL159-1</f>
        <v>-2.5478822929069667E-2</v>
      </c>
      <c r="CS160" s="227">
        <f>CS159/CM159-1</f>
        <v>-2.5531868016340775E-2</v>
      </c>
      <c r="CU160" s="227">
        <f>CU159/CO159-1</f>
        <v>-2.5294553327256164E-2</v>
      </c>
      <c r="CV160" s="227">
        <f>CV159/CP159-1</f>
        <v>-2.5129233766978176E-2</v>
      </c>
      <c r="CW160" s="227">
        <f>CW159/CQ159-1</f>
        <v>-2.4958499048936322E-2</v>
      </c>
      <c r="CX160" s="227">
        <f>CX159/CR159-1</f>
        <v>-2.5045154567558181E-2</v>
      </c>
      <c r="CY160" s="227">
        <f>CY159/CS159-1</f>
        <v>-2.5106949591197747E-2</v>
      </c>
      <c r="DA160" s="227">
        <f>DA159/CU159-1</f>
        <v>-2.4849075258811193E-2</v>
      </c>
      <c r="DB160" s="227">
        <f>DB159/CV159-1</f>
        <v>-2.4671853065044491E-2</v>
      </c>
      <c r="DC160" s="227">
        <f>DC159/CW159-1</f>
        <v>-2.4489147697194347E-2</v>
      </c>
      <c r="DD160" s="227">
        <f>DD159/CX159-1</f>
        <v>-2.4575505140021048E-2</v>
      </c>
      <c r="DE160" s="227">
        <f>DE159/CY159-1</f>
        <v>-2.4646443530563222E-2</v>
      </c>
      <c r="DG160" s="227">
        <f>DG159/DA159-1</f>
        <v>-2.4367396593673929E-2</v>
      </c>
      <c r="DH160" s="227">
        <f>DH159/DB159-1</f>
        <v>-2.4178004535147513E-2</v>
      </c>
      <c r="DI160" s="227">
        <f>DI159/DC159-1</f>
        <v>-2.3983081353491587E-2</v>
      </c>
      <c r="DJ160" s="227">
        <f>DJ159/DD159-1</f>
        <v>-2.4068884469354734E-2</v>
      </c>
      <c r="DK160" s="227">
        <f>DK159/DE159-1</f>
        <v>-2.4149343187977568E-2</v>
      </c>
    </row>
    <row r="161" spans="1:115" x14ac:dyDescent="0.2">
      <c r="B161" s="241"/>
      <c r="AA161" s="103"/>
      <c r="AB161" s="103"/>
      <c r="AC161" s="103"/>
      <c r="AD161" s="103"/>
      <c r="AE161" s="103"/>
      <c r="AG161" s="103"/>
      <c r="AH161" s="103"/>
      <c r="AI161" s="103"/>
      <c r="AJ161" s="103"/>
      <c r="AK161" s="103"/>
      <c r="AM161" s="103"/>
      <c r="AN161" s="103"/>
      <c r="AO161" s="103"/>
      <c r="AP161" s="103"/>
      <c r="AQ161" s="103"/>
      <c r="AS161" s="103"/>
      <c r="AT161" s="103"/>
      <c r="AU161" s="103"/>
      <c r="AV161" s="103"/>
      <c r="AW161" s="103"/>
      <c r="AY161" s="103"/>
      <c r="AZ161" s="103"/>
      <c r="BA161" s="103"/>
      <c r="BB161" s="103"/>
      <c r="BC161" s="103"/>
      <c r="BE161" s="103"/>
      <c r="BF161" s="103"/>
      <c r="BG161" s="103"/>
      <c r="BH161" s="103"/>
      <c r="BI161" s="103"/>
      <c r="BK161" s="103"/>
      <c r="BL161" s="103"/>
      <c r="BM161" s="103"/>
      <c r="BN161" s="103"/>
      <c r="BO161" s="103"/>
      <c r="BQ161" s="103"/>
      <c r="BR161" s="103"/>
      <c r="BS161" s="103"/>
      <c r="BT161" s="103"/>
      <c r="BU161" s="103"/>
      <c r="BW161" s="103"/>
      <c r="BX161" s="103"/>
      <c r="BY161" s="103"/>
      <c r="BZ161" s="103"/>
      <c r="CA161" s="103"/>
      <c r="CC161" s="103"/>
      <c r="CD161" s="103"/>
      <c r="CE161" s="103"/>
      <c r="CF161" s="103"/>
      <c r="CG161" s="103"/>
      <c r="CI161" s="103"/>
      <c r="CJ161" s="103"/>
      <c r="CK161" s="103"/>
      <c r="CL161" s="103"/>
      <c r="CM161" s="103"/>
      <c r="CO161" s="103"/>
      <c r="CP161" s="103"/>
      <c r="CQ161" s="103"/>
      <c r="CR161" s="103"/>
      <c r="CS161" s="103"/>
      <c r="CU161" s="103"/>
      <c r="CV161" s="103"/>
      <c r="CW161" s="103"/>
      <c r="CX161" s="103"/>
      <c r="CY161" s="103"/>
      <c r="DA161" s="103"/>
      <c r="DB161" s="103"/>
      <c r="DC161" s="103"/>
      <c r="DD161" s="103"/>
      <c r="DE161" s="103"/>
      <c r="DG161" s="103"/>
      <c r="DH161" s="103"/>
      <c r="DI161" s="103"/>
      <c r="DJ161" s="103"/>
      <c r="DK161" s="103"/>
    </row>
    <row r="162" spans="1:115" x14ac:dyDescent="0.2">
      <c r="B162" s="273" t="s">
        <v>216</v>
      </c>
      <c r="C162" s="129"/>
      <c r="D162" s="129"/>
      <c r="E162" s="129"/>
      <c r="F162" s="129"/>
      <c r="G162" s="129"/>
      <c r="H162" s="129"/>
      <c r="I162" s="129"/>
      <c r="J162" s="129"/>
      <c r="K162" s="129"/>
      <c r="L162" s="129"/>
      <c r="M162" s="129"/>
      <c r="N162" s="129"/>
      <c r="O162" s="197">
        <f>O112</f>
        <v>1445</v>
      </c>
      <c r="P162" s="197">
        <f>P112</f>
        <v>1482</v>
      </c>
      <c r="Q162" s="197">
        <f>Q112</f>
        <v>1478</v>
      </c>
      <c r="R162" s="197">
        <f>R112</f>
        <v>1532</v>
      </c>
      <c r="S162" s="197">
        <f>O162+P162+Q162+R162</f>
        <v>5937</v>
      </c>
      <c r="T162" s="197"/>
      <c r="U162" s="197">
        <f>U112</f>
        <v>1482</v>
      </c>
      <c r="V162" s="197">
        <f>V112</f>
        <v>1503</v>
      </c>
      <c r="W162" s="197">
        <f>W112</f>
        <v>1504</v>
      </c>
      <c r="X162" s="197">
        <f>X112</f>
        <v>1541</v>
      </c>
      <c r="Y162" s="197">
        <f>U162+V162+W162+X162</f>
        <v>6030</v>
      </c>
      <c r="Z162" s="391"/>
      <c r="AA162" s="197">
        <f>AA112</f>
        <v>1300</v>
      </c>
      <c r="AB162" s="197">
        <f>AB112</f>
        <v>1305</v>
      </c>
      <c r="AC162" s="197">
        <f>AC112</f>
        <v>1302</v>
      </c>
      <c r="AD162" s="197">
        <f>AD112</f>
        <v>1298</v>
      </c>
      <c r="AE162" s="197">
        <f>AA162+AB162+AC162+AD162</f>
        <v>5205</v>
      </c>
      <c r="AF162" s="391"/>
      <c r="AG162" s="197">
        <f>AG112</f>
        <v>1307</v>
      </c>
      <c r="AH162" s="197">
        <f>AH112</f>
        <v>1309</v>
      </c>
      <c r="AI162" s="197">
        <f>AI112</f>
        <v>1310</v>
      </c>
      <c r="AJ162" s="197">
        <f>AJ112</f>
        <v>1311</v>
      </c>
      <c r="AK162" s="197">
        <f>AG162+AH162+AI162+AJ162</f>
        <v>5237</v>
      </c>
      <c r="AL162" s="391"/>
      <c r="AM162" s="197">
        <f>AM112</f>
        <v>1329</v>
      </c>
      <c r="AN162" s="197">
        <f>AN112</f>
        <v>1335</v>
      </c>
      <c r="AO162" s="197">
        <f>AO112</f>
        <v>1326</v>
      </c>
      <c r="AP162" s="197">
        <f>AP112</f>
        <v>1321</v>
      </c>
      <c r="AQ162" s="197">
        <f>AM162+AN162+AO162+AP162</f>
        <v>5311</v>
      </c>
      <c r="AR162" s="391"/>
      <c r="AS162" s="197">
        <f>AS112</f>
        <v>1293</v>
      </c>
      <c r="AT162" s="197">
        <f>AT112</f>
        <v>1297</v>
      </c>
      <c r="AU162" s="197">
        <f>AU112</f>
        <v>1293</v>
      </c>
      <c r="AV162" s="197">
        <f>AV112</f>
        <v>1292</v>
      </c>
      <c r="AW162" s="197">
        <f>AS162+AT162+AU162+AV162</f>
        <v>5175</v>
      </c>
      <c r="AX162" s="391"/>
      <c r="AY162" s="197">
        <f>AY112</f>
        <v>1292</v>
      </c>
      <c r="AZ162" s="197">
        <f>AZ112</f>
        <v>1297</v>
      </c>
      <c r="BA162" s="197">
        <f>BA112</f>
        <v>1303</v>
      </c>
      <c r="BB162" s="197">
        <f>BB112</f>
        <v>1306</v>
      </c>
      <c r="BC162" s="197">
        <f>AY162+AZ162+BA162+BB162</f>
        <v>5198</v>
      </c>
      <c r="BD162" s="391"/>
      <c r="BE162" s="197">
        <f>BE112</f>
        <v>1313</v>
      </c>
      <c r="BF162" s="197">
        <f>BF112</f>
        <v>1320</v>
      </c>
      <c r="BG162" s="197">
        <f>BG112</f>
        <v>1322</v>
      </c>
      <c r="BH162" s="197">
        <f>BH112</f>
        <v>1326</v>
      </c>
      <c r="BI162" s="197">
        <f>BE162+BF162+BG162+BH162</f>
        <v>5281</v>
      </c>
      <c r="BJ162" s="391"/>
      <c r="BK162" s="197">
        <f>BK112</f>
        <v>1330</v>
      </c>
      <c r="BL162" s="197">
        <f>BL112</f>
        <v>1328</v>
      </c>
      <c r="BM162" s="197">
        <f>BM112</f>
        <v>1329</v>
      </c>
      <c r="BN162" s="197">
        <f>BN112</f>
        <v>1332</v>
      </c>
      <c r="BO162" s="197">
        <f>BK162+BL162+BM162+BN162</f>
        <v>5319</v>
      </c>
      <c r="BP162" s="391"/>
      <c r="BQ162" s="197">
        <f>BQ112</f>
        <v>1333.4643476081271</v>
      </c>
      <c r="BR162" s="197">
        <f>BR112</f>
        <v>1337.4178031749304</v>
      </c>
      <c r="BS162" s="197">
        <f>BS112</f>
        <v>1346.4158330769299</v>
      </c>
      <c r="BT162" s="197">
        <f ca="1">BT112</f>
        <v>1359.3459815755655</v>
      </c>
      <c r="BU162" s="197">
        <f ca="1">BQ162+BR162+BS162+BT162</f>
        <v>5376.6439654355527</v>
      </c>
      <c r="BV162" s="391"/>
      <c r="BW162" s="197">
        <f>BW112</f>
        <v>1385.4187517433127</v>
      </c>
      <c r="BX162" s="197">
        <f>BX112</f>
        <v>1392.6868925419597</v>
      </c>
      <c r="BY162" s="197">
        <f>BY112</f>
        <v>1402.44869153435</v>
      </c>
      <c r="BZ162" s="197">
        <f ca="1">BZ112</f>
        <v>1415.651573408948</v>
      </c>
      <c r="CA162" s="197">
        <f ca="1">BW162+BX162+BY162+BZ162</f>
        <v>5596.2059092285708</v>
      </c>
      <c r="CB162" s="391"/>
      <c r="CC162" s="197">
        <f>CC112</f>
        <v>1447.1644841456337</v>
      </c>
      <c r="CD162" s="197">
        <f>CD112</f>
        <v>1456.926050397803</v>
      </c>
      <c r="CE162" s="197">
        <f>CE112</f>
        <v>1469.2567803699233</v>
      </c>
      <c r="CF162" s="197">
        <f ca="1">CF112</f>
        <v>1484.3533797927641</v>
      </c>
      <c r="CG162" s="197">
        <f ca="1">CC162+CD162+CE162+CF162</f>
        <v>5857.7006947061236</v>
      </c>
      <c r="CH162" s="391"/>
      <c r="CI162" s="197">
        <f>CI112</f>
        <v>1518.492935504413</v>
      </c>
      <c r="CJ162" s="197">
        <f>CJ112</f>
        <v>1530.5706651728833</v>
      </c>
      <c r="CK162" s="197">
        <f>CK112</f>
        <v>1545.3474032350014</v>
      </c>
      <c r="CL162" s="197">
        <f ca="1">CL112</f>
        <v>1562.8862469662909</v>
      </c>
      <c r="CM162" s="197">
        <f ca="1">CI162+CJ162+CK162+CL162</f>
        <v>6157.2972508785888</v>
      </c>
      <c r="CN162" s="391"/>
      <c r="CO162" s="197">
        <f>CO112</f>
        <v>1599.0724380926022</v>
      </c>
      <c r="CP162" s="197">
        <f>CP112</f>
        <v>1611.003640885571</v>
      </c>
      <c r="CQ162" s="197">
        <f>CQ112</f>
        <v>1625.750520992111</v>
      </c>
      <c r="CR162" s="197">
        <f ca="1">CR112</f>
        <v>1643.2090564883829</v>
      </c>
      <c r="CS162" s="197">
        <f ca="1">CO162+CP162+CQ162+CR162</f>
        <v>6479.0356564586673</v>
      </c>
      <c r="CT162" s="391"/>
      <c r="CU162" s="197">
        <f>CU112</f>
        <v>1681.6195713134555</v>
      </c>
      <c r="CV162" s="197">
        <f>CV112</f>
        <v>1693.410858370934</v>
      </c>
      <c r="CW162" s="197">
        <f>CW112</f>
        <v>1708.3384265553659</v>
      </c>
      <c r="CX162" s="197">
        <f ca="1">CX112</f>
        <v>1725.7178318904387</v>
      </c>
      <c r="CY162" s="197">
        <f ca="1">CU162+CV162+CW162+CX162</f>
        <v>6809.0866881301945</v>
      </c>
      <c r="CZ162" s="391"/>
      <c r="DA162" s="197">
        <f>DA112</f>
        <v>1765.1885774691698</v>
      </c>
      <c r="DB162" s="197">
        <f>DB112</f>
        <v>1777.0427432303995</v>
      </c>
      <c r="DC162" s="197">
        <f>DC112</f>
        <v>1792.1622756301483</v>
      </c>
      <c r="DD162" s="197">
        <f ca="1">DD112</f>
        <v>1809.6613016685656</v>
      </c>
      <c r="DE162" s="197">
        <f ca="1">DA162+DB162+DC162+DD162</f>
        <v>7144.0548979982832</v>
      </c>
      <c r="DF162" s="391"/>
      <c r="DG162" s="197">
        <f>DG112</f>
        <v>1850.4056738266445</v>
      </c>
      <c r="DH162" s="197">
        <f>DH112</f>
        <v>1862.3309434947118</v>
      </c>
      <c r="DI162" s="197">
        <f>DI112</f>
        <v>1877.6565434018078</v>
      </c>
      <c r="DJ162" s="197">
        <f ca="1">DJ112</f>
        <v>1895.4948193353221</v>
      </c>
      <c r="DK162" s="197">
        <f ca="1">DG162+DH162+DI162+DJ162</f>
        <v>7485.8879800584864</v>
      </c>
    </row>
    <row r="163" spans="1:115" x14ac:dyDescent="0.2">
      <c r="B163" s="241" t="s">
        <v>74</v>
      </c>
      <c r="O163" s="103" t="s">
        <v>35</v>
      </c>
      <c r="P163" s="103" t="s">
        <v>35</v>
      </c>
      <c r="Q163" s="103" t="s">
        <v>35</v>
      </c>
      <c r="R163" s="103" t="s">
        <v>35</v>
      </c>
      <c r="S163" s="103" t="s">
        <v>35</v>
      </c>
      <c r="U163" s="227">
        <f>U162/O162-1</f>
        <v>2.5605536332179879E-2</v>
      </c>
      <c r="V163" s="227">
        <f>V162/P162-1</f>
        <v>1.4170040485830038E-2</v>
      </c>
      <c r="W163" s="227">
        <f>W162/Q162-1</f>
        <v>1.7591339648173276E-2</v>
      </c>
      <c r="X163" s="227">
        <f>X162/R162-1</f>
        <v>5.8746736292427659E-3</v>
      </c>
      <c r="Y163" s="227">
        <f>Y162/S162-1</f>
        <v>1.5664477008590305E-2</v>
      </c>
      <c r="AA163" s="227">
        <f>AA162/U162-1</f>
        <v>-0.1228070175438597</v>
      </c>
      <c r="AB163" s="227">
        <f>AB162/V162-1</f>
        <v>-0.13173652694610782</v>
      </c>
      <c r="AC163" s="227">
        <f>AC162/W162-1</f>
        <v>-0.13430851063829785</v>
      </c>
      <c r="AD163" s="227">
        <f>AD162/X162-1</f>
        <v>-0.15768981181051267</v>
      </c>
      <c r="AE163" s="227">
        <f>AE162/Y162-1</f>
        <v>-0.13681592039800994</v>
      </c>
      <c r="AG163" s="227">
        <f>AG162/AA162-1</f>
        <v>5.3846153846153211E-3</v>
      </c>
      <c r="AH163" s="227">
        <f>AH162/AB162-1</f>
        <v>3.0651340996168397E-3</v>
      </c>
      <c r="AI163" s="227">
        <f>AI162/AC162-1</f>
        <v>6.1443932411673341E-3</v>
      </c>
      <c r="AJ163" s="227">
        <f>AJ162/AD162-1</f>
        <v>1.001540832049308E-2</v>
      </c>
      <c r="AK163" s="227">
        <f>AK162/AE162-1</f>
        <v>6.147934678194078E-3</v>
      </c>
      <c r="AM163" s="227">
        <f>AM162/AG162-1</f>
        <v>1.6832440703901996E-2</v>
      </c>
      <c r="AN163" s="227">
        <f>AN162/AH162-1</f>
        <v>1.9862490450725634E-2</v>
      </c>
      <c r="AO163" s="227">
        <f>AO162/AI162-1</f>
        <v>1.2213740458015376E-2</v>
      </c>
      <c r="AP163" s="227">
        <f>AP162/AJ162-1</f>
        <v>7.6277650648359785E-3</v>
      </c>
      <c r="AQ163" s="227">
        <f>AQ162/AK162-1</f>
        <v>1.4130227229329773E-2</v>
      </c>
      <c r="AS163" s="227">
        <f>AS162/AM162-1</f>
        <v>-2.7088036117381531E-2</v>
      </c>
      <c r="AT163" s="227">
        <f>AT162/AN162-1</f>
        <v>-2.8464419475655478E-2</v>
      </c>
      <c r="AU163" s="227">
        <f>AU162/AO162-1</f>
        <v>-2.4886877828054321E-2</v>
      </c>
      <c r="AV163" s="227">
        <f>AV162/AP162-1</f>
        <v>-2.195306585919754E-2</v>
      </c>
      <c r="AW163" s="227">
        <f>AW162/AQ162-1</f>
        <v>-2.5607230276784021E-2</v>
      </c>
      <c r="AY163" s="227">
        <f>AY162/AS162-1</f>
        <v>-7.7339520494967839E-4</v>
      </c>
      <c r="AZ163" s="227">
        <f>AZ162/AT162-1</f>
        <v>0</v>
      </c>
      <c r="BA163" s="227">
        <f>BA162/AU162-1</f>
        <v>7.733952049497228E-3</v>
      </c>
      <c r="BB163" s="227">
        <f>BB162/AV162-1</f>
        <v>1.0835913312693402E-2</v>
      </c>
      <c r="BC163" s="227">
        <f>BC162/AW162-1</f>
        <v>4.4444444444444731E-3</v>
      </c>
      <c r="BE163" s="227">
        <f>BE162/AY162-1</f>
        <v>1.6253869969040213E-2</v>
      </c>
      <c r="BF163" s="227">
        <f>BF162/AZ162-1</f>
        <v>1.7733230531996824E-2</v>
      </c>
      <c r="BG163" s="227">
        <f>BG162/BA162-1</f>
        <v>1.4581734458940954E-2</v>
      </c>
      <c r="BH163" s="227">
        <f>BH162/BB162-1</f>
        <v>1.5313935681470214E-2</v>
      </c>
      <c r="BI163" s="227">
        <f>BI162/BC162-1</f>
        <v>1.5967679876875751E-2</v>
      </c>
      <c r="BK163" s="227">
        <f>BK162/BE162-1</f>
        <v>1.2947448591013044E-2</v>
      </c>
      <c r="BL163" s="227">
        <f>BL162/BF162-1</f>
        <v>6.0606060606060996E-3</v>
      </c>
      <c r="BM163" s="227">
        <f>BM162/BG162-1</f>
        <v>5.2950075642965722E-3</v>
      </c>
      <c r="BN163" s="227">
        <f>BN162/BH162-1</f>
        <v>4.5248868778280382E-3</v>
      </c>
      <c r="BO163" s="227">
        <f>BO162/BI162-1</f>
        <v>7.1956068926339878E-3</v>
      </c>
      <c r="BQ163" s="227">
        <f>BQ162/BK162-1</f>
        <v>2.6047726376896563E-3</v>
      </c>
      <c r="BR163" s="227">
        <f>BR162/BL162-1</f>
        <v>7.0917192582307109E-3</v>
      </c>
      <c r="BS163" s="227">
        <f>BS162/BM162-1</f>
        <v>1.3104464316726849E-2</v>
      </c>
      <c r="BT163" s="227">
        <f ca="1">BT162/BN162-1</f>
        <v>2.053001619787187E-2</v>
      </c>
      <c r="BU163" s="227">
        <f ca="1">BU162/BO162-1</f>
        <v>1.083736894821441E-2</v>
      </c>
      <c r="BW163" s="227">
        <f>BW162/BQ162-1</f>
        <v>3.8961974670247201E-2</v>
      </c>
      <c r="BX163" s="227">
        <f>BX162/BR162-1</f>
        <v>4.1325223304059966E-2</v>
      </c>
      <c r="BY163" s="227">
        <f>BY162/BS162-1</f>
        <v>4.1616309821141728E-2</v>
      </c>
      <c r="BZ163" s="227">
        <f ca="1">BZ162/BT162-1</f>
        <v>4.1421089697945002E-2</v>
      </c>
      <c r="CA163" s="227">
        <f ca="1">CA162/BU162-1</f>
        <v>4.0836243799013072E-2</v>
      </c>
      <c r="CC163" s="227">
        <f>CC162/BW162-1</f>
        <v>4.456828112411837E-2</v>
      </c>
      <c r="CD163" s="227">
        <f>CD162/BX162-1</f>
        <v>4.6126059058825941E-2</v>
      </c>
      <c r="CE163" s="227">
        <f>CE162/BY162-1</f>
        <v>4.7636743674723592E-2</v>
      </c>
      <c r="CF163" s="227">
        <f ca="1">CF162/BZ162-1</f>
        <v>4.8530166373057071E-2</v>
      </c>
      <c r="CG163" s="227">
        <f ca="1">CG162/CA162-1</f>
        <v>4.6727155812177568E-2</v>
      </c>
      <c r="CI163" s="227">
        <f>CI162/CC162-1</f>
        <v>4.9288420314494985E-2</v>
      </c>
      <c r="CJ163" s="227">
        <f>CJ162/CD162-1</f>
        <v>5.0547942879442864E-2</v>
      </c>
      <c r="CK163" s="227">
        <f>CK162/CE162-1</f>
        <v>5.1788512315675828E-2</v>
      </c>
      <c r="CL163" s="227">
        <f ca="1">CL162/CF162-1</f>
        <v>5.2907123224586128E-2</v>
      </c>
      <c r="CM163" s="227">
        <f ca="1">CM162/CG162-1</f>
        <v>5.1145760390800543E-2</v>
      </c>
      <c r="CO163" s="227">
        <f>CO162/CI162-1</f>
        <v>5.3065444497061298E-2</v>
      </c>
      <c r="CP163" s="227">
        <f>CP162/CJ162-1</f>
        <v>5.2550971701527116E-2</v>
      </c>
      <c r="CQ163" s="227">
        <f>CQ162/CK162-1</f>
        <v>5.2029153825732255E-2</v>
      </c>
      <c r="CR163" s="227">
        <f ca="1">CR162/CL162-1</f>
        <v>5.1393893623420173E-2</v>
      </c>
      <c r="CS163" s="227">
        <f ca="1">CS162/CM162-1</f>
        <v>5.2253187148658453E-2</v>
      </c>
      <c r="CU163" s="227">
        <f>CU162/CO162-1</f>
        <v>5.162188482175134E-2</v>
      </c>
      <c r="CV163" s="227">
        <f>CV162/CP162-1</f>
        <v>5.1152719580486838E-2</v>
      </c>
      <c r="CW163" s="227">
        <f>CW162/CQ162-1</f>
        <v>5.0799864122359928E-2</v>
      </c>
      <c r="CX163" s="227">
        <f ca="1">CX162/CR162-1</f>
        <v>5.0211977031322519E-2</v>
      </c>
      <c r="CY163" s="227">
        <f ca="1">CY162/CS162-1</f>
        <v>5.094138220130251E-2</v>
      </c>
      <c r="DA163" s="227">
        <f>DA162/CU162-1</f>
        <v>4.9695548018890756E-2</v>
      </c>
      <c r="DB163" s="227">
        <f>DB162/CV162-1</f>
        <v>4.9386647337267942E-2</v>
      </c>
      <c r="DC163" s="227">
        <f>DC162/CW162-1</f>
        <v>4.9067472680926594E-2</v>
      </c>
      <c r="DD163" s="227">
        <f ca="1">DD162/CX162-1</f>
        <v>4.86426391539172E-2</v>
      </c>
      <c r="DE163" s="227">
        <f ca="1">DE162/CY162-1</f>
        <v>4.9194293627075725E-2</v>
      </c>
      <c r="DG163" s="227">
        <f>DG162/DA162-1</f>
        <v>4.827648300311016E-2</v>
      </c>
      <c r="DH163" s="227">
        <f>DH162/DB162-1</f>
        <v>4.7994456289369269E-2</v>
      </c>
      <c r="DI163" s="227">
        <f>DI162/DC162-1</f>
        <v>4.7704534870648629E-2</v>
      </c>
      <c r="DJ163" s="227">
        <f ca="1">DJ162/DD162-1</f>
        <v>4.7430708490928897E-2</v>
      </c>
      <c r="DK163" s="227">
        <f ca="1">DK162/DE162-1</f>
        <v>4.7848607960163214E-2</v>
      </c>
    </row>
    <row r="164" spans="1:115" x14ac:dyDescent="0.2">
      <c r="B164" s="241"/>
      <c r="AA164" s="103"/>
      <c r="AB164" s="103"/>
      <c r="AC164" s="103"/>
      <c r="AD164" s="103"/>
      <c r="AE164" s="103"/>
      <c r="AG164" s="103"/>
      <c r="AH164" s="103"/>
      <c r="AI164" s="103"/>
      <c r="AJ164" s="103"/>
      <c r="AK164" s="103"/>
      <c r="AM164" s="103"/>
      <c r="AN164" s="103"/>
      <c r="AO164" s="103"/>
      <c r="AP164" s="103"/>
      <c r="AQ164" s="103"/>
      <c r="AS164" s="103"/>
      <c r="AT164" s="103"/>
      <c r="AU164" s="103"/>
      <c r="AV164" s="103"/>
      <c r="AW164" s="103"/>
      <c r="AY164" s="103"/>
      <c r="AZ164" s="103"/>
      <c r="BA164" s="103"/>
      <c r="BB164" s="103"/>
      <c r="BC164" s="103"/>
      <c r="BE164" s="103"/>
      <c r="BF164" s="103"/>
      <c r="BG164" s="103"/>
      <c r="BH164" s="103"/>
      <c r="BI164" s="103"/>
      <c r="BK164" s="103"/>
      <c r="BL164" s="103"/>
      <c r="BM164" s="103"/>
      <c r="BN164" s="103"/>
      <c r="BO164" s="103"/>
      <c r="BQ164" s="103"/>
      <c r="BR164" s="103"/>
      <c r="BS164" s="103"/>
      <c r="BT164" s="103"/>
      <c r="BU164" s="103"/>
      <c r="BW164" s="103"/>
      <c r="BX164" s="103"/>
      <c r="BY164" s="103"/>
      <c r="BZ164" s="103"/>
      <c r="CA164" s="103"/>
      <c r="CC164" s="103"/>
      <c r="CD164" s="103"/>
      <c r="CE164" s="103"/>
      <c r="CF164" s="103"/>
      <c r="CG164" s="103"/>
      <c r="CI164" s="103"/>
      <c r="CJ164" s="103"/>
      <c r="CK164" s="103"/>
      <c r="CL164" s="103"/>
      <c r="CM164" s="103"/>
      <c r="CO164" s="103"/>
      <c r="CP164" s="103"/>
      <c r="CQ164" s="103"/>
      <c r="CR164" s="103"/>
      <c r="CS164" s="103"/>
      <c r="CU164" s="103"/>
      <c r="CV164" s="103"/>
      <c r="CW164" s="103"/>
      <c r="CX164" s="103"/>
      <c r="CY164" s="103"/>
      <c r="DA164" s="103"/>
      <c r="DB164" s="103"/>
      <c r="DC164" s="103"/>
      <c r="DD164" s="103"/>
      <c r="DE164" s="103"/>
      <c r="DG164" s="103"/>
      <c r="DH164" s="103"/>
      <c r="DI164" s="103"/>
      <c r="DJ164" s="103"/>
      <c r="DK164" s="103"/>
    </row>
    <row r="165" spans="1:115" x14ac:dyDescent="0.2">
      <c r="B165" s="273" t="s">
        <v>217</v>
      </c>
      <c r="C165" s="129"/>
      <c r="D165" s="129"/>
      <c r="E165" s="129"/>
      <c r="F165" s="129"/>
      <c r="G165" s="129"/>
      <c r="H165" s="129"/>
      <c r="I165" s="129"/>
      <c r="J165" s="129"/>
      <c r="K165" s="129"/>
      <c r="L165" s="129"/>
      <c r="M165" s="129"/>
      <c r="N165" s="129"/>
      <c r="O165" s="197">
        <v>1111</v>
      </c>
      <c r="P165" s="197">
        <v>1067</v>
      </c>
      <c r="Q165" s="197">
        <v>1138</v>
      </c>
      <c r="R165" s="197">
        <v>1101</v>
      </c>
      <c r="S165" s="197">
        <f>O165+P165+Q165+R165</f>
        <v>4417</v>
      </c>
      <c r="T165" s="197"/>
      <c r="U165" s="197">
        <v>1097</v>
      </c>
      <c r="V165" s="197">
        <v>1061</v>
      </c>
      <c r="W165" s="197">
        <v>1106</v>
      </c>
      <c r="X165" s="197">
        <v>1112</v>
      </c>
      <c r="Y165" s="197">
        <f>U165+V165+W165+X165</f>
        <v>4376</v>
      </c>
      <c r="Z165" s="391"/>
      <c r="AA165" s="197">
        <v>957</v>
      </c>
      <c r="AB165" s="197">
        <v>949</v>
      </c>
      <c r="AC165" s="197">
        <v>935</v>
      </c>
      <c r="AD165" s="197">
        <v>911</v>
      </c>
      <c r="AE165" s="197">
        <f>AA165+AB165+AC165+AD165</f>
        <v>3752</v>
      </c>
      <c r="AF165" s="391"/>
      <c r="AG165" s="197">
        <v>920</v>
      </c>
      <c r="AH165" s="197">
        <v>897</v>
      </c>
      <c r="AI165" s="197">
        <v>909</v>
      </c>
      <c r="AJ165" s="197">
        <v>869</v>
      </c>
      <c r="AK165" s="197">
        <f>AG165+AH165+AI165+AJ165</f>
        <v>3595</v>
      </c>
      <c r="AL165" s="456"/>
      <c r="AM165" s="197">
        <v>865</v>
      </c>
      <c r="AN165" s="197">
        <v>825</v>
      </c>
      <c r="AO165" s="197">
        <v>863</v>
      </c>
      <c r="AP165" s="197">
        <v>873</v>
      </c>
      <c r="AQ165" s="197">
        <f>AM165+AN165+AO165+AP165</f>
        <v>3426</v>
      </c>
      <c r="AR165" s="391"/>
      <c r="AS165" s="197">
        <v>856</v>
      </c>
      <c r="AT165" s="197">
        <v>845</v>
      </c>
      <c r="AU165" s="197">
        <v>840</v>
      </c>
      <c r="AV165" s="197">
        <v>858</v>
      </c>
      <c r="AW165" s="197">
        <f>AS165+AT165+AU165+AV165</f>
        <v>3399</v>
      </c>
      <c r="AX165" s="391"/>
      <c r="AY165" s="197">
        <v>840</v>
      </c>
      <c r="AZ165" s="197">
        <v>845</v>
      </c>
      <c r="BA165" s="197">
        <v>865</v>
      </c>
      <c r="BB165" s="197">
        <v>853</v>
      </c>
      <c r="BC165" s="197">
        <f>AY165+AZ165+BA165+BB165</f>
        <v>3403</v>
      </c>
      <c r="BD165" s="391"/>
      <c r="BE165" s="197">
        <f>BE143</f>
        <v>848</v>
      </c>
      <c r="BF165" s="197">
        <f>BF143</f>
        <v>855</v>
      </c>
      <c r="BG165" s="197">
        <f>BG143</f>
        <v>850</v>
      </c>
      <c r="BH165" s="197">
        <f>BH143</f>
        <v>855</v>
      </c>
      <c r="BI165" s="197">
        <f>BE165+BF165+BG165+BH165</f>
        <v>3408</v>
      </c>
      <c r="BJ165" s="391"/>
      <c r="BK165" s="197">
        <f>BK143</f>
        <v>848</v>
      </c>
      <c r="BL165" s="197">
        <f>BL143</f>
        <v>852</v>
      </c>
      <c r="BM165" s="197">
        <f>BM143</f>
        <v>874</v>
      </c>
      <c r="BN165" s="197">
        <f>BN143</f>
        <v>878</v>
      </c>
      <c r="BO165" s="197">
        <f>BK165+BL165+BM165+BN165</f>
        <v>3452</v>
      </c>
      <c r="BP165" s="391"/>
      <c r="BQ165" s="197">
        <f>BQ143</f>
        <v>875.96740299999988</v>
      </c>
      <c r="BR165" s="197">
        <f>BR143</f>
        <v>886.75442700000008</v>
      </c>
      <c r="BS165" s="197">
        <f>BS143</f>
        <v>899.39310799999998</v>
      </c>
      <c r="BT165" s="197">
        <f>BT143</f>
        <v>906.37691399999994</v>
      </c>
      <c r="BU165" s="197">
        <f>BQ165+BR165+BS165+BT165</f>
        <v>3568.4918519999997</v>
      </c>
      <c r="BV165" s="391"/>
      <c r="BW165" s="197">
        <f>BW143</f>
        <v>904.23314657999993</v>
      </c>
      <c r="BX165" s="197">
        <f>BX143</f>
        <v>913.71100122000007</v>
      </c>
      <c r="BY165" s="197">
        <f>BY143</f>
        <v>924.50497457999995</v>
      </c>
      <c r="BZ165" s="197">
        <f>BZ143</f>
        <v>929.71179594</v>
      </c>
      <c r="CA165" s="197">
        <f>BW165+BX165+BY165+BZ165</f>
        <v>3672.1609183199998</v>
      </c>
      <c r="CB165" s="391"/>
      <c r="CC165" s="197">
        <f>CC143</f>
        <v>926.82951861929985</v>
      </c>
      <c r="CD165" s="197">
        <f>CD143</f>
        <v>934.10862543270002</v>
      </c>
      <c r="CE165" s="197">
        <f>CE143</f>
        <v>943.01120621730001</v>
      </c>
      <c r="CF165" s="197">
        <f>CF143</f>
        <v>946.55012108189999</v>
      </c>
      <c r="CG165" s="197">
        <f>CC165+CD165+CE165+CF165</f>
        <v>3750.4994713511996</v>
      </c>
      <c r="CH165" s="391"/>
      <c r="CI165" s="197">
        <f>CI143</f>
        <v>947.19042714030593</v>
      </c>
      <c r="CJ165" s="197">
        <f>CJ143</f>
        <v>952.59301065866998</v>
      </c>
      <c r="CK165" s="197">
        <f>CK143</f>
        <v>959.554129189386</v>
      </c>
      <c r="CL165" s="197">
        <f>CL143</f>
        <v>961.36612843690204</v>
      </c>
      <c r="CM165" s="197">
        <f>CI165+CJ165+CK165+CL165</f>
        <v>3820.7036954252635</v>
      </c>
      <c r="CN165" s="391"/>
      <c r="CO165" s="197">
        <f>CO143</f>
        <v>965.31732085156841</v>
      </c>
      <c r="CP165" s="197">
        <f>CP143</f>
        <v>971.12621751075926</v>
      </c>
      <c r="CQ165" s="197">
        <f>CQ143</f>
        <v>978.43130778180807</v>
      </c>
      <c r="CR165" s="197">
        <f>CR143</f>
        <v>980.79324354098515</v>
      </c>
      <c r="CS165" s="197">
        <f>CO165+CP165+CQ165+CR165</f>
        <v>3895.6680896851208</v>
      </c>
      <c r="CT165" s="391"/>
      <c r="CU165" s="197">
        <f>CU143</f>
        <v>986.61056144887948</v>
      </c>
      <c r="CV165" s="197">
        <f>CV143</f>
        <v>991.76090371565374</v>
      </c>
      <c r="CW165" s="197">
        <f>CW143</f>
        <v>998.34759184981158</v>
      </c>
      <c r="CX165" s="197">
        <f>CX143</f>
        <v>1000.1888516525723</v>
      </c>
      <c r="CY165" s="197">
        <f>CU165+CV165+CW165+CX165</f>
        <v>3976.9079086669171</v>
      </c>
      <c r="CZ165" s="391"/>
      <c r="DA165" s="197">
        <f>DA143</f>
        <v>1007.2524832251429</v>
      </c>
      <c r="DB165" s="197">
        <f>DB143</f>
        <v>1011.8186311597686</v>
      </c>
      <c r="DC165" s="197">
        <f>DC143</f>
        <v>1017.7636711270829</v>
      </c>
      <c r="DD165" s="197">
        <f>DD143</f>
        <v>1019.1530998962558</v>
      </c>
      <c r="DE165" s="197">
        <f>DA165+DB165+DC165+DD165</f>
        <v>4055.9878854082503</v>
      </c>
      <c r="DF165" s="391"/>
      <c r="DG165" s="197">
        <f>DG143</f>
        <v>1027.7557170126211</v>
      </c>
      <c r="DH165" s="197">
        <f>DH143</f>
        <v>1032.5164456852826</v>
      </c>
      <c r="DI165" s="197">
        <f>DI143</f>
        <v>1038.600910709325</v>
      </c>
      <c r="DJ165" s="197">
        <f>DJ143</f>
        <v>1040.3119889831517</v>
      </c>
      <c r="DK165" s="197">
        <f>DG165+DH165+DI165+DJ165</f>
        <v>4139.1850623903802</v>
      </c>
    </row>
    <row r="166" spans="1:115" x14ac:dyDescent="0.2">
      <c r="B166" s="241" t="s">
        <v>74</v>
      </c>
      <c r="O166" s="103" t="s">
        <v>35</v>
      </c>
      <c r="P166" s="103" t="s">
        <v>35</v>
      </c>
      <c r="Q166" s="103" t="s">
        <v>35</v>
      </c>
      <c r="R166" s="103" t="s">
        <v>35</v>
      </c>
      <c r="S166" s="103" t="s">
        <v>35</v>
      </c>
      <c r="U166" s="103" t="s">
        <v>35</v>
      </c>
      <c r="V166" s="103" t="s">
        <v>35</v>
      </c>
      <c r="W166" s="103" t="s">
        <v>35</v>
      </c>
      <c r="X166" s="103" t="s">
        <v>35</v>
      </c>
      <c r="Y166" s="103" t="s">
        <v>35</v>
      </c>
      <c r="AA166" s="103" t="s">
        <v>35</v>
      </c>
      <c r="AB166" s="103" t="s">
        <v>35</v>
      </c>
      <c r="AC166" s="103" t="s">
        <v>35</v>
      </c>
      <c r="AD166" s="103" t="s">
        <v>35</v>
      </c>
      <c r="AE166" s="103" t="s">
        <v>35</v>
      </c>
      <c r="AG166" s="227">
        <f>AG165/AA165-1</f>
        <v>-3.8662486938349061E-2</v>
      </c>
      <c r="AH166" s="227">
        <f>AH165/AB165-1</f>
        <v>-5.4794520547945202E-2</v>
      </c>
      <c r="AI166" s="227">
        <f>AI165/AC165-1</f>
        <v>-2.7807486631016065E-2</v>
      </c>
      <c r="AJ166" s="227">
        <f>AJ165/AD165-1</f>
        <v>-4.6103183315038376E-2</v>
      </c>
      <c r="AK166" s="227">
        <f>AK165/AE165-1</f>
        <v>-4.1844349680170589E-2</v>
      </c>
      <c r="AM166" s="227">
        <f>AM165/AG165-1</f>
        <v>-5.9782608695652217E-2</v>
      </c>
      <c r="AN166" s="227">
        <f>AN165/AH165-1</f>
        <v>-8.026755852842804E-2</v>
      </c>
      <c r="AO166" s="227">
        <f>AO165/AI165-1</f>
        <v>-5.0605060506050625E-2</v>
      </c>
      <c r="AP166" s="227">
        <f>AP165/AJ165-1</f>
        <v>4.602991944764101E-3</v>
      </c>
      <c r="AQ166" s="227">
        <f>AQ165/AK165-1</f>
        <v>-4.7009735744089065E-2</v>
      </c>
      <c r="AS166" s="227">
        <f>AS165/AM165-1</f>
        <v>-1.0404624277456698E-2</v>
      </c>
      <c r="AT166" s="227">
        <f>AT165/AN165-1</f>
        <v>2.4242424242424176E-2</v>
      </c>
      <c r="AU166" s="227">
        <f>AU165/AO165-1</f>
        <v>-2.665121668597914E-2</v>
      </c>
      <c r="AV166" s="227">
        <f>AV165/AP165-1</f>
        <v>-1.718213058419249E-2</v>
      </c>
      <c r="AW166" s="227">
        <f>AW165/AQ165-1</f>
        <v>-7.8809106830122211E-3</v>
      </c>
      <c r="AY166" s="227">
        <f>AY165/AS165-1</f>
        <v>-1.8691588785046731E-2</v>
      </c>
      <c r="AZ166" s="227">
        <f>AZ165/AT165-1</f>
        <v>0</v>
      </c>
      <c r="BA166" s="227">
        <f>BA165/AU165-1</f>
        <v>2.9761904761904656E-2</v>
      </c>
      <c r="BB166" s="227">
        <f>BB165/AV165-1</f>
        <v>-5.8275058275057967E-3</v>
      </c>
      <c r="BC166" s="227">
        <f>BC165/AW165-1</f>
        <v>1.1768167107972793E-3</v>
      </c>
      <c r="BE166" s="227">
        <f>BE165/AY165-1</f>
        <v>9.52380952380949E-3</v>
      </c>
      <c r="BF166" s="227">
        <f>BF165/AZ165-1</f>
        <v>1.1834319526627279E-2</v>
      </c>
      <c r="BG166" s="227">
        <f>BG165/BA165-1</f>
        <v>-1.7341040462427793E-2</v>
      </c>
      <c r="BH166" s="227">
        <f>BH165/BB165-1</f>
        <v>2.3446658851113966E-3</v>
      </c>
      <c r="BI166" s="227">
        <f>BI165/BC165-1</f>
        <v>1.4692918013516909E-3</v>
      </c>
      <c r="BK166" s="227">
        <f>BK165/BE165-1</f>
        <v>0</v>
      </c>
      <c r="BL166" s="227">
        <f>BL165/BF165-1</f>
        <v>-3.5087719298245723E-3</v>
      </c>
      <c r="BM166" s="227">
        <f>BM165/BG165-1</f>
        <v>2.8235294117647136E-2</v>
      </c>
      <c r="BN166" s="227">
        <f>BN165/BH165-1</f>
        <v>2.6900584795321647E-2</v>
      </c>
      <c r="BO166" s="227">
        <f>BO165/BI165-1</f>
        <v>1.2910798122065748E-2</v>
      </c>
      <c r="BQ166" s="227">
        <f>BQ165/BK165-1</f>
        <v>3.2980428066037515E-2</v>
      </c>
      <c r="BR166" s="227">
        <f>BR165/BL165-1</f>
        <v>4.0791580985915621E-2</v>
      </c>
      <c r="BS166" s="227">
        <f>BS165/BM165-1</f>
        <v>2.9053899313501219E-2</v>
      </c>
      <c r="BT166" s="227">
        <f>BT165/BN165-1</f>
        <v>3.2319947608200339E-2</v>
      </c>
      <c r="BU166" s="227">
        <f>BU165/BO165-1</f>
        <v>3.3746191193510855E-2</v>
      </c>
      <c r="BW166" s="227">
        <f>BW165/BQ165-1</f>
        <v>3.2268031302530087E-2</v>
      </c>
      <c r="BX166" s="227">
        <f>BX165/BR165-1</f>
        <v>3.0399142535095569E-2</v>
      </c>
      <c r="BY166" s="227">
        <f>BY165/BS165-1</f>
        <v>2.7920901724321379E-2</v>
      </c>
      <c r="BZ166" s="227">
        <f>BZ165/BT165-1</f>
        <v>2.5745229804032821E-2</v>
      </c>
      <c r="CA166" s="227">
        <f>CA165/BU165-1</f>
        <v>2.9051226854251544E-2</v>
      </c>
      <c r="CC166" s="227">
        <f>CC165/BW165-1</f>
        <v>2.4989541828635886E-2</v>
      </c>
      <c r="CD166" s="227">
        <f>CD165/BX165-1</f>
        <v>2.2323934138326784E-2</v>
      </c>
      <c r="CE166" s="227">
        <f>CE165/BY165-1</f>
        <v>2.0017449495831396E-2</v>
      </c>
      <c r="CF166" s="227">
        <f>CF165/BZ165-1</f>
        <v>1.8111338605610872E-2</v>
      </c>
      <c r="CG166" s="227">
        <f>CG165/CA165-1</f>
        <v>2.1333093721568108E-2</v>
      </c>
      <c r="CI166" s="227">
        <f>CI165/CC165-1</f>
        <v>2.1968342733988289E-2</v>
      </c>
      <c r="CJ166" s="227">
        <f>CJ165/CD165-1</f>
        <v>1.9788260939574975E-2</v>
      </c>
      <c r="CK166" s="227">
        <f>CK165/CE165-1</f>
        <v>1.7542657884676238E-2</v>
      </c>
      <c r="CL166" s="227">
        <f>CL165/CF165-1</f>
        <v>1.5652639015108383E-2</v>
      </c>
      <c r="CM166" s="227">
        <f>CM165/CG165-1</f>
        <v>1.8718633240807137E-2</v>
      </c>
      <c r="CO166" s="227">
        <f>CO165/CI165-1</f>
        <v>1.9137538969845824E-2</v>
      </c>
      <c r="CP166" s="227">
        <f>CP165/CJ165-1</f>
        <v>1.9455535202042462E-2</v>
      </c>
      <c r="CQ166" s="227">
        <f>CQ165/CK165-1</f>
        <v>1.9672864738093709E-2</v>
      </c>
      <c r="CR166" s="227">
        <f>CR165/CL165-1</f>
        <v>2.0207821483860577E-2</v>
      </c>
      <c r="CS166" s="227">
        <f>CS165/CM165-1</f>
        <v>1.9620572605411946E-2</v>
      </c>
      <c r="CU166" s="227">
        <f>CU165/CO165-1</f>
        <v>2.2058280875481451E-2</v>
      </c>
      <c r="CV166" s="227">
        <f>CV165/CP165-1</f>
        <v>2.1248202172716946E-2</v>
      </c>
      <c r="CW166" s="227">
        <f>CW165/CQ165-1</f>
        <v>2.0355321737563381E-2</v>
      </c>
      <c r="CX166" s="227">
        <f>CX165/CR165-1</f>
        <v>1.9775429979067338E-2</v>
      </c>
      <c r="CY166" s="227">
        <f>CY165/CS165-1</f>
        <v>2.085388619140871E-2</v>
      </c>
      <c r="DA166" s="227">
        <f>DA165/CU165-1</f>
        <v>2.0922056364316433E-2</v>
      </c>
      <c r="DB166" s="227">
        <f>DB165/CV165-1</f>
        <v>2.0224357875943788E-2</v>
      </c>
      <c r="DC166" s="227">
        <f>DC165/CW165-1</f>
        <v>1.944821566734678E-2</v>
      </c>
      <c r="DD166" s="227">
        <f>DD165/CX165-1</f>
        <v>1.8960667490294014E-2</v>
      </c>
      <c r="DE166" s="227">
        <f>DE165/CY165-1</f>
        <v>1.9884789529320823E-2</v>
      </c>
      <c r="DG166" s="227">
        <f>DG165/DA165-1</f>
        <v>2.035560510293144E-2</v>
      </c>
      <c r="DH166" s="227">
        <f>DH165/DB165-1</f>
        <v>2.0456051992035151E-2</v>
      </c>
      <c r="DI166" s="227">
        <f>DI165/DC165-1</f>
        <v>2.0473554100399971E-2</v>
      </c>
      <c r="DJ166" s="227">
        <f>DJ165/DD165-1</f>
        <v>2.0761246851969339E-2</v>
      </c>
      <c r="DK166" s="227">
        <f>DK165/DE165-1</f>
        <v>2.0512185768956082E-2</v>
      </c>
    </row>
    <row r="167" spans="1:115" x14ac:dyDescent="0.2">
      <c r="B167" s="241"/>
      <c r="AA167" s="103"/>
      <c r="AB167" s="103"/>
      <c r="AC167" s="103"/>
      <c r="AD167" s="103"/>
      <c r="AE167" s="103"/>
      <c r="AG167" s="103"/>
      <c r="AH167" s="103"/>
      <c r="AI167" s="103"/>
      <c r="AJ167" s="103"/>
      <c r="AK167" s="103"/>
      <c r="AM167" s="103"/>
      <c r="AN167" s="103"/>
      <c r="AO167" s="103"/>
      <c r="AP167" s="103"/>
      <c r="AQ167" s="103"/>
      <c r="AS167" s="103"/>
      <c r="AT167" s="103"/>
      <c r="AU167" s="103"/>
      <c r="AV167" s="103"/>
      <c r="AW167" s="103"/>
      <c r="AY167" s="103"/>
      <c r="AZ167" s="103"/>
      <c r="BA167" s="103"/>
      <c r="BB167" s="103"/>
      <c r="BC167" s="103"/>
      <c r="BE167" s="103"/>
      <c r="BF167" s="103"/>
      <c r="BG167" s="103"/>
      <c r="BH167" s="103"/>
      <c r="BI167" s="103"/>
      <c r="BK167" s="103"/>
      <c r="BL167" s="103"/>
      <c r="BM167" s="103"/>
      <c r="BN167" s="103"/>
      <c r="BO167" s="103"/>
      <c r="BQ167" s="103"/>
      <c r="BR167" s="103"/>
      <c r="BS167" s="103"/>
      <c r="BT167" s="103"/>
      <c r="BU167" s="103"/>
      <c r="BW167" s="103"/>
      <c r="BX167" s="103"/>
      <c r="BY167" s="103"/>
      <c r="BZ167" s="103"/>
      <c r="CA167" s="103"/>
      <c r="CC167" s="103"/>
      <c r="CD167" s="103"/>
      <c r="CE167" s="103"/>
      <c r="CF167" s="103"/>
      <c r="CG167" s="103"/>
      <c r="CI167" s="103"/>
      <c r="CJ167" s="103"/>
      <c r="CK167" s="103"/>
      <c r="CL167" s="103"/>
      <c r="CM167" s="103"/>
      <c r="CO167" s="103"/>
      <c r="CP167" s="103"/>
      <c r="CQ167" s="103"/>
      <c r="CR167" s="103"/>
      <c r="CS167" s="103"/>
      <c r="CU167" s="103"/>
      <c r="CV167" s="103"/>
      <c r="CW167" s="103"/>
      <c r="CX167" s="103"/>
      <c r="CY167" s="103"/>
      <c r="DA167" s="103"/>
      <c r="DB167" s="103"/>
      <c r="DC167" s="103"/>
      <c r="DD167" s="103"/>
      <c r="DE167" s="103"/>
      <c r="DG167" s="103"/>
      <c r="DH167" s="103"/>
      <c r="DI167" s="103"/>
      <c r="DJ167" s="103"/>
      <c r="DK167" s="103"/>
    </row>
    <row r="168" spans="1:115" x14ac:dyDescent="0.2">
      <c r="A168" s="457" t="s">
        <v>375</v>
      </c>
      <c r="B168" s="312" t="s">
        <v>358</v>
      </c>
      <c r="C168" s="197"/>
      <c r="D168" s="197"/>
      <c r="E168" s="197"/>
      <c r="F168" s="197"/>
      <c r="G168" s="197"/>
      <c r="H168" s="197"/>
      <c r="I168" s="197"/>
      <c r="J168" s="197"/>
      <c r="K168" s="197"/>
      <c r="L168" s="197"/>
      <c r="M168" s="197"/>
      <c r="N168" s="197"/>
      <c r="O168" s="197">
        <v>319</v>
      </c>
      <c r="P168" s="197">
        <v>302</v>
      </c>
      <c r="Q168" s="197">
        <v>317</v>
      </c>
      <c r="R168" s="197">
        <v>289</v>
      </c>
      <c r="S168" s="197">
        <v>1227</v>
      </c>
      <c r="T168" s="197"/>
      <c r="U168" s="197">
        <v>318</v>
      </c>
      <c r="V168" s="197">
        <v>309</v>
      </c>
      <c r="W168" s="197">
        <v>298</v>
      </c>
      <c r="X168" s="197">
        <v>343</v>
      </c>
      <c r="Y168" s="197">
        <v>1268</v>
      </c>
      <c r="Z168" s="391"/>
      <c r="AA168" s="197">
        <f>AA148+AA151</f>
        <v>130</v>
      </c>
      <c r="AB168" s="197">
        <f>AB148+AB151</f>
        <v>126</v>
      </c>
      <c r="AC168" s="197">
        <f>AC148+AC151</f>
        <v>127</v>
      </c>
      <c r="AD168" s="197">
        <f>AD148+AD151</f>
        <v>131</v>
      </c>
      <c r="AE168" s="197">
        <f>AA168+AB168+AC168+AD168</f>
        <v>514</v>
      </c>
      <c r="AF168" s="391"/>
      <c r="AG168" s="197">
        <f>AG148+AG151</f>
        <v>119</v>
      </c>
      <c r="AH168" s="197">
        <f>AH148+AH151</f>
        <v>112</v>
      </c>
      <c r="AI168" s="197">
        <f>AI148+AI151</f>
        <v>109</v>
      </c>
      <c r="AJ168" s="197">
        <f>AJ148+AJ151</f>
        <v>112</v>
      </c>
      <c r="AK168" s="197">
        <f>AG168+AH168+AI168+AJ168</f>
        <v>452</v>
      </c>
      <c r="AL168" s="391"/>
      <c r="AM168" s="197">
        <f>AM148+AM151</f>
        <v>83</v>
      </c>
      <c r="AN168" s="197">
        <f>AN148+AN151</f>
        <v>74</v>
      </c>
      <c r="AO168" s="197">
        <f>AO148+AO151</f>
        <v>71</v>
      </c>
      <c r="AP168" s="197">
        <f>AP148+AP151</f>
        <v>65</v>
      </c>
      <c r="AQ168" s="197">
        <f>AM168+AN168+AO168+AP168</f>
        <v>293</v>
      </c>
      <c r="AR168" s="391"/>
      <c r="AS168" s="197">
        <f>AS151</f>
        <v>64</v>
      </c>
      <c r="AT168" s="197">
        <f>AT151</f>
        <v>56</v>
      </c>
      <c r="AU168" s="197">
        <f>AU151</f>
        <v>59</v>
      </c>
      <c r="AV168" s="197">
        <f>AV151</f>
        <v>63</v>
      </c>
      <c r="AW168" s="197">
        <f>AS168+AT168+AU168+AV168</f>
        <v>242</v>
      </c>
      <c r="AX168" s="391"/>
      <c r="AY168" s="197">
        <f>AY151</f>
        <v>60</v>
      </c>
      <c r="AZ168" s="197">
        <f>AZ151</f>
        <v>56</v>
      </c>
      <c r="BA168" s="197">
        <f>BA151</f>
        <v>54</v>
      </c>
      <c r="BB168" s="197">
        <f>BB151</f>
        <v>57</v>
      </c>
      <c r="BC168" s="197">
        <f>AY168+AZ168+BA168+BB168</f>
        <v>227</v>
      </c>
      <c r="BD168" s="391"/>
      <c r="BE168" s="197">
        <f>BE151</f>
        <v>53</v>
      </c>
      <c r="BF168" s="197">
        <f>BF151</f>
        <v>50</v>
      </c>
      <c r="BG168" s="197">
        <f>BG151</f>
        <v>49</v>
      </c>
      <c r="BH168" s="197">
        <f>BH151</f>
        <v>52</v>
      </c>
      <c r="BI168" s="197">
        <f>BE168+BF168+BG168+BH168</f>
        <v>204</v>
      </c>
      <c r="BJ168" s="391"/>
      <c r="BK168" s="197">
        <f>BK151</f>
        <v>49</v>
      </c>
      <c r="BL168" s="197">
        <f>BL151</f>
        <v>47</v>
      </c>
      <c r="BM168" s="197">
        <f>BM151</f>
        <v>47</v>
      </c>
      <c r="BN168" s="197">
        <f>BN151</f>
        <v>48</v>
      </c>
      <c r="BO168" s="197">
        <f>BK168+BL168+BM168+BN168</f>
        <v>191</v>
      </c>
      <c r="BP168" s="391"/>
      <c r="BQ168" s="197">
        <f>BQ151</f>
        <v>46.059999999999995</v>
      </c>
      <c r="BR168" s="197">
        <f>BR151</f>
        <v>44.65</v>
      </c>
      <c r="BS168" s="197">
        <f>BS151</f>
        <v>45.12</v>
      </c>
      <c r="BT168" s="197">
        <f>BT151</f>
        <v>46.56</v>
      </c>
      <c r="BU168" s="197">
        <f>BQ168+BR168+BS168+BT168</f>
        <v>182.39</v>
      </c>
      <c r="BV168" s="391"/>
      <c r="BW168" s="197">
        <f>BW151</f>
        <v>45.138799999999996</v>
      </c>
      <c r="BX168" s="197">
        <f>BX151</f>
        <v>43.756999999999998</v>
      </c>
      <c r="BY168" s="197">
        <f>BY151</f>
        <v>44.217599999999997</v>
      </c>
      <c r="BZ168" s="197">
        <f>BZ151</f>
        <v>45.628799999999998</v>
      </c>
      <c r="CA168" s="197">
        <f>BW168+BX168+BY168+BZ168</f>
        <v>178.74219999999997</v>
      </c>
      <c r="CB168" s="391"/>
      <c r="CC168" s="197">
        <f>CC151</f>
        <v>44.236023999999993</v>
      </c>
      <c r="CD168" s="197">
        <f>CD151</f>
        <v>42.881859999999996</v>
      </c>
      <c r="CE168" s="197">
        <f>CE151</f>
        <v>43.333247999999998</v>
      </c>
      <c r="CF168" s="197">
        <f>CF151</f>
        <v>44.716223999999997</v>
      </c>
      <c r="CG168" s="197">
        <f>CC168+CD168+CE168+CF168</f>
        <v>175.16735599999998</v>
      </c>
      <c r="CH168" s="391"/>
      <c r="CI168" s="197">
        <f>CI151</f>
        <v>43.351303519999995</v>
      </c>
      <c r="CJ168" s="197">
        <f>CJ151</f>
        <v>42.024222799999997</v>
      </c>
      <c r="CK168" s="197">
        <f>CK151</f>
        <v>42.466583039999996</v>
      </c>
      <c r="CL168" s="197">
        <f>CL151</f>
        <v>43.821899519999995</v>
      </c>
      <c r="CM168" s="197">
        <f>CI168+CJ168+CK168+CL168</f>
        <v>171.66400887999998</v>
      </c>
      <c r="CN168" s="391"/>
      <c r="CO168" s="197">
        <f>CO151</f>
        <v>42.484277449599993</v>
      </c>
      <c r="CP168" s="197">
        <f>CP151</f>
        <v>41.183738343999998</v>
      </c>
      <c r="CQ168" s="197">
        <f>CQ151</f>
        <v>41.617251379199999</v>
      </c>
      <c r="CR168" s="197">
        <f>CR151</f>
        <v>42.945461529599996</v>
      </c>
      <c r="CS168" s="197">
        <f>CO168+CP168+CQ168+CR168</f>
        <v>168.23072870239997</v>
      </c>
      <c r="CT168" s="391"/>
      <c r="CU168" s="197">
        <f>CU151</f>
        <v>41.634591900607994</v>
      </c>
      <c r="CV168" s="197">
        <f>CV151</f>
        <v>40.360063577119995</v>
      </c>
      <c r="CW168" s="197">
        <f>CW151</f>
        <v>40.784906351616002</v>
      </c>
      <c r="CX168" s="197">
        <f>CX151</f>
        <v>42.086552299007998</v>
      </c>
      <c r="CY168" s="197">
        <f>CU168+CV168+CW168+CX168</f>
        <v>164.866114128352</v>
      </c>
      <c r="CZ168" s="391"/>
      <c r="DA168" s="197">
        <f>DA151</f>
        <v>40.801900062595834</v>
      </c>
      <c r="DB168" s="197">
        <f>DB151</f>
        <v>39.552862305577591</v>
      </c>
      <c r="DC168" s="197">
        <f>DC151</f>
        <v>39.969208224583681</v>
      </c>
      <c r="DD168" s="197">
        <f>DD151</f>
        <v>41.244821253027837</v>
      </c>
      <c r="DE168" s="197">
        <f>DA168+DB168+DC168+DD168</f>
        <v>161.56879184578494</v>
      </c>
      <c r="DF168" s="391"/>
      <c r="DG168" s="197">
        <f>DG151</f>
        <v>39.985862061343916</v>
      </c>
      <c r="DH168" s="197">
        <f>DH151</f>
        <v>38.761805059466042</v>
      </c>
      <c r="DI168" s="197">
        <f>DI151</f>
        <v>39.169824060092004</v>
      </c>
      <c r="DJ168" s="197">
        <f>DJ151</f>
        <v>40.419924827967279</v>
      </c>
      <c r="DK168" s="197">
        <f>DG168+DH168+DI168+DJ168</f>
        <v>158.33741600886924</v>
      </c>
    </row>
    <row r="169" spans="1:115" x14ac:dyDescent="0.2">
      <c r="B169" s="241" t="s">
        <v>74</v>
      </c>
      <c r="O169" s="103" t="s">
        <v>35</v>
      </c>
      <c r="P169" s="103" t="s">
        <v>35</v>
      </c>
      <c r="Q169" s="103" t="s">
        <v>35</v>
      </c>
      <c r="R169" s="103" t="s">
        <v>35</v>
      </c>
      <c r="S169" s="103" t="s">
        <v>35</v>
      </c>
      <c r="U169" s="103" t="s">
        <v>35</v>
      </c>
      <c r="V169" s="103" t="s">
        <v>35</v>
      </c>
      <c r="W169" s="103" t="s">
        <v>35</v>
      </c>
      <c r="X169" s="103" t="s">
        <v>35</v>
      </c>
      <c r="Y169" s="103" t="s">
        <v>35</v>
      </c>
      <c r="AA169" s="103" t="s">
        <v>35</v>
      </c>
      <c r="AB169" s="103" t="s">
        <v>35</v>
      </c>
      <c r="AC169" s="103" t="s">
        <v>35</v>
      </c>
      <c r="AD169" s="103" t="s">
        <v>35</v>
      </c>
      <c r="AE169" s="103" t="s">
        <v>35</v>
      </c>
      <c r="AG169" s="227">
        <f>AG168/AA168-1</f>
        <v>-8.4615384615384648E-2</v>
      </c>
      <c r="AH169" s="227">
        <f>AH168/AB168-1</f>
        <v>-0.11111111111111116</v>
      </c>
      <c r="AI169" s="227">
        <f>AI168/AC168-1</f>
        <v>-0.1417322834645669</v>
      </c>
      <c r="AJ169" s="227">
        <f>AJ168/AD168-1</f>
        <v>-0.14503816793893132</v>
      </c>
      <c r="AK169" s="227">
        <f>AK168/AE168-1</f>
        <v>-0.12062256809338523</v>
      </c>
      <c r="AM169" s="227">
        <f>AM168/AG168-1</f>
        <v>-0.30252100840336138</v>
      </c>
      <c r="AN169" s="227">
        <f>AN168/AH168-1</f>
        <v>-0.3392857142857143</v>
      </c>
      <c r="AO169" s="227">
        <f>AO168/AI168-1</f>
        <v>-0.34862385321100919</v>
      </c>
      <c r="AP169" s="227">
        <f>AP168/AJ168-1</f>
        <v>-0.4196428571428571</v>
      </c>
      <c r="AQ169" s="227">
        <f>AQ168/AK168-1</f>
        <v>-0.35176991150442483</v>
      </c>
      <c r="AS169" s="227">
        <f>AS168/AM168-1</f>
        <v>-0.22891566265060237</v>
      </c>
      <c r="AT169" s="227">
        <f>AT168/AN168-1</f>
        <v>-0.2432432432432432</v>
      </c>
      <c r="AU169" s="227">
        <f>AU168/AO168-1</f>
        <v>-0.16901408450704225</v>
      </c>
      <c r="AV169" s="227">
        <f>AV168/AP168-1</f>
        <v>-3.0769230769230771E-2</v>
      </c>
      <c r="AW169" s="227">
        <f>AW168/AQ168-1</f>
        <v>-0.17406143344709901</v>
      </c>
      <c r="AY169" s="227">
        <f>AY168/AS168-1</f>
        <v>-6.25E-2</v>
      </c>
      <c r="AZ169" s="227">
        <f>AZ168/AT168-1</f>
        <v>0</v>
      </c>
      <c r="BA169" s="227">
        <f>BA168/AU168-1</f>
        <v>-8.4745762711864403E-2</v>
      </c>
      <c r="BB169" s="227">
        <f>BB168/AV168-1</f>
        <v>-9.5238095238095233E-2</v>
      </c>
      <c r="BC169" s="227">
        <f>BC168/AW168-1</f>
        <v>-6.1983471074380181E-2</v>
      </c>
      <c r="BE169" s="227">
        <f>BE168/AY168-1</f>
        <v>-0.1166666666666667</v>
      </c>
      <c r="BF169" s="227">
        <f>BF168/AZ168-1</f>
        <v>-0.1071428571428571</v>
      </c>
      <c r="BG169" s="227">
        <f>BG168/BA168-1</f>
        <v>-9.259259259259256E-2</v>
      </c>
      <c r="BH169" s="227">
        <f>BH168/BB168-1</f>
        <v>-8.7719298245614086E-2</v>
      </c>
      <c r="BI169" s="227">
        <f>BI168/BC168-1</f>
        <v>-0.10132158590308371</v>
      </c>
      <c r="BK169" s="227">
        <f>BK168/BE168-1</f>
        <v>-7.547169811320753E-2</v>
      </c>
      <c r="BL169" s="227">
        <f>BL168/BF168-1</f>
        <v>-6.0000000000000053E-2</v>
      </c>
      <c r="BM169" s="227">
        <f>BM168/BG168-1</f>
        <v>-4.081632653061229E-2</v>
      </c>
      <c r="BN169" s="227">
        <f>BN168/BH168-1</f>
        <v>-7.6923076923076872E-2</v>
      </c>
      <c r="BO169" s="227">
        <f>BO168/BI168-1</f>
        <v>-6.3725490196078427E-2</v>
      </c>
      <c r="BQ169" s="227">
        <f>BQ168/BK168-1</f>
        <v>-6.0000000000000053E-2</v>
      </c>
      <c r="BR169" s="227">
        <f>BR168/BL168-1</f>
        <v>-5.0000000000000044E-2</v>
      </c>
      <c r="BS169" s="227">
        <f>BS168/BM168-1</f>
        <v>-4.0000000000000036E-2</v>
      </c>
      <c r="BT169" s="227">
        <f>BT168/BN168-1</f>
        <v>-2.9999999999999916E-2</v>
      </c>
      <c r="BU169" s="227">
        <f>BU168/BO168-1</f>
        <v>-4.5078534031413708E-2</v>
      </c>
      <c r="BW169" s="227">
        <f>BW168/BQ168-1</f>
        <v>-2.0000000000000018E-2</v>
      </c>
      <c r="BX169" s="227">
        <f>BX168/BR168-1</f>
        <v>-2.0000000000000018E-2</v>
      </c>
      <c r="BY169" s="227">
        <f>BY168/BS168-1</f>
        <v>-2.0000000000000018E-2</v>
      </c>
      <c r="BZ169" s="227">
        <f>BZ168/BT168-1</f>
        <v>-2.0000000000000129E-2</v>
      </c>
      <c r="CA169" s="227">
        <f>CA168/BU168-1</f>
        <v>-2.0000000000000129E-2</v>
      </c>
      <c r="CC169" s="227">
        <f>CC168/BW168-1</f>
        <v>-2.0000000000000018E-2</v>
      </c>
      <c r="CD169" s="227">
        <f>CD168/BX168-1</f>
        <v>-2.0000000000000018E-2</v>
      </c>
      <c r="CE169" s="227">
        <f>CE168/BY168-1</f>
        <v>-2.0000000000000018E-2</v>
      </c>
      <c r="CF169" s="227">
        <f>CF168/BZ168-1</f>
        <v>-2.0000000000000018E-2</v>
      </c>
      <c r="CG169" s="227">
        <f>CG168/CA168-1</f>
        <v>-1.9999999999999907E-2</v>
      </c>
      <c r="CI169" s="227">
        <f>CI168/CC168-1</f>
        <v>-2.0000000000000018E-2</v>
      </c>
      <c r="CJ169" s="227">
        <f>CJ168/CD168-1</f>
        <v>-2.0000000000000018E-2</v>
      </c>
      <c r="CK169" s="227">
        <f>CK168/CE168-1</f>
        <v>-2.0000000000000018E-2</v>
      </c>
      <c r="CL169" s="227">
        <f>CL168/CF168-1</f>
        <v>-2.0000000000000018E-2</v>
      </c>
      <c r="CM169" s="227">
        <f>CM168/CG168-1</f>
        <v>-2.0000000000000018E-2</v>
      </c>
      <c r="CO169" s="227">
        <f>CO168/CI168-1</f>
        <v>-2.0000000000000018E-2</v>
      </c>
      <c r="CP169" s="227">
        <f>CP168/CJ168-1</f>
        <v>-2.0000000000000018E-2</v>
      </c>
      <c r="CQ169" s="227">
        <f>CQ168/CK168-1</f>
        <v>-1.9999999999999907E-2</v>
      </c>
      <c r="CR169" s="227">
        <f>CR168/CL168-1</f>
        <v>-2.0000000000000018E-2</v>
      </c>
      <c r="CS169" s="227">
        <f>CS168/CM168-1</f>
        <v>-2.0000000000000018E-2</v>
      </c>
      <c r="CU169" s="227">
        <f>CU168/CO168-1</f>
        <v>-2.0000000000000018E-2</v>
      </c>
      <c r="CV169" s="227">
        <f>CV168/CP168-1</f>
        <v>-2.0000000000000129E-2</v>
      </c>
      <c r="CW169" s="227">
        <f>CW168/CQ168-1</f>
        <v>-1.9999999999999907E-2</v>
      </c>
      <c r="CX169" s="227">
        <f>CX168/CR168-1</f>
        <v>-1.9999999999999907E-2</v>
      </c>
      <c r="CY169" s="227">
        <f>CY168/CS168-1</f>
        <v>-1.9999999999999907E-2</v>
      </c>
      <c r="DA169" s="227">
        <f>DA168/CU168-1</f>
        <v>-2.0000000000000018E-2</v>
      </c>
      <c r="DB169" s="227">
        <f>DB168/CV168-1</f>
        <v>-2.0000000000000129E-2</v>
      </c>
      <c r="DC169" s="227">
        <f>DC168/CW168-1</f>
        <v>-2.0000000000000018E-2</v>
      </c>
      <c r="DD169" s="227">
        <f>DD168/CX168-1</f>
        <v>-2.0000000000000018E-2</v>
      </c>
      <c r="DE169" s="227">
        <f>DE168/CY168-1</f>
        <v>-2.0000000000000018E-2</v>
      </c>
      <c r="DG169" s="227">
        <f>DG168/DA168-1</f>
        <v>-2.0000000000000018E-2</v>
      </c>
      <c r="DH169" s="227">
        <f>DH168/DB168-1</f>
        <v>-1.9999999999999907E-2</v>
      </c>
      <c r="DI169" s="227">
        <f>DI168/DC168-1</f>
        <v>-2.0000000000000129E-2</v>
      </c>
      <c r="DJ169" s="227">
        <f>DJ168/DD168-1</f>
        <v>-2.0000000000000018E-2</v>
      </c>
      <c r="DK169" s="227">
        <f>DK168/DE168-1</f>
        <v>-2.0000000000000018E-2</v>
      </c>
    </row>
    <row r="170" spans="1:115" x14ac:dyDescent="0.2">
      <c r="B170" s="241"/>
    </row>
    <row r="171" spans="1:115" x14ac:dyDescent="0.2">
      <c r="A171">
        <v>6</v>
      </c>
      <c r="B171" s="273" t="s">
        <v>229</v>
      </c>
      <c r="O171" s="197">
        <f>O176-O159-O162-O165-O168</f>
        <v>337</v>
      </c>
      <c r="P171" s="197">
        <f>P176-P159-P162-P165-P168</f>
        <v>337</v>
      </c>
      <c r="Q171" s="197">
        <f>Q176-Q159-Q162-Q165-Q168</f>
        <v>363</v>
      </c>
      <c r="R171" s="197">
        <f>R176-R159-R162-R165-R168</f>
        <v>384</v>
      </c>
      <c r="S171" s="197">
        <f>O171+P171+Q171+R171</f>
        <v>1421</v>
      </c>
      <c r="T171" s="114"/>
      <c r="U171" s="197">
        <f>U176-U159-U162-U165-U168</f>
        <v>147</v>
      </c>
      <c r="V171" s="197">
        <f>V176-V159-V162-V165-V168</f>
        <v>152</v>
      </c>
      <c r="W171" s="197">
        <f>W176-W159-W162-W165-W168</f>
        <v>155</v>
      </c>
      <c r="X171" s="197">
        <f>X176-X159-X162-X165-X168</f>
        <v>234</v>
      </c>
      <c r="Y171" s="197">
        <f>U171+V171+W171+X171</f>
        <v>688</v>
      </c>
      <c r="Z171" s="259"/>
      <c r="AA171" s="197">
        <v>145</v>
      </c>
      <c r="AB171" s="197">
        <v>146</v>
      </c>
      <c r="AC171" s="197">
        <v>164</v>
      </c>
      <c r="AD171" s="197">
        <v>161</v>
      </c>
      <c r="AE171" s="197">
        <f>AA171+AB171+AC171+AD171</f>
        <v>616</v>
      </c>
      <c r="AF171" s="259"/>
      <c r="AG171" s="197">
        <v>148</v>
      </c>
      <c r="AH171" s="197">
        <v>121</v>
      </c>
      <c r="AI171" s="197">
        <v>148</v>
      </c>
      <c r="AJ171" s="197">
        <v>161</v>
      </c>
      <c r="AK171" s="197">
        <f>AG171+AH171+AI171+AJ171</f>
        <v>578</v>
      </c>
      <c r="AL171" s="259"/>
      <c r="AM171" s="197">
        <v>198</v>
      </c>
      <c r="AN171" s="197">
        <v>174</v>
      </c>
      <c r="AO171" s="197">
        <v>169</v>
      </c>
      <c r="AP171" s="197">
        <v>184</v>
      </c>
      <c r="AQ171" s="197">
        <f>AM171+AN171+AO171+AP171</f>
        <v>725</v>
      </c>
      <c r="AR171" s="259"/>
      <c r="AS171" s="197">
        <v>189</v>
      </c>
      <c r="AT171" s="197">
        <v>175</v>
      </c>
      <c r="AU171" s="197">
        <v>182</v>
      </c>
      <c r="AV171" s="197">
        <v>201</v>
      </c>
      <c r="AW171" s="197">
        <f>AS171+AT171+AU171+AV171</f>
        <v>747</v>
      </c>
      <c r="AX171" s="259"/>
      <c r="AY171" s="197">
        <v>192</v>
      </c>
      <c r="AZ171" s="197">
        <v>212</v>
      </c>
      <c r="BA171" s="197">
        <v>188</v>
      </c>
      <c r="BB171" s="197">
        <v>232</v>
      </c>
      <c r="BC171" s="197">
        <f>AY171+AZ171+BA171+BB171</f>
        <v>824</v>
      </c>
      <c r="BD171" s="259"/>
      <c r="BE171" s="197">
        <v>132.5</v>
      </c>
      <c r="BF171" s="197">
        <v>125.5</v>
      </c>
      <c r="BG171" s="197">
        <v>137.30000000000001</v>
      </c>
      <c r="BH171" s="197">
        <v>151</v>
      </c>
      <c r="BI171" s="197">
        <f>BE171+BF171+BG171+BH171</f>
        <v>546.29999999999995</v>
      </c>
      <c r="BJ171" s="259"/>
      <c r="BK171" s="197">
        <v>136</v>
      </c>
      <c r="BL171" s="197">
        <v>136</v>
      </c>
      <c r="BM171" s="197">
        <v>136</v>
      </c>
      <c r="BN171" s="197">
        <v>163</v>
      </c>
      <c r="BO171" s="197">
        <f>BK171+BL171+BM171+BN171</f>
        <v>571</v>
      </c>
      <c r="BP171" s="259"/>
      <c r="BQ171" s="197">
        <f>BK171*(1+BQ172)</f>
        <v>146.19999999999999</v>
      </c>
      <c r="BR171" s="197">
        <f>BL171*(1+BR172)</f>
        <v>138.72</v>
      </c>
      <c r="BS171" s="197">
        <f>BM171*(1+BS172)</f>
        <v>141.44</v>
      </c>
      <c r="BT171" s="197">
        <f>BN171*(1+BT172)</f>
        <v>158.92499999999998</v>
      </c>
      <c r="BU171" s="197">
        <f>BQ171+BR171+BS171+BT171</f>
        <v>585.28499999999997</v>
      </c>
      <c r="BV171" s="259"/>
      <c r="BW171" s="197">
        <f>BQ171*(1+BW172)</f>
        <v>144.738</v>
      </c>
      <c r="BX171" s="197">
        <f>BR171*(1+BX172)</f>
        <v>137.33279999999999</v>
      </c>
      <c r="BY171" s="197">
        <f>BS171*(1+BY172)</f>
        <v>140.0256</v>
      </c>
      <c r="BZ171" s="197">
        <f>BT171*(1+BZ172)</f>
        <v>157.33574999999999</v>
      </c>
      <c r="CA171" s="197">
        <f>BW171+BX171+BY171+BZ171</f>
        <v>579.43214999999998</v>
      </c>
      <c r="CB171" s="259"/>
      <c r="CC171" s="197">
        <f>BW171*(1+CC172)</f>
        <v>143.29061999999999</v>
      </c>
      <c r="CD171" s="197">
        <f>BX171*(1+CD172)</f>
        <v>135.95947199999998</v>
      </c>
      <c r="CE171" s="197">
        <f>BY171*(1+CE172)</f>
        <v>138.62534399999998</v>
      </c>
      <c r="CF171" s="197">
        <f>BZ171*(1+CF172)</f>
        <v>155.76239249999998</v>
      </c>
      <c r="CG171" s="197">
        <f>CC171+CD171+CE171+CF171</f>
        <v>573.63782849999996</v>
      </c>
      <c r="CH171" s="259"/>
      <c r="CI171" s="197">
        <f>CC171*(1+CI172)</f>
        <v>141.8577138</v>
      </c>
      <c r="CJ171" s="197">
        <f>CD171*(1+CJ172)</f>
        <v>134.59987727999999</v>
      </c>
      <c r="CK171" s="197">
        <f>CE171*(1+CK172)</f>
        <v>137.23909055999999</v>
      </c>
      <c r="CL171" s="197">
        <f>CF171*(1+CL172)</f>
        <v>154.20476857499997</v>
      </c>
      <c r="CM171" s="197">
        <f>CI171+CJ171+CK171+CL171</f>
        <v>567.90145021499995</v>
      </c>
      <c r="CN171" s="259"/>
      <c r="CO171" s="197">
        <f>CI171*(1+CO172)</f>
        <v>140.43913666200001</v>
      </c>
      <c r="CP171" s="197">
        <f>CJ171*(1+CP172)</f>
        <v>133.2538785072</v>
      </c>
      <c r="CQ171" s="197">
        <f>CK171*(1+CQ172)</f>
        <v>135.86669965439998</v>
      </c>
      <c r="CR171" s="197">
        <f>CL171*(1+CR172)</f>
        <v>152.66272088924998</v>
      </c>
      <c r="CS171" s="197">
        <f>CO171+CP171+CQ171+CR171</f>
        <v>562.22243571284992</v>
      </c>
      <c r="CT171" s="259"/>
      <c r="CU171" s="197">
        <f>CO171*(1+CU172)</f>
        <v>139.03474529538002</v>
      </c>
      <c r="CV171" s="197">
        <f>CP171*(1+CV172)</f>
        <v>131.92133972212801</v>
      </c>
      <c r="CW171" s="197">
        <f>CQ171*(1+CW172)</f>
        <v>134.50803265785598</v>
      </c>
      <c r="CX171" s="197">
        <f>CR171*(1+CX172)</f>
        <v>151.13609368035748</v>
      </c>
      <c r="CY171" s="197">
        <f>CU171+CV171+CW171+CX171</f>
        <v>556.60021135572151</v>
      </c>
      <c r="CZ171" s="259"/>
      <c r="DA171" s="197">
        <f>CU171*(1+DA172)</f>
        <v>137.64439784242623</v>
      </c>
      <c r="DB171" s="197">
        <f>CV171*(1+DB172)</f>
        <v>130.60212632490672</v>
      </c>
      <c r="DC171" s="197">
        <f>CW171*(1+DC172)</f>
        <v>133.16295233127741</v>
      </c>
      <c r="DD171" s="197">
        <f>CX171*(1+DD172)</f>
        <v>149.62473274355389</v>
      </c>
      <c r="DE171" s="197">
        <f>DA171+DB171+DC171+DD171</f>
        <v>551.03420924216425</v>
      </c>
      <c r="DF171" s="259"/>
      <c r="DG171" s="197">
        <f>DA171*(1+DG172)</f>
        <v>136.26795386400195</v>
      </c>
      <c r="DH171" s="197">
        <f>DB171*(1+DH172)</f>
        <v>129.29610506165764</v>
      </c>
      <c r="DI171" s="197">
        <f>DC171*(1+DI172)</f>
        <v>131.83132280796463</v>
      </c>
      <c r="DJ171" s="197">
        <f>DD171*(1+DJ172)</f>
        <v>148.12848541611837</v>
      </c>
      <c r="DK171" s="197">
        <f>DG171+DH171+DI171+DJ171</f>
        <v>545.52386714974261</v>
      </c>
    </row>
    <row r="172" spans="1:115" x14ac:dyDescent="0.2">
      <c r="B172" s="241" t="s">
        <v>74</v>
      </c>
      <c r="O172" s="103" t="s">
        <v>35</v>
      </c>
      <c r="P172" s="103" t="s">
        <v>35</v>
      </c>
      <c r="Q172" s="103" t="s">
        <v>35</v>
      </c>
      <c r="R172" s="103" t="s">
        <v>35</v>
      </c>
      <c r="S172" s="103" t="s">
        <v>35</v>
      </c>
      <c r="U172" s="227">
        <f>U171/O171-1</f>
        <v>-0.56379821958456966</v>
      </c>
      <c r="V172" s="227">
        <f>V171/P171-1</f>
        <v>-0.54896142433234418</v>
      </c>
      <c r="W172" s="227">
        <f>W171/Q171-1</f>
        <v>-0.57300275482093666</v>
      </c>
      <c r="X172" s="227">
        <v>7.8E-2</v>
      </c>
      <c r="Y172" s="227">
        <f>Y171/S171-1</f>
        <v>-0.51583391977480653</v>
      </c>
      <c r="AA172" s="227">
        <f>AA171/U171-1</f>
        <v>-1.3605442176870763E-2</v>
      </c>
      <c r="AB172" s="227">
        <f>AB171/V171-1</f>
        <v>-3.9473684210526327E-2</v>
      </c>
      <c r="AC172" s="227">
        <f>AC171/W171-1</f>
        <v>5.8064516129032295E-2</v>
      </c>
      <c r="AD172" s="227">
        <f>AD171/X171-1</f>
        <v>-0.31196581196581197</v>
      </c>
      <c r="AE172" s="227">
        <f>AE171/Y171-1</f>
        <v>-0.10465116279069764</v>
      </c>
      <c r="AG172" s="227">
        <f>AG171/AA171-1</f>
        <v>2.0689655172413834E-2</v>
      </c>
      <c r="AH172" s="227">
        <f>AH171/AB171-1</f>
        <v>-0.17123287671232879</v>
      </c>
      <c r="AI172" s="227">
        <f>AI171/AC171-1</f>
        <v>-9.7560975609756073E-2</v>
      </c>
      <c r="AJ172" s="227">
        <f>AJ171/AD171-1</f>
        <v>0</v>
      </c>
      <c r="AK172" s="227">
        <f>AK171/AE171-1</f>
        <v>-6.1688311688311681E-2</v>
      </c>
      <c r="AM172" s="227">
        <f>AM171/AG171-1</f>
        <v>0.33783783783783794</v>
      </c>
      <c r="AN172" s="227">
        <f>AN171/AH171-1</f>
        <v>0.43801652892561993</v>
      </c>
      <c r="AO172" s="227">
        <f>AO171/AI171-1</f>
        <v>0.14189189189189189</v>
      </c>
      <c r="AP172" s="227">
        <f>AP171/AJ171-1</f>
        <v>0.14285714285714279</v>
      </c>
      <c r="AQ172" s="227">
        <f>AQ171/AK171-1</f>
        <v>0.25432525951557095</v>
      </c>
      <c r="AS172" s="227">
        <f>AS171/AM171-1</f>
        <v>-4.5454545454545414E-2</v>
      </c>
      <c r="AT172" s="227">
        <f>AT171/AN171-1</f>
        <v>5.7471264367816577E-3</v>
      </c>
      <c r="AU172" s="227">
        <f>AU171/AO171-1</f>
        <v>7.6923076923076872E-2</v>
      </c>
      <c r="AV172" s="227">
        <f>AV171/AP171-1</f>
        <v>9.2391304347826164E-2</v>
      </c>
      <c r="AW172" s="227">
        <f>AW171/AQ171-1</f>
        <v>3.0344827586206824E-2</v>
      </c>
      <c r="AY172" s="227">
        <f>AY171/AS171-1</f>
        <v>1.5873015873015817E-2</v>
      </c>
      <c r="AZ172" s="227">
        <f>AZ171/AT171-1</f>
        <v>0.21142857142857152</v>
      </c>
      <c r="BA172" s="227">
        <f>BA171/AU171-1</f>
        <v>3.2967032967033072E-2</v>
      </c>
      <c r="BB172" s="227">
        <f>BB171/AV171-1</f>
        <v>0.15422885572139311</v>
      </c>
      <c r="BC172" s="227">
        <f>BC171/AW171-1</f>
        <v>0.10307898259705484</v>
      </c>
      <c r="BE172" s="227">
        <v>0.04</v>
      </c>
      <c r="BF172" s="227">
        <v>-0.09</v>
      </c>
      <c r="BG172" s="227">
        <v>0.09</v>
      </c>
      <c r="BH172" s="227">
        <v>-0.06</v>
      </c>
      <c r="BI172" s="227">
        <f>BI171/BC171-1</f>
        <v>-0.33701456310679612</v>
      </c>
      <c r="BK172" s="227">
        <f>BK171/BE171-1</f>
        <v>2.6415094339622636E-2</v>
      </c>
      <c r="BL172" s="227">
        <f>BL171/BF171-1</f>
        <v>8.3665338645418252E-2</v>
      </c>
      <c r="BM172" s="227">
        <f>BM171/BG171-1</f>
        <v>-9.4683175528041952E-3</v>
      </c>
      <c r="BN172" s="227">
        <f>BN171/BH171-1</f>
        <v>7.9470198675496651E-2</v>
      </c>
      <c r="BO172" s="227">
        <f>BO171/BI171-1</f>
        <v>4.5213252791506564E-2</v>
      </c>
      <c r="BQ172" s="227">
        <v>7.4999999999999997E-2</v>
      </c>
      <c r="BR172" s="227">
        <v>0.02</v>
      </c>
      <c r="BS172" s="227">
        <v>0.04</v>
      </c>
      <c r="BT172" s="227">
        <v>-2.5000000000000001E-2</v>
      </c>
      <c r="BU172" s="227">
        <f>BU171/BO171-1</f>
        <v>2.5017513134851121E-2</v>
      </c>
      <c r="BW172" s="227">
        <v>-0.01</v>
      </c>
      <c r="BX172" s="227">
        <v>-0.01</v>
      </c>
      <c r="BY172" s="227">
        <v>-0.01</v>
      </c>
      <c r="BZ172" s="227">
        <v>-0.01</v>
      </c>
      <c r="CA172" s="227">
        <f>CA171/BU171-1</f>
        <v>-1.0000000000000009E-2</v>
      </c>
      <c r="CC172" s="227">
        <v>-0.01</v>
      </c>
      <c r="CD172" s="227">
        <v>-0.01</v>
      </c>
      <c r="CE172" s="227">
        <v>-0.01</v>
      </c>
      <c r="CF172" s="227">
        <v>-0.01</v>
      </c>
      <c r="CG172" s="227">
        <f>CG171/CA171-1</f>
        <v>-1.0000000000000009E-2</v>
      </c>
      <c r="CI172" s="227">
        <v>-0.01</v>
      </c>
      <c r="CJ172" s="227">
        <v>-0.01</v>
      </c>
      <c r="CK172" s="227">
        <v>-0.01</v>
      </c>
      <c r="CL172" s="227">
        <v>-0.01</v>
      </c>
      <c r="CM172" s="227">
        <f>CM171/CG171-1</f>
        <v>-1.0000000000000009E-2</v>
      </c>
      <c r="CO172" s="227">
        <v>-0.01</v>
      </c>
      <c r="CP172" s="227">
        <v>-0.01</v>
      </c>
      <c r="CQ172" s="227">
        <v>-0.01</v>
      </c>
      <c r="CR172" s="227">
        <v>-0.01</v>
      </c>
      <c r="CS172" s="227">
        <f>CS171/CM171-1</f>
        <v>-1.000000000000012E-2</v>
      </c>
      <c r="CU172" s="227">
        <v>-0.01</v>
      </c>
      <c r="CV172" s="227">
        <v>-0.01</v>
      </c>
      <c r="CW172" s="227">
        <v>-0.01</v>
      </c>
      <c r="CX172" s="227">
        <v>-0.01</v>
      </c>
      <c r="CY172" s="227">
        <f>CY171/CS171-1</f>
        <v>-9.9999999999997868E-3</v>
      </c>
      <c r="DA172" s="227">
        <v>-0.01</v>
      </c>
      <c r="DB172" s="227">
        <v>-0.01</v>
      </c>
      <c r="DC172" s="227">
        <v>-0.01</v>
      </c>
      <c r="DD172" s="227">
        <v>-0.01</v>
      </c>
      <c r="DE172" s="227">
        <f>DE171/CY171-1</f>
        <v>-1.000000000000012E-2</v>
      </c>
      <c r="DG172" s="227">
        <v>-0.01</v>
      </c>
      <c r="DH172" s="227">
        <v>-0.01</v>
      </c>
      <c r="DI172" s="227">
        <v>-0.01</v>
      </c>
      <c r="DJ172" s="227">
        <v>-0.01</v>
      </c>
      <c r="DK172" s="227">
        <f>DK171/DE171-1</f>
        <v>-1.0000000000000009E-2</v>
      </c>
    </row>
    <row r="173" spans="1:115" x14ac:dyDescent="0.2">
      <c r="B173" s="241"/>
    </row>
    <row r="174" spans="1:115" x14ac:dyDescent="0.2">
      <c r="A174" s="278"/>
      <c r="B174" s="276"/>
      <c r="C174" s="279"/>
      <c r="D174" s="279"/>
      <c r="E174" s="279"/>
      <c r="F174" s="279"/>
      <c r="G174" s="279"/>
      <c r="H174" s="279"/>
      <c r="I174" s="279"/>
      <c r="J174" s="279"/>
      <c r="K174" s="279"/>
      <c r="L174" s="279"/>
      <c r="M174" s="279"/>
      <c r="N174" s="279"/>
      <c r="O174" s="279"/>
      <c r="P174" s="279"/>
      <c r="Q174" s="279"/>
      <c r="R174" s="279"/>
      <c r="S174" s="279"/>
      <c r="T174" s="279"/>
      <c r="U174" s="279"/>
      <c r="V174" s="279"/>
      <c r="W174" s="279"/>
      <c r="X174" s="279"/>
      <c r="Y174" s="279"/>
      <c r="Z174" s="278"/>
      <c r="AA174" s="278"/>
      <c r="AB174" s="278"/>
      <c r="AC174" s="278"/>
      <c r="AD174" s="278"/>
      <c r="AE174" s="278"/>
      <c r="AF174" s="278"/>
      <c r="AG174" s="278"/>
      <c r="AH174" s="278"/>
      <c r="AI174" s="278"/>
      <c r="AJ174" s="278"/>
      <c r="AK174" s="278"/>
      <c r="AL174" s="278"/>
      <c r="AM174" s="278"/>
      <c r="AN174" s="278"/>
      <c r="AO174" s="278"/>
      <c r="AP174" s="278"/>
      <c r="AQ174" s="278"/>
      <c r="AR174" s="278"/>
      <c r="AS174" s="278"/>
      <c r="AT174" s="278"/>
      <c r="AU174" s="278"/>
      <c r="AV174" s="278"/>
      <c r="AW174" s="278"/>
      <c r="AX174" s="278"/>
      <c r="AY174" s="278"/>
      <c r="AZ174" s="278"/>
      <c r="BA174" s="278"/>
      <c r="BB174" s="278"/>
      <c r="BC174" s="278"/>
      <c r="BD174" s="278"/>
      <c r="BE174" s="278"/>
      <c r="BF174" s="278"/>
      <c r="BG174" s="278"/>
      <c r="BH174" s="278"/>
      <c r="BI174" s="278"/>
      <c r="BJ174" s="278"/>
      <c r="BK174" s="278"/>
      <c r="BL174" s="278"/>
      <c r="BM174" s="278"/>
      <c r="BN174" s="278"/>
      <c r="BO174" s="278"/>
      <c r="BP174" s="278"/>
      <c r="BQ174" s="278"/>
      <c r="BR174" s="278"/>
      <c r="BS174" s="278"/>
      <c r="BT174" s="278"/>
      <c r="BU174" s="278"/>
      <c r="BV174" s="278"/>
      <c r="BW174" s="278"/>
      <c r="BX174" s="278"/>
      <c r="BY174" s="278"/>
      <c r="BZ174" s="278"/>
      <c r="CA174" s="278"/>
      <c r="CB174" s="278"/>
      <c r="CC174" s="278"/>
      <c r="CD174" s="278"/>
      <c r="CE174" s="278"/>
      <c r="CF174" s="278"/>
      <c r="CG174" s="278"/>
      <c r="CH174" s="278"/>
      <c r="CI174" s="278"/>
      <c r="CJ174" s="278"/>
      <c r="CK174" s="278"/>
      <c r="CL174" s="278"/>
      <c r="CM174" s="278"/>
      <c r="CN174" s="278"/>
      <c r="CO174" s="278"/>
      <c r="CP174" s="278"/>
      <c r="CQ174" s="278"/>
      <c r="CR174" s="278"/>
      <c r="CS174" s="278"/>
      <c r="CT174" s="278"/>
      <c r="CU174" s="278"/>
      <c r="CV174" s="278"/>
      <c r="CW174" s="278"/>
      <c r="CX174" s="278"/>
      <c r="CY174" s="278"/>
      <c r="CZ174" s="278"/>
      <c r="DA174" s="278"/>
      <c r="DB174" s="278"/>
      <c r="DC174" s="278"/>
      <c r="DD174" s="278"/>
      <c r="DE174" s="278"/>
      <c r="DF174" s="278"/>
      <c r="DG174" s="278"/>
      <c r="DH174" s="278"/>
      <c r="DI174" s="278"/>
      <c r="DJ174" s="278"/>
      <c r="DK174" s="278"/>
    </row>
    <row r="175" spans="1:115" ht="13.5" thickBot="1" x14ac:dyDescent="0.25">
      <c r="B175" s="241"/>
      <c r="O175" s="136">
        <f>O177</f>
        <v>-0.06</v>
      </c>
      <c r="P175" s="136">
        <f>P177</f>
        <v>-5.2999999999999999E-2</v>
      </c>
      <c r="Q175" s="136">
        <f>Q177</f>
        <v>-3.5000000000000003E-2</v>
      </c>
      <c r="R175" s="136">
        <f>R177</f>
        <v>-6.3E-2</v>
      </c>
      <c r="U175" s="136">
        <v>-4.1000000000000002E-2</v>
      </c>
      <c r="V175" s="136">
        <v>-2.9000000000000001E-2</v>
      </c>
      <c r="W175" s="136">
        <v>-4.2999999999999997E-2</v>
      </c>
      <c r="X175" s="136">
        <v>-7.0000000000000001E-3</v>
      </c>
      <c r="Y175" s="136"/>
      <c r="Z175" s="345"/>
      <c r="AA175" s="136">
        <v>-4.2999999999999997E-2</v>
      </c>
      <c r="AB175" s="136">
        <v>-3.7999999999999999E-2</v>
      </c>
      <c r="AC175" s="136">
        <v>-3.4000000000000002E-2</v>
      </c>
      <c r="AD175" s="136">
        <v>-4.3999999999999997E-2</v>
      </c>
      <c r="AE175" s="345"/>
      <c r="AF175" s="345"/>
      <c r="AG175" s="136">
        <v>-2.5999999999999999E-2</v>
      </c>
      <c r="AH175" s="345">
        <v>-3.2000000000000001E-2</v>
      </c>
      <c r="AI175" s="345">
        <v>-2.7E-2</v>
      </c>
      <c r="AJ175" s="345">
        <v>-2.9000000000000001E-2</v>
      </c>
      <c r="AM175" s="345">
        <v>-2.9000000000000001E-2</v>
      </c>
      <c r="AN175" s="345">
        <v>-0.03</v>
      </c>
      <c r="AO175" s="345">
        <v>-2.7E-2</v>
      </c>
      <c r="AP175" s="345">
        <v>-1.7999999999999999E-2</v>
      </c>
      <c r="AS175" s="345">
        <f>AS177</f>
        <v>-3.007518796992481E-2</v>
      </c>
      <c r="AT175" s="345">
        <f>AT177</f>
        <v>-1.5659340659340715E-2</v>
      </c>
      <c r="AU175" s="345">
        <f>AU177</f>
        <v>-2.265283842794763E-2</v>
      </c>
      <c r="AV175" s="345">
        <f>AV177</f>
        <v>-1.4141963557247728E-2</v>
      </c>
      <c r="AW175" s="345">
        <f>AW177</f>
        <v>-2.0673240394423642E-2</v>
      </c>
      <c r="AX175" s="345"/>
      <c r="AY175" s="345">
        <f>AY177</f>
        <v>-2.3255813953488413E-2</v>
      </c>
      <c r="AZ175" s="345">
        <f>AZ177</f>
        <v>-1.3954786491766624E-2</v>
      </c>
      <c r="BA175" s="345">
        <f>BA177</f>
        <v>-1.926836079307459E-2</v>
      </c>
      <c r="BB175" s="345">
        <f>BB177</f>
        <v>-1.0482758620689703E-2</v>
      </c>
      <c r="BC175" s="345">
        <f>BC177</f>
        <v>-1.673494896187766E-2</v>
      </c>
      <c r="BE175" s="504">
        <f>BE177</f>
        <v>-5.0000000000000001E-3</v>
      </c>
      <c r="BF175" s="504">
        <f>BF177</f>
        <v>-5.0000000000000001E-3</v>
      </c>
      <c r="BG175" s="504">
        <f>BG177</f>
        <v>-4.0000000000000001E-3</v>
      </c>
      <c r="BH175" s="504">
        <f>BH177</f>
        <v>-8.0000000000000002E-3</v>
      </c>
      <c r="BK175" s="504">
        <f>BK177</f>
        <v>-5.5168408826945514E-3</v>
      </c>
      <c r="BL175" s="504">
        <f>BL177</f>
        <v>-8.6931324253839426E-3</v>
      </c>
      <c r="BM175" s="504">
        <f>BM177</f>
        <v>1.1658408627222006E-3</v>
      </c>
      <c r="BN175" s="504">
        <f>BN177</f>
        <v>4.294302891497237E-3</v>
      </c>
      <c r="BU175" s="429">
        <f ca="1">BU176/AW176-1</f>
        <v>-3.533888678915964E-2</v>
      </c>
    </row>
    <row r="176" spans="1:115" x14ac:dyDescent="0.2">
      <c r="A176" s="226"/>
      <c r="B176" s="244" t="s">
        <v>224</v>
      </c>
      <c r="C176" s="198">
        <v>5146</v>
      </c>
      <c r="D176" s="199">
        <v>4948</v>
      </c>
      <c r="E176" s="199">
        <v>5002</v>
      </c>
      <c r="F176" s="199">
        <v>4982</v>
      </c>
      <c r="G176" s="201">
        <f>C176+D176+E176+F176</f>
        <v>20078</v>
      </c>
      <c r="H176" s="197"/>
      <c r="I176" s="198">
        <f>O176/(1+O177)</f>
        <v>5025.5319148936169</v>
      </c>
      <c r="J176" s="199">
        <f>P176/(1+P177)</f>
        <v>4887.0116156283002</v>
      </c>
      <c r="K176" s="199">
        <f>Q176/(1+Q177)</f>
        <v>4881.8652849740938</v>
      </c>
      <c r="L176" s="199">
        <f>R176/(1+R177)</f>
        <v>4987.1931696905012</v>
      </c>
      <c r="M176" s="201">
        <f>I176+J176+K176+L176</f>
        <v>19781.601985186513</v>
      </c>
      <c r="N176" s="197"/>
      <c r="O176" s="198">
        <v>4724</v>
      </c>
      <c r="P176" s="199">
        <v>4628</v>
      </c>
      <c r="Q176" s="199">
        <v>4711</v>
      </c>
      <c r="R176" s="199">
        <v>4673</v>
      </c>
      <c r="S176" s="201">
        <f>O176+P176+Q176+R176</f>
        <v>18736</v>
      </c>
      <c r="T176" s="197"/>
      <c r="U176" s="198">
        <f>6189-'TMO Germany'!U32</f>
        <v>4359</v>
      </c>
      <c r="V176" s="199">
        <f>6197-'TMO Germany'!V32</f>
        <v>4304</v>
      </c>
      <c r="W176" s="199">
        <f>6317-'TMO Germany'!W32</f>
        <v>4315</v>
      </c>
      <c r="X176" s="200">
        <f>6442-'TMO Germany'!X32</f>
        <v>4462</v>
      </c>
      <c r="Y176" s="201">
        <f>U176+V176+W176+X176</f>
        <v>17440</v>
      </c>
      <c r="Z176" s="259"/>
      <c r="AA176" s="198">
        <f>AA159+AA162+AA165+AA168+AA171</f>
        <v>3937</v>
      </c>
      <c r="AB176" s="199">
        <f>AB159+AB162+AB165+AB168+AB171</f>
        <v>3918</v>
      </c>
      <c r="AC176" s="199">
        <f>AC159+AC162+AC165+AC168+AC171</f>
        <v>3912</v>
      </c>
      <c r="AD176" s="199">
        <f>AD159+AD162+AD165+AD168+AD171</f>
        <v>3882</v>
      </c>
      <c r="AE176" s="201">
        <f>AA176+AB176+AC176+AD176</f>
        <v>15649</v>
      </c>
      <c r="AF176" s="259"/>
      <c r="AG176" s="198">
        <f>AG159+AG162+AG165+AG168+AG171</f>
        <v>3823</v>
      </c>
      <c r="AH176" s="199">
        <f>AH159+AH162+AH165+AH168+AH171</f>
        <v>3758</v>
      </c>
      <c r="AI176" s="199">
        <f>AI159+AI162+AI165+AI168+AI171</f>
        <v>3778</v>
      </c>
      <c r="AJ176" s="199">
        <f>AJ159+AJ162+AJ165+AJ168+AJ171</f>
        <v>3744</v>
      </c>
      <c r="AK176" s="201">
        <f>AG176+AH176+AI176+AJ176</f>
        <v>15103</v>
      </c>
      <c r="AL176" s="259"/>
      <c r="AM176" s="198">
        <f>AM159+AM162+AM165+AM168+AM171</f>
        <v>3724</v>
      </c>
      <c r="AN176" s="199">
        <f>AN159+AN162+AN165+AN168+AN171</f>
        <v>3640</v>
      </c>
      <c r="AO176" s="199">
        <f>AO159+AO162+AO165+AO168+AO171</f>
        <v>3664</v>
      </c>
      <c r="AP176" s="199">
        <f>AP159+AP162+AP165+AP168+AP171</f>
        <v>3677</v>
      </c>
      <c r="AQ176" s="201">
        <f>AM176+AN176+AO176+AP176</f>
        <v>14705</v>
      </c>
      <c r="AR176" s="259"/>
      <c r="AS176" s="198">
        <f>AS159+AS162+AS165+AS168+AS171</f>
        <v>3612</v>
      </c>
      <c r="AT176" s="199">
        <f>AT159+AT162+AT165+AT168+AT171</f>
        <v>3583</v>
      </c>
      <c r="AU176" s="199">
        <f>AU159+AU162+AU165+AU168+AU171</f>
        <v>3581</v>
      </c>
      <c r="AV176" s="199">
        <f>AV159+AV162+AV165+AV168+AV171</f>
        <v>3625</v>
      </c>
      <c r="AW176" s="201">
        <f>AS176+AT176+AU176+AV176</f>
        <v>14401</v>
      </c>
      <c r="AX176" s="259"/>
      <c r="AY176" s="198">
        <f>AY159+AY162+AY165+AY168+AY171</f>
        <v>3528</v>
      </c>
      <c r="AZ176" s="199">
        <f>AZ159+AZ162+AZ165+AZ168+AZ171</f>
        <v>3533</v>
      </c>
      <c r="BA176" s="199">
        <f>BA159+BA162+BA165+BA168+BA171</f>
        <v>3512</v>
      </c>
      <c r="BB176" s="199">
        <f>BB159+BB162+BB165+BB168+BB171</f>
        <v>3587</v>
      </c>
      <c r="BC176" s="201">
        <f>AY176+AZ176+BA176+BB176</f>
        <v>14160</v>
      </c>
      <c r="BD176" s="259"/>
      <c r="BE176" s="198">
        <f>BE159+BE162+BE165+BE168+BE171</f>
        <v>3444</v>
      </c>
      <c r="BF176" s="199">
        <f>BF159+BF162+BF165+BF168+BF171</f>
        <v>3451</v>
      </c>
      <c r="BG176" s="199">
        <f>BG159+BG162+BG165+BG168+BG171</f>
        <v>3431</v>
      </c>
      <c r="BH176" s="199">
        <f>BH159+BH162+BH165+BH168+BH171</f>
        <v>3493</v>
      </c>
      <c r="BI176" s="201">
        <f>BE176+BF176+BG176+BH176</f>
        <v>13819</v>
      </c>
      <c r="BJ176" s="259"/>
      <c r="BK176" s="198">
        <f>BK159+BK162+BK165+BK168+BK171</f>
        <v>3425</v>
      </c>
      <c r="BL176" s="199">
        <f>BL159+BL162+BL165+BL168+BL171</f>
        <v>3421</v>
      </c>
      <c r="BM176" s="199">
        <f>BM159+BM162+BM165+BM168+BM171</f>
        <v>3435</v>
      </c>
      <c r="BN176" s="199">
        <f>BN159+BN162+BN165+BN168+BN171</f>
        <v>3508</v>
      </c>
      <c r="BO176" s="201">
        <f>BK176+BL176+BM176+BN176</f>
        <v>13789</v>
      </c>
      <c r="BP176" s="259"/>
      <c r="BQ176" s="198">
        <f>BQ159+BQ162+BQ165+BQ168+BQ171</f>
        <v>3445.14829452807</v>
      </c>
      <c r="BR176" s="199">
        <f>BR159+BR162+BR165+BR168+BR171</f>
        <v>3448.6717395397509</v>
      </c>
      <c r="BS176" s="199">
        <f>BS159+BS162+BS165+BS168+BS171</f>
        <v>3463.1858434545807</v>
      </c>
      <c r="BT176" s="199">
        <f ca="1">BT159+BT162+BT165+BT168+BT171</f>
        <v>3535.078813826909</v>
      </c>
      <c r="BU176" s="201">
        <f ca="1">BQ176+BR176+BS176+BT176</f>
        <v>13892.084691349311</v>
      </c>
      <c r="BV176" s="259"/>
      <c r="BW176" s="198">
        <f>BW159+BW162+BW165+BW168+BW171</f>
        <v>3496.7753763785031</v>
      </c>
      <c r="BX176" s="199">
        <f>BX159+BX162+BX165+BX168+BX171</f>
        <v>3503.1014610665202</v>
      </c>
      <c r="BY176" s="199">
        <f>BY159+BY162+BY165+BY168+BY171</f>
        <v>3515.3941706552523</v>
      </c>
      <c r="BZ176" s="199">
        <f ca="1">BZ159+BZ162+BZ165+BZ168+BZ171</f>
        <v>3584.8755434343143</v>
      </c>
      <c r="CA176" s="201">
        <f ca="1">BW176+BX176+BY176+BZ176</f>
        <v>14100.14655153459</v>
      </c>
      <c r="CB176" s="259"/>
      <c r="CC176" s="198">
        <f>CC159+CC162+CC165+CC168+CC171</f>
        <v>3550.3019453432207</v>
      </c>
      <c r="CD176" s="199">
        <f>CD159+CD162+CD165+CD168+CD171</f>
        <v>3557.1934714400304</v>
      </c>
      <c r="CE176" s="199">
        <f>CE159+CE162+CE165+CE168+CE171</f>
        <v>3571.1005770171651</v>
      </c>
      <c r="CF176" s="199">
        <f ca="1">CF159+CF162+CF165+CF168+CF171</f>
        <v>3640.7279681275086</v>
      </c>
      <c r="CG176" s="201">
        <f ca="1">CC176+CD176+CE176+CF176</f>
        <v>14319.323961927925</v>
      </c>
      <c r="CH176" s="259"/>
      <c r="CI176" s="198">
        <f>CI159+CI162+CI165+CI168+CI171</f>
        <v>3613.8850765808238</v>
      </c>
      <c r="CJ176" s="199">
        <f>CJ159+CJ162+CJ165+CJ168+CJ171</f>
        <v>3621.4954722239327</v>
      </c>
      <c r="CK176" s="199">
        <f>CK159+CK162+CK165+CK168+CK171</f>
        <v>3636.2866034201957</v>
      </c>
      <c r="CL176" s="199">
        <f ca="1">CL159+CL162+CL165+CL168+CL171</f>
        <v>3705.5054440465847</v>
      </c>
      <c r="CM176" s="201">
        <f ca="1">CI176+CJ176+CK176+CL176</f>
        <v>14577.172596271537</v>
      </c>
      <c r="CN176" s="259"/>
      <c r="CO176" s="198">
        <f>CO159+CO162+CO165+CO168+CO171</f>
        <v>3685.5522565676729</v>
      </c>
      <c r="CP176" s="199">
        <f>CP159+CP162+CP165+CP168+CP171</f>
        <v>3693.7024252946726</v>
      </c>
      <c r="CQ176" s="199">
        <f>CQ159+CQ162+CQ165+CQ168+CQ171</f>
        <v>3709.1800320711127</v>
      </c>
      <c r="CR176" s="199">
        <f ca="1">CR159+CR162+CR165+CR168+CR171</f>
        <v>3777.7854316378516</v>
      </c>
      <c r="CS176" s="201">
        <f ca="1">CO176+CP176+CQ176+CR176</f>
        <v>14866.220145571308</v>
      </c>
      <c r="CT176" s="259"/>
      <c r="CU176" s="198">
        <f>CU159+CU162+CU165+CU168+CU171</f>
        <v>3763.4062149386173</v>
      </c>
      <c r="CV176" s="199">
        <f>CV159+CV162+CV165+CV168+CV171</f>
        <v>3771.0386322020372</v>
      </c>
      <c r="CW176" s="199">
        <f>CW159+CW162+CW165+CW168+CW171</f>
        <v>3786.3438460952475</v>
      </c>
      <c r="CX176" s="199">
        <f ca="1">CX159+CX162+CX165+CX168+CX171</f>
        <v>3853.3066390067934</v>
      </c>
      <c r="CY176" s="201">
        <f ca="1">CU176+CV176+CW176+CX176</f>
        <v>15174.095332242694</v>
      </c>
      <c r="CZ176" s="259"/>
      <c r="DA176" s="198">
        <f>DA159+DA162+DA165+DA168+DA171</f>
        <v>3842.6694566489232</v>
      </c>
      <c r="DB176" s="199">
        <f>DB159+DB162+DB165+DB168+DB171</f>
        <v>3850.0619834372051</v>
      </c>
      <c r="DC176" s="199">
        <f>DC159+DC162+DC165+DC168+DC171</f>
        <v>3865.2758706626346</v>
      </c>
      <c r="DD176" s="199">
        <f ca="1">DD159+DD162+DD165+DD168+DD171</f>
        <v>3930.903385774895</v>
      </c>
      <c r="DE176" s="201">
        <f ca="1">DA176+DB176+DC176+DD176</f>
        <v>15488.910696523657</v>
      </c>
      <c r="DF176" s="259"/>
      <c r="DG176" s="198">
        <f>DG159+DG162+DG165+DG168+DG171</f>
        <v>3924.4668967558869</v>
      </c>
      <c r="DH176" s="199">
        <f>DH159+DH162+DH165+DH168+DH171</f>
        <v>3932.4072146662161</v>
      </c>
      <c r="DI176" s="199">
        <f>DI159+DI162+DI165+DI168+DI171</f>
        <v>3948.3180639388243</v>
      </c>
      <c r="DJ176" s="199">
        <f ca="1">DJ159+DJ162+DJ165+DJ168+DJ171</f>
        <v>4013.6426135840111</v>
      </c>
      <c r="DK176" s="201">
        <f ca="1">DG176+DH176+DI176+DJ176</f>
        <v>15818.83478894494</v>
      </c>
    </row>
    <row r="177" spans="2:115" ht="13.5" thickBot="1" x14ac:dyDescent="0.25">
      <c r="B177" s="274" t="s">
        <v>74</v>
      </c>
      <c r="C177" s="155" t="s">
        <v>35</v>
      </c>
      <c r="D177" s="106" t="s">
        <v>35</v>
      </c>
      <c r="E177" s="106" t="s">
        <v>35</v>
      </c>
      <c r="F177" s="106" t="s">
        <v>35</v>
      </c>
      <c r="G177" s="108" t="s">
        <v>35</v>
      </c>
      <c r="I177" s="109">
        <f>(I176-C176)/C176</f>
        <v>-2.3410043743953189E-2</v>
      </c>
      <c r="J177" s="110">
        <f>(J176-D176)/D176</f>
        <v>-1.2325865879486619E-2</v>
      </c>
      <c r="K177" s="110">
        <f>(K176-E176)/E176</f>
        <v>-2.4017336070752935E-2</v>
      </c>
      <c r="L177" s="110">
        <v>-3.9E-2</v>
      </c>
      <c r="M177" s="122" t="s">
        <v>35</v>
      </c>
      <c r="O177" s="109">
        <v>-0.06</v>
      </c>
      <c r="P177" s="110">
        <v>-5.2999999999999999E-2</v>
      </c>
      <c r="Q177" s="110">
        <v>-3.5000000000000003E-2</v>
      </c>
      <c r="R177" s="110">
        <v>-6.3E-2</v>
      </c>
      <c r="S177" s="122">
        <f>S176/M176-1</f>
        <v>-5.2857295681589034E-2</v>
      </c>
      <c r="U177" s="109">
        <v>-4.1000000000000002E-2</v>
      </c>
      <c r="V177" s="110">
        <v>-2.9000000000000001E-2</v>
      </c>
      <c r="W177" s="110">
        <v>-4.2999999999999997E-2</v>
      </c>
      <c r="X177" s="120">
        <v>-7.0000000000000001E-3</v>
      </c>
      <c r="Y177" s="122">
        <f>Y176/S176-1</f>
        <v>-6.9171648163962374E-2</v>
      </c>
      <c r="AA177" s="109">
        <f>AA176/U176-1</f>
        <v>-9.6811195228263314E-2</v>
      </c>
      <c r="AB177" s="110">
        <f>AB176/V176-1</f>
        <v>-8.9684014869888529E-2</v>
      </c>
      <c r="AC177" s="110">
        <f>AC176/W176-1</f>
        <v>-9.3395133256083396E-2</v>
      </c>
      <c r="AD177" s="110">
        <f>AD176/X176-1</f>
        <v>-0.12998655311519502</v>
      </c>
      <c r="AE177" s="122">
        <f>AE176/Y176-1</f>
        <v>-0.10269495412844032</v>
      </c>
      <c r="AG177" s="109">
        <f>AG176/AA176-1</f>
        <v>-2.8956057912115862E-2</v>
      </c>
      <c r="AH177" s="110">
        <f>AH176/AB176-1</f>
        <v>-4.083716181725372E-2</v>
      </c>
      <c r="AI177" s="110">
        <f>AI176/AC176-1</f>
        <v>-3.4253578732106327E-2</v>
      </c>
      <c r="AJ177" s="110">
        <f>AJ176/AD176-1</f>
        <v>-3.5548686244204042E-2</v>
      </c>
      <c r="AK177" s="122">
        <f>AK176/AE176-1</f>
        <v>-3.4890408332800771E-2</v>
      </c>
      <c r="AM177" s="109">
        <f>AM176/AG176-1</f>
        <v>-2.5895893277530724E-2</v>
      </c>
      <c r="AN177" s="110">
        <f>AN176/AH176-1</f>
        <v>-3.139968068121346E-2</v>
      </c>
      <c r="AO177" s="110">
        <f>AO176/AI176-1</f>
        <v>-3.0174695606140833E-2</v>
      </c>
      <c r="AP177" s="110">
        <f>AP176/AJ176-1</f>
        <v>-1.7895299145299193E-2</v>
      </c>
      <c r="AQ177" s="122">
        <f>AQ176/AK176-1</f>
        <v>-2.6352380321790325E-2</v>
      </c>
      <c r="AS177" s="109">
        <f>AS176/AM176-1</f>
        <v>-3.007518796992481E-2</v>
      </c>
      <c r="AT177" s="110">
        <f>AT176/AN176-1</f>
        <v>-1.5659340659340715E-2</v>
      </c>
      <c r="AU177" s="110">
        <f>AU176/AO176-1</f>
        <v>-2.265283842794763E-2</v>
      </c>
      <c r="AV177" s="110">
        <f>AV176/AP176-1</f>
        <v>-1.4141963557247728E-2</v>
      </c>
      <c r="AW177" s="122">
        <f>AW176/AQ176-1</f>
        <v>-2.0673240394423642E-2</v>
      </c>
      <c r="AY177" s="109">
        <f>AY176/AS176-1</f>
        <v>-2.3255813953488413E-2</v>
      </c>
      <c r="AZ177" s="110">
        <f>AZ176/AT176-1</f>
        <v>-1.3954786491766624E-2</v>
      </c>
      <c r="BA177" s="110">
        <f>BA176/AU176-1</f>
        <v>-1.926836079307459E-2</v>
      </c>
      <c r="BB177" s="110">
        <f>BB176/AV176-1</f>
        <v>-1.0482758620689703E-2</v>
      </c>
      <c r="BC177" s="122">
        <f>BC176/AW176-1</f>
        <v>-1.673494896187766E-2</v>
      </c>
      <c r="BE177" s="109">
        <v>-5.0000000000000001E-3</v>
      </c>
      <c r="BF177" s="110">
        <v>-5.0000000000000001E-3</v>
      </c>
      <c r="BG177" s="110">
        <v>-4.0000000000000001E-3</v>
      </c>
      <c r="BH177" s="110">
        <v>-8.0000000000000002E-3</v>
      </c>
      <c r="BI177" s="122">
        <v>-5.0000000000000001E-3</v>
      </c>
      <c r="BK177" s="109">
        <f>BK176/BE176-1</f>
        <v>-5.5168408826945514E-3</v>
      </c>
      <c r="BL177" s="110">
        <f>BL176/BF176-1</f>
        <v>-8.6931324253839426E-3</v>
      </c>
      <c r="BM177" s="110">
        <f>BM176/BG176-1</f>
        <v>1.1658408627222006E-3</v>
      </c>
      <c r="BN177" s="110">
        <f>BN176/BH176-1</f>
        <v>4.294302891497237E-3</v>
      </c>
      <c r="BO177" s="122">
        <f>BO176/BI176-1</f>
        <v>-2.1709240900209537E-3</v>
      </c>
      <c r="BQ177" s="109">
        <f>BQ176/BK176-1</f>
        <v>5.8827137308232746E-3</v>
      </c>
      <c r="BR177" s="110">
        <f>BR176/BL176-1</f>
        <v>8.0887867698775651E-3</v>
      </c>
      <c r="BS177" s="110">
        <f>BS176/BM176-1</f>
        <v>8.2054857218576416E-3</v>
      </c>
      <c r="BT177" s="110">
        <f ca="1">BT176/BN176-1</f>
        <v>7.7191601559034595E-3</v>
      </c>
      <c r="BU177" s="122">
        <f ca="1">BU176/BO176-1</f>
        <v>7.4758641924224101E-3</v>
      </c>
      <c r="BW177" s="109">
        <f>BW176/BQ176-1</f>
        <v>1.4985445454534618E-2</v>
      </c>
      <c r="BX177" s="110">
        <f>BX176/BR176-1</f>
        <v>1.5782807305990021E-2</v>
      </c>
      <c r="BY177" s="110">
        <f>BY176/BS176-1</f>
        <v>1.5075231177485104E-2</v>
      </c>
      <c r="BZ177" s="110">
        <f ca="1">BZ176/BT176-1</f>
        <v>1.4086455275801324E-2</v>
      </c>
      <c r="CA177" s="122">
        <f ca="1">CA176/BU176-1</f>
        <v>1.4977007757146721E-2</v>
      </c>
      <c r="CC177" s="109">
        <f>CC176/BW176-1</f>
        <v>1.5307408455888183E-2</v>
      </c>
      <c r="CD177" s="110">
        <f>CD176/BX176-1</f>
        <v>1.5441177189610134E-2</v>
      </c>
      <c r="CE177" s="110">
        <f>CE176/BY176-1</f>
        <v>1.5846418255716976E-2</v>
      </c>
      <c r="CF177" s="110">
        <f ca="1">CF176/BZ176-1</f>
        <v>1.5580017776485322E-2</v>
      </c>
      <c r="CG177" s="122">
        <f ca="1">CG176/CA176-1</f>
        <v>1.5544335627453609E-2</v>
      </c>
      <c r="CI177" s="109">
        <f>CI176/CC176-1</f>
        <v>1.7909217924690246E-2</v>
      </c>
      <c r="CJ177" s="110">
        <f>CJ176/CD176-1</f>
        <v>1.8076610479629496E-2</v>
      </c>
      <c r="CK177" s="110">
        <f>CK176/CE176-1</f>
        <v>1.8253763789951361E-2</v>
      </c>
      <c r="CL177" s="110">
        <f ca="1">CL176/CF176-1</f>
        <v>1.7792451533365172E-2</v>
      </c>
      <c r="CM177" s="122">
        <f ca="1">CM176/CG176-1</f>
        <v>1.8007039649998724E-2</v>
      </c>
      <c r="CO177" s="109">
        <f>CO176/CI176-1</f>
        <v>1.983106226904563E-2</v>
      </c>
      <c r="CP177" s="110">
        <f>CP176/CJ176-1</f>
        <v>1.9938435274750699E-2</v>
      </c>
      <c r="CQ177" s="110">
        <f>CQ176/CK176-1</f>
        <v>2.0046117537147801E-2</v>
      </c>
      <c r="CR177" s="110">
        <f ca="1">CR176/CL176-1</f>
        <v>1.9506107515614435E-2</v>
      </c>
      <c r="CS177" s="122">
        <f ca="1">CS176/CM176-1</f>
        <v>1.9828780059426787E-2</v>
      </c>
      <c r="CU177" s="109">
        <f>CU176/CO176-1</f>
        <v>2.1124095644610152E-2</v>
      </c>
      <c r="CV177" s="110">
        <f>CV176/CP176-1</f>
        <v>2.0937313839296312E-2</v>
      </c>
      <c r="CW177" s="110">
        <f>CW176/CQ176-1</f>
        <v>2.0803469596230029E-2</v>
      </c>
      <c r="CX177" s="110">
        <f ca="1">CX176/CR176-1</f>
        <v>1.999086733102251E-2</v>
      </c>
      <c r="CY177" s="122">
        <f ca="1">CY176/CS176-1</f>
        <v>2.0709715291220343E-2</v>
      </c>
      <c r="DA177" s="109">
        <f>DA176/CU176-1</f>
        <v>2.1061569541888758E-2</v>
      </c>
      <c r="DB177" s="110">
        <f>DB176/CV176-1</f>
        <v>2.0955327946089897E-2</v>
      </c>
      <c r="DC177" s="110">
        <f>DC176/CW176-1</f>
        <v>2.0846502001868439E-2</v>
      </c>
      <c r="DD177" s="110">
        <f ca="1">DD176/CX176-1</f>
        <v>2.0137703545986874E-2</v>
      </c>
      <c r="DE177" s="122">
        <f ca="1">DE176/CY176-1</f>
        <v>2.0746895112226271E-2</v>
      </c>
      <c r="DG177" s="109">
        <f>DG176/DA176-1</f>
        <v>2.1286618854356787E-2</v>
      </c>
      <c r="DH177" s="110">
        <f>DH176/DB176-1</f>
        <v>2.1388027409235733E-2</v>
      </c>
      <c r="DI177" s="110">
        <f>DI176/DC176-1</f>
        <v>2.1484156902351614E-2</v>
      </c>
      <c r="DJ177" s="110">
        <f ca="1">DJ176/DD176-1</f>
        <v>2.1048400250317068E-2</v>
      </c>
      <c r="DK177" s="122">
        <f ca="1">DK176/DE176-1</f>
        <v>2.1300664642306399E-2</v>
      </c>
    </row>
    <row r="178" spans="2:115" x14ac:dyDescent="0.2">
      <c r="AA178">
        <f>5794-1857</f>
        <v>3937</v>
      </c>
      <c r="AB178">
        <f>5789-1871</f>
        <v>3918</v>
      </c>
      <c r="AC178">
        <f>5810-1898</f>
        <v>3912</v>
      </c>
      <c r="AD178">
        <f>5808-1926</f>
        <v>3882</v>
      </c>
      <c r="AG178">
        <f>5658-1835</f>
        <v>3823</v>
      </c>
      <c r="AH178">
        <f>5610-1852</f>
        <v>3758</v>
      </c>
      <c r="AI178">
        <f>5736-1958</f>
        <v>3778</v>
      </c>
      <c r="AJ178">
        <f>5731-1987</f>
        <v>3744</v>
      </c>
      <c r="AM178" s="476">
        <f>5566-1842</f>
        <v>3724</v>
      </c>
      <c r="AN178" s="476">
        <f>5565-1925</f>
        <v>3640</v>
      </c>
      <c r="AO178" s="476">
        <f>5670-2006</f>
        <v>3664</v>
      </c>
      <c r="AP178" s="476">
        <f>5634-1957</f>
        <v>3677</v>
      </c>
      <c r="AQ178" s="476"/>
      <c r="AR178" s="476"/>
      <c r="AS178" s="476">
        <f>5483-1871</f>
        <v>3612</v>
      </c>
      <c r="AT178" s="476">
        <f>5464-1881</f>
        <v>3583</v>
      </c>
      <c r="AU178" s="476">
        <f>5587-2006</f>
        <v>3581</v>
      </c>
      <c r="AV178" s="476">
        <f>5723-2098</f>
        <v>3625</v>
      </c>
      <c r="AW178" s="476"/>
      <c r="AX178" s="476"/>
      <c r="AY178" s="476">
        <f>5589-2061</f>
        <v>3528</v>
      </c>
      <c r="AZ178" s="476">
        <f>5580-2047</f>
        <v>3533</v>
      </c>
      <c r="BA178" s="476">
        <f>5568-2056</f>
        <v>3512</v>
      </c>
      <c r="BB178" s="476">
        <f>5659-2072</f>
        <v>3587</v>
      </c>
      <c r="BE178" s="476">
        <f>5385-1941</f>
        <v>3444</v>
      </c>
      <c r="BF178" s="476">
        <f>5338-1887</f>
        <v>3451</v>
      </c>
      <c r="BG178" s="476">
        <f>5485-2054</f>
        <v>3431</v>
      </c>
      <c r="BH178" s="667">
        <f>5565-2072</f>
        <v>3493</v>
      </c>
      <c r="BK178" s="667">
        <f>5397-1972</f>
        <v>3425</v>
      </c>
      <c r="BL178" s="667">
        <f>5371-1950</f>
        <v>3421</v>
      </c>
      <c r="BM178" s="667">
        <f>5488-2053</f>
        <v>3435</v>
      </c>
      <c r="BN178">
        <f>5676-2168</f>
        <v>3508</v>
      </c>
    </row>
    <row r="179" spans="2:115" ht="13.5" thickBot="1" x14ac:dyDescent="0.25">
      <c r="BF179" s="504">
        <f>BA177+BB177+BE177+BF177</f>
        <v>-3.9751119413764288E-2</v>
      </c>
    </row>
    <row r="180" spans="2:115" ht="15" x14ac:dyDescent="0.3">
      <c r="B180" s="42" t="s">
        <v>92</v>
      </c>
      <c r="C180" s="198">
        <f>C176-C187</f>
        <v>3488</v>
      </c>
      <c r="D180" s="199">
        <f>D176-D187</f>
        <v>3292</v>
      </c>
      <c r="E180" s="199">
        <f>E176-E187</f>
        <v>3320</v>
      </c>
      <c r="F180" s="199">
        <f>F176-F187</f>
        <v>3186</v>
      </c>
      <c r="G180" s="201">
        <f>C180+D180+E180+F180</f>
        <v>13286</v>
      </c>
      <c r="I180" s="198">
        <f>I176-I187</f>
        <v>3459.5319148936169</v>
      </c>
      <c r="J180" s="199">
        <f>J176-J187</f>
        <v>3242.0116156283002</v>
      </c>
      <c r="K180" s="199">
        <f>K176-K187</f>
        <v>3234.8652849740938</v>
      </c>
      <c r="L180" s="199">
        <f>L176-L187</f>
        <v>3488.1931696905012</v>
      </c>
      <c r="M180" s="201">
        <f>I180+J180+K180+L180</f>
        <v>13424.601985186513</v>
      </c>
      <c r="O180" s="198">
        <f>O176-O187</f>
        <v>3115</v>
      </c>
      <c r="P180" s="199">
        <f>P176-P187</f>
        <v>3046</v>
      </c>
      <c r="Q180" s="199">
        <f>Q176-Q187</f>
        <v>3107</v>
      </c>
      <c r="R180" s="200">
        <f>R176-R187</f>
        <v>3221</v>
      </c>
      <c r="S180" s="201">
        <f>O180+P180+Q180+R180</f>
        <v>12489</v>
      </c>
      <c r="T180" s="114"/>
      <c r="U180" s="198">
        <f>U176-U187</f>
        <v>2822</v>
      </c>
      <c r="V180" s="199">
        <f>V176-V187</f>
        <v>2774</v>
      </c>
      <c r="W180" s="199">
        <f>W176-W187</f>
        <v>2720</v>
      </c>
      <c r="X180" s="199">
        <f>X176-X187</f>
        <v>2994</v>
      </c>
      <c r="Y180" s="201">
        <f>U180+V180+W180+X180</f>
        <v>11310</v>
      </c>
      <c r="Z180" s="259"/>
      <c r="AA180" s="198">
        <f>AA183*AA176</f>
        <v>2401.1613070658409</v>
      </c>
      <c r="AB180" s="199">
        <f>AB183*AB176</f>
        <v>2380.2505427509295</v>
      </c>
      <c r="AC180" s="199">
        <f>AC183*AC176</f>
        <v>2351.9304375434526</v>
      </c>
      <c r="AD180" s="199">
        <f>AD183*AD176</f>
        <v>2468.9502599731063</v>
      </c>
      <c r="AE180" s="201">
        <f>AA180+AB180+AC180+AD180</f>
        <v>9602.2925473333289</v>
      </c>
      <c r="AF180" s="114">
        <f>AE180-Y180</f>
        <v>-1707.7074526666711</v>
      </c>
      <c r="AG180" s="198">
        <f>AG183*AG176</f>
        <v>2300.2845412021106</v>
      </c>
      <c r="AH180" s="199">
        <f>AH183*AH176</f>
        <v>2286.8058661710038</v>
      </c>
      <c r="AI180" s="199">
        <f>AI183*AI176</f>
        <v>2249.6449031286206</v>
      </c>
      <c r="AJ180" s="199">
        <f>AJ183*AJ176</f>
        <v>2366.2063218287763</v>
      </c>
      <c r="AK180" s="201">
        <f>AG180+AH180+AI180+AJ180</f>
        <v>9202.9416323305122</v>
      </c>
      <c r="AL180" s="114">
        <f>AK180-AE180</f>
        <v>-399.35091500281669</v>
      </c>
      <c r="AM180" s="198">
        <f>AM183*AM176</f>
        <v>2231.4066182151873</v>
      </c>
      <c r="AN180" s="199">
        <f>AN183*AN176</f>
        <v>2215.0008921933086</v>
      </c>
      <c r="AO180" s="199">
        <f>AO183*AO176</f>
        <v>2162.3433529548088</v>
      </c>
      <c r="AP180" s="199">
        <f>AP183*AP176</f>
        <v>2430.4953518601524</v>
      </c>
      <c r="AQ180" s="201">
        <f>AM180+AN180+AO180+AP180</f>
        <v>9039.2462152234566</v>
      </c>
      <c r="AR180" s="114">
        <f>AQ180-AK180</f>
        <v>-163.69541710705562</v>
      </c>
      <c r="AS180" s="198">
        <f>AS183*AS176</f>
        <v>2151.6546447350315</v>
      </c>
      <c r="AT180" s="199">
        <f>AT183*AT176</f>
        <v>2175.2992386617102</v>
      </c>
      <c r="AU180" s="199">
        <f>AU183*AU176</f>
        <v>2142.9033883545767</v>
      </c>
      <c r="AV180" s="199">
        <f>AV183*AV176</f>
        <v>2423.3108751680861</v>
      </c>
      <c r="AW180" s="201">
        <f>AS180+AT180+AU180+AV180</f>
        <v>8893.1681469194045</v>
      </c>
      <c r="AX180" s="114"/>
      <c r="AY180" s="198">
        <f>AY183*AY176</f>
        <v>2121.0201646249143</v>
      </c>
      <c r="AZ180" s="199">
        <f>AZ183*AZ176</f>
        <v>2164.3749022304833</v>
      </c>
      <c r="BA180" s="199">
        <f>BA183*BA176</f>
        <v>2127.2507527230587</v>
      </c>
      <c r="BB180" s="199">
        <f>BB183*BB176</f>
        <v>2332.6244922008068</v>
      </c>
      <c r="BC180" s="201">
        <f>AY180+AZ180+BA180+BB180</f>
        <v>8745.2703117792626</v>
      </c>
      <c r="BD180" s="114">
        <f>BC180-AW180</f>
        <v>-147.89783514014198</v>
      </c>
      <c r="BE180" s="198">
        <v>2179</v>
      </c>
      <c r="BF180" s="199">
        <v>2221</v>
      </c>
      <c r="BG180" s="199">
        <v>2190</v>
      </c>
      <c r="BH180" s="199">
        <v>2320</v>
      </c>
      <c r="BI180" s="201">
        <f>BE180+BF180+BG180+BH180</f>
        <v>8910</v>
      </c>
      <c r="BJ180" s="114">
        <f>BI180-BC180</f>
        <v>164.72968822073744</v>
      </c>
      <c r="BK180" s="198">
        <v>2159</v>
      </c>
      <c r="BL180" s="199">
        <v>2199</v>
      </c>
      <c r="BM180" s="199">
        <v>2128</v>
      </c>
      <c r="BN180" s="199">
        <v>2289</v>
      </c>
      <c r="BO180" s="201">
        <f>BK180+BL180+BM180+BN180</f>
        <v>8775</v>
      </c>
      <c r="BP180" s="259"/>
      <c r="BQ180" s="198">
        <f>BQ183*BQ176</f>
        <v>2128.636425263247</v>
      </c>
      <c r="BR180" s="199">
        <f>BR183*BR176</f>
        <v>2173.6788453627141</v>
      </c>
      <c r="BS180" s="199">
        <f>BS183*BS176</f>
        <v>2136.8033090074769</v>
      </c>
      <c r="BT180" s="199">
        <f ca="1">BT183*BT176</f>
        <v>2297.8314605622954</v>
      </c>
      <c r="BU180" s="201">
        <f ca="1">BQ180+BR180+BS180+BT180</f>
        <v>8736.9500401957339</v>
      </c>
      <c r="BV180" s="114"/>
      <c r="BW180" s="198">
        <f>BW183*BW176</f>
        <v>2116.8252981018336</v>
      </c>
      <c r="BX180" s="199">
        <f>BX183*BX176</f>
        <v>2164.1968314608494</v>
      </c>
      <c r="BY180" s="199">
        <f>BY183*BY176</f>
        <v>2125.073685738389</v>
      </c>
      <c r="BZ180" s="199">
        <f ca="1">BZ183*BZ176</f>
        <v>2285.3888163699066</v>
      </c>
      <c r="CA180" s="201">
        <f ca="1">BW180+BX180+BY180+BZ180</f>
        <v>8691.4846316709791</v>
      </c>
      <c r="CB180" s="114"/>
      <c r="CC180" s="198">
        <f>CC183*CC176</f>
        <v>2122.6011429795617</v>
      </c>
      <c r="CD180" s="199">
        <f>CD183*CD176</f>
        <v>2170.9356271728288</v>
      </c>
      <c r="CE180" s="199">
        <f>CE183*CE176</f>
        <v>2131.9652378591895</v>
      </c>
      <c r="CF180" s="199">
        <f ca="1">CF183*CF176</f>
        <v>2293.6897549941746</v>
      </c>
      <c r="CG180" s="201">
        <f ca="1">CC180+CD180+CE180+CF180</f>
        <v>8719.1917630057542</v>
      </c>
      <c r="CH180" s="259"/>
      <c r="CI180" s="198">
        <f>CI183*CI176</f>
        <v>2142.5458440334746</v>
      </c>
      <c r="CJ180" s="199">
        <f>CJ183*CJ176</f>
        <v>2192.0713075204626</v>
      </c>
      <c r="CK180" s="199">
        <f>CK183*CK176</f>
        <v>2152.7001947023577</v>
      </c>
      <c r="CL180" s="199">
        <f ca="1">CL183*CL176</f>
        <v>2315.972591572252</v>
      </c>
      <c r="CM180" s="201">
        <f ca="1">CI180+CJ180+CK180+CL180</f>
        <v>8803.2899378285474</v>
      </c>
      <c r="CN180" s="114"/>
      <c r="CO180" s="198">
        <f>CO183*CO176</f>
        <v>2175.8209234393685</v>
      </c>
      <c r="CP180" s="199">
        <f>CP183*CP176</f>
        <v>2226.5435233398612</v>
      </c>
      <c r="CQ180" s="199">
        <f>CQ183*CQ176</f>
        <v>2186.5805257474244</v>
      </c>
      <c r="CR180" s="199">
        <f ca="1">CR183*CR176</f>
        <v>2351.703738367582</v>
      </c>
      <c r="CS180" s="201">
        <f ca="1">CO180+CP180+CQ180+CR180</f>
        <v>8940.6487108942347</v>
      </c>
      <c r="CT180" s="259"/>
      <c r="CU180" s="198">
        <f>CU183*CU176</f>
        <v>2214.2563603017688</v>
      </c>
      <c r="CV180" s="199">
        <f>CV183*CV176</f>
        <v>2265.6192866004762</v>
      </c>
      <c r="CW180" s="199">
        <f>CW183*CW176</f>
        <v>2224.4962995423289</v>
      </c>
      <c r="CX180" s="199">
        <f ca="1">CX183*CX176</f>
        <v>2391.0097225251443</v>
      </c>
      <c r="CY180" s="201">
        <f ca="1">CU180+CV180+CW180+CX180</f>
        <v>9095.3816689697178</v>
      </c>
      <c r="CZ180" s="259"/>
      <c r="DA180" s="198">
        <f>DA183*DA176</f>
        <v>2253.2067357045357</v>
      </c>
      <c r="DB180" s="199">
        <f>DB183*DB176</f>
        <v>2305.3959577853011</v>
      </c>
      <c r="DC180" s="199">
        <f>DC183*DC176</f>
        <v>2263.138714362562</v>
      </c>
      <c r="DD180" s="199">
        <f ca="1">DD183*DD176</f>
        <v>2431.297360721378</v>
      </c>
      <c r="DE180" s="201">
        <f ca="1">DA180+DB180+DC180+DD180</f>
        <v>9253.0387685737769</v>
      </c>
      <c r="DF180" s="259"/>
      <c r="DG180" s="198">
        <f>DG183*DG176</f>
        <v>2293.3209548940358</v>
      </c>
      <c r="DH180" s="199">
        <f>DH183*DH176</f>
        <v>2346.8390152902216</v>
      </c>
      <c r="DI180" s="199">
        <f>DI183*DI176</f>
        <v>2303.8637054658357</v>
      </c>
      <c r="DJ180" s="199">
        <f ca="1">DJ183*DJ176</f>
        <v>2474.4449954702127</v>
      </c>
      <c r="DK180" s="201">
        <f ca="1">DG180+DH180+DI180+DJ180</f>
        <v>9418.4686711203049</v>
      </c>
    </row>
    <row r="181" spans="2:115" ht="15" x14ac:dyDescent="0.3">
      <c r="B181" s="40" t="s">
        <v>23</v>
      </c>
      <c r="C181" s="144" t="s">
        <v>35</v>
      </c>
      <c r="D181" s="107" t="s">
        <v>35</v>
      </c>
      <c r="E181" s="107" t="s">
        <v>35</v>
      </c>
      <c r="F181" s="107" t="s">
        <v>35</v>
      </c>
      <c r="G181" s="138" t="s">
        <v>35</v>
      </c>
      <c r="I181" s="151">
        <f>I180/C180-1</f>
        <v>-8.1617216474721976E-3</v>
      </c>
      <c r="J181" s="133">
        <f>J180/D180-1</f>
        <v>-1.5184806917284299E-2</v>
      </c>
      <c r="K181" s="133">
        <f>K180/E180-1</f>
        <v>-2.5642986453586203E-2</v>
      </c>
      <c r="L181" s="152">
        <f>L180/F180-1</f>
        <v>9.4850335747175496E-2</v>
      </c>
      <c r="M181" s="153">
        <f>M180/G180-1</f>
        <v>1.0432183139132301E-2</v>
      </c>
      <c r="O181" s="151">
        <f>O180/I180-1</f>
        <v>-9.9589170838509711E-2</v>
      </c>
      <c r="P181" s="133">
        <f>P180/J180-1</f>
        <v>-6.0459874567819316E-2</v>
      </c>
      <c r="Q181" s="133">
        <f>Q180/K180-1</f>
        <v>-3.9527236441043279E-2</v>
      </c>
      <c r="R181" s="152">
        <f>R180/L180-1</f>
        <v>-7.6599304193410989E-2</v>
      </c>
      <c r="S181" s="153">
        <f>S180/M180-1</f>
        <v>-6.969308931608631E-2</v>
      </c>
      <c r="U181" s="151">
        <f>U180/O180-1</f>
        <v>-9.4060995184590657E-2</v>
      </c>
      <c r="V181" s="133">
        <f>V180/P180-1</f>
        <v>-8.9297439264609313E-2</v>
      </c>
      <c r="W181" s="133">
        <f>W180/Q180-1</f>
        <v>-0.12455745091728354</v>
      </c>
      <c r="X181" s="133">
        <f>X180/R180-1</f>
        <v>-7.0475007761564679E-2</v>
      </c>
      <c r="Y181" s="153">
        <f>Y180/S180-1</f>
        <v>-9.4403074705741052E-2</v>
      </c>
      <c r="AA181" s="151">
        <f>AA180/U180-1</f>
        <v>-0.14912781464711522</v>
      </c>
      <c r="AB181" s="133">
        <f>AB180/V180-1</f>
        <v>-0.14194284688142411</v>
      </c>
      <c r="AC181" s="133">
        <f>AC180/W180-1</f>
        <v>-0.13531969207961303</v>
      </c>
      <c r="AD181" s="152">
        <f>AD180/X180-1</f>
        <v>-0.17536731463824107</v>
      </c>
      <c r="AE181" s="153">
        <f>AE180/Y180-1</f>
        <v>-0.15099093303860933</v>
      </c>
      <c r="AF181" s="103"/>
      <c r="AG181" s="151">
        <f>AG180/AA180-1</f>
        <v>-4.2011657262210012E-2</v>
      </c>
      <c r="AH181" s="133">
        <f>AH180/AB180-1</f>
        <v>-3.9258336423664386E-2</v>
      </c>
      <c r="AI181" s="133">
        <f>AI180/AC180-1</f>
        <v>-4.3490033881132706E-2</v>
      </c>
      <c r="AJ181" s="152">
        <f>AJ180/AD180-1</f>
        <v>-4.1614422052167699E-2</v>
      </c>
      <c r="AK181" s="153">
        <f>AK180/AE180-1</f>
        <v>-4.158912187212227E-2</v>
      </c>
      <c r="AL181" s="103"/>
      <c r="AM181" s="151">
        <f>AM180/AG180-1</f>
        <v>-2.9943218655431258E-2</v>
      </c>
      <c r="AN181" s="133">
        <f>AN180/AH180-1</f>
        <v>-3.139968068121346E-2</v>
      </c>
      <c r="AO181" s="133">
        <f>AO180/AI180-1</f>
        <v>-3.8806813489720149E-2</v>
      </c>
      <c r="AP181" s="152">
        <f>AP180/AJ180-1</f>
        <v>2.7169663709498026E-2</v>
      </c>
      <c r="AQ181" s="153">
        <f>AQ180/AK180-1</f>
        <v>-1.778729276430302E-2</v>
      </c>
      <c r="AS181" s="151">
        <f>AS180/AM180-1</f>
        <v>-3.5740672645286908E-2</v>
      </c>
      <c r="AT181" s="133">
        <f>AT180/AN180-1</f>
        <v>-1.7923989860015643E-2</v>
      </c>
      <c r="AU181" s="133">
        <f>AU180/AO180-1</f>
        <v>-8.9902302396460687E-3</v>
      </c>
      <c r="AV181" s="152">
        <f>AV180/AP180-1</f>
        <v>-2.9559721998924093E-3</v>
      </c>
      <c r="AW181" s="153">
        <f>AW180/AQ180-1</f>
        <v>-1.6160425861399208E-2</v>
      </c>
      <c r="AY181" s="151">
        <f>AY180/AS180-1</f>
        <v>-1.4237638082430171E-2</v>
      </c>
      <c r="AZ181" s="133">
        <f>AZ180/AT180-1</f>
        <v>-5.0219924859385978E-3</v>
      </c>
      <c r="BA181" s="133">
        <f>BA180/AU180-1</f>
        <v>-7.3044056566343718E-3</v>
      </c>
      <c r="BB181" s="152">
        <f>BB180/AV180-1</f>
        <v>-3.742251309832012E-2</v>
      </c>
      <c r="BC181" s="153">
        <f>BC180/AW180-1</f>
        <v>-1.6630500255566782E-2</v>
      </c>
      <c r="BD181" s="103"/>
      <c r="BE181" s="151">
        <v>-2E-3</v>
      </c>
      <c r="BF181" s="133">
        <v>-1.0999999999999999E-2</v>
      </c>
      <c r="BG181" s="133">
        <v>-1.2E-2</v>
      </c>
      <c r="BH181" s="152">
        <v>-3.3000000000000002E-2</v>
      </c>
      <c r="BI181" s="153">
        <f>BI180/BC180-1</f>
        <v>1.883643184806516E-2</v>
      </c>
      <c r="BJ181" s="103"/>
      <c r="BK181" s="151">
        <f>BK180/BE180-1</f>
        <v>-9.1785222579164882E-3</v>
      </c>
      <c r="BL181" s="133">
        <f>BL180/BF180-1</f>
        <v>-9.9054479963980313E-3</v>
      </c>
      <c r="BM181" s="133">
        <f>BM180/BG180-1</f>
        <v>-2.8310502283105055E-2</v>
      </c>
      <c r="BN181" s="133">
        <f>BN180/BH180-1</f>
        <v>-1.3362068965517282E-2</v>
      </c>
      <c r="BO181" s="153">
        <f>BO180/BI180-1</f>
        <v>-1.5151515151515138E-2</v>
      </c>
      <c r="BQ181" s="151">
        <f>BQ180/BK180-1</f>
        <v>-1.4063721508454363E-2</v>
      </c>
      <c r="BR181" s="133">
        <f>BR180/BL180-1</f>
        <v>-1.1514849766842139E-2</v>
      </c>
      <c r="BS181" s="133">
        <f>BS180/BM180-1</f>
        <v>4.1368933305812039E-3</v>
      </c>
      <c r="BT181" s="152">
        <f ca="1">BT180/BN180-1</f>
        <v>3.8582178079054064E-3</v>
      </c>
      <c r="BU181" s="153">
        <f ca="1">BU180/BO180-1</f>
        <v>-4.3361777554719039E-3</v>
      </c>
      <c r="BV181" s="103"/>
      <c r="BW181" s="151">
        <f>BW180/BQ180-1</f>
        <v>-5.5486822555678161E-3</v>
      </c>
      <c r="BX181" s="133">
        <f>BX180/BR180-1</f>
        <v>-4.3621963392124208E-3</v>
      </c>
      <c r="BY181" s="133">
        <f>BY180/BS180-1</f>
        <v>-5.489332228026278E-3</v>
      </c>
      <c r="BZ181" s="152">
        <f ca="1">BZ180/BT180-1</f>
        <v>-5.4149507507151862E-3</v>
      </c>
      <c r="CA181" s="153">
        <f ca="1">CA180/BU180-1</f>
        <v>-5.2038077722298404E-3</v>
      </c>
      <c r="CB181" s="103"/>
      <c r="CC181" s="151">
        <f>CC180/BW180-1</f>
        <v>2.7285411237796264E-3</v>
      </c>
      <c r="CD181" s="133">
        <f>CD180/BX180-1</f>
        <v>3.1137628583581822E-3</v>
      </c>
      <c r="CE181" s="133">
        <f>CE180/BY180-1</f>
        <v>3.2429708988683803E-3</v>
      </c>
      <c r="CF181" s="152">
        <f ca="1">CF180/BZ180-1</f>
        <v>3.6321778442292008E-3</v>
      </c>
      <c r="CG181" s="153">
        <f ca="1">CG180/CA180-1</f>
        <v>3.1878479349560784E-3</v>
      </c>
      <c r="CI181" s="151">
        <f>CI180/CC180-1</f>
        <v>9.3963489654564913E-3</v>
      </c>
      <c r="CJ181" s="133">
        <f>CJ180/CD180-1</f>
        <v>9.7357471511756444E-3</v>
      </c>
      <c r="CK181" s="133">
        <f>CK180/CE180-1</f>
        <v>9.7257480914600958E-3</v>
      </c>
      <c r="CL181" s="152">
        <f ca="1">CL180/CF180-1</f>
        <v>9.7148433128586564E-3</v>
      </c>
      <c r="CM181" s="153">
        <f ca="1">CM180/CG180-1</f>
        <v>9.6451800933670118E-3</v>
      </c>
      <c r="CN181" s="103"/>
      <c r="CO181" s="151">
        <f>CO180/CI180-1</f>
        <v>1.5530626566781613E-2</v>
      </c>
      <c r="CP181" s="133">
        <f>CP180/CJ180-1</f>
        <v>1.5725864255023536E-2</v>
      </c>
      <c r="CQ181" s="133">
        <f>CQ180/CK180-1</f>
        <v>1.5738527421720772E-2</v>
      </c>
      <c r="CR181" s="152">
        <f ca="1">CR180/CL180-1</f>
        <v>1.5428138884438614E-2</v>
      </c>
      <c r="CS181" s="153">
        <f ca="1">CS180/CM180-1</f>
        <v>1.5603118156479745E-2</v>
      </c>
      <c r="CU181" s="151">
        <f>CU180/CO180-1</f>
        <v>1.7664797892303019E-2</v>
      </c>
      <c r="CV181" s="133">
        <f>CV180/CP180-1</f>
        <v>1.754996605770387E-2</v>
      </c>
      <c r="CW181" s="133">
        <f>CW180/CQ180-1</f>
        <v>1.7340213794295956E-2</v>
      </c>
      <c r="CX181" s="152">
        <f ca="1">CX180/CR180-1</f>
        <v>1.6713833258965805E-2</v>
      </c>
      <c r="CY181" s="153">
        <f ca="1">CY180/CS180-1</f>
        <v>1.730668132469404E-2</v>
      </c>
      <c r="DA181" s="151">
        <f>DA180/CU180-1</f>
        <v>1.7590725311254607E-2</v>
      </c>
      <c r="DB181" s="133">
        <f>DB180/CV180-1</f>
        <v>1.7556643969300456E-2</v>
      </c>
      <c r="DC181" s="133">
        <f>DC180/CW180-1</f>
        <v>1.7371310003160501E-2</v>
      </c>
      <c r="DD181" s="152">
        <f ca="1">DD180/CX180-1</f>
        <v>1.6849633783038831E-2</v>
      </c>
      <c r="DE181" s="153">
        <f ca="1">DE180/CY180-1</f>
        <v>1.7333753034458166E-2</v>
      </c>
      <c r="DG181" s="151">
        <f>DG180/DA180-1</f>
        <v>1.7803168503735645E-2</v>
      </c>
      <c r="DH181" s="133">
        <f>DH180/DB180-1</f>
        <v>1.7976546443125185E-2</v>
      </c>
      <c r="DI181" s="133">
        <f>DI180/DC180-1</f>
        <v>1.7994916018545526E-2</v>
      </c>
      <c r="DJ181" s="152">
        <f ca="1">DJ180/DD180-1</f>
        <v>1.7746753418937056E-2</v>
      </c>
      <c r="DK181" s="153">
        <f ca="1">DK180/DE180-1</f>
        <v>1.7878440443628074E-2</v>
      </c>
    </row>
    <row r="182" spans="2:115" ht="15" x14ac:dyDescent="0.3">
      <c r="B182" s="39"/>
      <c r="C182" s="144"/>
      <c r="D182" s="107"/>
      <c r="E182" s="107"/>
      <c r="F182" s="107"/>
      <c r="G182" s="138"/>
      <c r="I182" s="144"/>
      <c r="J182" s="107"/>
      <c r="K182" s="107"/>
      <c r="L182" s="107"/>
      <c r="M182" s="138"/>
      <c r="O182" s="144"/>
      <c r="P182" s="107"/>
      <c r="Q182" s="107"/>
      <c r="R182" s="145"/>
      <c r="S182" s="138"/>
      <c r="U182" s="144"/>
      <c r="V182" s="107"/>
      <c r="W182" s="107"/>
      <c r="X182" s="145"/>
      <c r="Y182" s="138"/>
      <c r="AA182" s="144"/>
      <c r="AB182" s="107"/>
      <c r="AC182" s="107"/>
      <c r="AD182" s="145"/>
      <c r="AE182" s="138"/>
      <c r="AF182" s="103"/>
      <c r="AG182" s="144"/>
      <c r="AH182" s="107"/>
      <c r="AI182" s="107"/>
      <c r="AJ182" s="145"/>
      <c r="AK182" s="138"/>
      <c r="AL182" s="103"/>
      <c r="AM182" s="144"/>
      <c r="AN182" s="107"/>
      <c r="AO182" s="107"/>
      <c r="AP182" s="145"/>
      <c r="AQ182" s="138"/>
      <c r="AS182" s="144"/>
      <c r="AT182" s="107"/>
      <c r="AU182" s="107"/>
      <c r="AV182" s="145"/>
      <c r="AW182" s="138"/>
      <c r="AY182" s="144"/>
      <c r="AZ182" s="107"/>
      <c r="BA182" s="107"/>
      <c r="BB182" s="145"/>
      <c r="BC182" s="138"/>
      <c r="BD182" s="103"/>
      <c r="BE182" s="144"/>
      <c r="BF182" s="107"/>
      <c r="BG182" s="107"/>
      <c r="BH182" s="145"/>
      <c r="BI182" s="138"/>
      <c r="BJ182" s="103"/>
      <c r="BK182" s="144"/>
      <c r="BL182" s="107"/>
      <c r="BM182" s="107"/>
      <c r="BN182" s="107"/>
      <c r="BO182" s="138"/>
      <c r="BQ182" s="144"/>
      <c r="BR182" s="107"/>
      <c r="BS182" s="107"/>
      <c r="BT182" s="145"/>
      <c r="BU182" s="138"/>
      <c r="BV182" s="103"/>
      <c r="BW182" s="144"/>
      <c r="BX182" s="107"/>
      <c r="BY182" s="107"/>
      <c r="BZ182" s="145"/>
      <c r="CA182" s="138"/>
      <c r="CB182" s="103"/>
      <c r="CC182" s="144"/>
      <c r="CD182" s="107"/>
      <c r="CE182" s="107"/>
      <c r="CF182" s="145"/>
      <c r="CG182" s="138"/>
      <c r="CI182" s="144"/>
      <c r="CJ182" s="107"/>
      <c r="CK182" s="107"/>
      <c r="CL182" s="145"/>
      <c r="CM182" s="138"/>
      <c r="CN182" s="103"/>
      <c r="CO182" s="144"/>
      <c r="CP182" s="107"/>
      <c r="CQ182" s="107"/>
      <c r="CR182" s="145"/>
      <c r="CS182" s="138"/>
      <c r="CU182" s="144"/>
      <c r="CV182" s="107"/>
      <c r="CW182" s="107"/>
      <c r="CX182" s="145"/>
      <c r="CY182" s="138"/>
      <c r="DA182" s="144"/>
      <c r="DB182" s="107"/>
      <c r="DC182" s="107"/>
      <c r="DD182" s="145"/>
      <c r="DE182" s="138"/>
      <c r="DG182" s="144"/>
      <c r="DH182" s="107"/>
      <c r="DI182" s="107"/>
      <c r="DJ182" s="145"/>
      <c r="DK182" s="138"/>
    </row>
    <row r="183" spans="2:115" ht="15" x14ac:dyDescent="0.3">
      <c r="B183" s="40" t="s">
        <v>54</v>
      </c>
      <c r="C183" s="151">
        <f>C180/C176</f>
        <v>0.67780800621842208</v>
      </c>
      <c r="D183" s="133">
        <f>D180/D176</f>
        <v>0.66531932093775259</v>
      </c>
      <c r="E183" s="133">
        <f>E180/E176</f>
        <v>0.66373450619752095</v>
      </c>
      <c r="F183" s="133">
        <f>F180/F176</f>
        <v>0.63950220794861501</v>
      </c>
      <c r="G183" s="153">
        <f>G180/G176</f>
        <v>0.6617192947504732</v>
      </c>
      <c r="I183" s="151">
        <f>I180/I176</f>
        <v>0.68839119390347159</v>
      </c>
      <c r="J183" s="133">
        <f>J180/J176</f>
        <v>0.6633934745030251</v>
      </c>
      <c r="K183" s="133">
        <f>K180/K176</f>
        <v>0.66262895351305462</v>
      </c>
      <c r="L183" s="133">
        <f>L180/L176</f>
        <v>0.69943013053712821</v>
      </c>
      <c r="M183" s="153">
        <f>M180/M176</f>
        <v>0.67864078931724281</v>
      </c>
      <c r="O183" s="151">
        <f>O180/O176</f>
        <v>0.6593988145639289</v>
      </c>
      <c r="P183" s="133">
        <f>P180/P176</f>
        <v>0.65816767502160756</v>
      </c>
      <c r="Q183" s="133">
        <f>Q180/Q176</f>
        <v>0.65952027170452132</v>
      </c>
      <c r="R183" s="152">
        <f>R180/R176</f>
        <v>0.68927883586561101</v>
      </c>
      <c r="S183" s="153">
        <f>S180/S176</f>
        <v>0.66657771135781385</v>
      </c>
      <c r="U183" s="151">
        <f>U180/U176</f>
        <v>0.64739619178710717</v>
      </c>
      <c r="V183" s="133">
        <f>V180/V176</f>
        <v>0.64451672862453535</v>
      </c>
      <c r="W183" s="133">
        <f>W180/W176</f>
        <v>0.63035921205098489</v>
      </c>
      <c r="X183" s="133">
        <f>X180/X176</f>
        <v>0.67099955177050652</v>
      </c>
      <c r="Y183" s="153">
        <f>Y180/Y176</f>
        <v>0.64850917431192656</v>
      </c>
      <c r="AA183" s="214">
        <f>U183+AA184</f>
        <v>0.60989619178710719</v>
      </c>
      <c r="AB183" s="215">
        <f>V183+AB184</f>
        <v>0.60751672862453532</v>
      </c>
      <c r="AC183" s="215">
        <f>W183+AC184</f>
        <v>0.60120921205098488</v>
      </c>
      <c r="AD183" s="215">
        <f>X183+AD184</f>
        <v>0.63599955177050649</v>
      </c>
      <c r="AE183" s="153">
        <f>AE180/AE176</f>
        <v>0.6136042269367582</v>
      </c>
      <c r="AF183" s="103"/>
      <c r="AG183" s="214">
        <f>AA183+AG184</f>
        <v>0.6016961917871072</v>
      </c>
      <c r="AH183" s="215">
        <f>AB183+AH184</f>
        <v>0.60851672862453532</v>
      </c>
      <c r="AI183" s="215">
        <f>AC183+AI184</f>
        <v>0.59545921205098484</v>
      </c>
      <c r="AJ183" s="215">
        <f>AD183+AJ184</f>
        <v>0.63199955177050648</v>
      </c>
      <c r="AK183" s="153">
        <f>AK180/AK176</f>
        <v>0.60934527129249239</v>
      </c>
      <c r="AL183" s="103"/>
      <c r="AM183" s="214">
        <f>AG183+AM184</f>
        <v>0.59919619178710726</v>
      </c>
      <c r="AN183" s="215">
        <f>AH183+AN184</f>
        <v>0.60851672862453532</v>
      </c>
      <c r="AO183" s="215">
        <f>AI183+AO184</f>
        <v>0.59015921205098487</v>
      </c>
      <c r="AP183" s="215">
        <f>AJ183+AP184</f>
        <v>0.66099955177050651</v>
      </c>
      <c r="AQ183" s="153">
        <f>AQ180/AQ176</f>
        <v>0.61470562497269343</v>
      </c>
      <c r="AS183" s="214">
        <f>AM183+AS184</f>
        <v>0.59569619178710731</v>
      </c>
      <c r="AT183" s="215">
        <f>AN183+AT184</f>
        <v>0.60711672862453536</v>
      </c>
      <c r="AU183" s="215">
        <f>AO183+AU184</f>
        <v>0.59840921205098485</v>
      </c>
      <c r="AV183" s="215">
        <f>AP183+AV184</f>
        <v>0.66849955177050646</v>
      </c>
      <c r="AW183" s="153">
        <f>AW180/AW176</f>
        <v>0.61753823671407571</v>
      </c>
      <c r="AY183" s="214">
        <f>AS183+AY184</f>
        <v>0.60119619178710726</v>
      </c>
      <c r="AZ183" s="215">
        <f>AT183+AZ184</f>
        <v>0.61261672862453531</v>
      </c>
      <c r="BA183" s="215">
        <f>AU183+BA184</f>
        <v>0.60570921205098482</v>
      </c>
      <c r="BB183" s="215">
        <f>AV183+BB184</f>
        <v>0.65029955177050647</v>
      </c>
      <c r="BC183" s="153">
        <f>BC180/BC176</f>
        <v>0.61760383557763154</v>
      </c>
      <c r="BD183" s="103"/>
      <c r="BE183" s="214">
        <f>BE180/BE176</f>
        <v>0.63269454123112656</v>
      </c>
      <c r="BF183" s="215">
        <f>BF180/BF176</f>
        <v>0.64358157055925813</v>
      </c>
      <c r="BG183" s="215">
        <f>BG180/BG176</f>
        <v>0.63829787234042556</v>
      </c>
      <c r="BH183" s="215">
        <f>BH180/BH176</f>
        <v>0.66418551388491265</v>
      </c>
      <c r="BI183" s="153">
        <f>BI180/BI176</f>
        <v>0.64476445473623267</v>
      </c>
      <c r="BJ183" s="103"/>
      <c r="BK183" s="214">
        <f>BK180/BK176</f>
        <v>0.63036496350364968</v>
      </c>
      <c r="BL183" s="215">
        <f>BL180/BL176</f>
        <v>0.64279450453083897</v>
      </c>
      <c r="BM183" s="215">
        <f>BM180/BM176</f>
        <v>0.61950509461426495</v>
      </c>
      <c r="BN183" s="215">
        <f>BN180/BN176</f>
        <v>0.65250855188141388</v>
      </c>
      <c r="BO183" s="153">
        <f>BO180/BO176</f>
        <v>0.63637682210457613</v>
      </c>
      <c r="BQ183" s="214">
        <f>BK183+BQ184</f>
        <v>0.61786496350364972</v>
      </c>
      <c r="BR183" s="215">
        <f>BL183+BR184</f>
        <v>0.63029450453083902</v>
      </c>
      <c r="BS183" s="215">
        <f>BM183+BS184</f>
        <v>0.617005094614265</v>
      </c>
      <c r="BT183" s="215">
        <f>BN183+BT184</f>
        <v>0.65000855188141393</v>
      </c>
      <c r="BU183" s="153">
        <f ca="1">BU180/BU176</f>
        <v>0.62891569079162668</v>
      </c>
      <c r="BV183" s="103"/>
      <c r="BW183" s="214">
        <f>BQ183+BW184</f>
        <v>0.60536496350364977</v>
      </c>
      <c r="BX183" s="215">
        <f>BR183+BX184</f>
        <v>0.61779450453083906</v>
      </c>
      <c r="BY183" s="215">
        <f>BS183+BY184</f>
        <v>0.60450509461426505</v>
      </c>
      <c r="BZ183" s="215">
        <f>BT183+BZ184</f>
        <v>0.63750855188141398</v>
      </c>
      <c r="CA183" s="153">
        <f ca="1">CA180/CA176</f>
        <v>0.61641094295754262</v>
      </c>
      <c r="CB183" s="103"/>
      <c r="CC183" s="214">
        <f>BW183+CC184</f>
        <v>0.59786496350364982</v>
      </c>
      <c r="CD183" s="215">
        <f>BX183+CD184</f>
        <v>0.61029450453083911</v>
      </c>
      <c r="CE183" s="215">
        <f>BY183+CE184</f>
        <v>0.5970050946142651</v>
      </c>
      <c r="CF183" s="215">
        <f>BZ183+CF184</f>
        <v>0.63000855188141403</v>
      </c>
      <c r="CG183" s="153">
        <f ca="1">CG180/CG176</f>
        <v>0.60891085264836897</v>
      </c>
      <c r="CI183" s="214">
        <f>CC183+CI184</f>
        <v>0.59286496350364981</v>
      </c>
      <c r="CJ183" s="215">
        <f>CD183+CJ184</f>
        <v>0.60529450453083911</v>
      </c>
      <c r="CK183" s="215">
        <f>CE183+CK184</f>
        <v>0.59200509461426509</v>
      </c>
      <c r="CL183" s="215">
        <f>CF183+CL184</f>
        <v>0.62500855188141402</v>
      </c>
      <c r="CM183" s="153">
        <f ca="1">CM180/CM176</f>
        <v>0.60390928897145668</v>
      </c>
      <c r="CN183" s="103"/>
      <c r="CO183" s="214">
        <f>CI183+CO184</f>
        <v>0.59036496350364986</v>
      </c>
      <c r="CP183" s="215">
        <f>CJ183+CP184</f>
        <v>0.60279450453083916</v>
      </c>
      <c r="CQ183" s="215">
        <f>CK183+CQ184</f>
        <v>0.58950509461426515</v>
      </c>
      <c r="CR183" s="215">
        <f>CL183+CR184</f>
        <v>0.62250855188141407</v>
      </c>
      <c r="CS183" s="153">
        <f ca="1">CS180/CS176</f>
        <v>0.60140699003153675</v>
      </c>
      <c r="CU183" s="214">
        <f>CO183+CU184</f>
        <v>0.58836496350364986</v>
      </c>
      <c r="CV183" s="215">
        <f>CP183+CV184</f>
        <v>0.60079450453083916</v>
      </c>
      <c r="CW183" s="215">
        <f>CQ183+CW184</f>
        <v>0.58750509461426514</v>
      </c>
      <c r="CX183" s="215">
        <f>CR183+CX184</f>
        <v>0.62050855188141407</v>
      </c>
      <c r="CY183" s="153">
        <f ca="1">CY180/CY176</f>
        <v>0.59940190632936019</v>
      </c>
      <c r="DA183" s="214">
        <f>CU183+DA184</f>
        <v>0.58636496350364986</v>
      </c>
      <c r="DB183" s="215">
        <f>CV183+DB184</f>
        <v>0.59879450453083916</v>
      </c>
      <c r="DC183" s="215">
        <f>CW183+DC184</f>
        <v>0.58550509461426514</v>
      </c>
      <c r="DD183" s="215">
        <f>CX183+DD184</f>
        <v>0.61850855188141407</v>
      </c>
      <c r="DE183" s="153">
        <f ca="1">DE180/DE176</f>
        <v>0.59739764466784206</v>
      </c>
      <c r="DG183" s="214">
        <f>DA183+DG184</f>
        <v>0.58436496350364986</v>
      </c>
      <c r="DH183" s="215">
        <f>DB183+DH184</f>
        <v>0.59679450453083915</v>
      </c>
      <c r="DI183" s="215">
        <f>DC183+DI184</f>
        <v>0.58350509461426514</v>
      </c>
      <c r="DJ183" s="215">
        <f>DD183+DJ184</f>
        <v>0.61650855188141407</v>
      </c>
      <c r="DK183" s="153">
        <f ca="1">DK180/DK176</f>
        <v>0.59539585543319806</v>
      </c>
    </row>
    <row r="184" spans="2:115" ht="15.75" thickBot="1" x14ac:dyDescent="0.35">
      <c r="B184" s="41" t="s">
        <v>23</v>
      </c>
      <c r="C184" s="155" t="s">
        <v>35</v>
      </c>
      <c r="D184" s="106" t="s">
        <v>35</v>
      </c>
      <c r="E184" s="106" t="s">
        <v>35</v>
      </c>
      <c r="F184" s="106" t="s">
        <v>35</v>
      </c>
      <c r="G184" s="108" t="s">
        <v>35</v>
      </c>
      <c r="I184" s="174">
        <f>I183-C183</f>
        <v>1.0583187685049511E-2</v>
      </c>
      <c r="J184" s="175">
        <f>J183-D183</f>
        <v>-1.9258464347274851E-3</v>
      </c>
      <c r="K184" s="175">
        <f>K183-E183</f>
        <v>-1.1055526844663266E-3</v>
      </c>
      <c r="L184" s="175">
        <f>L183-F183</f>
        <v>5.9927922588513205E-2</v>
      </c>
      <c r="M184" s="177">
        <f>M183-G183</f>
        <v>1.6921494566769613E-2</v>
      </c>
      <c r="O184" s="174">
        <f>O183-I183</f>
        <v>-2.8992379339542684E-2</v>
      </c>
      <c r="P184" s="175">
        <f>P183-J183</f>
        <v>-5.2257994814175479E-3</v>
      </c>
      <c r="Q184" s="175">
        <f>Q183-K183</f>
        <v>-3.1086818085332979E-3</v>
      </c>
      <c r="R184" s="176">
        <f>R183-L183</f>
        <v>-1.0151294671517208E-2</v>
      </c>
      <c r="S184" s="177">
        <f>S183-M183</f>
        <v>-1.2063077959428958E-2</v>
      </c>
      <c r="U184" s="174">
        <f>U183-O183</f>
        <v>-1.2002622776821736E-2</v>
      </c>
      <c r="V184" s="175">
        <f>V183-P183</f>
        <v>-1.3650946397072206E-2</v>
      </c>
      <c r="W184" s="175">
        <f>W183-Q183</f>
        <v>-2.9161059653536436E-2</v>
      </c>
      <c r="X184" s="175">
        <f>X183-R183</f>
        <v>-1.8279284095104487E-2</v>
      </c>
      <c r="Y184" s="177">
        <f>Y183-S183</f>
        <v>-1.806853704588729E-2</v>
      </c>
      <c r="AA184" s="174">
        <v>-3.7499999999999999E-2</v>
      </c>
      <c r="AB184" s="175">
        <v>-3.6999999999999998E-2</v>
      </c>
      <c r="AC184" s="175">
        <v>-2.9149999999999999E-2</v>
      </c>
      <c r="AD184" s="175">
        <v>-3.5000000000000003E-2</v>
      </c>
      <c r="AE184" s="177">
        <f>AE183-Y183</f>
        <v>-3.490494737516836E-2</v>
      </c>
      <c r="AF184" s="103"/>
      <c r="AG184" s="174">
        <v>-8.2000000000000007E-3</v>
      </c>
      <c r="AH184" s="175">
        <v>1E-3</v>
      </c>
      <c r="AI184" s="175">
        <v>-5.7499999999999999E-3</v>
      </c>
      <c r="AJ184" s="175">
        <v>-4.0000000000000001E-3</v>
      </c>
      <c r="AK184" s="177">
        <f>AK183-AE183</f>
        <v>-4.2589556442658161E-3</v>
      </c>
      <c r="AL184" s="103"/>
      <c r="AM184" s="174">
        <v>-2.5000000000000001E-3</v>
      </c>
      <c r="AN184" s="175">
        <v>0</v>
      </c>
      <c r="AO184" s="175">
        <v>-5.3E-3</v>
      </c>
      <c r="AP184" s="175">
        <v>2.9000000000000001E-2</v>
      </c>
      <c r="AQ184" s="177">
        <f>AQ183-AK183</f>
        <v>5.3603536802010465E-3</v>
      </c>
      <c r="AS184" s="174">
        <v>-3.5000000000000001E-3</v>
      </c>
      <c r="AT184" s="175">
        <v>-1.4E-3</v>
      </c>
      <c r="AU184" s="175">
        <v>8.2500000000000004E-3</v>
      </c>
      <c r="AV184" s="175">
        <v>7.4999999999999997E-3</v>
      </c>
      <c r="AW184" s="177">
        <f>AW183-AQ183</f>
        <v>2.8326117413822738E-3</v>
      </c>
      <c r="AY184" s="174">
        <v>5.4999999999999997E-3</v>
      </c>
      <c r="AZ184" s="175">
        <v>5.4999999999999997E-3</v>
      </c>
      <c r="BA184" s="175">
        <v>7.3000000000000001E-3</v>
      </c>
      <c r="BB184" s="175">
        <v>-1.8200000000000001E-2</v>
      </c>
      <c r="BC184" s="177">
        <f>BC183-AW183</f>
        <v>6.5598863555837994E-5</v>
      </c>
      <c r="BD184" s="103"/>
      <c r="BE184" s="174">
        <v>2E-3</v>
      </c>
      <c r="BF184" s="175">
        <v>-4.0000000000000001E-3</v>
      </c>
      <c r="BG184" s="175">
        <v>-5.0000000000000001E-3</v>
      </c>
      <c r="BH184" s="175">
        <v>-1.7000000000000001E-2</v>
      </c>
      <c r="BI184" s="177">
        <f>BI183-BC183</f>
        <v>2.7160619158601129E-2</v>
      </c>
      <c r="BJ184" s="103"/>
      <c r="BK184" s="174">
        <f>BK183-BE183</f>
        <v>-2.3295777274768836E-3</v>
      </c>
      <c r="BL184" s="175">
        <f>BL183-BF183</f>
        <v>-7.8706602841915885E-4</v>
      </c>
      <c r="BM184" s="175">
        <f>BM183-BG183</f>
        <v>-1.8792777726160614E-2</v>
      </c>
      <c r="BN184" s="175">
        <f>BN183-BH183</f>
        <v>-1.167696200349877E-2</v>
      </c>
      <c r="BO184" s="177">
        <f>BO183-BI183</f>
        <v>-8.3876326316565386E-3</v>
      </c>
      <c r="BQ184" s="174">
        <v>-1.2500000000000001E-2</v>
      </c>
      <c r="BR184" s="175">
        <f>BQ184</f>
        <v>-1.2500000000000001E-2</v>
      </c>
      <c r="BS184" s="175">
        <v>-2.5000000000000001E-3</v>
      </c>
      <c r="BT184" s="175">
        <v>-2.5000000000000001E-3</v>
      </c>
      <c r="BU184" s="177">
        <f ca="1">BU183-BO183</f>
        <v>-7.4611313129494539E-3</v>
      </c>
      <c r="BV184" s="103"/>
      <c r="BW184" s="174">
        <v>-1.2500000000000001E-2</v>
      </c>
      <c r="BX184" s="175">
        <f>BW184</f>
        <v>-1.2500000000000001E-2</v>
      </c>
      <c r="BY184" s="175">
        <f>BX184</f>
        <v>-1.2500000000000001E-2</v>
      </c>
      <c r="BZ184" s="175">
        <f>BY184</f>
        <v>-1.2500000000000001E-2</v>
      </c>
      <c r="CA184" s="177">
        <f ca="1">CA183-BU183</f>
        <v>-1.2504747834084062E-2</v>
      </c>
      <c r="CB184" s="103"/>
      <c r="CC184" s="174">
        <v>-7.4999999999999997E-3</v>
      </c>
      <c r="CD184" s="175">
        <f>CC184</f>
        <v>-7.4999999999999997E-3</v>
      </c>
      <c r="CE184" s="175">
        <f>CD184</f>
        <v>-7.4999999999999997E-3</v>
      </c>
      <c r="CF184" s="175">
        <f>CE184</f>
        <v>-7.4999999999999997E-3</v>
      </c>
      <c r="CG184" s="177">
        <f ca="1">CG183-CA183</f>
        <v>-7.5000903091736459E-3</v>
      </c>
      <c r="CI184" s="174">
        <v>-5.0000000000000001E-3</v>
      </c>
      <c r="CJ184" s="175">
        <f>CI184</f>
        <v>-5.0000000000000001E-3</v>
      </c>
      <c r="CK184" s="175">
        <f>CJ184</f>
        <v>-5.0000000000000001E-3</v>
      </c>
      <c r="CL184" s="175">
        <f>CK184</f>
        <v>-5.0000000000000001E-3</v>
      </c>
      <c r="CM184" s="177">
        <f ca="1">CM183-CG183</f>
        <v>-5.0015636769122906E-3</v>
      </c>
      <c r="CN184" s="103"/>
      <c r="CO184" s="174">
        <v>-2.5000000000000001E-3</v>
      </c>
      <c r="CP184" s="175">
        <f>CO184</f>
        <v>-2.5000000000000001E-3</v>
      </c>
      <c r="CQ184" s="175">
        <f>CP184</f>
        <v>-2.5000000000000001E-3</v>
      </c>
      <c r="CR184" s="175">
        <f>CQ184</f>
        <v>-2.5000000000000001E-3</v>
      </c>
      <c r="CS184" s="177">
        <f ca="1">CS183-CM183</f>
        <v>-2.5022989399199336E-3</v>
      </c>
      <c r="CU184" s="174">
        <v>-2E-3</v>
      </c>
      <c r="CV184" s="175">
        <f>CU184</f>
        <v>-2E-3</v>
      </c>
      <c r="CW184" s="175">
        <f>CV184</f>
        <v>-2E-3</v>
      </c>
      <c r="CX184" s="175">
        <f>CW184</f>
        <v>-2E-3</v>
      </c>
      <c r="CY184" s="177">
        <f ca="1">CY183-CS183</f>
        <v>-2.0050837021765577E-3</v>
      </c>
      <c r="DA184" s="174">
        <v>-2E-3</v>
      </c>
      <c r="DB184" s="175">
        <f>DA184</f>
        <v>-2E-3</v>
      </c>
      <c r="DC184" s="175">
        <f>DB184</f>
        <v>-2E-3</v>
      </c>
      <c r="DD184" s="175">
        <f>DC184</f>
        <v>-2E-3</v>
      </c>
      <c r="DE184" s="177">
        <f ca="1">DE183-CY183</f>
        <v>-2.0042616615181252E-3</v>
      </c>
      <c r="DG184" s="174">
        <v>-2E-3</v>
      </c>
      <c r="DH184" s="175">
        <f>DG184</f>
        <v>-2E-3</v>
      </c>
      <c r="DI184" s="175">
        <f>DH184</f>
        <v>-2E-3</v>
      </c>
      <c r="DJ184" s="175">
        <f>DI184</f>
        <v>-2E-3</v>
      </c>
      <c r="DK184" s="177">
        <f ca="1">DK183-DE183</f>
        <v>-2.0017892346440025E-3</v>
      </c>
    </row>
    <row r="185" spans="2:115" x14ac:dyDescent="0.2">
      <c r="U185" s="227"/>
      <c r="V185" s="227"/>
    </row>
    <row r="186" spans="2:115" ht="13.5" thickBot="1" x14ac:dyDescent="0.25">
      <c r="AO186" s="473"/>
      <c r="AP186" s="473"/>
      <c r="AS186" s="473"/>
      <c r="AU186" s="473"/>
      <c r="BE186" s="473">
        <f>2052-'TMO Germany'!BE46</f>
        <v>1264.6912604590166</v>
      </c>
      <c r="BF186" s="473">
        <f>2078-'TMO Germany'!BF46</f>
        <v>1230.0335868716322</v>
      </c>
      <c r="BG186" s="473">
        <f>2095-'TMO Germany'!BG46</f>
        <v>1241.2750416103895</v>
      </c>
      <c r="BH186" s="473">
        <f>2013-'TMO Germany'!BH46</f>
        <v>1173.0467351818181</v>
      </c>
      <c r="BK186" s="473">
        <f>2070-'TMO Germany'!BK46</f>
        <v>1266.2096388169398</v>
      </c>
      <c r="BL186" s="473">
        <f>2100-'TMO Germany'!BL46</f>
        <v>1222.0591542194927</v>
      </c>
      <c r="BM186" s="473">
        <f>2190-'TMO Germany'!BM46</f>
        <v>1306.6798978101897</v>
      </c>
      <c r="BN186" s="473">
        <f>2107-'TMO Germany'!BN46</f>
        <v>1219.3991675454542</v>
      </c>
    </row>
    <row r="187" spans="2:115" x14ac:dyDescent="0.2">
      <c r="B187" s="244" t="s">
        <v>82</v>
      </c>
      <c r="C187" s="126">
        <v>1658</v>
      </c>
      <c r="D187" s="127">
        <v>1656</v>
      </c>
      <c r="E187" s="127">
        <v>1682</v>
      </c>
      <c r="F187" s="128">
        <v>1796</v>
      </c>
      <c r="G187" s="167">
        <f>C187+D187+E187+F187</f>
        <v>6792</v>
      </c>
      <c r="H187" s="129"/>
      <c r="I187" s="198">
        <v>1566</v>
      </c>
      <c r="J187" s="199">
        <v>1645</v>
      </c>
      <c r="K187" s="199">
        <v>1647</v>
      </c>
      <c r="L187" s="199">
        <v>1499</v>
      </c>
      <c r="M187" s="201">
        <f>I187+J187+K187+L187</f>
        <v>6357</v>
      </c>
      <c r="N187" s="197"/>
      <c r="O187" s="198">
        <v>1609</v>
      </c>
      <c r="P187" s="199">
        <v>1582</v>
      </c>
      <c r="Q187" s="199">
        <v>1604</v>
      </c>
      <c r="R187" s="199">
        <v>1452</v>
      </c>
      <c r="S187" s="201">
        <f>O187+P187+Q187+R187</f>
        <v>6247</v>
      </c>
      <c r="T187" s="114"/>
      <c r="U187" s="198">
        <v>1537</v>
      </c>
      <c r="V187" s="199">
        <v>1530</v>
      </c>
      <c r="W187" s="199">
        <v>1595</v>
      </c>
      <c r="X187" s="199">
        <v>1468</v>
      </c>
      <c r="Y187" s="201">
        <f>U187+V187+W187+X187</f>
        <v>6130</v>
      </c>
      <c r="Z187" s="259"/>
      <c r="AA187" s="198">
        <f>AA176-AA180</f>
        <v>1535.8386929341591</v>
      </c>
      <c r="AB187" s="199">
        <f>AB176-AB180</f>
        <v>1537.7494572490705</v>
      </c>
      <c r="AC187" s="199">
        <f>AC176-AC180</f>
        <v>1560.0695624565474</v>
      </c>
      <c r="AD187" s="199">
        <f>AD176-AD180</f>
        <v>1413.0497400268937</v>
      </c>
      <c r="AE187" s="201">
        <f>AA187+AB187+AC187+AD187</f>
        <v>6046.7074526666711</v>
      </c>
      <c r="AF187" s="259"/>
      <c r="AG187" s="198">
        <f>AG176-AG180</f>
        <v>1522.7154587978894</v>
      </c>
      <c r="AH187" s="199">
        <f>AH176-AH180</f>
        <v>1471.1941338289962</v>
      </c>
      <c r="AI187" s="199">
        <f>AI176-AI180</f>
        <v>1528.3550968713794</v>
      </c>
      <c r="AJ187" s="199">
        <f>AJ176-AJ180</f>
        <v>1377.7936781712237</v>
      </c>
      <c r="AK187" s="201">
        <f>AG187+AH187+AI187+AJ187</f>
        <v>5900.0583676694878</v>
      </c>
      <c r="AL187" s="259"/>
      <c r="AM187" s="198">
        <f>AM176-AM180</f>
        <v>1492.5933817848127</v>
      </c>
      <c r="AN187" s="199">
        <f>AN176-AN180</f>
        <v>1424.9991078066914</v>
      </c>
      <c r="AO187" s="199">
        <f>AO176-AO180</f>
        <v>1501.6566470451912</v>
      </c>
      <c r="AP187" s="199">
        <f>AP176-AP180</f>
        <v>1246.5046481398476</v>
      </c>
      <c r="AQ187" s="201">
        <f>AM187+AN187+AO187+AP187</f>
        <v>5665.7537847765434</v>
      </c>
      <c r="AR187" s="259"/>
      <c r="AS187" s="198">
        <f>AS176-AS180</f>
        <v>1460.3453552649685</v>
      </c>
      <c r="AT187" s="199">
        <f>AT176-AT180</f>
        <v>1407.7007613382898</v>
      </c>
      <c r="AU187" s="199">
        <f>AU176-AU180</f>
        <v>1438.0966116454233</v>
      </c>
      <c r="AV187" s="199">
        <f>AV176-AV180</f>
        <v>1201.6891248319139</v>
      </c>
      <c r="AW187" s="201">
        <f>AS187+AT187+AU187+AV187</f>
        <v>5507.8318530805955</v>
      </c>
      <c r="AX187" s="259"/>
      <c r="AY187" s="198">
        <f>AY176-AY180</f>
        <v>1406.9798353750857</v>
      </c>
      <c r="AZ187" s="199">
        <f>AZ176-AZ180</f>
        <v>1368.6250977695167</v>
      </c>
      <c r="BA187" s="199">
        <f>BA176-BA180</f>
        <v>1384.7492472769413</v>
      </c>
      <c r="BB187" s="199">
        <f>BB176-BB180</f>
        <v>1254.3755077991932</v>
      </c>
      <c r="BC187" s="201">
        <f>AY187+AZ187+BA187+BB187</f>
        <v>5414.7296882207374</v>
      </c>
      <c r="BD187" s="259"/>
      <c r="BE187" s="198">
        <f>BE176-BE180</f>
        <v>1265</v>
      </c>
      <c r="BF187" s="199">
        <f>BF176-BF180</f>
        <v>1230</v>
      </c>
      <c r="BG187" s="199">
        <f>BG176-BG180</f>
        <v>1241</v>
      </c>
      <c r="BH187" s="199">
        <f>BH176-BH180</f>
        <v>1173</v>
      </c>
      <c r="BI187" s="201">
        <f>BE187+BF187+BG187+BH187</f>
        <v>4909</v>
      </c>
      <c r="BJ187" s="259"/>
      <c r="BK187" s="198">
        <f>BK176-BK180</f>
        <v>1266</v>
      </c>
      <c r="BL187" s="199">
        <f>BL176-BL180</f>
        <v>1222</v>
      </c>
      <c r="BM187" s="199">
        <f>BM176-BM180</f>
        <v>1307</v>
      </c>
      <c r="BN187" s="199">
        <f>BN176-BN180</f>
        <v>1219</v>
      </c>
      <c r="BO187" s="201">
        <f>BK187+BL187+BM187+BN187</f>
        <v>5014</v>
      </c>
      <c r="BP187" s="259"/>
      <c r="BQ187" s="198">
        <f>BQ176-BQ180</f>
        <v>1316.511869264823</v>
      </c>
      <c r="BR187" s="199">
        <f>BR176-BR180</f>
        <v>1274.9928941770368</v>
      </c>
      <c r="BS187" s="199">
        <f>BS176-BS180</f>
        <v>1326.3825344471038</v>
      </c>
      <c r="BT187" s="199">
        <f ca="1">BT176-BT180</f>
        <v>1237.2473532646136</v>
      </c>
      <c r="BU187" s="201">
        <f ca="1">BQ187+BR187+BS187+BT187</f>
        <v>5155.1346511535776</v>
      </c>
      <c r="BV187" s="259"/>
      <c r="BW187" s="198">
        <f>BW176-BW180</f>
        <v>1379.9500782766695</v>
      </c>
      <c r="BX187" s="199">
        <f>BX176-BX180</f>
        <v>1338.9046296056708</v>
      </c>
      <c r="BY187" s="199">
        <f>BY176-BY180</f>
        <v>1390.3204849168633</v>
      </c>
      <c r="BZ187" s="199">
        <f ca="1">BZ176-BZ180</f>
        <v>1299.4867270644077</v>
      </c>
      <c r="CA187" s="201">
        <f ca="1">BW187+BX187+BY187+BZ187</f>
        <v>5408.6619198636108</v>
      </c>
      <c r="CB187" s="259"/>
      <c r="CC187" s="198">
        <f>CC176-CC180</f>
        <v>1427.700802363659</v>
      </c>
      <c r="CD187" s="199">
        <f>CD176-CD180</f>
        <v>1386.2578442672016</v>
      </c>
      <c r="CE187" s="199">
        <f>CE176-CE180</f>
        <v>1439.1353391579755</v>
      </c>
      <c r="CF187" s="199">
        <f ca="1">CF176-CF180</f>
        <v>1347.038213133334</v>
      </c>
      <c r="CG187" s="201">
        <f ca="1">CC187+CD187+CE187+CF187</f>
        <v>5600.1321989221706</v>
      </c>
      <c r="CH187" s="259"/>
      <c r="CI187" s="198">
        <f>CI176-CI180</f>
        <v>1471.3392325473492</v>
      </c>
      <c r="CJ187" s="199">
        <f>CJ176-CJ180</f>
        <v>1429.4241647034701</v>
      </c>
      <c r="CK187" s="199">
        <f>CK176-CK180</f>
        <v>1483.5864087178379</v>
      </c>
      <c r="CL187" s="199">
        <f ca="1">CL176-CL180</f>
        <v>1389.5328524743327</v>
      </c>
      <c r="CM187" s="201">
        <f ca="1">CI187+CJ187+CK187+CL187</f>
        <v>5773.8826584429899</v>
      </c>
      <c r="CN187" s="259"/>
      <c r="CO187" s="198">
        <f>CO176-CO180</f>
        <v>1509.7313331283044</v>
      </c>
      <c r="CP187" s="199">
        <f>CP176-CP180</f>
        <v>1467.1589019548114</v>
      </c>
      <c r="CQ187" s="199">
        <f>CQ176-CQ180</f>
        <v>1522.5995063236883</v>
      </c>
      <c r="CR187" s="199">
        <f ca="1">CR176-CR180</f>
        <v>1426.0816932702696</v>
      </c>
      <c r="CS187" s="201">
        <f ca="1">CO187+CP187+CQ187+CR187</f>
        <v>5925.5714346770728</v>
      </c>
      <c r="CT187" s="259"/>
      <c r="CU187" s="198">
        <f>CU176-CU180</f>
        <v>1549.1498546368484</v>
      </c>
      <c r="CV187" s="199">
        <f>CV176-CV180</f>
        <v>1505.419345601561</v>
      </c>
      <c r="CW187" s="199">
        <f>CW176-CW180</f>
        <v>1561.8475465529186</v>
      </c>
      <c r="CX187" s="199">
        <f ca="1">CX176-CX180</f>
        <v>1462.2969164816491</v>
      </c>
      <c r="CY187" s="201">
        <f ca="1">CU187+CV187+CW187+CX187</f>
        <v>6078.713663272978</v>
      </c>
      <c r="CZ187" s="259"/>
      <c r="DA187" s="198">
        <f>DA176-DA180</f>
        <v>1589.4627209443875</v>
      </c>
      <c r="DB187" s="199">
        <f>DB176-DB180</f>
        <v>1544.666025651904</v>
      </c>
      <c r="DC187" s="199">
        <f>DC176-DC180</f>
        <v>1602.1371563000725</v>
      </c>
      <c r="DD187" s="199">
        <f ca="1">DD176-DD180</f>
        <v>1499.606025053517</v>
      </c>
      <c r="DE187" s="201">
        <f ca="1">DA187+DB187+DC187+DD187</f>
        <v>6235.8719279498819</v>
      </c>
      <c r="DF187" s="259"/>
      <c r="DG187" s="198">
        <f>DG176-DG180</f>
        <v>1631.145941861851</v>
      </c>
      <c r="DH187" s="199">
        <f>DH176-DH180</f>
        <v>1585.5681993759945</v>
      </c>
      <c r="DI187" s="199">
        <f>DI176-DI180</f>
        <v>1644.4543584729886</v>
      </c>
      <c r="DJ187" s="199">
        <f ca="1">DJ176-DJ180</f>
        <v>1539.1976181137984</v>
      </c>
      <c r="DK187" s="201">
        <f ca="1">DG187+DH187+DI187+DJ187</f>
        <v>6400.366117824633</v>
      </c>
    </row>
    <row r="188" spans="2:115" x14ac:dyDescent="0.2">
      <c r="B188" s="361" t="s">
        <v>83</v>
      </c>
      <c r="C188" s="144" t="s">
        <v>35</v>
      </c>
      <c r="D188" s="107" t="s">
        <v>35</v>
      </c>
      <c r="E188" s="107" t="s">
        <v>35</v>
      </c>
      <c r="F188" s="376">
        <v>-8.3000000000000004E-2</v>
      </c>
      <c r="G188" s="378">
        <v>-0.08</v>
      </c>
      <c r="I188" s="151">
        <f>(I187-C187)/C187</f>
        <v>-5.5488540410132688E-2</v>
      </c>
      <c r="J188" s="133">
        <f>(J187-D187)/D187</f>
        <v>-6.642512077294686E-3</v>
      </c>
      <c r="K188" s="133">
        <f>(K187-E187)/E187</f>
        <v>-2.0808561236623068E-2</v>
      </c>
      <c r="L188" s="133">
        <v>-0.13900000000000001</v>
      </c>
      <c r="M188" s="153">
        <v>-4.9000000000000002E-2</v>
      </c>
      <c r="O188" s="151">
        <v>-2.5000000000000001E-2</v>
      </c>
      <c r="P188" s="133">
        <f>(P187-J187)/J187</f>
        <v>-3.8297872340425532E-2</v>
      </c>
      <c r="Q188" s="133">
        <f>(Q187-K187)/K187</f>
        <v>-2.6108075288403157E-2</v>
      </c>
      <c r="R188" s="133">
        <f>R187/L187-1</f>
        <v>-3.1354236157438264E-2</v>
      </c>
      <c r="S188" s="153">
        <f>S187/M187-1</f>
        <v>-1.7303759635047933E-2</v>
      </c>
      <c r="U188" s="151">
        <v>-4.474829086389065E-2</v>
      </c>
      <c r="V188" s="133">
        <v>-3.2869785082174419E-2</v>
      </c>
      <c r="W188" s="133">
        <v>-5.610972568578565E-3</v>
      </c>
      <c r="X188" s="133">
        <v>1.1019283746556363E-2</v>
      </c>
      <c r="Y188" s="153">
        <v>-1.8728989915159255E-2</v>
      </c>
      <c r="AA188" s="151">
        <f>AA187/U187-1</f>
        <v>-7.5556738180926342E-4</v>
      </c>
      <c r="AB188" s="133">
        <f>AB187/V187-1</f>
        <v>5.0650047379545704E-3</v>
      </c>
      <c r="AC188" s="133">
        <f>AC187/W187-1</f>
        <v>-2.1899960842290067E-2</v>
      </c>
      <c r="AD188" s="133">
        <f>AD187/X187-1</f>
        <v>-3.7432057202388513E-2</v>
      </c>
      <c r="AE188" s="153">
        <f>AE187/Y187-1</f>
        <v>-1.3587691245241285E-2</v>
      </c>
      <c r="AG188" s="151">
        <f>AG187/AA187-1</f>
        <v>-8.5446695650037707E-3</v>
      </c>
      <c r="AH188" s="133">
        <f>AH187/AB187-1</f>
        <v>-4.3280992951307717E-2</v>
      </c>
      <c r="AI188" s="133">
        <f>AI187/AC187-1</f>
        <v>-2.0328879139997591E-2</v>
      </c>
      <c r="AJ188" s="133">
        <f>AJ187/AD187-1</f>
        <v>-2.4950333209784237E-2</v>
      </c>
      <c r="AK188" s="153">
        <f>AK187/AE187-1</f>
        <v>-2.4252717060506912E-2</v>
      </c>
      <c r="AM188" s="151">
        <f>AM187/AG187-1</f>
        <v>-1.9781815991319007E-2</v>
      </c>
      <c r="AN188" s="133">
        <f>AN187/AH187-1</f>
        <v>-3.1399680681213349E-2</v>
      </c>
      <c r="AO188" s="133">
        <f>AO187/AI187-1</f>
        <v>-1.7468747858950584E-2</v>
      </c>
      <c r="AP188" s="133">
        <f>AP187/AJ187-1</f>
        <v>-9.5289325326008867E-2</v>
      </c>
      <c r="AQ188" s="153">
        <f>AQ187/AK187-1</f>
        <v>-3.9712248301959518E-2</v>
      </c>
      <c r="AS188" s="151">
        <f>AS187/AM187-1</f>
        <v>-2.160536614552222E-2</v>
      </c>
      <c r="AT188" s="133">
        <f>AT187/AN187-1</f>
        <v>-1.2139198104500371E-2</v>
      </c>
      <c r="AU188" s="133">
        <f>AU187/AO187-1</f>
        <v>-4.2326610097477957E-2</v>
      </c>
      <c r="AV188" s="133">
        <f>AV187/AP187-1</f>
        <v>-3.5952953223890249E-2</v>
      </c>
      <c r="AW188" s="153">
        <f>AW187/AQ187-1</f>
        <v>-2.7873066443563466E-2</v>
      </c>
      <c r="AY188" s="151">
        <f>AY187/AS187-1</f>
        <v>-3.6543081879559902E-2</v>
      </c>
      <c r="AZ188" s="133">
        <f>AZ187/AT187-1</f>
        <v>-2.7758501410217407E-2</v>
      </c>
      <c r="BA188" s="133">
        <f>BA187/AU187-1</f>
        <v>-3.7095813964434288E-2</v>
      </c>
      <c r="BB188" s="133">
        <f>BB187/AV187-1</f>
        <v>4.3843604704876471E-2</v>
      </c>
      <c r="BC188" s="153">
        <f>BC187/AW187-1</f>
        <v>-1.6903596068893245E-2</v>
      </c>
      <c r="BE188" s="151">
        <v>-0.01</v>
      </c>
      <c r="BF188" s="133">
        <v>5.0000000000000001E-3</v>
      </c>
      <c r="BG188" s="133">
        <v>8.9999999999999993E-3</v>
      </c>
      <c r="BH188" s="133">
        <v>4.1000000000000002E-2</v>
      </c>
      <c r="BI188" s="153">
        <f>BI187/BC187-1</f>
        <v>-9.3398879970113313E-2</v>
      </c>
      <c r="BK188" s="151">
        <f>BK187/BE187-1</f>
        <v>7.905138339920903E-4</v>
      </c>
      <c r="BL188" s="133">
        <f>BL187/BF187-1</f>
        <v>-6.5040650406503753E-3</v>
      </c>
      <c r="BM188" s="133">
        <f>BM187/BG187-1</f>
        <v>5.3182917002417396E-2</v>
      </c>
      <c r="BN188" s="133">
        <f>BN187/BH187-1</f>
        <v>3.9215686274509887E-2</v>
      </c>
      <c r="BO188" s="153">
        <f>BO187/BI187-1</f>
        <v>2.1389284986758961E-2</v>
      </c>
      <c r="BQ188" s="151">
        <f>BQ187/BK187-1</f>
        <v>3.9898790888485802E-2</v>
      </c>
      <c r="BR188" s="133">
        <f>BR187/BL187-1</f>
        <v>4.3365707182517754E-2</v>
      </c>
      <c r="BS188" s="133">
        <f>BS187/BM187-1</f>
        <v>1.482978917146438E-2</v>
      </c>
      <c r="BT188" s="133">
        <f ca="1">BT187/BN187-1</f>
        <v>1.4969116705999763E-2</v>
      </c>
      <c r="BU188" s="153">
        <f ca="1">BU187/BO187-1</f>
        <v>2.8148115507295124E-2</v>
      </c>
      <c r="BW188" s="151">
        <f>BW187/BQ187-1</f>
        <v>4.8186583420073648E-2</v>
      </c>
      <c r="BX188" s="133">
        <f>BX187/BR187-1</f>
        <v>5.0127130684823884E-2</v>
      </c>
      <c r="BY188" s="133">
        <f>BY187/BS187-1</f>
        <v>4.8204759041411638E-2</v>
      </c>
      <c r="BZ188" s="133">
        <f ca="1">BZ187/BT187-1</f>
        <v>5.0304713633509524E-2</v>
      </c>
      <c r="CA188" s="153">
        <f ca="1">CA187/BU187-1</f>
        <v>4.9179562875879546E-2</v>
      </c>
      <c r="CC188" s="151">
        <f>CC187/BW187-1</f>
        <v>3.4603225753371047E-2</v>
      </c>
      <c r="CD188" s="133">
        <f>CD187/BX187-1</f>
        <v>3.5367130424724058E-2</v>
      </c>
      <c r="CE188" s="133">
        <f>CE187/BY187-1</f>
        <v>3.5110504930833342E-2</v>
      </c>
      <c r="CF188" s="133">
        <f ca="1">CF187/BZ187-1</f>
        <v>3.6592513858411557E-2</v>
      </c>
      <c r="CG188" s="153">
        <f ca="1">CG187/CA187-1</f>
        <v>3.5400674306407476E-2</v>
      </c>
      <c r="CI188" s="151">
        <f>CI187/CC187-1</f>
        <v>3.0565528933964137E-2</v>
      </c>
      <c r="CJ188" s="133">
        <f>CJ187/CD187-1</f>
        <v>3.113873844954651E-2</v>
      </c>
      <c r="CK188" s="133">
        <f>CK187/CE187-1</f>
        <v>3.0887344887153168E-2</v>
      </c>
      <c r="CL188" s="133">
        <f ca="1">CL187/CF187-1</f>
        <v>3.1546721486209517E-2</v>
      </c>
      <c r="CM188" s="153">
        <f ca="1">CM187/CG187-1</f>
        <v>3.1026135339137229E-2</v>
      </c>
      <c r="CO188" s="151">
        <f>CO187/CI187-1</f>
        <v>2.6093303115751532E-2</v>
      </c>
      <c r="CP188" s="133">
        <f>CP187/CJ187-1</f>
        <v>2.6398558372748182E-2</v>
      </c>
      <c r="CQ188" s="133">
        <f>CQ187/CK187-1</f>
        <v>2.6296478167096904E-2</v>
      </c>
      <c r="CR188" s="133">
        <f ca="1">CR187/CL187-1</f>
        <v>2.6302969901614626E-2</v>
      </c>
      <c r="CS188" s="153">
        <f ca="1">CS187/CM187-1</f>
        <v>2.6271537751511476E-2</v>
      </c>
      <c r="CU188" s="151">
        <f>CU187/CO187-1</f>
        <v>2.6109626688918919E-2</v>
      </c>
      <c r="CV188" s="133">
        <f>CV187/CP187-1</f>
        <v>2.6077913984485335E-2</v>
      </c>
      <c r="CW188" s="133">
        <f>CW187/CQ187-1</f>
        <v>2.5776995241509448E-2</v>
      </c>
      <c r="CX188" s="133">
        <f ca="1">CX187/CR187-1</f>
        <v>2.5394914879196984E-2</v>
      </c>
      <c r="CY188" s="153">
        <f ca="1">CY187/CS187-1</f>
        <v>2.5844297091703439E-2</v>
      </c>
      <c r="DA188" s="151">
        <f>DA187/CU187-1</f>
        <v>2.602257372769734E-2</v>
      </c>
      <c r="DB188" s="133">
        <f>DB187/CV187-1</f>
        <v>2.6070264185863889E-2</v>
      </c>
      <c r="DC188" s="133">
        <f>DC187/CW187-1</f>
        <v>2.5796121930130367E-2</v>
      </c>
      <c r="DD188" s="133">
        <f ca="1">DD187/CX187-1</f>
        <v>2.5514044481222964E-2</v>
      </c>
      <c r="DE188" s="153">
        <f ca="1">DE187/CY187-1</f>
        <v>2.5853868660805635E-2</v>
      </c>
      <c r="DG188" s="151">
        <f>DG187/DA187-1</f>
        <v>2.6224723844229025E-2</v>
      </c>
      <c r="DH188" s="133">
        <f>DH187/DB187-1</f>
        <v>2.6479622808320835E-2</v>
      </c>
      <c r="DI188" s="133">
        <f>DI187/DC187-1</f>
        <v>2.6412970953524351E-2</v>
      </c>
      <c r="DJ188" s="133">
        <f ca="1">DJ187/DD187-1</f>
        <v>2.6401329681819963E-2</v>
      </c>
      <c r="DK188" s="153">
        <f ca="1">DK187/DE187-1</f>
        <v>2.6378699206035527E-2</v>
      </c>
    </row>
    <row r="189" spans="2:115" x14ac:dyDescent="0.2">
      <c r="B189" s="361"/>
      <c r="C189" s="144"/>
      <c r="D189" s="107"/>
      <c r="E189" s="107"/>
      <c r="F189" s="145"/>
      <c r="G189" s="138"/>
      <c r="I189" s="144"/>
      <c r="J189" s="107"/>
      <c r="K189" s="107"/>
      <c r="L189" s="107"/>
      <c r="M189" s="138"/>
      <c r="O189" s="144"/>
      <c r="P189" s="107"/>
      <c r="Q189" s="107"/>
      <c r="R189" s="107"/>
      <c r="S189" s="138"/>
      <c r="U189" s="144"/>
      <c r="V189" s="107"/>
      <c r="W189" s="107"/>
      <c r="X189" s="107"/>
      <c r="Y189" s="138"/>
      <c r="AA189" s="144"/>
      <c r="AB189" s="107"/>
      <c r="AC189" s="107"/>
      <c r="AD189" s="107"/>
      <c r="AE189" s="138"/>
      <c r="AG189" s="144"/>
      <c r="AH189" s="107"/>
      <c r="AI189" s="107"/>
      <c r="AJ189" s="107"/>
      <c r="AK189" s="138"/>
      <c r="AM189" s="144"/>
      <c r="AN189" s="107"/>
      <c r="AO189" s="107"/>
      <c r="AP189" s="107"/>
      <c r="AQ189" s="138"/>
      <c r="AS189" s="144"/>
      <c r="AT189" s="107"/>
      <c r="AU189" s="107"/>
      <c r="AV189" s="107"/>
      <c r="AW189" s="138"/>
      <c r="AY189" s="144"/>
      <c r="AZ189" s="107"/>
      <c r="BA189" s="107"/>
      <c r="BB189" s="107"/>
      <c r="BC189" s="138"/>
      <c r="BE189" s="144"/>
      <c r="BF189" s="107"/>
      <c r="BG189" s="107"/>
      <c r="BH189" s="107"/>
      <c r="BI189" s="138"/>
      <c r="BK189" s="144"/>
      <c r="BL189" s="107"/>
      <c r="BM189" s="107"/>
      <c r="BN189" s="107"/>
      <c r="BO189" s="138"/>
      <c r="BQ189" s="144"/>
      <c r="BR189" s="107"/>
      <c r="BS189" s="107"/>
      <c r="BT189" s="107"/>
      <c r="BU189" s="138"/>
      <c r="BW189" s="144"/>
      <c r="BX189" s="107"/>
      <c r="BY189" s="107"/>
      <c r="BZ189" s="107"/>
      <c r="CA189" s="138"/>
      <c r="CC189" s="144"/>
      <c r="CD189" s="107"/>
      <c r="CE189" s="107"/>
      <c r="CF189" s="107"/>
      <c r="CG189" s="138"/>
      <c r="CI189" s="144"/>
      <c r="CJ189" s="107"/>
      <c r="CK189" s="107"/>
      <c r="CL189" s="107"/>
      <c r="CM189" s="138"/>
      <c r="CO189" s="144"/>
      <c r="CP189" s="107"/>
      <c r="CQ189" s="107"/>
      <c r="CR189" s="107"/>
      <c r="CS189" s="138"/>
      <c r="CU189" s="144"/>
      <c r="CV189" s="107"/>
      <c r="CW189" s="107"/>
      <c r="CX189" s="107"/>
      <c r="CY189" s="138"/>
      <c r="DA189" s="144"/>
      <c r="DB189" s="107"/>
      <c r="DC189" s="107"/>
      <c r="DD189" s="107"/>
      <c r="DE189" s="138"/>
      <c r="DG189" s="144"/>
      <c r="DH189" s="107"/>
      <c r="DI189" s="107"/>
      <c r="DJ189" s="107"/>
      <c r="DK189" s="138"/>
    </row>
    <row r="190" spans="2:115" x14ac:dyDescent="0.2">
      <c r="B190" s="388" t="s">
        <v>84</v>
      </c>
      <c r="C190" s="171">
        <f>C187/C176</f>
        <v>0.32219199378157792</v>
      </c>
      <c r="D190" s="165">
        <f>D187/D176</f>
        <v>0.33468067906224735</v>
      </c>
      <c r="E190" s="165">
        <f>E187/E176</f>
        <v>0.336265493802479</v>
      </c>
      <c r="F190" s="172">
        <f>F187/F176</f>
        <v>0.36049779205138499</v>
      </c>
      <c r="G190" s="173">
        <f>G187/G176</f>
        <v>0.33828070524952686</v>
      </c>
      <c r="H190" s="129"/>
      <c r="I190" s="171">
        <f>I187/I176</f>
        <v>0.31160880609652836</v>
      </c>
      <c r="J190" s="165">
        <f>J187/J176</f>
        <v>0.3366065254969749</v>
      </c>
      <c r="K190" s="165">
        <f>K187/K176</f>
        <v>0.33737104648694544</v>
      </c>
      <c r="L190" s="165">
        <f>L187/L176</f>
        <v>0.30056986946287184</v>
      </c>
      <c r="M190" s="173">
        <f>M187/M176</f>
        <v>0.32135921068275719</v>
      </c>
      <c r="N190" s="129"/>
      <c r="O190" s="171">
        <f>O187/O176</f>
        <v>0.34060118543607115</v>
      </c>
      <c r="P190" s="165">
        <f>P187/P176</f>
        <v>0.34183232497839239</v>
      </c>
      <c r="Q190" s="165">
        <f>Q187/Q176</f>
        <v>0.34047972829547868</v>
      </c>
      <c r="R190" s="165">
        <f>R187/R176</f>
        <v>0.31072116413438905</v>
      </c>
      <c r="S190" s="173">
        <f>S187/S176</f>
        <v>0.33342228864218615</v>
      </c>
      <c r="T190" s="129"/>
      <c r="U190" s="171">
        <f>U187/U176</f>
        <v>0.35260380821289289</v>
      </c>
      <c r="V190" s="165">
        <f>V187/V176</f>
        <v>0.3554832713754647</v>
      </c>
      <c r="W190" s="165">
        <f>W187/W176</f>
        <v>0.36964078794901506</v>
      </c>
      <c r="X190" s="165">
        <f>X187/X176</f>
        <v>0.32900044822949348</v>
      </c>
      <c r="Y190" s="173">
        <f>Y187/Y176</f>
        <v>0.35149082568807338</v>
      </c>
      <c r="Z190" s="226"/>
      <c r="AA190" s="171">
        <f>AA187/AA176</f>
        <v>0.39010380821289281</v>
      </c>
      <c r="AB190" s="165">
        <f>AB187/AB176</f>
        <v>0.39248327137546463</v>
      </c>
      <c r="AC190" s="165">
        <f>AC187/AC176</f>
        <v>0.39879078794901518</v>
      </c>
      <c r="AD190" s="165">
        <f>AD187/AD176</f>
        <v>0.36400044822949346</v>
      </c>
      <c r="AE190" s="173">
        <f>AE187/AE176</f>
        <v>0.3863957730632418</v>
      </c>
      <c r="AF190" s="226"/>
      <c r="AG190" s="171">
        <f>AG187/AG176</f>
        <v>0.39830380821289285</v>
      </c>
      <c r="AH190" s="165">
        <f>AH187/AH176</f>
        <v>0.39148327137546468</v>
      </c>
      <c r="AI190" s="165">
        <f>AI187/AI176</f>
        <v>0.40454078794901521</v>
      </c>
      <c r="AJ190" s="165">
        <f>AJ187/AJ176</f>
        <v>0.36800044822949352</v>
      </c>
      <c r="AK190" s="173">
        <f>AK187/AK176</f>
        <v>0.39065472870750761</v>
      </c>
      <c r="AL190" s="226"/>
      <c r="AM190" s="171">
        <f>AM187/AM176</f>
        <v>0.40080380821289274</v>
      </c>
      <c r="AN190" s="165">
        <f>AN187/AN176</f>
        <v>0.39148327137546468</v>
      </c>
      <c r="AO190" s="165">
        <f>AO187/AO176</f>
        <v>0.40984078794901507</v>
      </c>
      <c r="AP190" s="165">
        <f>AP187/AP176</f>
        <v>0.33900044822949349</v>
      </c>
      <c r="AQ190" s="173">
        <f>AQ187/AQ176</f>
        <v>0.38529437502730657</v>
      </c>
      <c r="AR190" s="226"/>
      <c r="AS190" s="171">
        <f>AS187/AS176</f>
        <v>0.40430380821289269</v>
      </c>
      <c r="AT190" s="165">
        <f>AT187/AT176</f>
        <v>0.39288327137546464</v>
      </c>
      <c r="AU190" s="165">
        <f>AU187/AU176</f>
        <v>0.40159078794901515</v>
      </c>
      <c r="AV190" s="165">
        <f>AV187/AV176</f>
        <v>0.33150044822949348</v>
      </c>
      <c r="AW190" s="173">
        <f>AW187/AW176</f>
        <v>0.38246176328592429</v>
      </c>
      <c r="AX190" s="226"/>
      <c r="AY190" s="171">
        <f>AY187/AY176</f>
        <v>0.3988038082128928</v>
      </c>
      <c r="AZ190" s="165">
        <f>AZ187/AZ176</f>
        <v>0.38738327137546469</v>
      </c>
      <c r="BA190" s="165">
        <f>BA187/BA176</f>
        <v>0.39429078794901518</v>
      </c>
      <c r="BB190" s="165">
        <f>BB187/BB176</f>
        <v>0.34970044822949353</v>
      </c>
      <c r="BC190" s="173">
        <f>BC187/BC176</f>
        <v>0.38239616442236846</v>
      </c>
      <c r="BD190" s="226"/>
      <c r="BE190" s="171">
        <f>BE187/BE176</f>
        <v>0.36730545876887338</v>
      </c>
      <c r="BF190" s="165">
        <f>BF187/BF176</f>
        <v>0.35641842944074181</v>
      </c>
      <c r="BG190" s="165">
        <f>BG187/BG176</f>
        <v>0.36170212765957449</v>
      </c>
      <c r="BH190" s="165">
        <f>BH187/BH176</f>
        <v>0.3358144861150873</v>
      </c>
      <c r="BI190" s="173">
        <f>BI187/BI176</f>
        <v>0.35523554526376727</v>
      </c>
      <c r="BJ190" s="226"/>
      <c r="BK190" s="171">
        <f>BK187/BK176</f>
        <v>0.36963503649635038</v>
      </c>
      <c r="BL190" s="165">
        <f>BL187/BL176</f>
        <v>0.35720549546916108</v>
      </c>
      <c r="BM190" s="165">
        <f>BM187/BM176</f>
        <v>0.3804949053857351</v>
      </c>
      <c r="BN190" s="165">
        <f>BN187/BN176</f>
        <v>0.34749144811858607</v>
      </c>
      <c r="BO190" s="173">
        <f>BO187/BO176</f>
        <v>0.36362317789542387</v>
      </c>
      <c r="BP190" s="226"/>
      <c r="BQ190" s="171">
        <f>BQ187/BQ176</f>
        <v>0.38213503649635028</v>
      </c>
      <c r="BR190" s="165">
        <f>BR187/BR176</f>
        <v>0.36970549546916093</v>
      </c>
      <c r="BS190" s="165">
        <f>BS187/BS176</f>
        <v>0.38299490538573494</v>
      </c>
      <c r="BT190" s="165">
        <f ca="1">BT187/BT176</f>
        <v>0.34999144811858612</v>
      </c>
      <c r="BU190" s="173">
        <f ca="1">BU187/BU176</f>
        <v>0.37108430920837332</v>
      </c>
      <c r="BV190" s="226"/>
      <c r="BW190" s="171">
        <f>BW187/BW176</f>
        <v>0.39463503649635029</v>
      </c>
      <c r="BX190" s="165">
        <f>BX187/BX176</f>
        <v>0.38220549546916088</v>
      </c>
      <c r="BY190" s="165">
        <f>BY187/BY176</f>
        <v>0.39549490538573495</v>
      </c>
      <c r="BZ190" s="165">
        <f ca="1">BZ187/BZ176</f>
        <v>0.36249144811858602</v>
      </c>
      <c r="CA190" s="173">
        <f ca="1">CA187/CA176</f>
        <v>0.38358905704245738</v>
      </c>
      <c r="CB190" s="226"/>
      <c r="CC190" s="171">
        <f>CC187/CC176</f>
        <v>0.40213503649635013</v>
      </c>
      <c r="CD190" s="165">
        <f>CD187/CD176</f>
        <v>0.38970549546916089</v>
      </c>
      <c r="CE190" s="165">
        <f>CE187/CE176</f>
        <v>0.40299490538573485</v>
      </c>
      <c r="CF190" s="165">
        <f ca="1">CF187/CF176</f>
        <v>0.36999144811858597</v>
      </c>
      <c r="CG190" s="173">
        <f ca="1">CG187/CG176</f>
        <v>0.39108914735163097</v>
      </c>
      <c r="CH190" s="226"/>
      <c r="CI190" s="171">
        <f>CI187/CI176</f>
        <v>0.40713503649635024</v>
      </c>
      <c r="CJ190" s="165">
        <f>CJ187/CJ176</f>
        <v>0.39470549546916089</v>
      </c>
      <c r="CK190" s="165">
        <f>CK187/CK176</f>
        <v>0.40799490538573485</v>
      </c>
      <c r="CL190" s="165">
        <f ca="1">CL187/CL176</f>
        <v>0.37499144811858598</v>
      </c>
      <c r="CM190" s="173">
        <f ca="1">CM187/CM176</f>
        <v>0.39609071102854332</v>
      </c>
      <c r="CN190" s="226"/>
      <c r="CO190" s="171">
        <f>CO187/CO176</f>
        <v>0.40963503649635019</v>
      </c>
      <c r="CP190" s="165">
        <f>CP187/CP176</f>
        <v>0.39720549546916084</v>
      </c>
      <c r="CQ190" s="165">
        <f>CQ187/CQ176</f>
        <v>0.41049490538573485</v>
      </c>
      <c r="CR190" s="165">
        <f ca="1">CR187/CR176</f>
        <v>0.37749144811858587</v>
      </c>
      <c r="CS190" s="173">
        <f ca="1">CS187/CS176</f>
        <v>0.3985930099684632</v>
      </c>
      <c r="CT190" s="226"/>
      <c r="CU190" s="171">
        <f>CU187/CU176</f>
        <v>0.41163503649635008</v>
      </c>
      <c r="CV190" s="165">
        <f>CV187/CV176</f>
        <v>0.39920549546916084</v>
      </c>
      <c r="CW190" s="165">
        <f>CW187/CW176</f>
        <v>0.41249490538573486</v>
      </c>
      <c r="CX190" s="165">
        <f ca="1">CX187/CX176</f>
        <v>0.37949144811858587</v>
      </c>
      <c r="CY190" s="173">
        <f ca="1">CY187/CY176</f>
        <v>0.40059809367063987</v>
      </c>
      <c r="CZ190" s="226"/>
      <c r="DA190" s="171">
        <f>DA187/DA176</f>
        <v>0.41363503649635019</v>
      </c>
      <c r="DB190" s="165">
        <f>DB187/DB176</f>
        <v>0.40120549546916084</v>
      </c>
      <c r="DC190" s="165">
        <f>DC187/DC176</f>
        <v>0.41449490538573486</v>
      </c>
      <c r="DD190" s="165">
        <f ca="1">DD187/DD176</f>
        <v>0.38149144811858587</v>
      </c>
      <c r="DE190" s="173">
        <f ca="1">DE187/DE176</f>
        <v>0.4026023553321581</v>
      </c>
      <c r="DF190" s="226"/>
      <c r="DG190" s="171">
        <f>DG187/DG176</f>
        <v>0.41563503649635014</v>
      </c>
      <c r="DH190" s="165">
        <f>DH187/DH176</f>
        <v>0.40320549546916085</v>
      </c>
      <c r="DI190" s="165">
        <f>DI187/DI176</f>
        <v>0.41649490538573491</v>
      </c>
      <c r="DJ190" s="165">
        <f ca="1">DJ187/DJ176</f>
        <v>0.38349144811858593</v>
      </c>
      <c r="DK190" s="173">
        <f ca="1">DK187/DK176</f>
        <v>0.40460414456680188</v>
      </c>
    </row>
    <row r="191" spans="2:115" ht="13.5" thickBot="1" x14ac:dyDescent="0.25">
      <c r="B191" s="274" t="s">
        <v>74</v>
      </c>
      <c r="C191" s="155" t="s">
        <v>35</v>
      </c>
      <c r="D191" s="106" t="s">
        <v>35</v>
      </c>
      <c r="E191" s="106" t="s">
        <v>35</v>
      </c>
      <c r="F191" s="377">
        <v>-3.1E-2</v>
      </c>
      <c r="G191" s="379">
        <v>-2.4E-2</v>
      </c>
      <c r="I191" s="174">
        <f>I190-C190</f>
        <v>-1.0583187685049567E-2</v>
      </c>
      <c r="J191" s="175">
        <f>J190-D190</f>
        <v>1.9258464347275406E-3</v>
      </c>
      <c r="K191" s="175">
        <f>K190-E190</f>
        <v>1.1055526844664376E-3</v>
      </c>
      <c r="L191" s="175">
        <f>L190-F190</f>
        <v>-5.9927922588513149E-2</v>
      </c>
      <c r="M191" s="177">
        <f>M190-G190</f>
        <v>-1.6921494566769668E-2</v>
      </c>
      <c r="O191" s="174">
        <f>O190-I190</f>
        <v>2.8992379339542795E-2</v>
      </c>
      <c r="P191" s="175">
        <f>P190-J190</f>
        <v>5.2257994814174924E-3</v>
      </c>
      <c r="Q191" s="175">
        <f>Q190-K190</f>
        <v>3.1086818085332424E-3</v>
      </c>
      <c r="R191" s="175">
        <f>R190-L190</f>
        <v>1.0151294671517208E-2</v>
      </c>
      <c r="S191" s="177">
        <f>S190-M190</f>
        <v>1.2063077959428958E-2</v>
      </c>
      <c r="U191" s="174">
        <f>U190-O190</f>
        <v>1.2002622776821736E-2</v>
      </c>
      <c r="V191" s="175">
        <f>V190-P190</f>
        <v>1.3650946397072317E-2</v>
      </c>
      <c r="W191" s="175">
        <f>W190-Q190</f>
        <v>2.9161059653536381E-2</v>
      </c>
      <c r="X191" s="175">
        <f>X190-R190</f>
        <v>1.8279284095104431E-2</v>
      </c>
      <c r="Y191" s="177">
        <f>Y190-S190</f>
        <v>1.8068537045887234E-2</v>
      </c>
      <c r="AA191" s="174">
        <f>AA190-U190</f>
        <v>3.7499999999999922E-2</v>
      </c>
      <c r="AB191" s="175">
        <f>AB190-V190</f>
        <v>3.6999999999999922E-2</v>
      </c>
      <c r="AC191" s="175">
        <f>AC190-W190</f>
        <v>2.915000000000012E-2</v>
      </c>
      <c r="AD191" s="175">
        <f>AD190-X190</f>
        <v>3.4999999999999976E-2</v>
      </c>
      <c r="AE191" s="177">
        <f>AE190-Y190</f>
        <v>3.4904947375168416E-2</v>
      </c>
      <c r="AG191" s="174">
        <f>AG190-AA190</f>
        <v>8.2000000000000406E-3</v>
      </c>
      <c r="AH191" s="175">
        <f>AH190-AB190</f>
        <v>-9.9999999999994538E-4</v>
      </c>
      <c r="AI191" s="175">
        <f>AI190-AC190</f>
        <v>5.7500000000000329E-3</v>
      </c>
      <c r="AJ191" s="175">
        <f>AJ190-AD190</f>
        <v>4.0000000000000591E-3</v>
      </c>
      <c r="AK191" s="177">
        <f>AK190-AE190</f>
        <v>4.2589556442658161E-3</v>
      </c>
      <c r="AM191" s="174">
        <f>AM190-AG190</f>
        <v>2.4999999999998912E-3</v>
      </c>
      <c r="AN191" s="175">
        <f>AN190-AH190</f>
        <v>0</v>
      </c>
      <c r="AO191" s="175">
        <f>AO190-AI190</f>
        <v>5.2999999999998604E-3</v>
      </c>
      <c r="AP191" s="175">
        <f>AP190-AJ190</f>
        <v>-2.9000000000000026E-2</v>
      </c>
      <c r="AQ191" s="177">
        <f>AQ190-AK190</f>
        <v>-5.3603536802010465E-3</v>
      </c>
      <c r="AS191" s="174">
        <f>AS190-AM190</f>
        <v>3.4999999999999476E-3</v>
      </c>
      <c r="AT191" s="175">
        <f>AT190-AN190</f>
        <v>1.3999999999999568E-3</v>
      </c>
      <c r="AU191" s="175">
        <f>AU190-AO190</f>
        <v>-8.2499999999999241E-3</v>
      </c>
      <c r="AV191" s="175">
        <f>AV190-AP190</f>
        <v>-7.5000000000000067E-3</v>
      </c>
      <c r="AW191" s="177">
        <f>AW190-AQ190</f>
        <v>-2.8326117413822738E-3</v>
      </c>
      <c r="AY191" s="174">
        <f>AY190-AS190</f>
        <v>-5.4999999999998939E-3</v>
      </c>
      <c r="AZ191" s="175">
        <f>AZ190-AT190</f>
        <v>-5.4999999999999494E-3</v>
      </c>
      <c r="BA191" s="175">
        <f>BA190-AU190</f>
        <v>-7.2999999999999732E-3</v>
      </c>
      <c r="BB191" s="175">
        <f>BB190-AV190</f>
        <v>1.8200000000000049E-2</v>
      </c>
      <c r="BC191" s="177">
        <f>BC190-AW190</f>
        <v>-6.5598863555837994E-5</v>
      </c>
      <c r="BE191" s="174">
        <v>-2E-3</v>
      </c>
      <c r="BF191" s="175">
        <v>4.0000000000000001E-3</v>
      </c>
      <c r="BG191" s="175">
        <v>5.0000000000000001E-3</v>
      </c>
      <c r="BH191" s="175">
        <v>1.7000000000000001E-2</v>
      </c>
      <c r="BI191" s="177">
        <v>6.0000000000000001E-3</v>
      </c>
      <c r="BK191" s="174">
        <f>BK190-BE190</f>
        <v>2.3295777274769947E-3</v>
      </c>
      <c r="BL191" s="175">
        <f>BL190-BF190</f>
        <v>7.8706602841926987E-4</v>
      </c>
      <c r="BM191" s="175">
        <f>BM190-BG190</f>
        <v>1.8792777726160614E-2</v>
      </c>
      <c r="BN191" s="175">
        <f>BN190-BH190</f>
        <v>1.167696200349877E-2</v>
      </c>
      <c r="BO191" s="177">
        <f>BO190-BI190</f>
        <v>8.3876326316565941E-3</v>
      </c>
      <c r="BQ191" s="174">
        <f>BQ190-BK190</f>
        <v>1.24999999999999E-2</v>
      </c>
      <c r="BR191" s="175">
        <f>BR190-BL190</f>
        <v>1.2499999999999845E-2</v>
      </c>
      <c r="BS191" s="175">
        <f>BS190-BM190</f>
        <v>2.4999999999998357E-3</v>
      </c>
      <c r="BT191" s="175">
        <f ca="1">BT190-BN190</f>
        <v>2.5000000000000577E-3</v>
      </c>
      <c r="BU191" s="177">
        <f ca="1">BU190-BO190</f>
        <v>7.4611313129494539E-3</v>
      </c>
      <c r="BW191" s="174">
        <f>BW190-BQ190</f>
        <v>1.2500000000000011E-2</v>
      </c>
      <c r="BX191" s="175">
        <f>BX190-BR190</f>
        <v>1.2499999999999956E-2</v>
      </c>
      <c r="BY191" s="175">
        <f>BY190-BS190</f>
        <v>1.2500000000000011E-2</v>
      </c>
      <c r="BZ191" s="175">
        <f ca="1">BZ190-BT190</f>
        <v>1.24999999999999E-2</v>
      </c>
      <c r="CA191" s="177">
        <f ca="1">CA190-BU190</f>
        <v>1.2504747834084062E-2</v>
      </c>
      <c r="CC191" s="174">
        <f>CC190-BW190</f>
        <v>7.4999999999998401E-3</v>
      </c>
      <c r="CD191" s="175">
        <f>CD190-BX190</f>
        <v>7.5000000000000067E-3</v>
      </c>
      <c r="CE191" s="175">
        <f>CE190-BY190</f>
        <v>7.4999999999998956E-3</v>
      </c>
      <c r="CF191" s="175">
        <f ca="1">CF190-BZ190</f>
        <v>7.4999999999999512E-3</v>
      </c>
      <c r="CG191" s="177">
        <f ca="1">CG190-CA190</f>
        <v>7.5000903091735904E-3</v>
      </c>
      <c r="CI191" s="174">
        <f>CI190-CC190</f>
        <v>5.0000000000001155E-3</v>
      </c>
      <c r="CJ191" s="175">
        <f>CJ190-CD190</f>
        <v>5.0000000000000044E-3</v>
      </c>
      <c r="CK191" s="175">
        <f>CK190-CE190</f>
        <v>5.0000000000000044E-3</v>
      </c>
      <c r="CL191" s="175">
        <f ca="1">CL190-CF190</f>
        <v>5.0000000000000044E-3</v>
      </c>
      <c r="CM191" s="177">
        <f ca="1">CM190-CG190</f>
        <v>5.0015636769123462E-3</v>
      </c>
      <c r="CO191" s="174">
        <f>CO190-CI190</f>
        <v>2.4999999999999467E-3</v>
      </c>
      <c r="CP191" s="175">
        <f>CP190-CJ190</f>
        <v>2.4999999999999467E-3</v>
      </c>
      <c r="CQ191" s="175">
        <f>CQ190-CK190</f>
        <v>2.5000000000000022E-3</v>
      </c>
      <c r="CR191" s="175">
        <f ca="1">CR190-CL190</f>
        <v>2.4999999999998912E-3</v>
      </c>
      <c r="CS191" s="177">
        <f ca="1">CS190-CM190</f>
        <v>2.5022989399198781E-3</v>
      </c>
      <c r="CU191" s="174">
        <f>CU190-CO190</f>
        <v>1.9999999999998908E-3</v>
      </c>
      <c r="CV191" s="175">
        <f>CV190-CP190</f>
        <v>2.0000000000000018E-3</v>
      </c>
      <c r="CW191" s="175">
        <f>CW190-CQ190</f>
        <v>2.0000000000000018E-3</v>
      </c>
      <c r="CX191" s="175">
        <f ca="1">CX190-CR190</f>
        <v>2.0000000000000018E-3</v>
      </c>
      <c r="CY191" s="177">
        <f ca="1">CY190-CS190</f>
        <v>2.0050837021766688E-3</v>
      </c>
      <c r="DA191" s="174">
        <f>DA190-CU190</f>
        <v>2.0000000000001128E-3</v>
      </c>
      <c r="DB191" s="175">
        <f>DB190-CV190</f>
        <v>2.0000000000000018E-3</v>
      </c>
      <c r="DC191" s="175">
        <f>DC190-CW190</f>
        <v>2.0000000000000018E-3</v>
      </c>
      <c r="DD191" s="175">
        <f ca="1">DD190-CX190</f>
        <v>2.0000000000000018E-3</v>
      </c>
      <c r="DE191" s="177">
        <f ca="1">DE190-CY190</f>
        <v>2.0042616615182363E-3</v>
      </c>
      <c r="DG191" s="174">
        <f>DG190-DA190</f>
        <v>1.9999999999999463E-3</v>
      </c>
      <c r="DH191" s="175">
        <f>DH190-DB190</f>
        <v>2.0000000000000018E-3</v>
      </c>
      <c r="DI191" s="175">
        <f>DI190-DC190</f>
        <v>2.0000000000000573E-3</v>
      </c>
      <c r="DJ191" s="175">
        <f ca="1">DJ190-DD190</f>
        <v>2.0000000000000573E-3</v>
      </c>
      <c r="DK191" s="177">
        <f ca="1">DK190-DE190</f>
        <v>2.0017892346437804E-3</v>
      </c>
    </row>
    <row r="192" spans="2:115" x14ac:dyDescent="0.2">
      <c r="AA192" s="259">
        <f>2350-'TMO Germany'!AA46</f>
        <v>1518.5343603278689</v>
      </c>
      <c r="AB192" s="259">
        <f>2407-'TMO Germany'!AB46</f>
        <v>1515.0795425293186</v>
      </c>
      <c r="AC192" s="259">
        <f>2450-'TMO Germany'!AC46</f>
        <v>1547.1518237792209</v>
      </c>
      <c r="AD192" s="259">
        <f>2267-'TMO Germany'!AD46</f>
        <v>1387.2309205454544</v>
      </c>
      <c r="AG192" s="259">
        <f>2302-'TMO Germany'!AG46</f>
        <v>1481.6518514125682</v>
      </c>
    </row>
    <row r="193" spans="2:115" ht="13.5" thickBot="1" x14ac:dyDescent="0.25">
      <c r="AA193" s="254">
        <f>821-'TMO Germany'!AA52</f>
        <v>655.72699999999998</v>
      </c>
      <c r="AB193" s="254">
        <f>811-'TMO Germany'!AB52</f>
        <v>651.96499999999992</v>
      </c>
      <c r="AC193" s="254">
        <f>973-'TMO Germany'!AC52</f>
        <v>773.71</v>
      </c>
      <c r="AD193" s="254">
        <f>1045-'TMO Germany'!AD52</f>
        <v>837.95500000000004</v>
      </c>
      <c r="AG193" s="254">
        <f>823-'TMO Germany'!AG52</f>
        <v>656.01499999999999</v>
      </c>
      <c r="AM193" s="476"/>
      <c r="AN193" s="477"/>
      <c r="AO193" s="477"/>
      <c r="AP193" s="477"/>
      <c r="AS193" s="477"/>
      <c r="AZ193">
        <f>2622-1792</f>
        <v>830</v>
      </c>
      <c r="BE193" s="481">
        <f>873-'TMO Germany'!BE52</f>
        <v>727.42499999999995</v>
      </c>
      <c r="BF193" s="481">
        <f>885-'TMO Germany'!BF52</f>
        <v>743.47500000000002</v>
      </c>
      <c r="BG193" s="481">
        <f>1045-'TMO Germany'!BG52</f>
        <v>788.25</v>
      </c>
      <c r="BH193" s="481">
        <f>1228-'TMO Germany'!BH52</f>
        <v>958.64</v>
      </c>
      <c r="BI193" s="473">
        <f>BI194+'TMO Germany'!BI52</f>
        <v>4029.3078500000001</v>
      </c>
      <c r="BK193" s="481">
        <f>1005-'TMO Germany'!BK52</f>
        <v>852.17</v>
      </c>
      <c r="BL193" s="481">
        <f>1052-'TMO Germany'!BL52</f>
        <v>896</v>
      </c>
      <c r="BM193" s="481">
        <f>1052-'TMO Germany'!BM52</f>
        <v>790.24250000000006</v>
      </c>
      <c r="BN193" s="481">
        <f>1105-'TMO Germany'!BN52</f>
        <v>866.52</v>
      </c>
      <c r="BO193" s="473">
        <f>BO194+'TMO Germany'!BO52</f>
        <v>4214.2150500000007</v>
      </c>
      <c r="BU193" s="473">
        <f ca="1">BU194+'TMO Germany'!BU52</f>
        <v>4318.9293488563271</v>
      </c>
      <c r="CA193" s="473">
        <f ca="1">CA194+'TMO Germany'!CA52</f>
        <v>4291.9860146572155</v>
      </c>
      <c r="CG193" s="473">
        <f ca="1">CG194+'TMO Germany'!CG52</f>
        <v>4294.2708453829327</v>
      </c>
      <c r="CM193" s="473">
        <f ca="1">CM194+'TMO Germany'!CM52</f>
        <v>4297.2179125613748</v>
      </c>
      <c r="CS193" s="473">
        <f ca="1">CS194+'TMO Germany'!CS52</f>
        <v>4267.0229420904379</v>
      </c>
      <c r="CY193" s="473">
        <f ca="1">CY194+'TMO Germany'!CY52</f>
        <v>3784.6546095499684</v>
      </c>
      <c r="DE193" s="473">
        <f ca="1">DE194+'TMO Germany'!DE52</f>
        <v>3336.7239388748517</v>
      </c>
      <c r="DK193" s="473">
        <f ca="1">DK194+'TMO Germany'!DK52</f>
        <v>3184.4298715439254</v>
      </c>
    </row>
    <row r="194" spans="2:115" ht="15" x14ac:dyDescent="0.3">
      <c r="B194" s="42" t="s">
        <v>62</v>
      </c>
      <c r="C194" s="221"/>
      <c r="D194" s="222"/>
      <c r="E194" s="222" t="s">
        <v>227</v>
      </c>
      <c r="F194" s="222"/>
      <c r="G194" s="224"/>
      <c r="I194" s="198">
        <v>497</v>
      </c>
      <c r="J194" s="199">
        <v>486</v>
      </c>
      <c r="K194" s="199">
        <v>601</v>
      </c>
      <c r="L194" s="199">
        <v>1061</v>
      </c>
      <c r="M194" s="201">
        <f>I194+J194+K194+L194</f>
        <v>2645</v>
      </c>
      <c r="N194" s="114"/>
      <c r="O194" s="198">
        <v>683</v>
      </c>
      <c r="P194" s="199">
        <v>558</v>
      </c>
      <c r="Q194" s="199">
        <v>681</v>
      </c>
      <c r="R194" s="199">
        <v>772</v>
      </c>
      <c r="S194" s="201">
        <f>O194+P194+Q194+R194</f>
        <v>2694</v>
      </c>
      <c r="T194" s="197"/>
      <c r="U194" s="198">
        <v>555</v>
      </c>
      <c r="V194" s="199">
        <v>688</v>
      </c>
      <c r="W194" s="199">
        <v>698</v>
      </c>
      <c r="X194" s="199">
        <v>946</v>
      </c>
      <c r="Y194" s="201">
        <f>U194+V194+W194+X194</f>
        <v>2887</v>
      </c>
      <c r="Z194" s="259"/>
      <c r="AA194" s="198">
        <f>AA197*AA176</f>
        <v>589.85228664831379</v>
      </c>
      <c r="AB194" s="199">
        <f>AB197*AB176</f>
        <v>596.9123977695167</v>
      </c>
      <c r="AC194" s="199">
        <f>AC197*AC176</f>
        <v>881.22219698725371</v>
      </c>
      <c r="AD194" s="199">
        <f>AD197*AD176</f>
        <v>708.90192075302548</v>
      </c>
      <c r="AE194" s="201">
        <f>AA194+AB194+AC194+AD194</f>
        <v>2776.8888021581097</v>
      </c>
      <c r="AF194" s="114"/>
      <c r="AG194" s="198">
        <f>AG197*AG176</f>
        <v>736.24396967653126</v>
      </c>
      <c r="AH194" s="199">
        <f>AH197*AH176</f>
        <v>675.88118959107794</v>
      </c>
      <c r="AI194" s="199">
        <f>AI197*AI176</f>
        <v>529.90718308227122</v>
      </c>
      <c r="AJ194" s="199">
        <f>AJ197*AJ176</f>
        <v>760.7808</v>
      </c>
      <c r="AK194" s="201">
        <f>AG194+AH194+AI194+AJ194</f>
        <v>2702.8131423498803</v>
      </c>
      <c r="AL194" s="114"/>
      <c r="AM194" s="198">
        <f>AM197*AM176</f>
        <v>493.7382744115622</v>
      </c>
      <c r="AN194" s="199">
        <f>AN197*AN176</f>
        <v>509.6</v>
      </c>
      <c r="AO194" s="199">
        <f>AO197*AO176</f>
        <v>671.61119999999994</v>
      </c>
      <c r="AP194" s="199">
        <f>AP197*AP176</f>
        <v>1007.1302999999999</v>
      </c>
      <c r="AQ194" s="201">
        <f>AM194+AN194+AO194+AP194</f>
        <v>2682.0797744115621</v>
      </c>
      <c r="AR194" s="259"/>
      <c r="AS194" s="198">
        <f>AS197*AS176</f>
        <v>593.02820300068822</v>
      </c>
      <c r="AT194" s="199">
        <f>AT197*AT176</f>
        <v>849.17099999999994</v>
      </c>
      <c r="AU194" s="199">
        <f>AU197*AU176</f>
        <v>768.48259999999993</v>
      </c>
      <c r="AV194" s="199">
        <f>AV197*AV176</f>
        <v>812.54374999999982</v>
      </c>
      <c r="AW194" s="201">
        <f>AS194+AT194+AU194+AV194</f>
        <v>3023.2255530006878</v>
      </c>
      <c r="AX194" s="259"/>
      <c r="AY194" s="198">
        <f>AY197*AY176</f>
        <v>794.4448494425327</v>
      </c>
      <c r="AZ194" s="199">
        <f>AZ197*AZ176</f>
        <v>830.255</v>
      </c>
      <c r="BA194" s="199">
        <f>BA197*BA176</f>
        <v>821.10559999999998</v>
      </c>
      <c r="BB194" s="199">
        <f>BB197*BB176</f>
        <v>726.90554999999983</v>
      </c>
      <c r="BC194" s="201">
        <f>AY194+AZ194+BA194+BB194</f>
        <v>3172.7109994425327</v>
      </c>
      <c r="BD194" s="114"/>
      <c r="BE194" s="198">
        <f>BE197*BE176</f>
        <v>726.68399999999997</v>
      </c>
      <c r="BF194" s="199">
        <f>BF197*BF176</f>
        <v>742.82775000000004</v>
      </c>
      <c r="BG194" s="199">
        <f>BG197*BG176</f>
        <v>787.75760000000002</v>
      </c>
      <c r="BH194" s="199">
        <f>BH197*BH176</f>
        <v>958.82850000000008</v>
      </c>
      <c r="BI194" s="201">
        <f>BE194+BF194+BG194+BH194</f>
        <v>3216.0978500000001</v>
      </c>
      <c r="BJ194" s="114"/>
      <c r="BK194" s="198">
        <f>BK197*BK176</f>
        <v>851.96875</v>
      </c>
      <c r="BL194" s="199">
        <f>BL197*BL176</f>
        <v>896.30200000000002</v>
      </c>
      <c r="BM194" s="199">
        <f>BM197*BM176</f>
        <v>790.05000000000007</v>
      </c>
      <c r="BN194" s="199">
        <f>BN197*BN176</f>
        <v>866.82679999999993</v>
      </c>
      <c r="BO194" s="201">
        <f>BK194+BL194+BM194+BN194</f>
        <v>3405.1475500000001</v>
      </c>
      <c r="BP194" s="259"/>
      <c r="BQ194" s="198">
        <f>BQ197*BQ176</f>
        <v>856.98063826385737</v>
      </c>
      <c r="BR194" s="199">
        <f>BR197*BR176</f>
        <v>903.55199575941481</v>
      </c>
      <c r="BS194" s="199">
        <f>BS197*BS176</f>
        <v>796.53274399455358</v>
      </c>
      <c r="BT194" s="199">
        <f ca="1">BT197*BT176</f>
        <v>873.5179748966292</v>
      </c>
      <c r="BU194" s="201">
        <f ca="1">BQ194+BR194+BS194+BT194</f>
        <v>3430.5833529144552</v>
      </c>
      <c r="BV194" s="114"/>
      <c r="BW194" s="198">
        <f>BW197*BW176</f>
        <v>852.33899799226015</v>
      </c>
      <c r="BX194" s="199">
        <f>BX197*BX176</f>
        <v>900.29707549409568</v>
      </c>
      <c r="BY194" s="199">
        <f>BY197*BY176</f>
        <v>790.96368839743184</v>
      </c>
      <c r="BZ194" s="199">
        <f ca="1">BZ197*BZ176</f>
        <v>867.89836906544747</v>
      </c>
      <c r="CA194" s="201">
        <f ca="1">BW194+BX194+BY194+BZ194</f>
        <v>3411.498130949235</v>
      </c>
      <c r="CB194" s="114"/>
      <c r="CC194" s="198">
        <f>CC197*CC176</f>
        <v>856.51034431405196</v>
      </c>
      <c r="CD194" s="199">
        <f>CD197*CD176</f>
        <v>905.30573848148777</v>
      </c>
      <c r="CE194" s="199">
        <f>CE197*CE176</f>
        <v>794.56987838631926</v>
      </c>
      <c r="CF194" s="199">
        <f ca="1">CF197*CF176</f>
        <v>872.31842116335099</v>
      </c>
      <c r="CG194" s="201">
        <f ca="1">CC194+CD194+CE194+CF194</f>
        <v>3428.70438234521</v>
      </c>
      <c r="CH194" s="259"/>
      <c r="CI194" s="198">
        <f>CI197*CI176</f>
        <v>862.81506203367167</v>
      </c>
      <c r="CJ194" s="199">
        <f>CJ197*CJ176</f>
        <v>912.61685900043108</v>
      </c>
      <c r="CK194" s="199">
        <f>CK197*CK176</f>
        <v>799.98305275244309</v>
      </c>
      <c r="CL194" s="199">
        <f ca="1">CL197*CL176</f>
        <v>878.57534078344509</v>
      </c>
      <c r="CM194" s="201">
        <f ca="1">CI194+CJ194+CK194+CL194</f>
        <v>3453.9903145699909</v>
      </c>
      <c r="CN194" s="114"/>
      <c r="CO194" s="198">
        <f>CO197*CO176</f>
        <v>861.49783997269344</v>
      </c>
      <c r="CP194" s="199">
        <f>CP197*CP176</f>
        <v>912.3444990477841</v>
      </c>
      <c r="CQ194" s="199">
        <f>CQ197*CQ176</f>
        <v>797.47370689528918</v>
      </c>
      <c r="CR194" s="199">
        <f ca="1">CR197*CR176</f>
        <v>876.82399868314531</v>
      </c>
      <c r="CS194" s="201">
        <f ca="1">CO194+CP194+CQ194+CR194</f>
        <v>3448.140044598912</v>
      </c>
      <c r="CT194" s="259"/>
      <c r="CU194" s="198">
        <f>CU197*CU176</f>
        <v>747.97698521905011</v>
      </c>
      <c r="CV194" s="199">
        <f>CV197*CV176</f>
        <v>799.46019002683181</v>
      </c>
      <c r="CW194" s="199">
        <f>CW197*CW176</f>
        <v>681.5418922971445</v>
      </c>
      <c r="CX194" s="199">
        <f ca="1">CX197*CX176</f>
        <v>759.4867385482388</v>
      </c>
      <c r="CY194" s="201">
        <f ca="1">CU194+CV194+CW194+CX194</f>
        <v>2988.4658060912652</v>
      </c>
      <c r="CZ194" s="259"/>
      <c r="DA194" s="198">
        <f>DA197*DA176</f>
        <v>638.84379716788339</v>
      </c>
      <c r="DB194" s="199">
        <f>DB197*DB176</f>
        <v>691.08612602697826</v>
      </c>
      <c r="DC194" s="199">
        <f>DC197*DC176</f>
        <v>570.12819092273855</v>
      </c>
      <c r="DD194" s="199">
        <f ca="1">DD197*DD176</f>
        <v>647.02669729854756</v>
      </c>
      <c r="DE194" s="201">
        <f ca="1">DA194+DB194+DC194+DD194</f>
        <v>2547.0848114161481</v>
      </c>
      <c r="DF194" s="259"/>
      <c r="DG194" s="198">
        <f>DG197*DG176</f>
        <v>603.38678537621752</v>
      </c>
      <c r="DH194" s="199">
        <f>DH197*DH176</f>
        <v>656.71200484925805</v>
      </c>
      <c r="DI194" s="199">
        <f>DI197*DI176</f>
        <v>533.02293863174123</v>
      </c>
      <c r="DJ194" s="199">
        <f ca="1">DJ197*DJ176</f>
        <v>610.47504152612794</v>
      </c>
      <c r="DK194" s="201">
        <f ca="1">DG194+DH194+DI194+DJ194</f>
        <v>2403.5967703833448</v>
      </c>
    </row>
    <row r="195" spans="2:115" ht="15" x14ac:dyDescent="0.3">
      <c r="B195" s="40" t="s">
        <v>40</v>
      </c>
      <c r="C195" s="144"/>
      <c r="D195" s="107"/>
      <c r="E195" s="107"/>
      <c r="F195" s="107"/>
      <c r="G195" s="138"/>
      <c r="I195" s="144" t="s">
        <v>35</v>
      </c>
      <c r="J195" s="107" t="s">
        <v>35</v>
      </c>
      <c r="K195" s="107" t="s">
        <v>35</v>
      </c>
      <c r="L195" s="107" t="s">
        <v>35</v>
      </c>
      <c r="M195" s="138" t="s">
        <v>35</v>
      </c>
      <c r="O195" s="151">
        <f>O194/I194-1</f>
        <v>0.37424547283702214</v>
      </c>
      <c r="P195" s="133">
        <f>P194/J194-1</f>
        <v>0.14814814814814814</v>
      </c>
      <c r="Q195" s="133">
        <f>Q194/K194-1</f>
        <v>0.13311148086522473</v>
      </c>
      <c r="R195" s="133">
        <f>R194/L194-1</f>
        <v>-0.27238454288407166</v>
      </c>
      <c r="S195" s="153">
        <f>S194/M194-1</f>
        <v>1.8525519848771266E-2</v>
      </c>
      <c r="U195" s="151">
        <f>U194/O194-1</f>
        <v>-0.18740849194729137</v>
      </c>
      <c r="V195" s="133">
        <f>V194/P194-1</f>
        <v>0.23297491039426532</v>
      </c>
      <c r="W195" s="133">
        <f>W194/Q194-1</f>
        <v>2.4963289280469869E-2</v>
      </c>
      <c r="X195" s="133">
        <f>X194/R194-1</f>
        <v>0.22538860103626934</v>
      </c>
      <c r="Y195" s="153">
        <f>Y194/S194-1</f>
        <v>7.1640682999257521E-2</v>
      </c>
      <c r="AA195" s="151">
        <f>AA194/U194-1</f>
        <v>6.279691287984468E-2</v>
      </c>
      <c r="AB195" s="133">
        <f>AB194/V194-1</f>
        <v>-0.13239477068384198</v>
      </c>
      <c r="AC195" s="133">
        <f>AC194/W194-1</f>
        <v>0.26249598422242659</v>
      </c>
      <c r="AD195" s="133">
        <f>AD194/X194-1</f>
        <v>-0.25063221907714006</v>
      </c>
      <c r="AE195" s="153">
        <f>AE194/Y194-1</f>
        <v>-3.8140352560405377E-2</v>
      </c>
      <c r="AF195" s="103"/>
      <c r="AG195" s="151">
        <f>AG194/AA194-1</f>
        <v>0.2481836323125084</v>
      </c>
      <c r="AH195" s="133">
        <f>AH194/AB194-1</f>
        <v>0.1322954458923018</v>
      </c>
      <c r="AI195" s="133">
        <f>AI194/AC194-1</f>
        <v>-0.39866791270813173</v>
      </c>
      <c r="AJ195" s="133">
        <f>AJ194/AD194-1</f>
        <v>7.3182026636162245E-2</v>
      </c>
      <c r="AK195" s="153">
        <f>AK194/AE194-1</f>
        <v>-2.6675774611738201E-2</v>
      </c>
      <c r="AL195" s="103"/>
      <c r="AM195" s="151">
        <f>AM194/AG194-1</f>
        <v>-0.32938224997824284</v>
      </c>
      <c r="AN195" s="133">
        <f>AN194/AH194-1</f>
        <v>-0.24602133060054754</v>
      </c>
      <c r="AO195" s="133">
        <f>AO194/AI194-1</f>
        <v>0.26741290067722745</v>
      </c>
      <c r="AP195" s="133">
        <f>AP194/AJ194-1</f>
        <v>0.3238114053351504</v>
      </c>
      <c r="AQ195" s="153">
        <f>AQ194/AK194-1</f>
        <v>-7.6710326783050453E-3</v>
      </c>
      <c r="AS195" s="151">
        <f>AS194/AM194-1</f>
        <v>0.20109830194440548</v>
      </c>
      <c r="AT195" s="133">
        <f>AT194/AN194-1</f>
        <v>0.66634811616954459</v>
      </c>
      <c r="AU195" s="133">
        <f>AU194/AO194-1</f>
        <v>0.14423732064027517</v>
      </c>
      <c r="AV195" s="133">
        <f>AV194/AP194-1</f>
        <v>-0.19320891249126371</v>
      </c>
      <c r="AW195" s="153">
        <f>AW194/AQ194-1</f>
        <v>0.12719449355825807</v>
      </c>
      <c r="AY195" s="151">
        <f>AY194/AS194-1</f>
        <v>0.33964092335354024</v>
      </c>
      <c r="AZ195" s="133">
        <f>AZ194/AT194-1</f>
        <v>-2.2275843145844521E-2</v>
      </c>
      <c r="BA195" s="133">
        <f>BA194/AU194-1</f>
        <v>6.8476501615000851E-2</v>
      </c>
      <c r="BB195" s="133">
        <f>BB194/AV194-1</f>
        <v>-0.10539518641303935</v>
      </c>
      <c r="BC195" s="153">
        <f>BC194/AW194-1</f>
        <v>4.9445681051972334E-2</v>
      </c>
      <c r="BD195" s="103"/>
      <c r="BE195" s="151">
        <v>-4.0174100556026882E-2</v>
      </c>
      <c r="BF195" s="133">
        <v>-7.6117939669137824E-2</v>
      </c>
      <c r="BG195" s="133">
        <v>6.6639418851850429E-3</v>
      </c>
      <c r="BH195" s="133">
        <v>0.36468073465665518</v>
      </c>
      <c r="BI195" s="153">
        <v>5.5298715440235346E-2</v>
      </c>
      <c r="BJ195" s="103"/>
      <c r="BK195" s="151">
        <f>BK194/BE194-1</f>
        <v>0.17240609398307938</v>
      </c>
      <c r="BL195" s="133">
        <f>BL194/BF194-1</f>
        <v>0.20660812685040364</v>
      </c>
      <c r="BM195" s="133">
        <f>BM194/BG194-1</f>
        <v>2.9100322231103704E-3</v>
      </c>
      <c r="BN195" s="133">
        <f>BN194/BH194-1</f>
        <v>-9.5952195830641407E-2</v>
      </c>
      <c r="BO195" s="153">
        <f>BO194/BI194-1</f>
        <v>5.878232218587498E-2</v>
      </c>
      <c r="BQ195" s="151">
        <f>BQ194/BK194-1</f>
        <v>5.8827137308232746E-3</v>
      </c>
      <c r="BR195" s="133">
        <f>BR194/BL194-1</f>
        <v>8.0887867698775651E-3</v>
      </c>
      <c r="BS195" s="133">
        <f>BS194/BM194-1</f>
        <v>8.2054857218574195E-3</v>
      </c>
      <c r="BT195" s="133">
        <f ca="1">BT194/BN194-1</f>
        <v>7.7191601559034595E-3</v>
      </c>
      <c r="BU195" s="153">
        <f ca="1">BU194/BO194-1</f>
        <v>7.4698093227869578E-3</v>
      </c>
      <c r="BV195" s="103"/>
      <c r="BW195" s="151">
        <f>BW194/BQ194-1</f>
        <v>-5.4162720420389832E-3</v>
      </c>
      <c r="BX195" s="133">
        <f>BX194/BR194-1</f>
        <v>-3.6023607723686402E-3</v>
      </c>
      <c r="BY195" s="133">
        <f>BY194/BS194-1</f>
        <v>-6.9916216741993109E-3</v>
      </c>
      <c r="BZ195" s="133">
        <f ca="1">BZ194/BT194-1</f>
        <v>-6.4333030260158575E-3</v>
      </c>
      <c r="CA195" s="153">
        <f ca="1">CA194/BU194-1</f>
        <v>-5.5632584904273807E-3</v>
      </c>
      <c r="CB195" s="103"/>
      <c r="CC195" s="151">
        <f>CC194/BW194-1</f>
        <v>4.8939991383918358E-3</v>
      </c>
      <c r="CD195" s="133">
        <f>CD194/BX194-1</f>
        <v>5.5633447266763003E-3</v>
      </c>
      <c r="CE195" s="133">
        <f>CE194/BY194-1</f>
        <v>4.5592358306534297E-3</v>
      </c>
      <c r="CF195" s="133">
        <f ca="1">CF194/BZ194-1</f>
        <v>5.0928222191073402E-3</v>
      </c>
      <c r="CG195" s="153">
        <f ca="1">CG194/CA194-1</f>
        <v>5.0436056933109708E-3</v>
      </c>
      <c r="CI195" s="151">
        <f>CI194/CC194-1</f>
        <v>7.3609358736570485E-3</v>
      </c>
      <c r="CJ195" s="133">
        <f>CJ194/CD194-1</f>
        <v>8.0758579208903836E-3</v>
      </c>
      <c r="CK195" s="133">
        <f>CK194/CE194-1</f>
        <v>6.8127102642216997E-3</v>
      </c>
      <c r="CL195" s="133">
        <f ca="1">CL194/CF194-1</f>
        <v>7.1727473228750949E-3</v>
      </c>
      <c r="CM195" s="153">
        <f ca="1">CM194/CG194-1</f>
        <v>7.3747775850787622E-3</v>
      </c>
      <c r="CN195" s="103"/>
      <c r="CO195" s="151">
        <f>CO194/CI194-1</f>
        <v>-1.526656312505148E-3</v>
      </c>
      <c r="CP195" s="133">
        <f>CP194/CJ194-1</f>
        <v>-2.984384410181784E-4</v>
      </c>
      <c r="CQ195" s="133">
        <f>CQ194/CK194-1</f>
        <v>-3.1367487705148411E-3</v>
      </c>
      <c r="CR195" s="133">
        <f ca="1">CR194/CL194-1</f>
        <v>-1.9933886361277464E-3</v>
      </c>
      <c r="CS195" s="153">
        <f ca="1">CS194/CM194-1</f>
        <v>-1.6937713885301076E-3</v>
      </c>
      <c r="CU195" s="151">
        <f>CU194/CO194-1</f>
        <v>-0.13177149086902129</v>
      </c>
      <c r="CV195" s="133">
        <f>CV194/CP194-1</f>
        <v>-0.12372991686667689</v>
      </c>
      <c r="CW195" s="133">
        <f>CW194/CQ194-1</f>
        <v>-0.14537383940780746</v>
      </c>
      <c r="CX195" s="133">
        <f ca="1">CX194/CR194-1</f>
        <v>-0.13382076712216928</v>
      </c>
      <c r="CY195" s="153">
        <f ca="1">CY194/CS194-1</f>
        <v>-0.13331077988774553</v>
      </c>
      <c r="DA195" s="151">
        <f>DA194/CU194-1</f>
        <v>-0.14590447327628175</v>
      </c>
      <c r="DB195" s="133">
        <f>DB194/CV194-1</f>
        <v>-0.13555905015885317</v>
      </c>
      <c r="DC195" s="133">
        <f>DC194/CW194-1</f>
        <v>-0.16347300530402442</v>
      </c>
      <c r="DD195" s="133">
        <f ca="1">DD194/CX194-1</f>
        <v>-0.14807373920005362</v>
      </c>
      <c r="DE195" s="153">
        <f ca="1">DE194/CY194-1</f>
        <v>-0.14769484521973408</v>
      </c>
      <c r="DG195" s="151">
        <f>DG194/DA194-1</f>
        <v>-5.5501848728677583E-2</v>
      </c>
      <c r="DH195" s="133">
        <f>DH194/DB194-1</f>
        <v>-4.9739272549624736E-2</v>
      </c>
      <c r="DI195" s="133">
        <f>DI194/DC194-1</f>
        <v>-6.5082297072423967E-2</v>
      </c>
      <c r="DJ195" s="133">
        <f ca="1">DJ194/DD194-1</f>
        <v>-5.6491727350709509E-2</v>
      </c>
      <c r="DK195" s="153">
        <f ca="1">DK194/DE194-1</f>
        <v>-5.633422192684101E-2</v>
      </c>
    </row>
    <row r="196" spans="2:115" ht="15" x14ac:dyDescent="0.3">
      <c r="B196" s="39"/>
      <c r="C196" s="144"/>
      <c r="D196" s="107"/>
      <c r="E196" s="107"/>
      <c r="F196" s="107"/>
      <c r="G196" s="138"/>
      <c r="I196" s="144"/>
      <c r="J196" s="107"/>
      <c r="K196" s="107"/>
      <c r="L196" s="107"/>
      <c r="M196" s="138"/>
      <c r="O196" s="144"/>
      <c r="P196" s="107"/>
      <c r="Q196" s="107"/>
      <c r="R196" s="107"/>
      <c r="S196" s="138"/>
      <c r="U196" s="144"/>
      <c r="V196" s="107"/>
      <c r="W196" s="107"/>
      <c r="X196" s="107"/>
      <c r="Y196" s="138"/>
      <c r="AA196" s="144"/>
      <c r="AB196" s="107"/>
      <c r="AC196" s="107"/>
      <c r="AD196" s="107"/>
      <c r="AE196" s="138"/>
      <c r="AF196" s="103"/>
      <c r="AG196" s="144"/>
      <c r="AH196" s="107"/>
      <c r="AI196" s="107"/>
      <c r="AJ196" s="107"/>
      <c r="AK196" s="138"/>
      <c r="AL196" s="103"/>
      <c r="AM196" s="144"/>
      <c r="AN196" s="107"/>
      <c r="AO196" s="107"/>
      <c r="AP196" s="107"/>
      <c r="AQ196" s="138"/>
      <c r="AS196" s="144"/>
      <c r="AT196" s="107"/>
      <c r="AU196" s="107"/>
      <c r="AV196" s="107"/>
      <c r="AW196" s="138"/>
      <c r="AY196" s="144"/>
      <c r="AZ196" s="107"/>
      <c r="BA196" s="107"/>
      <c r="BB196" s="107"/>
      <c r="BC196" s="138"/>
      <c r="BD196" s="103"/>
      <c r="BE196" s="144"/>
      <c r="BF196" s="107"/>
      <c r="BG196" s="107"/>
      <c r="BH196" s="107"/>
      <c r="BI196" s="138"/>
      <c r="BJ196" s="103"/>
      <c r="BK196" s="144"/>
      <c r="BL196" s="107"/>
      <c r="BM196" s="107"/>
      <c r="BN196" s="107"/>
      <c r="BO196" s="138"/>
      <c r="BQ196" s="144"/>
      <c r="BR196" s="107"/>
      <c r="BS196" s="107"/>
      <c r="BT196" s="107"/>
      <c r="BU196" s="138"/>
      <c r="BV196" s="103"/>
      <c r="BW196" s="144"/>
      <c r="BX196" s="107"/>
      <c r="BY196" s="107"/>
      <c r="BZ196" s="107"/>
      <c r="CA196" s="138"/>
      <c r="CB196" s="103"/>
      <c r="CC196" s="144"/>
      <c r="CD196" s="107"/>
      <c r="CE196" s="107"/>
      <c r="CF196" s="107"/>
      <c r="CG196" s="138"/>
      <c r="CI196" s="144"/>
      <c r="CJ196" s="107"/>
      <c r="CK196" s="107"/>
      <c r="CL196" s="107"/>
      <c r="CM196" s="138"/>
      <c r="CN196" s="103"/>
      <c r="CO196" s="144"/>
      <c r="CP196" s="107"/>
      <c r="CQ196" s="107"/>
      <c r="CR196" s="107"/>
      <c r="CS196" s="138"/>
      <c r="CU196" s="144"/>
      <c r="CV196" s="107"/>
      <c r="CW196" s="107"/>
      <c r="CX196" s="107"/>
      <c r="CY196" s="138"/>
      <c r="DA196" s="144"/>
      <c r="DB196" s="107"/>
      <c r="DC196" s="107"/>
      <c r="DD196" s="107"/>
      <c r="DE196" s="138"/>
      <c r="DG196" s="144"/>
      <c r="DH196" s="107"/>
      <c r="DI196" s="107"/>
      <c r="DJ196" s="107"/>
      <c r="DK196" s="138"/>
    </row>
    <row r="197" spans="2:115" ht="15" x14ac:dyDescent="0.3">
      <c r="B197" s="39" t="s">
        <v>24</v>
      </c>
      <c r="C197" s="144"/>
      <c r="D197" s="107"/>
      <c r="E197" s="107"/>
      <c r="F197" s="107"/>
      <c r="G197" s="138"/>
      <c r="I197" s="171">
        <f>I194/I176</f>
        <v>9.8895004233700262E-2</v>
      </c>
      <c r="J197" s="165">
        <f>J194/J176</f>
        <v>9.944727744165946E-2</v>
      </c>
      <c r="K197" s="165">
        <f>K194/K176</f>
        <v>0.12310868180853321</v>
      </c>
      <c r="L197" s="165">
        <f>L194/L176</f>
        <v>0.21274491761181255</v>
      </c>
      <c r="M197" s="173">
        <f>M194/M176</f>
        <v>0.13371010103128719</v>
      </c>
      <c r="O197" s="171">
        <f>O194/O176</f>
        <v>0.14458086367485182</v>
      </c>
      <c r="P197" s="165">
        <f>P194/P176</f>
        <v>0.1205704407951599</v>
      </c>
      <c r="Q197" s="165">
        <f>Q194/Q176</f>
        <v>0.14455529611547444</v>
      </c>
      <c r="R197" s="165">
        <f>R194/R176</f>
        <v>0.16520436550395892</v>
      </c>
      <c r="S197" s="173">
        <f>S194/S176</f>
        <v>0.14378736122971819</v>
      </c>
      <c r="U197" s="171">
        <f>U194/U176</f>
        <v>0.12732278045423262</v>
      </c>
      <c r="V197" s="165">
        <f>V194/V176</f>
        <v>0.15985130111524162</v>
      </c>
      <c r="W197" s="165">
        <f>W194/W176</f>
        <v>0.16176129779837775</v>
      </c>
      <c r="X197" s="165">
        <f>X194/X176</f>
        <v>0.21201255042581801</v>
      </c>
      <c r="Y197" s="173">
        <f>Y194/Y176</f>
        <v>0.16553899082568807</v>
      </c>
      <c r="AA197" s="350">
        <f>U197+AA198</f>
        <v>0.14982278045423261</v>
      </c>
      <c r="AB197" s="349">
        <f>V197+AB198</f>
        <v>0.15235130111524162</v>
      </c>
      <c r="AC197" s="349">
        <f>W197+AC198</f>
        <v>0.22526129779837775</v>
      </c>
      <c r="AD197" s="349">
        <f>X197+AD198</f>
        <v>0.182612550425818</v>
      </c>
      <c r="AE197" s="173">
        <f>AE194/AE176</f>
        <v>0.17744832271442965</v>
      </c>
      <c r="AF197" s="103"/>
      <c r="AG197" s="350">
        <f>AA197+AG198</f>
        <v>0.1925827804542326</v>
      </c>
      <c r="AH197" s="349">
        <f>AB197+AH198</f>
        <v>0.17985130111524161</v>
      </c>
      <c r="AI197" s="349">
        <f>AC197+AI198</f>
        <v>0.14026129779837776</v>
      </c>
      <c r="AJ197" s="349">
        <v>0.20319999999999999</v>
      </c>
      <c r="AK197" s="173">
        <f>AK194/AK176</f>
        <v>0.17895869313049595</v>
      </c>
      <c r="AL197" s="103"/>
      <c r="AM197" s="350">
        <f>AG197+AM198</f>
        <v>0.13258278045423261</v>
      </c>
      <c r="AN197" s="349">
        <v>0.14000000000000001</v>
      </c>
      <c r="AO197" s="349">
        <v>0.18329999999999999</v>
      </c>
      <c r="AP197" s="349">
        <f>AJ197+AP198</f>
        <v>0.27389999999999998</v>
      </c>
      <c r="AQ197" s="173">
        <f>AQ194/AQ176</f>
        <v>0.18239236820207835</v>
      </c>
      <c r="AS197" s="350">
        <f>AM197+AS198</f>
        <v>0.16418278045423262</v>
      </c>
      <c r="AT197" s="349">
        <v>0.23699999999999999</v>
      </c>
      <c r="AU197" s="349">
        <f>AO197+AU198</f>
        <v>0.21459999999999999</v>
      </c>
      <c r="AV197" s="349">
        <f>AP197+AV198</f>
        <v>0.22414999999999996</v>
      </c>
      <c r="AW197" s="173">
        <f>AW194/AW176</f>
        <v>0.20993164037224413</v>
      </c>
      <c r="AY197" s="350">
        <f>AS197+AY198</f>
        <v>0.22518278045423262</v>
      </c>
      <c r="AZ197" s="349">
        <f>AT197+AZ198</f>
        <v>0.23499999999999999</v>
      </c>
      <c r="BA197" s="349">
        <f>AU197+BA198</f>
        <v>0.23379999999999998</v>
      </c>
      <c r="BB197" s="349">
        <f>AV197+BB198</f>
        <v>0.20264999999999997</v>
      </c>
      <c r="BC197" s="173">
        <f>BC194/BC176</f>
        <v>0.22406151126006588</v>
      </c>
      <c r="BD197" s="103"/>
      <c r="BE197" s="350">
        <v>0.21099999999999999</v>
      </c>
      <c r="BF197" s="349">
        <v>0.21525</v>
      </c>
      <c r="BG197" s="349">
        <v>0.2296</v>
      </c>
      <c r="BH197" s="349">
        <v>0.27450000000000002</v>
      </c>
      <c r="BI197" s="173">
        <f>BI194/BI176</f>
        <v>0.23273014328098995</v>
      </c>
      <c r="BJ197" s="103"/>
      <c r="BK197" s="350">
        <v>0.24875</v>
      </c>
      <c r="BL197" s="349">
        <v>0.26200000000000001</v>
      </c>
      <c r="BM197" s="349">
        <v>0.23</v>
      </c>
      <c r="BN197" s="349">
        <v>0.24709999999999999</v>
      </c>
      <c r="BO197" s="173">
        <f>BO194/BO176</f>
        <v>0.24694666400754225</v>
      </c>
      <c r="BQ197" s="350">
        <f>BK197+BQ198</f>
        <v>0.24875</v>
      </c>
      <c r="BR197" s="349">
        <f>BL197+BR198</f>
        <v>0.26200000000000001</v>
      </c>
      <c r="BS197" s="349">
        <f>BM197+BS198</f>
        <v>0.23</v>
      </c>
      <c r="BT197" s="349">
        <f>BN197+BT198</f>
        <v>0.24709999999999999</v>
      </c>
      <c r="BU197" s="173">
        <f ca="1">BU194/BU176</f>
        <v>0.24694517987287401</v>
      </c>
      <c r="BV197" s="103"/>
      <c r="BW197" s="350">
        <f>BQ197+BW198</f>
        <v>0.24374999999999999</v>
      </c>
      <c r="BX197" s="349">
        <f>BR197+BX198</f>
        <v>0.25700000000000001</v>
      </c>
      <c r="BY197" s="349">
        <f>BS197+BY198</f>
        <v>0.22500000000000001</v>
      </c>
      <c r="BZ197" s="349">
        <f>BT197+BZ198</f>
        <v>0.24209999999999998</v>
      </c>
      <c r="CA197" s="173">
        <f ca="1">CA194/CA176</f>
        <v>0.24194770731499557</v>
      </c>
      <c r="CB197" s="103"/>
      <c r="CC197" s="350">
        <f>BW197+CC198</f>
        <v>0.24124999999999999</v>
      </c>
      <c r="CD197" s="349">
        <f>BX197+CD198</f>
        <v>0.2545</v>
      </c>
      <c r="CE197" s="349">
        <f>BY197+CE198</f>
        <v>0.2225</v>
      </c>
      <c r="CF197" s="349">
        <f>BZ197+CF198</f>
        <v>0.23959999999999998</v>
      </c>
      <c r="CG197" s="173">
        <f ca="1">CG194/CG176</f>
        <v>0.23944596766309742</v>
      </c>
      <c r="CI197" s="350">
        <f>CC197+CI198</f>
        <v>0.23874999999999999</v>
      </c>
      <c r="CJ197" s="349">
        <f>CD197+CJ198</f>
        <v>0.252</v>
      </c>
      <c r="CK197" s="349">
        <f>CE197+CK198</f>
        <v>0.22</v>
      </c>
      <c r="CL197" s="349">
        <f>CF197+CL198</f>
        <v>0.23709999999999998</v>
      </c>
      <c r="CM197" s="173">
        <f ca="1">CM194/CM176</f>
        <v>0.23694514774788578</v>
      </c>
      <c r="CN197" s="103"/>
      <c r="CO197" s="350">
        <f>CI197+CO198</f>
        <v>0.23374999999999999</v>
      </c>
      <c r="CP197" s="349">
        <f>CJ197+CP198</f>
        <v>0.247</v>
      </c>
      <c r="CQ197" s="349">
        <f>CK197+CQ198</f>
        <v>0.215</v>
      </c>
      <c r="CR197" s="349">
        <f>CL197+CR198</f>
        <v>0.23209999999999997</v>
      </c>
      <c r="CS197" s="173">
        <f ca="1">CS194/CS176</f>
        <v>0.2319446376304419</v>
      </c>
      <c r="CU197" s="350">
        <f>CO197+CU198</f>
        <v>0.19874999999999998</v>
      </c>
      <c r="CV197" s="349">
        <f>CP197+CV198</f>
        <v>0.21199999999999999</v>
      </c>
      <c r="CW197" s="349">
        <f>CQ197+CW198</f>
        <v>0.18</v>
      </c>
      <c r="CX197" s="349">
        <f>CR197+CX198</f>
        <v>0.19709999999999997</v>
      </c>
      <c r="CY197" s="173">
        <f ca="1">CY194/CY176</f>
        <v>0.19694523730460689</v>
      </c>
      <c r="DA197" s="350">
        <f>CU197+DA198</f>
        <v>0.16624999999999998</v>
      </c>
      <c r="DB197" s="349">
        <f>CV197+DB198</f>
        <v>0.17949999999999999</v>
      </c>
      <c r="DC197" s="349">
        <f>CW197+DC198</f>
        <v>0.14749999999999999</v>
      </c>
      <c r="DD197" s="349">
        <f>CX197+DD198</f>
        <v>0.16459999999999997</v>
      </c>
      <c r="DE197" s="173">
        <f ca="1">DE194/DE176</f>
        <v>0.16444570320802598</v>
      </c>
      <c r="DG197" s="350">
        <f>DA197+DG198</f>
        <v>0.15374999999999997</v>
      </c>
      <c r="DH197" s="349">
        <f>DB197+DH198</f>
        <v>0.16699999999999998</v>
      </c>
      <c r="DI197" s="349">
        <f>DC197+DI198</f>
        <v>0.13499999999999998</v>
      </c>
      <c r="DJ197" s="349">
        <f>DD197+DJ198</f>
        <v>0.15209999999999996</v>
      </c>
      <c r="DK197" s="173">
        <f ca="1">DK194/DK176</f>
        <v>0.15194524770327009</v>
      </c>
    </row>
    <row r="198" spans="2:115" ht="15.75" thickBot="1" x14ac:dyDescent="0.35">
      <c r="B198" s="41" t="s">
        <v>40</v>
      </c>
      <c r="C198" s="155"/>
      <c r="D198" s="106"/>
      <c r="E198" s="106"/>
      <c r="F198" s="106"/>
      <c r="G198" s="108"/>
      <c r="I198" s="155" t="s">
        <v>35</v>
      </c>
      <c r="J198" s="106" t="s">
        <v>35</v>
      </c>
      <c r="K198" s="106" t="s">
        <v>35</v>
      </c>
      <c r="L198" s="106" t="s">
        <v>35</v>
      </c>
      <c r="M198" s="108" t="s">
        <v>35</v>
      </c>
      <c r="O198" s="174">
        <f>O197-I197</f>
        <v>4.5685859441151555E-2</v>
      </c>
      <c r="P198" s="175">
        <f>P197-J197</f>
        <v>2.1123163353500438E-2</v>
      </c>
      <c r="Q198" s="175">
        <v>0</v>
      </c>
      <c r="R198" s="175">
        <v>0</v>
      </c>
      <c r="S198" s="177">
        <f>S197-M197</f>
        <v>1.0077260198430998E-2</v>
      </c>
      <c r="U198" s="174">
        <f>U197-O197</f>
        <v>-1.7258083220619197E-2</v>
      </c>
      <c r="V198" s="175">
        <f>V197-P197</f>
        <v>3.9280860320081726E-2</v>
      </c>
      <c r="W198" s="175">
        <f>W197-Q197</f>
        <v>1.7206001682903316E-2</v>
      </c>
      <c r="X198" s="175">
        <f>X197-R197</f>
        <v>4.6808184921859092E-2</v>
      </c>
      <c r="Y198" s="177">
        <f>Y197-S197</f>
        <v>2.1751629595969879E-2</v>
      </c>
      <c r="AA198" s="174">
        <v>2.2499999999999999E-2</v>
      </c>
      <c r="AB198" s="175">
        <v>-7.4999999999999997E-3</v>
      </c>
      <c r="AC198" s="175">
        <v>6.3500000000000001E-2</v>
      </c>
      <c r="AD198" s="175">
        <v>-2.9399999999999999E-2</v>
      </c>
      <c r="AE198" s="177">
        <f>AE197-Y197</f>
        <v>1.1909331888741576E-2</v>
      </c>
      <c r="AF198" s="103"/>
      <c r="AG198" s="174">
        <v>4.2759999999999999E-2</v>
      </c>
      <c r="AH198" s="175">
        <v>2.75E-2</v>
      </c>
      <c r="AI198" s="175">
        <v>-8.5000000000000006E-2</v>
      </c>
      <c r="AJ198" s="175">
        <v>0.02</v>
      </c>
      <c r="AK198" s="177">
        <f>AK197-AE197</f>
        <v>1.5103704160663034E-3</v>
      </c>
      <c r="AL198" s="103"/>
      <c r="AM198" s="174">
        <v>-0.06</v>
      </c>
      <c r="AN198" s="175">
        <f>AN197-AH197</f>
        <v>-3.98513011152416E-2</v>
      </c>
      <c r="AO198" s="175">
        <f>AO197-AI197</f>
        <v>4.3038702201622231E-2</v>
      </c>
      <c r="AP198" s="175">
        <v>7.0699999999999999E-2</v>
      </c>
      <c r="AQ198" s="177">
        <f>AQ197-AK197</f>
        <v>3.4336750715824038E-3</v>
      </c>
      <c r="AS198" s="174">
        <v>3.1600000000000003E-2</v>
      </c>
      <c r="AT198" s="175">
        <f>AT197-AN197</f>
        <v>9.6999999999999975E-2</v>
      </c>
      <c r="AU198" s="175">
        <v>3.1300000000000001E-2</v>
      </c>
      <c r="AV198" s="175">
        <v>-4.9750000000000003E-2</v>
      </c>
      <c r="AW198" s="177">
        <f>AW197-AQ197</f>
        <v>2.7539272170165774E-2</v>
      </c>
      <c r="AY198" s="174">
        <v>6.0999999999999999E-2</v>
      </c>
      <c r="AZ198" s="175">
        <v>-2E-3</v>
      </c>
      <c r="BA198" s="175">
        <v>1.9199999999999998E-2</v>
      </c>
      <c r="BB198" s="175">
        <v>-2.1499999999999998E-2</v>
      </c>
      <c r="BC198" s="177">
        <f>BC197-AW197</f>
        <v>1.4129870887821749E-2</v>
      </c>
      <c r="BD198" s="103"/>
      <c r="BE198" s="174">
        <v>-8.0000000000000002E-3</v>
      </c>
      <c r="BF198" s="175">
        <v>-1.6899999999999998E-2</v>
      </c>
      <c r="BG198" s="175">
        <v>2.5000000000000001E-3</v>
      </c>
      <c r="BH198" s="175">
        <v>7.5999999999999998E-2</v>
      </c>
      <c r="BI198" s="177">
        <v>1.3632499969155332E-2</v>
      </c>
      <c r="BJ198" s="103"/>
      <c r="BK198" s="174">
        <f>BK197-BE197</f>
        <v>3.7750000000000006E-2</v>
      </c>
      <c r="BL198" s="175">
        <f>BL197-BF197</f>
        <v>4.6750000000000014E-2</v>
      </c>
      <c r="BM198" s="175">
        <f>BM197-BG197</f>
        <v>4.0000000000001146E-4</v>
      </c>
      <c r="BN198" s="175">
        <v>0</v>
      </c>
      <c r="BO198" s="177">
        <f>BO197-BI197</f>
        <v>1.4216520726552301E-2</v>
      </c>
      <c r="BQ198" s="174">
        <v>0</v>
      </c>
      <c r="BR198" s="175">
        <f>BQ198</f>
        <v>0</v>
      </c>
      <c r="BS198" s="175">
        <f>BR198</f>
        <v>0</v>
      </c>
      <c r="BT198" s="175">
        <f>BS198</f>
        <v>0</v>
      </c>
      <c r="BU198" s="177">
        <f ca="1">BU197-BO197</f>
        <v>-1.4841346682448187E-6</v>
      </c>
      <c r="BV198" s="103"/>
      <c r="BW198" s="174">
        <v>-5.0000000000000001E-3</v>
      </c>
      <c r="BX198" s="175">
        <f>BW198</f>
        <v>-5.0000000000000001E-3</v>
      </c>
      <c r="BY198" s="175">
        <f>BX198</f>
        <v>-5.0000000000000001E-3</v>
      </c>
      <c r="BZ198" s="175">
        <f>BY198</f>
        <v>-5.0000000000000001E-3</v>
      </c>
      <c r="CA198" s="177">
        <f ca="1">CA197-BU197</f>
        <v>-4.9974725578784407E-3</v>
      </c>
      <c r="CB198" s="103"/>
      <c r="CC198" s="174">
        <v>-2.5000000000000001E-3</v>
      </c>
      <c r="CD198" s="175">
        <f>CC198</f>
        <v>-2.5000000000000001E-3</v>
      </c>
      <c r="CE198" s="175">
        <f>CD198</f>
        <v>-2.5000000000000001E-3</v>
      </c>
      <c r="CF198" s="175">
        <f>CE198</f>
        <v>-2.5000000000000001E-3</v>
      </c>
      <c r="CG198" s="177">
        <f ca="1">CG197-CA197</f>
        <v>-2.5017396518981494E-3</v>
      </c>
      <c r="CI198" s="174">
        <v>-2.5000000000000001E-3</v>
      </c>
      <c r="CJ198" s="175">
        <f>CI198</f>
        <v>-2.5000000000000001E-3</v>
      </c>
      <c r="CK198" s="175">
        <f>CJ198</f>
        <v>-2.5000000000000001E-3</v>
      </c>
      <c r="CL198" s="175">
        <f>CK198</f>
        <v>-2.5000000000000001E-3</v>
      </c>
      <c r="CM198" s="177">
        <f ca="1">CM197-CG197</f>
        <v>-2.5008199152116439E-3</v>
      </c>
      <c r="CN198" s="103"/>
      <c r="CO198" s="174">
        <v>-5.0000000000000001E-3</v>
      </c>
      <c r="CP198" s="175">
        <f>CO198</f>
        <v>-5.0000000000000001E-3</v>
      </c>
      <c r="CQ198" s="175">
        <f>CP198</f>
        <v>-5.0000000000000001E-3</v>
      </c>
      <c r="CR198" s="175">
        <f>CQ198</f>
        <v>-5.0000000000000001E-3</v>
      </c>
      <c r="CS198" s="177">
        <f ca="1">CS197-CM197</f>
        <v>-5.0005101174438737E-3</v>
      </c>
      <c r="CU198" s="174">
        <v>-3.5000000000000003E-2</v>
      </c>
      <c r="CV198" s="175">
        <f>CU198</f>
        <v>-3.5000000000000003E-2</v>
      </c>
      <c r="CW198" s="175">
        <f>CV198</f>
        <v>-3.5000000000000003E-2</v>
      </c>
      <c r="CX198" s="175">
        <f>CW198</f>
        <v>-3.5000000000000003E-2</v>
      </c>
      <c r="CY198" s="177">
        <f ca="1">CY197-CS197</f>
        <v>-3.4999400325835012E-2</v>
      </c>
      <c r="DA198" s="174">
        <v>-3.2500000000000001E-2</v>
      </c>
      <c r="DB198" s="175">
        <f>DA198</f>
        <v>-3.2500000000000001E-2</v>
      </c>
      <c r="DC198" s="175">
        <f>DB198</f>
        <v>-3.2500000000000001E-2</v>
      </c>
      <c r="DD198" s="175">
        <f>DC198</f>
        <v>-3.2500000000000001E-2</v>
      </c>
      <c r="DE198" s="177">
        <f ca="1">DE197-CY197</f>
        <v>-3.2499534096580907E-2</v>
      </c>
      <c r="DG198" s="174">
        <v>-1.2500000000000001E-2</v>
      </c>
      <c r="DH198" s="175">
        <f>DG198</f>
        <v>-1.2500000000000001E-2</v>
      </c>
      <c r="DI198" s="175">
        <f>DH198</f>
        <v>-1.2500000000000001E-2</v>
      </c>
      <c r="DJ198" s="175">
        <f>DI198</f>
        <v>-1.2500000000000001E-2</v>
      </c>
      <c r="DK198" s="177">
        <f ca="1">DK197-DE197</f>
        <v>-1.2500455504755897E-2</v>
      </c>
    </row>
    <row r="199" spans="2:115" ht="13.5" thickBot="1" x14ac:dyDescent="0.25"/>
    <row r="200" spans="2:115" ht="15" x14ac:dyDescent="0.3">
      <c r="B200" s="42" t="s">
        <v>38</v>
      </c>
      <c r="C200" s="198"/>
      <c r="D200" s="199"/>
      <c r="E200" s="199"/>
      <c r="F200" s="200"/>
      <c r="G200" s="167"/>
      <c r="H200" s="197"/>
      <c r="I200" s="198">
        <f>I187-I194</f>
        <v>1069</v>
      </c>
      <c r="J200" s="199">
        <f>J187-J194</f>
        <v>1159</v>
      </c>
      <c r="K200" s="199">
        <f>K187-K194</f>
        <v>1046</v>
      </c>
      <c r="L200" s="199">
        <f>L187-L194</f>
        <v>438</v>
      </c>
      <c r="M200" s="201">
        <f>I200+J200+K200+L200</f>
        <v>3712</v>
      </c>
      <c r="N200" s="197"/>
      <c r="O200" s="198">
        <f>O187-O194</f>
        <v>926</v>
      </c>
      <c r="P200" s="199">
        <f>P187-P194</f>
        <v>1024</v>
      </c>
      <c r="Q200" s="199">
        <f>Q187-Q194</f>
        <v>923</v>
      </c>
      <c r="R200" s="199">
        <f>R187-R194</f>
        <v>680</v>
      </c>
      <c r="S200" s="201">
        <f>O200+P200+Q200+R200</f>
        <v>3553</v>
      </c>
      <c r="T200" s="197"/>
      <c r="U200" s="198">
        <f>U187-U194</f>
        <v>982</v>
      </c>
      <c r="V200" s="199">
        <f>V187-V194</f>
        <v>842</v>
      </c>
      <c r="W200" s="199">
        <f>W187-W194</f>
        <v>897</v>
      </c>
      <c r="X200" s="199">
        <f>X187-X194</f>
        <v>522</v>
      </c>
      <c r="Y200" s="201">
        <f>U200+V200+W200+X200</f>
        <v>3243</v>
      </c>
      <c r="Z200" s="259"/>
      <c r="AA200" s="198">
        <f>AA187-AA194</f>
        <v>945.98640628584531</v>
      </c>
      <c r="AB200" s="199">
        <f>AB187-AB194</f>
        <v>940.83705947955377</v>
      </c>
      <c r="AC200" s="199">
        <f>AC187-AC194</f>
        <v>678.84736546929366</v>
      </c>
      <c r="AD200" s="199">
        <f>AD187-AD194</f>
        <v>704.14781927386821</v>
      </c>
      <c r="AE200" s="201">
        <f>AA200+AB200+AC200+AD200</f>
        <v>3269.8186505085609</v>
      </c>
      <c r="AF200" s="259"/>
      <c r="AG200" s="198">
        <f>AG187-AG194</f>
        <v>786.4714891213581</v>
      </c>
      <c r="AH200" s="199">
        <f>AH187-AH194</f>
        <v>795.31294423791826</v>
      </c>
      <c r="AI200" s="199">
        <f>AI187-AI194</f>
        <v>998.44791378910816</v>
      </c>
      <c r="AJ200" s="199">
        <f>AJ187-AJ194</f>
        <v>617.01287817122375</v>
      </c>
      <c r="AK200" s="201">
        <f>AG200+AH200+AI200+AJ200</f>
        <v>3197.2452253196084</v>
      </c>
      <c r="AL200" s="259"/>
      <c r="AM200" s="198">
        <f>AM187-AM194</f>
        <v>998.85510737325046</v>
      </c>
      <c r="AN200" s="199">
        <f>AN187-AN194</f>
        <v>915.3991078066914</v>
      </c>
      <c r="AO200" s="199">
        <f>AO187-AO194</f>
        <v>830.04544704519128</v>
      </c>
      <c r="AP200" s="199">
        <f>AP187-AP194</f>
        <v>239.37434813984771</v>
      </c>
      <c r="AQ200" s="201">
        <f>AM200+AN200+AO200+AP200</f>
        <v>2983.6740103649809</v>
      </c>
      <c r="AR200" s="259"/>
      <c r="AS200" s="198">
        <f>AS187-AS194</f>
        <v>867.31715226428025</v>
      </c>
      <c r="AT200" s="199">
        <f>AT187-AT194</f>
        <v>558.52976133828986</v>
      </c>
      <c r="AU200" s="199">
        <f>AU187-AU194</f>
        <v>669.61401164542337</v>
      </c>
      <c r="AV200" s="199">
        <f>AV187-AV194</f>
        <v>389.14537483191407</v>
      </c>
      <c r="AW200" s="201">
        <f>AS200+AT200+AU200+AV200</f>
        <v>2484.6063000799077</v>
      </c>
      <c r="AX200" s="259"/>
      <c r="AY200" s="198">
        <f>AY187-AY194</f>
        <v>612.53498593255301</v>
      </c>
      <c r="AZ200" s="199">
        <f>AZ187-AZ194</f>
        <v>538.37009776951675</v>
      </c>
      <c r="BA200" s="199">
        <f>BA187-BA194</f>
        <v>563.64364727694135</v>
      </c>
      <c r="BB200" s="199">
        <f>BB187-BB194</f>
        <v>527.46995779919337</v>
      </c>
      <c r="BC200" s="201">
        <f>AY200+AZ200+BA200+BB200</f>
        <v>2242.0186887782043</v>
      </c>
      <c r="BD200" s="259"/>
      <c r="BE200" s="198">
        <f>BE187-BE194</f>
        <v>538.31600000000003</v>
      </c>
      <c r="BF200" s="199">
        <f>BF187-BF194</f>
        <v>487.17224999999996</v>
      </c>
      <c r="BG200" s="199">
        <f>BG187-BG194</f>
        <v>453.24239999999998</v>
      </c>
      <c r="BH200" s="199">
        <f>BH187-BH194</f>
        <v>214.17149999999992</v>
      </c>
      <c r="BI200" s="201">
        <f>BE200+BF200+BG200+BH200</f>
        <v>1692.9021499999999</v>
      </c>
      <c r="BJ200" s="259"/>
      <c r="BK200" s="198">
        <f>BK187-BK194</f>
        <v>414.03125</v>
      </c>
      <c r="BL200" s="199">
        <f>BL187-BL194</f>
        <v>325.69799999999998</v>
      </c>
      <c r="BM200" s="199">
        <f>BM187-BM194</f>
        <v>516.94999999999993</v>
      </c>
      <c r="BN200" s="199">
        <f>BN187-BN194</f>
        <v>352.17320000000007</v>
      </c>
      <c r="BO200" s="201">
        <f>BK200+BL200+BM200+BN200</f>
        <v>1608.8524499999999</v>
      </c>
      <c r="BP200" s="259"/>
      <c r="BQ200" s="198">
        <f>BQ187-BQ194</f>
        <v>459.53123100096559</v>
      </c>
      <c r="BR200" s="199">
        <f>BR187-BR194</f>
        <v>371.44089841762195</v>
      </c>
      <c r="BS200" s="199">
        <f>BS187-BS194</f>
        <v>529.84979045255022</v>
      </c>
      <c r="BT200" s="199">
        <f ca="1">BT187-BT194</f>
        <v>363.7293783679844</v>
      </c>
      <c r="BU200" s="201">
        <f ca="1">BQ200+BR200+BS200+BT200</f>
        <v>1724.5512982391219</v>
      </c>
      <c r="BV200" s="259"/>
      <c r="BW200" s="198">
        <f>BW187-BW194</f>
        <v>527.61108028440935</v>
      </c>
      <c r="BX200" s="199">
        <f>BX187-BX194</f>
        <v>438.60755411157515</v>
      </c>
      <c r="BY200" s="199">
        <f>BY187-BY194</f>
        <v>599.35679651943144</v>
      </c>
      <c r="BZ200" s="199">
        <f ca="1">BZ187-BZ194</f>
        <v>431.58835799896019</v>
      </c>
      <c r="CA200" s="201">
        <f ca="1">BW200+BX200+BY200+BZ200</f>
        <v>1997.163788914376</v>
      </c>
      <c r="CB200" s="259"/>
      <c r="CC200" s="198">
        <f>CC187-CC194</f>
        <v>571.19045804960706</v>
      </c>
      <c r="CD200" s="199">
        <f>CD187-CD194</f>
        <v>480.9521057857138</v>
      </c>
      <c r="CE200" s="199">
        <f>CE187-CE194</f>
        <v>644.56546077165626</v>
      </c>
      <c r="CF200" s="199">
        <f ca="1">CF187-CF194</f>
        <v>474.71979196998302</v>
      </c>
      <c r="CG200" s="201">
        <f ca="1">CC200+CD200+CE200+CF200</f>
        <v>2171.4278165769601</v>
      </c>
      <c r="CH200" s="259"/>
      <c r="CI200" s="198">
        <f>CI187-CI194</f>
        <v>608.52417051367752</v>
      </c>
      <c r="CJ200" s="199">
        <f>CJ187-CJ194</f>
        <v>516.80730570303899</v>
      </c>
      <c r="CK200" s="199">
        <f>CK187-CK194</f>
        <v>683.60335596539483</v>
      </c>
      <c r="CL200" s="199">
        <f ca="1">CL187-CL194</f>
        <v>510.9575116908876</v>
      </c>
      <c r="CM200" s="201">
        <f ca="1">CI200+CJ200+CK200+CL200</f>
        <v>2319.8923438729989</v>
      </c>
      <c r="CN200" s="259"/>
      <c r="CO200" s="198">
        <f>CO187-CO194</f>
        <v>648.23349315561097</v>
      </c>
      <c r="CP200" s="199">
        <f>CP187-CP194</f>
        <v>554.81440290702733</v>
      </c>
      <c r="CQ200" s="199">
        <f>CQ187-CQ194</f>
        <v>725.12579942839909</v>
      </c>
      <c r="CR200" s="199">
        <f ca="1">CR187-CR194</f>
        <v>549.25769458712432</v>
      </c>
      <c r="CS200" s="201">
        <f ca="1">CO200+CP200+CQ200+CR200</f>
        <v>2477.4313900781617</v>
      </c>
      <c r="CT200" s="259"/>
      <c r="CU200" s="198">
        <f>CU187-CU194</f>
        <v>801.17286941779832</v>
      </c>
      <c r="CV200" s="199">
        <f>CV187-CV194</f>
        <v>705.95915557472915</v>
      </c>
      <c r="CW200" s="199">
        <f>CW187-CW194</f>
        <v>880.30565425577413</v>
      </c>
      <c r="CX200" s="199">
        <f ca="1">CX187-CX194</f>
        <v>702.81017793341027</v>
      </c>
      <c r="CY200" s="201">
        <f ca="1">CU200+CV200+CW200+CX200</f>
        <v>3090.2478571817119</v>
      </c>
      <c r="CZ200" s="259"/>
      <c r="DA200" s="198">
        <f>DA187-DA194</f>
        <v>950.61892377650406</v>
      </c>
      <c r="DB200" s="199">
        <f>DB187-DB194</f>
        <v>853.5798996249257</v>
      </c>
      <c r="DC200" s="199">
        <f>DC187-DC194</f>
        <v>1032.0089653773339</v>
      </c>
      <c r="DD200" s="199">
        <f ca="1">DD187-DD194</f>
        <v>852.57932775496943</v>
      </c>
      <c r="DE200" s="201">
        <f ca="1">DA200+DB200+DC200+DD200</f>
        <v>3688.7871165337328</v>
      </c>
      <c r="DF200" s="259"/>
      <c r="DG200" s="198">
        <f>DG187-DG194</f>
        <v>1027.7591564856334</v>
      </c>
      <c r="DH200" s="199">
        <f>DH187-DH194</f>
        <v>928.85619452673643</v>
      </c>
      <c r="DI200" s="199">
        <f>DI187-DI194</f>
        <v>1111.4314198412474</v>
      </c>
      <c r="DJ200" s="199">
        <f ca="1">DJ187-DJ194</f>
        <v>928.72257658767046</v>
      </c>
      <c r="DK200" s="201">
        <f ca="1">DG200+DH200+DI200+DJ200</f>
        <v>3996.7693474412877</v>
      </c>
    </row>
    <row r="201" spans="2:115" ht="15.75" thickBot="1" x14ac:dyDescent="0.35">
      <c r="B201" s="41" t="s">
        <v>23</v>
      </c>
      <c r="C201" s="155" t="s">
        <v>35</v>
      </c>
      <c r="D201" s="106" t="s">
        <v>35</v>
      </c>
      <c r="E201" s="106" t="s">
        <v>35</v>
      </c>
      <c r="F201" s="106" t="s">
        <v>35</v>
      </c>
      <c r="G201" s="108" t="s">
        <v>35</v>
      </c>
      <c r="I201" s="155" t="s">
        <v>35</v>
      </c>
      <c r="J201" s="106" t="s">
        <v>35</v>
      </c>
      <c r="K201" s="106" t="s">
        <v>35</v>
      </c>
      <c r="L201" s="106" t="s">
        <v>35</v>
      </c>
      <c r="M201" s="108" t="s">
        <v>35</v>
      </c>
      <c r="O201" s="109">
        <f>O200/I200-1</f>
        <v>-0.13376987839101961</v>
      </c>
      <c r="P201" s="110">
        <f>P200/J200-1</f>
        <v>-0.11647972389991368</v>
      </c>
      <c r="Q201" s="110">
        <f>Q200/K200-1</f>
        <v>-0.11759082217973227</v>
      </c>
      <c r="R201" s="120">
        <f>R200/L200-1</f>
        <v>0.55251141552511407</v>
      </c>
      <c r="S201" s="122">
        <f>S200/M200-1</f>
        <v>-4.28340517241379E-2</v>
      </c>
      <c r="T201" s="107"/>
      <c r="U201" s="109">
        <f>U200/O200-1</f>
        <v>6.0475161987040948E-2</v>
      </c>
      <c r="V201" s="110">
        <f>V200/P200-1</f>
        <v>-0.177734375</v>
      </c>
      <c r="W201" s="110">
        <f>W200/Q200-1</f>
        <v>-2.8169014084507005E-2</v>
      </c>
      <c r="X201" s="120">
        <f>X200/R200-1</f>
        <v>-0.23235294117647054</v>
      </c>
      <c r="Y201" s="122">
        <f>Y200/S200-1</f>
        <v>-8.7250211089220375E-2</v>
      </c>
      <c r="AA201" s="109">
        <f>AA200/U200-1</f>
        <v>-3.6673720686511868E-2</v>
      </c>
      <c r="AB201" s="110">
        <f>AB200/V200-1</f>
        <v>0.11738368109210673</v>
      </c>
      <c r="AC201" s="110">
        <f>AC200/W200-1</f>
        <v>-0.24320249111561465</v>
      </c>
      <c r="AD201" s="120">
        <f>AD200/X200-1</f>
        <v>0.34894218251698894</v>
      </c>
      <c r="AE201" s="122">
        <f>AE200/Y200-1</f>
        <v>8.2697041346164735E-3</v>
      </c>
      <c r="AG201" s="109">
        <f>AG200/AA200-1</f>
        <v>-0.1686228428913461</v>
      </c>
      <c r="AH201" s="110">
        <f>AH200/AB200-1</f>
        <v>-0.15467515206313787</v>
      </c>
      <c r="AI201" s="110">
        <f>AI200/AC200-1</f>
        <v>0.47079883428415692</v>
      </c>
      <c r="AJ201" s="120">
        <f>AJ200/AD200-1</f>
        <v>-0.1237452402998277</v>
      </c>
      <c r="AK201" s="122">
        <f>AK200/AE200-1</f>
        <v>-2.2194938908206785E-2</v>
      </c>
      <c r="AM201" s="109">
        <f>AM200/AG200-1</f>
        <v>0.27004617610381043</v>
      </c>
      <c r="AN201" s="110">
        <f>AN200/AH200-1</f>
        <v>0.15099234136550077</v>
      </c>
      <c r="AO201" s="110">
        <f>AO200/AI200-1</f>
        <v>-0.16866424819781511</v>
      </c>
      <c r="AP201" s="120">
        <f>AP200/AJ200-1</f>
        <v>-0.61204318968295457</v>
      </c>
      <c r="AQ201" s="122">
        <f>AQ200/AK200-1</f>
        <v>-6.6798509311489562E-2</v>
      </c>
      <c r="AS201" s="109">
        <f>AS200/AM200-1</f>
        <v>-0.13168872455874359</v>
      </c>
      <c r="AT201" s="110">
        <f>AT200/AN200-1</f>
        <v>-0.38985109710611943</v>
      </c>
      <c r="AU201" s="110">
        <f>AU200/AO200-1</f>
        <v>-0.19328030286880582</v>
      </c>
      <c r="AV201" s="120">
        <f>AV200/AP200-1</f>
        <v>0.62567701115813312</v>
      </c>
      <c r="AW201" s="122">
        <f>AW200/AQ200-1</f>
        <v>-0.16726616532213723</v>
      </c>
      <c r="AY201" s="109">
        <f>AY200/AS200-1</f>
        <v>-0.29375893889170146</v>
      </c>
      <c r="AZ201" s="110">
        <f>AZ200/AT200-1</f>
        <v>-3.6094161787312173E-2</v>
      </c>
      <c r="BA201" s="110">
        <f>BA200/AU200-1</f>
        <v>-0.15825589447879695</v>
      </c>
      <c r="BB201" s="120">
        <f>BB200/AV200-1</f>
        <v>0.35545734811065577</v>
      </c>
      <c r="BC201" s="122">
        <f>BC200/AW200-1</f>
        <v>-9.763623769846419E-2</v>
      </c>
      <c r="BE201" s="109">
        <v>2.957291084447089E-2</v>
      </c>
      <c r="BF201" s="110">
        <v>0.13200429955605975</v>
      </c>
      <c r="BG201" s="110">
        <v>1.1528789511080939E-2</v>
      </c>
      <c r="BH201" s="120">
        <v>-0.40572995473548712</v>
      </c>
      <c r="BI201" s="122">
        <v>-5.2778606859816835E-2</v>
      </c>
      <c r="BK201" s="109">
        <f>BK200/BE200-1</f>
        <v>-0.23087693845250745</v>
      </c>
      <c r="BL201" s="110">
        <f>BL200/BF200-1</f>
        <v>-0.33145206854454456</v>
      </c>
      <c r="BM201" s="110">
        <f>BM200/BG200-1</f>
        <v>0.14055966520343199</v>
      </c>
      <c r="BN201" s="120">
        <f>BN200/BH200-1</f>
        <v>0.64435137261493791</v>
      </c>
      <c r="BO201" s="122">
        <f>BO200/BI200-1</f>
        <v>-4.9648291840139747E-2</v>
      </c>
      <c r="BQ201" s="109">
        <f>BQ200/BK200-1</f>
        <v>0.10989504053369292</v>
      </c>
      <c r="BR201" s="110">
        <f>BR200/BL200-1</f>
        <v>0.14044574549927225</v>
      </c>
      <c r="BS201" s="110">
        <f>BS200/BM200-1</f>
        <v>2.4953652098946399E-2</v>
      </c>
      <c r="BT201" s="120">
        <f ca="1">BT200/BN200-1</f>
        <v>3.2813906248358338E-2</v>
      </c>
      <c r="BU201" s="122">
        <f ca="1">BU200/BO200-1</f>
        <v>7.1913896292430168E-2</v>
      </c>
      <c r="BW201" s="109">
        <f>BW200/BQ200-1</f>
        <v>0.14815064720443494</v>
      </c>
      <c r="BX201" s="110">
        <f>BX200/BR200-1</f>
        <v>0.18082730248631851</v>
      </c>
      <c r="BY201" s="110">
        <f>BY200/BS200-1</f>
        <v>0.13118247344688871</v>
      </c>
      <c r="BZ201" s="120">
        <f ca="1">BZ200/BT200-1</f>
        <v>0.18656447256323339</v>
      </c>
      <c r="CA201" s="122">
        <f ca="1">CA200/BU200-1</f>
        <v>0.15807734507730165</v>
      </c>
      <c r="CC201" s="109">
        <f>CC200/BW200-1</f>
        <v>8.2597540866098162E-2</v>
      </c>
      <c r="CD201" s="110">
        <f>CD200/BX200-1</f>
        <v>9.6543142673203519E-2</v>
      </c>
      <c r="CE201" s="110">
        <f>CE200/BY200-1</f>
        <v>7.5428633686577706E-2</v>
      </c>
      <c r="CF201" s="120">
        <f ca="1">CF200/BZ200-1</f>
        <v>9.9936509341910451E-2</v>
      </c>
      <c r="CG201" s="122">
        <f ca="1">CG200/CA200-1</f>
        <v>8.7255751696414974E-2</v>
      </c>
      <c r="CI201" s="109">
        <f>CI200/CC200-1</f>
        <v>6.536123273408756E-2</v>
      </c>
      <c r="CJ201" s="110">
        <f>CJ200/CD200-1</f>
        <v>7.4550458322143909E-2</v>
      </c>
      <c r="CK201" s="110">
        <f>CK200/CE200-1</f>
        <v>6.0564671192594455E-2</v>
      </c>
      <c r="CL201" s="120">
        <f ca="1">CL200/CF200-1</f>
        <v>7.6334967140354593E-2</v>
      </c>
      <c r="CM201" s="122">
        <f ca="1">CM200/CG200-1</f>
        <v>6.8371845549108912E-2</v>
      </c>
      <c r="CO201" s="109">
        <f>CO200/CI200-1</f>
        <v>6.5255128006523222E-2</v>
      </c>
      <c r="CP201" s="110">
        <f>CP200/CJ200-1</f>
        <v>7.3542105122305523E-2</v>
      </c>
      <c r="CQ201" s="110">
        <f>CQ200/CK200-1</f>
        <v>6.0740549473116134E-2</v>
      </c>
      <c r="CR201" s="120">
        <f ca="1">CR200/CL200-1</f>
        <v>7.4957666772510478E-2</v>
      </c>
      <c r="CS201" s="122">
        <f ca="1">CS200/CM200-1</f>
        <v>6.7907912460349662E-2</v>
      </c>
      <c r="CU201" s="109">
        <f>CU200/CO200-1</f>
        <v>0.23593254263625907</v>
      </c>
      <c r="CV201" s="110">
        <f>CV200/CP200-1</f>
        <v>0.27242398877130425</v>
      </c>
      <c r="CW201" s="110">
        <f>CW200/CQ200-1</f>
        <v>0.21400404584928556</v>
      </c>
      <c r="CX201" s="120">
        <f ca="1">CX200/CR200-1</f>
        <v>0.27956364536997702</v>
      </c>
      <c r="CY201" s="122">
        <f ca="1">CY200/CS200-1</f>
        <v>0.24735961187777478</v>
      </c>
      <c r="DA201" s="109">
        <f>DA200/CU200-1</f>
        <v>0.18653409278238064</v>
      </c>
      <c r="DB201" s="110">
        <f>DB200/CV200-1</f>
        <v>0.20910663582231881</v>
      </c>
      <c r="DC201" s="110">
        <f>DC200/CW200-1</f>
        <v>0.17233027004672863</v>
      </c>
      <c r="DD201" s="120">
        <f ca="1">DD200/CX200-1</f>
        <v>0.21310042814398389</v>
      </c>
      <c r="DE201" s="122">
        <f ca="1">DE200/CY200-1</f>
        <v>0.19368648956782564</v>
      </c>
      <c r="DG201" s="109">
        <f>DG200/DA200-1</f>
        <v>8.1147377545016663E-2</v>
      </c>
      <c r="DH201" s="110">
        <f>DH200/DB200-1</f>
        <v>8.8188926349938912E-2</v>
      </c>
      <c r="DI201" s="110">
        <f>DI200/DC200-1</f>
        <v>7.6959074124781646E-2</v>
      </c>
      <c r="DJ201" s="120">
        <f ca="1">DJ200/DD200-1</f>
        <v>8.9309283434308773E-2</v>
      </c>
      <c r="DK201" s="122">
        <f ca="1">DK200/DE200-1</f>
        <v>8.3491462417857987E-2</v>
      </c>
    </row>
    <row r="203" spans="2:115" x14ac:dyDescent="0.2">
      <c r="B203" s="226" t="s">
        <v>233</v>
      </c>
      <c r="M203" s="129">
        <v>25</v>
      </c>
      <c r="N203" s="129"/>
      <c r="O203" s="197">
        <f>O200+P200</f>
        <v>1950</v>
      </c>
      <c r="P203" s="129"/>
      <c r="Q203" s="129"/>
      <c r="R203" s="129"/>
      <c r="S203" s="129">
        <v>50</v>
      </c>
      <c r="T203" s="129"/>
      <c r="U203" s="197"/>
      <c r="V203" s="129"/>
      <c r="W203" s="129"/>
      <c r="X203" s="129"/>
      <c r="Y203" s="129">
        <v>100</v>
      </c>
      <c r="Z203" s="129"/>
      <c r="AA203" s="129"/>
      <c r="AB203" s="129"/>
      <c r="AC203" s="129"/>
      <c r="AD203" s="129"/>
      <c r="AE203" s="129">
        <v>150</v>
      </c>
      <c r="AF203" s="129"/>
      <c r="AG203" s="129"/>
      <c r="AH203" s="129"/>
      <c r="AI203" s="129"/>
      <c r="AJ203" s="129"/>
      <c r="AK203" s="129">
        <v>150</v>
      </c>
      <c r="AL203" s="129"/>
      <c r="AM203" s="129"/>
      <c r="AN203" s="129"/>
      <c r="AO203" s="129"/>
      <c r="AP203" s="129"/>
      <c r="AQ203" s="129">
        <v>200</v>
      </c>
      <c r="AR203" s="129"/>
      <c r="AS203" s="129"/>
      <c r="AT203" s="129"/>
      <c r="AU203" s="129"/>
      <c r="AV203" s="129"/>
      <c r="AW203" s="129">
        <v>700</v>
      </c>
      <c r="AX203" s="129"/>
      <c r="AY203" s="129"/>
      <c r="AZ203" s="129"/>
      <c r="BA203" s="129"/>
      <c r="BB203" s="129"/>
      <c r="BC203" s="129">
        <v>1300</v>
      </c>
      <c r="BD203" s="129"/>
      <c r="BE203" s="129"/>
      <c r="BF203" s="129"/>
      <c r="BG203" s="129"/>
      <c r="BH203" s="129"/>
      <c r="BI203" s="129">
        <v>1750</v>
      </c>
      <c r="BJ203" s="129"/>
      <c r="BK203" s="129"/>
      <c r="BL203" s="129"/>
      <c r="BM203" s="129"/>
      <c r="BN203" s="129"/>
      <c r="BO203" s="129">
        <v>1650</v>
      </c>
      <c r="BP203" s="129"/>
      <c r="BQ203" s="129"/>
      <c r="BR203" s="129"/>
      <c r="BS203" s="129"/>
      <c r="BT203" s="129"/>
      <c r="BU203" s="129">
        <v>1400</v>
      </c>
      <c r="BV203" s="129"/>
      <c r="BW203" s="129"/>
      <c r="BX203" s="129"/>
      <c r="BY203" s="129"/>
      <c r="BZ203" s="129"/>
      <c r="CA203" s="129">
        <v>750</v>
      </c>
      <c r="CB203" s="129"/>
      <c r="CC203" s="129"/>
      <c r="CD203" s="129"/>
      <c r="CE203" s="129"/>
      <c r="CF203" s="129"/>
      <c r="CG203" s="129">
        <v>500</v>
      </c>
      <c r="CH203" s="129"/>
      <c r="CI203" s="129"/>
      <c r="CJ203" s="129"/>
      <c r="CK203" s="129"/>
      <c r="CL203" s="129"/>
      <c r="CM203" s="129">
        <v>400</v>
      </c>
      <c r="CN203" s="129"/>
      <c r="CO203" s="129"/>
      <c r="CP203" s="129"/>
      <c r="CQ203" s="129"/>
      <c r="CR203" s="129"/>
      <c r="CS203" s="129">
        <v>400</v>
      </c>
      <c r="CT203" s="129"/>
      <c r="CU203" s="129"/>
      <c r="CV203" s="129"/>
      <c r="CW203" s="129"/>
      <c r="CX203" s="129"/>
      <c r="CY203" s="129">
        <v>400</v>
      </c>
      <c r="CZ203" s="129"/>
      <c r="DA203" s="129"/>
      <c r="DB203" s="129"/>
      <c r="DC203" s="129"/>
      <c r="DD203" s="129"/>
      <c r="DE203" s="129">
        <v>400</v>
      </c>
      <c r="DF203" s="129"/>
      <c r="DG203" s="129"/>
      <c r="DH203" s="129"/>
      <c r="DI203" s="129"/>
      <c r="DJ203" s="129"/>
      <c r="DK203" s="129">
        <v>400</v>
      </c>
    </row>
    <row r="204" spans="2:115" x14ac:dyDescent="0.2">
      <c r="B204" t="s">
        <v>74</v>
      </c>
      <c r="S204" s="227">
        <f>S203/M203-1</f>
        <v>1</v>
      </c>
      <c r="Y204" s="227">
        <f>Y203/S203-1</f>
        <v>1</v>
      </c>
      <c r="AE204" s="227">
        <f>AE203/Y203-1</f>
        <v>0.5</v>
      </c>
      <c r="AK204" s="227">
        <f>AK203/AE203-1</f>
        <v>0</v>
      </c>
      <c r="AQ204" s="227">
        <f>AQ203/AK203-1</f>
        <v>0.33333333333333326</v>
      </c>
      <c r="AW204" s="227">
        <f>AW203/AQ203-1</f>
        <v>2.5</v>
      </c>
      <c r="BC204" s="227">
        <f>BC203/AW203-1</f>
        <v>0.85714285714285721</v>
      </c>
      <c r="BI204" s="227">
        <f>BI203/BC203-1</f>
        <v>0.34615384615384626</v>
      </c>
      <c r="BO204" s="227">
        <f>BO203/BI203-1</f>
        <v>-5.7142857142857162E-2</v>
      </c>
      <c r="BU204" s="227">
        <f>BU203/BO203-1</f>
        <v>-0.15151515151515149</v>
      </c>
      <c r="CA204" s="227">
        <f>CA203/BU203-1</f>
        <v>-0.4642857142857143</v>
      </c>
      <c r="CG204" s="227">
        <f>CG203/CA203-1</f>
        <v>-0.33333333333333337</v>
      </c>
      <c r="CM204" s="227">
        <f>CM203/CG203-1</f>
        <v>-0.19999999999999996</v>
      </c>
      <c r="CS204" s="227">
        <f>CS203/CM203-1</f>
        <v>0</v>
      </c>
      <c r="CY204" s="227">
        <f>CY203/CS203-1</f>
        <v>0</v>
      </c>
      <c r="DE204" s="227">
        <f>DE203/CY203-1</f>
        <v>0</v>
      </c>
      <c r="DK204" s="227">
        <f>DK203/DE203-1</f>
        <v>0</v>
      </c>
    </row>
    <row r="205" spans="2:115" x14ac:dyDescent="0.2">
      <c r="AE205" s="103"/>
      <c r="AK205" s="103"/>
      <c r="AQ205" s="103"/>
      <c r="AW205" s="103"/>
      <c r="BC205" s="103"/>
      <c r="BI205" s="103"/>
      <c r="BO205" s="103"/>
      <c r="BU205" s="103"/>
      <c r="CA205" s="103"/>
      <c r="CG205" s="103"/>
      <c r="CM205" s="103"/>
      <c r="CS205" s="103"/>
      <c r="CY205" s="103"/>
      <c r="DE205" s="103"/>
      <c r="DK205" s="103"/>
    </row>
    <row r="206" spans="2:115" x14ac:dyDescent="0.2">
      <c r="B206" s="226" t="s">
        <v>225</v>
      </c>
      <c r="C206" s="129"/>
      <c r="D206" s="129"/>
      <c r="E206" s="129"/>
      <c r="F206" s="129"/>
      <c r="G206" s="129"/>
      <c r="H206" s="129"/>
      <c r="I206" s="129"/>
      <c r="J206" s="129"/>
      <c r="K206" s="129"/>
      <c r="L206" s="129"/>
      <c r="M206" s="197">
        <f>M194-M203</f>
        <v>2620</v>
      </c>
      <c r="N206" s="129"/>
      <c r="O206" s="129"/>
      <c r="P206" s="129"/>
      <c r="Q206" s="129"/>
      <c r="R206" s="129"/>
      <c r="S206" s="197">
        <f>S194-S203</f>
        <v>2644</v>
      </c>
      <c r="T206" s="129"/>
      <c r="U206" s="129"/>
      <c r="V206" s="129"/>
      <c r="W206" s="129"/>
      <c r="X206" s="129"/>
      <c r="Y206" s="197">
        <f>Y194-Y203</f>
        <v>2787</v>
      </c>
      <c r="Z206" s="226"/>
      <c r="AA206" s="226"/>
      <c r="AB206" s="226"/>
      <c r="AC206" s="226"/>
      <c r="AD206" s="226"/>
      <c r="AE206" s="197">
        <f>AE194-AE203</f>
        <v>2626.8888021581097</v>
      </c>
      <c r="AF206" s="226"/>
      <c r="AG206" s="226"/>
      <c r="AH206" s="226"/>
      <c r="AI206" s="226"/>
      <c r="AJ206" s="226"/>
      <c r="AK206" s="197">
        <f>AK194-AK203</f>
        <v>2552.8131423498803</v>
      </c>
      <c r="AL206" s="226"/>
      <c r="AM206" s="226"/>
      <c r="AN206" s="226"/>
      <c r="AO206" s="226"/>
      <c r="AP206" s="226"/>
      <c r="AQ206" s="197">
        <f>AQ194-AQ203</f>
        <v>2482.0797744115621</v>
      </c>
      <c r="AR206" s="226"/>
      <c r="AS206" s="226"/>
      <c r="AT206" s="226"/>
      <c r="AU206" s="226"/>
      <c r="AV206" s="226"/>
      <c r="AW206" s="197">
        <f>AW194-AW203</f>
        <v>2323.2255530006878</v>
      </c>
      <c r="AX206" s="226"/>
      <c r="AY206" s="226"/>
      <c r="AZ206" s="226"/>
      <c r="BA206" s="226"/>
      <c r="BB206" s="226"/>
      <c r="BC206" s="197">
        <f>BC194-BC203</f>
        <v>1872.7109994425327</v>
      </c>
      <c r="BD206" s="226"/>
      <c r="BE206" s="226"/>
      <c r="BF206" s="226"/>
      <c r="BG206" s="226"/>
      <c r="BH206" s="226"/>
      <c r="BI206" s="197">
        <f>BI194-BI203</f>
        <v>1466.0978500000001</v>
      </c>
      <c r="BJ206" s="226"/>
      <c r="BK206" s="226"/>
      <c r="BL206" s="226"/>
      <c r="BM206" s="226"/>
      <c r="BN206" s="226"/>
      <c r="BO206" s="197">
        <f>BO194-BO203</f>
        <v>1755.1475500000001</v>
      </c>
      <c r="BP206" s="226"/>
      <c r="BQ206" s="226"/>
      <c r="BR206" s="226"/>
      <c r="BS206" s="226"/>
      <c r="BT206" s="226"/>
      <c r="BU206" s="197">
        <f ca="1">BU194-BU203</f>
        <v>2030.5833529144552</v>
      </c>
      <c r="BV206" s="226"/>
      <c r="BW206" s="226"/>
      <c r="BX206" s="226"/>
      <c r="BY206" s="226"/>
      <c r="BZ206" s="226"/>
      <c r="CA206" s="197">
        <f ca="1">CA194-CA203</f>
        <v>2661.498130949235</v>
      </c>
      <c r="CB206" s="226"/>
      <c r="CC206" s="226"/>
      <c r="CD206" s="226"/>
      <c r="CE206" s="226"/>
      <c r="CF206" s="226"/>
      <c r="CG206" s="197">
        <f ca="1">CG194-CG203</f>
        <v>2928.70438234521</v>
      </c>
      <c r="CH206" s="226"/>
      <c r="CI206" s="226"/>
      <c r="CJ206" s="226"/>
      <c r="CK206" s="226"/>
      <c r="CL206" s="226"/>
      <c r="CM206" s="197">
        <f ca="1">CM194-CM203</f>
        <v>3053.9903145699909</v>
      </c>
      <c r="CN206" s="226"/>
      <c r="CO206" s="226"/>
      <c r="CP206" s="226"/>
      <c r="CQ206" s="226"/>
      <c r="CR206" s="226"/>
      <c r="CS206" s="197">
        <f ca="1">CS194-CS203</f>
        <v>3048.140044598912</v>
      </c>
      <c r="CT206" s="226"/>
      <c r="CU206" s="226"/>
      <c r="CV206" s="226"/>
      <c r="CW206" s="226"/>
      <c r="CX206" s="226"/>
      <c r="CY206" s="197">
        <f ca="1">CY194-CY203</f>
        <v>2588.4658060912652</v>
      </c>
      <c r="CZ206" s="226"/>
      <c r="DA206" s="226"/>
      <c r="DB206" s="226"/>
      <c r="DC206" s="226"/>
      <c r="DD206" s="226"/>
      <c r="DE206" s="197">
        <f ca="1">DE194-DE203</f>
        <v>2147.0848114161481</v>
      </c>
      <c r="DF206" s="226"/>
      <c r="DG206" s="226"/>
      <c r="DH206" s="226"/>
      <c r="DI206" s="226"/>
      <c r="DJ206" s="226"/>
      <c r="DK206" s="197">
        <f ca="1">DK194-DK203</f>
        <v>2003.5967703833448</v>
      </c>
    </row>
    <row r="207" spans="2:115" x14ac:dyDescent="0.2">
      <c r="B207" s="360" t="s">
        <v>226</v>
      </c>
      <c r="C207" s="229"/>
      <c r="D207" s="229"/>
      <c r="E207" s="229"/>
      <c r="F207" s="229"/>
      <c r="G207" s="229"/>
      <c r="H207" s="229"/>
      <c r="I207" s="229"/>
      <c r="J207" s="229"/>
      <c r="K207" s="229"/>
      <c r="L207" s="229"/>
      <c r="M207" s="427">
        <f>M206/M176</f>
        <v>0.13244630045443193</v>
      </c>
      <c r="N207" s="229"/>
      <c r="O207" s="229"/>
      <c r="P207" s="229"/>
      <c r="Q207" s="229"/>
      <c r="R207" s="229"/>
      <c r="S207" s="427">
        <f>S206/S176</f>
        <v>0.14111870196413323</v>
      </c>
      <c r="T207" s="229"/>
      <c r="U207" s="229"/>
      <c r="V207" s="229"/>
      <c r="W207" s="229"/>
      <c r="X207" s="229"/>
      <c r="Y207" s="427">
        <f>Y206/Y176</f>
        <v>0.15980504587155964</v>
      </c>
      <c r="Z207" s="360"/>
      <c r="AA207" s="360"/>
      <c r="AB207" s="360"/>
      <c r="AC207" s="360"/>
      <c r="AD207" s="360"/>
      <c r="AE207" s="427">
        <f>AE206/AE176</f>
        <v>0.16786304569992394</v>
      </c>
      <c r="AF207" s="360"/>
      <c r="AG207" s="360"/>
      <c r="AH207" s="360"/>
      <c r="AI207" s="360"/>
      <c r="AJ207" s="360"/>
      <c r="AK207" s="427">
        <f>AK206/AK176</f>
        <v>0.16902689150168049</v>
      </c>
      <c r="AL207" s="360"/>
      <c r="AM207" s="360"/>
      <c r="AN207" s="360"/>
      <c r="AO207" s="360"/>
      <c r="AP207" s="360"/>
      <c r="AQ207" s="427">
        <f>AQ206/AQ176</f>
        <v>0.16879155215311542</v>
      </c>
      <c r="AR207" s="360"/>
      <c r="AS207" s="360"/>
      <c r="AT207" s="360"/>
      <c r="AU207" s="360"/>
      <c r="AV207" s="360"/>
      <c r="AW207" s="427">
        <f>AW206/AW176</f>
        <v>0.16132390479832565</v>
      </c>
      <c r="AX207" s="360"/>
      <c r="AY207" s="360"/>
      <c r="AZ207" s="360"/>
      <c r="BA207" s="360"/>
      <c r="BB207" s="360"/>
      <c r="BC207" s="427">
        <f>BC206/BC176</f>
        <v>0.13225360165554609</v>
      </c>
      <c r="BD207" s="360"/>
      <c r="BE207" s="360"/>
      <c r="BF207" s="360"/>
      <c r="BG207" s="360"/>
      <c r="BH207" s="360"/>
      <c r="BI207" s="427">
        <f>BI206/BI176</f>
        <v>0.10609290469643246</v>
      </c>
      <c r="BJ207" s="360"/>
      <c r="BK207" s="360"/>
      <c r="BL207" s="360"/>
      <c r="BM207" s="360"/>
      <c r="BN207" s="360"/>
      <c r="BO207" s="427">
        <f>BO206/BO176</f>
        <v>0.12728606497933137</v>
      </c>
      <c r="BP207" s="360"/>
      <c r="BQ207" s="360"/>
      <c r="BR207" s="360"/>
      <c r="BS207" s="360"/>
      <c r="BT207" s="360"/>
      <c r="BU207" s="427">
        <f ca="1">BU206/BU176</f>
        <v>0.14616836839318378</v>
      </c>
      <c r="BV207" s="360"/>
      <c r="BW207" s="360"/>
      <c r="BX207" s="360"/>
      <c r="BY207" s="360"/>
      <c r="BZ207" s="360"/>
      <c r="CA207" s="427">
        <f ca="1">CA206/CA176</f>
        <v>0.18875677080530562</v>
      </c>
      <c r="CB207" s="360"/>
      <c r="CC207" s="360"/>
      <c r="CD207" s="360"/>
      <c r="CE207" s="360"/>
      <c r="CF207" s="360"/>
      <c r="CG207" s="427">
        <f ca="1">CG206/CG176</f>
        <v>0.20452811809635846</v>
      </c>
      <c r="CH207" s="360"/>
      <c r="CI207" s="360"/>
      <c r="CJ207" s="360"/>
      <c r="CK207" s="360"/>
      <c r="CL207" s="360"/>
      <c r="CM207" s="427">
        <f ca="1">CM206/CM176</f>
        <v>0.20950498420737107</v>
      </c>
      <c r="CN207" s="360"/>
      <c r="CO207" s="360"/>
      <c r="CP207" s="360"/>
      <c r="CQ207" s="360"/>
      <c r="CR207" s="360"/>
      <c r="CS207" s="427">
        <f ca="1">CS206/CS176</f>
        <v>0.2050379998917857</v>
      </c>
      <c r="CT207" s="360"/>
      <c r="CU207" s="360"/>
      <c r="CV207" s="360"/>
      <c r="CW207" s="360"/>
      <c r="CX207" s="360"/>
      <c r="CY207" s="427">
        <f ca="1">CY206/CY176</f>
        <v>0.17058452246514891</v>
      </c>
      <c r="CZ207" s="360"/>
      <c r="DA207" s="360"/>
      <c r="DB207" s="360"/>
      <c r="DC207" s="360"/>
      <c r="DD207" s="360"/>
      <c r="DE207" s="427">
        <f ca="1">DE206/DE176</f>
        <v>0.13862077543632823</v>
      </c>
      <c r="DF207" s="360"/>
      <c r="DG207" s="360"/>
      <c r="DH207" s="360"/>
      <c r="DI207" s="360"/>
      <c r="DJ207" s="360"/>
      <c r="DK207" s="427">
        <f ca="1">DK206/DK176</f>
        <v>0.12665893519436508</v>
      </c>
    </row>
    <row r="209" spans="1:115" x14ac:dyDescent="0.2">
      <c r="A209" s="278"/>
      <c r="B209" s="278"/>
      <c r="C209" s="279"/>
      <c r="D209" s="279"/>
      <c r="E209" s="279"/>
      <c r="F209" s="279"/>
      <c r="G209" s="279"/>
      <c r="H209" s="279"/>
      <c r="I209" s="279"/>
      <c r="J209" s="279"/>
      <c r="K209" s="279"/>
      <c r="L209" s="279"/>
      <c r="M209" s="279"/>
      <c r="N209" s="279"/>
      <c r="O209" s="279"/>
      <c r="P209" s="279"/>
      <c r="Q209" s="279"/>
      <c r="R209" s="279"/>
      <c r="S209" s="279"/>
      <c r="T209" s="279"/>
      <c r="U209" s="279"/>
      <c r="V209" s="279"/>
      <c r="W209" s="279"/>
      <c r="X209" s="279"/>
      <c r="Y209" s="279"/>
      <c r="Z209" s="278"/>
      <c r="AA209" s="278"/>
      <c r="AB209" s="278"/>
      <c r="AC209" s="278"/>
      <c r="AD209" s="278"/>
      <c r="AE209" s="278"/>
      <c r="AF209" s="278"/>
      <c r="AG209" s="278"/>
      <c r="AH209" s="278"/>
      <c r="AI209" s="278"/>
      <c r="AJ209" s="278"/>
      <c r="AK209" s="278"/>
      <c r="AL209" s="278"/>
      <c r="AM209" s="278"/>
      <c r="AN209" s="278"/>
      <c r="AO209" s="278"/>
      <c r="AP209" s="278"/>
      <c r="AQ209" s="278"/>
      <c r="AR209" s="278"/>
      <c r="AS209" s="278"/>
      <c r="AT209" s="278"/>
      <c r="AU209" s="278"/>
      <c r="AV209" s="278"/>
      <c r="AW209" s="278"/>
      <c r="AX209" s="278"/>
      <c r="AY209" s="278"/>
      <c r="AZ209" s="278"/>
      <c r="BA209" s="278"/>
      <c r="BB209" s="278"/>
      <c r="BC209" s="278"/>
      <c r="BD209" s="278"/>
      <c r="BE209" s="278"/>
      <c r="BF209" s="278"/>
      <c r="BG209" s="278"/>
      <c r="BH209" s="278"/>
      <c r="BI209" s="278"/>
      <c r="BJ209" s="278"/>
      <c r="BK209" s="278"/>
      <c r="BL209" s="278"/>
      <c r="BM209" s="278"/>
      <c r="BN209" s="278"/>
      <c r="BO209" s="278"/>
      <c r="BP209" s="278"/>
      <c r="BQ209" s="278"/>
      <c r="BR209" s="278"/>
      <c r="BS209" s="278"/>
      <c r="BT209" s="278"/>
      <c r="BU209" s="278"/>
      <c r="BV209" s="278"/>
      <c r="BW209" s="278"/>
      <c r="BX209" s="278"/>
      <c r="BY209" s="278"/>
      <c r="BZ209" s="278"/>
      <c r="CA209" s="278"/>
      <c r="CB209" s="278"/>
      <c r="CC209" s="278"/>
      <c r="CD209" s="278"/>
      <c r="CE209" s="278"/>
      <c r="CF209" s="278"/>
      <c r="CG209" s="278"/>
      <c r="CH209" s="278"/>
      <c r="CI209" s="278"/>
      <c r="CJ209" s="278"/>
      <c r="CK209" s="278"/>
      <c r="CL209" s="278"/>
      <c r="CM209" s="278"/>
      <c r="CN209" s="278"/>
      <c r="CO209" s="278"/>
      <c r="CP209" s="278"/>
      <c r="CQ209" s="278"/>
      <c r="CR209" s="278"/>
      <c r="CS209" s="278"/>
      <c r="CT209" s="278"/>
      <c r="CU209" s="278"/>
      <c r="CV209" s="278"/>
      <c r="CW209" s="278"/>
      <c r="CX209" s="278"/>
      <c r="CY209" s="278"/>
      <c r="CZ209" s="278"/>
      <c r="DA209" s="278"/>
      <c r="DB209" s="278"/>
      <c r="DC209" s="278"/>
      <c r="DD209" s="278"/>
      <c r="DE209" s="278"/>
      <c r="DF209" s="278"/>
      <c r="DG209" s="278"/>
      <c r="DH209" s="278"/>
      <c r="DI209" s="278"/>
      <c r="DJ209" s="278"/>
      <c r="DK209" s="278"/>
    </row>
    <row r="210" spans="1:115" x14ac:dyDescent="0.2">
      <c r="CG210" s="473">
        <f ca="1">CG194-BU194</f>
        <v>-1.8789705692452117</v>
      </c>
    </row>
    <row r="214" spans="1:115" x14ac:dyDescent="0.2">
      <c r="U214" s="259"/>
      <c r="V214" s="259"/>
      <c r="AA214" s="259"/>
      <c r="AB214" s="259"/>
    </row>
    <row r="215" spans="1:115" x14ac:dyDescent="0.2">
      <c r="AA215" s="429"/>
      <c r="AB215" s="429"/>
    </row>
  </sheetData>
  <mergeCells count="76">
    <mergeCell ref="CO156:CS156"/>
    <mergeCell ref="CU156:CY156"/>
    <mergeCell ref="CO2:CS2"/>
    <mergeCell ref="CU2:CY2"/>
    <mergeCell ref="CO41:CS41"/>
    <mergeCell ref="CU41:CY41"/>
    <mergeCell ref="CO77:CS77"/>
    <mergeCell ref="CU77:CY77"/>
    <mergeCell ref="BW77:CA77"/>
    <mergeCell ref="CC77:CG77"/>
    <mergeCell ref="CI77:CM77"/>
    <mergeCell ref="BW156:CA156"/>
    <mergeCell ref="CC156:CG156"/>
    <mergeCell ref="CI156:CM156"/>
    <mergeCell ref="BW2:CA2"/>
    <mergeCell ref="CC2:CG2"/>
    <mergeCell ref="CI2:CM2"/>
    <mergeCell ref="BW41:CA41"/>
    <mergeCell ref="CC41:CG41"/>
    <mergeCell ref="CI41:CM41"/>
    <mergeCell ref="BE77:BI77"/>
    <mergeCell ref="BK77:BO77"/>
    <mergeCell ref="BQ77:BU77"/>
    <mergeCell ref="AA77:AE77"/>
    <mergeCell ref="AG77:AK77"/>
    <mergeCell ref="AM77:AQ77"/>
    <mergeCell ref="AS77:AW77"/>
    <mergeCell ref="C77:G77"/>
    <mergeCell ref="I77:M77"/>
    <mergeCell ref="O77:S77"/>
    <mergeCell ref="U77:Y77"/>
    <mergeCell ref="AY156:BC156"/>
    <mergeCell ref="C156:G156"/>
    <mergeCell ref="I156:M156"/>
    <mergeCell ref="O156:S156"/>
    <mergeCell ref="U156:Y156"/>
    <mergeCell ref="AY77:BC77"/>
    <mergeCell ref="BK156:BO156"/>
    <mergeCell ref="BQ156:BU156"/>
    <mergeCell ref="AA156:AE156"/>
    <mergeCell ref="AG156:AK156"/>
    <mergeCell ref="AM156:AQ156"/>
    <mergeCell ref="AS156:AW156"/>
    <mergeCell ref="BE156:BI156"/>
    <mergeCell ref="AY41:BC41"/>
    <mergeCell ref="BE41:BI41"/>
    <mergeCell ref="BK41:BO41"/>
    <mergeCell ref="BQ41:BU41"/>
    <mergeCell ref="AA41:AE41"/>
    <mergeCell ref="AG41:AK41"/>
    <mergeCell ref="AM41:AQ41"/>
    <mergeCell ref="AS41:AW41"/>
    <mergeCell ref="AY2:BC2"/>
    <mergeCell ref="BE2:BI2"/>
    <mergeCell ref="BK2:BO2"/>
    <mergeCell ref="BQ2:BU2"/>
    <mergeCell ref="AA2:AE2"/>
    <mergeCell ref="AG2:AK2"/>
    <mergeCell ref="AM2:AQ2"/>
    <mergeCell ref="AS2:AW2"/>
    <mergeCell ref="C2:G2"/>
    <mergeCell ref="I2:M2"/>
    <mergeCell ref="O2:S2"/>
    <mergeCell ref="U2:Y2"/>
    <mergeCell ref="C41:G41"/>
    <mergeCell ref="I41:M41"/>
    <mergeCell ref="O41:S41"/>
    <mergeCell ref="U41:Y41"/>
    <mergeCell ref="DA2:DE2"/>
    <mergeCell ref="DA41:DE41"/>
    <mergeCell ref="DA77:DE77"/>
    <mergeCell ref="DA156:DE156"/>
    <mergeCell ref="DG2:DK2"/>
    <mergeCell ref="DG41:DK41"/>
    <mergeCell ref="DG77:DK77"/>
    <mergeCell ref="DG156:DK156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DK80"/>
  <sheetViews>
    <sheetView zoomScale="60" zoomScaleNormal="60" workbookViewId="0">
      <pane xSplit="2" ySplit="8" topLeftCell="AR9" activePane="bottomRight" state="frozen"/>
      <selection pane="topRight" activeCell="C1" sqref="C1"/>
      <selection pane="bottomLeft" activeCell="A9" sqref="A9"/>
      <selection pane="bottomRight" sqref="A1:XFD1048576"/>
    </sheetView>
  </sheetViews>
  <sheetFormatPr defaultRowHeight="12.75" x14ac:dyDescent="0.2"/>
  <cols>
    <col min="2" max="2" width="35.5703125" customWidth="1"/>
    <col min="3" max="25" width="9.140625" style="103"/>
  </cols>
  <sheetData>
    <row r="1" spans="2:115" ht="13.5" thickBot="1" x14ac:dyDescent="0.25"/>
    <row r="2" spans="2:115" x14ac:dyDescent="0.2">
      <c r="C2" s="712">
        <v>2007</v>
      </c>
      <c r="D2" s="713"/>
      <c r="E2" s="713"/>
      <c r="F2" s="713"/>
      <c r="G2" s="714"/>
      <c r="H2" s="129"/>
      <c r="I2" s="712">
        <v>2008</v>
      </c>
      <c r="J2" s="713"/>
      <c r="K2" s="713"/>
      <c r="L2" s="713"/>
      <c r="M2" s="714"/>
      <c r="N2" s="129"/>
      <c r="O2" s="712">
        <v>2009</v>
      </c>
      <c r="P2" s="713"/>
      <c r="Q2" s="713"/>
      <c r="R2" s="713"/>
      <c r="S2" s="714"/>
      <c r="T2" s="129"/>
      <c r="U2" s="712">
        <v>2010</v>
      </c>
      <c r="V2" s="713"/>
      <c r="W2" s="713"/>
      <c r="X2" s="713"/>
      <c r="Y2" s="714"/>
      <c r="AA2" s="712">
        <v>2011</v>
      </c>
      <c r="AB2" s="713"/>
      <c r="AC2" s="713"/>
      <c r="AD2" s="713"/>
      <c r="AE2" s="714"/>
      <c r="AG2" s="712">
        <v>2012</v>
      </c>
      <c r="AH2" s="713"/>
      <c r="AI2" s="713"/>
      <c r="AJ2" s="713"/>
      <c r="AK2" s="714"/>
      <c r="AM2" s="712">
        <v>2013</v>
      </c>
      <c r="AN2" s="713"/>
      <c r="AO2" s="713"/>
      <c r="AP2" s="713"/>
      <c r="AQ2" s="714"/>
      <c r="AS2" s="712">
        <v>2014</v>
      </c>
      <c r="AT2" s="713"/>
      <c r="AU2" s="713"/>
      <c r="AV2" s="713"/>
      <c r="AW2" s="714"/>
      <c r="AY2" s="712">
        <v>2015</v>
      </c>
      <c r="AZ2" s="713"/>
      <c r="BA2" s="713"/>
      <c r="BB2" s="713"/>
      <c r="BC2" s="714"/>
      <c r="BE2" s="712">
        <v>2016</v>
      </c>
      <c r="BF2" s="713"/>
      <c r="BG2" s="713"/>
      <c r="BH2" s="713"/>
      <c r="BI2" s="714"/>
      <c r="BK2" s="712">
        <v>2017</v>
      </c>
      <c r="BL2" s="713"/>
      <c r="BM2" s="713"/>
      <c r="BN2" s="713"/>
      <c r="BO2" s="714"/>
      <c r="BQ2" s="712">
        <v>2018</v>
      </c>
      <c r="BR2" s="713"/>
      <c r="BS2" s="713"/>
      <c r="BT2" s="713"/>
      <c r="BU2" s="714"/>
      <c r="BW2" s="712">
        <v>2019</v>
      </c>
      <c r="BX2" s="713"/>
      <c r="BY2" s="713"/>
      <c r="BZ2" s="713"/>
      <c r="CA2" s="714"/>
      <c r="CC2" s="712">
        <v>2020</v>
      </c>
      <c r="CD2" s="713"/>
      <c r="CE2" s="713"/>
      <c r="CF2" s="713"/>
      <c r="CG2" s="714"/>
      <c r="CI2" s="712">
        <v>2021</v>
      </c>
      <c r="CJ2" s="713"/>
      <c r="CK2" s="713"/>
      <c r="CL2" s="713"/>
      <c r="CM2" s="714"/>
      <c r="CO2" s="712">
        <v>2022</v>
      </c>
      <c r="CP2" s="713"/>
      <c r="CQ2" s="713"/>
      <c r="CR2" s="713"/>
      <c r="CS2" s="714"/>
      <c r="CU2" s="712">
        <v>2023</v>
      </c>
      <c r="CV2" s="713"/>
      <c r="CW2" s="713"/>
      <c r="CX2" s="713"/>
      <c r="CY2" s="714"/>
      <c r="DA2" s="712">
        <v>2024</v>
      </c>
      <c r="DB2" s="713"/>
      <c r="DC2" s="713"/>
      <c r="DD2" s="713"/>
      <c r="DE2" s="714"/>
      <c r="DG2" s="712">
        <v>2025</v>
      </c>
      <c r="DH2" s="713"/>
      <c r="DI2" s="713"/>
      <c r="DJ2" s="713"/>
      <c r="DK2" s="714"/>
    </row>
    <row r="3" spans="2:115" ht="13.5" thickBot="1" x14ac:dyDescent="0.25">
      <c r="C3" s="130" t="s">
        <v>20</v>
      </c>
      <c r="D3" s="131" t="s">
        <v>19</v>
      </c>
      <c r="E3" s="131" t="s">
        <v>22</v>
      </c>
      <c r="F3" s="131" t="s">
        <v>21</v>
      </c>
      <c r="G3" s="132" t="s">
        <v>39</v>
      </c>
      <c r="H3" s="129"/>
      <c r="I3" s="130" t="s">
        <v>20</v>
      </c>
      <c r="J3" s="131" t="s">
        <v>19</v>
      </c>
      <c r="K3" s="131" t="s">
        <v>22</v>
      </c>
      <c r="L3" s="131" t="s">
        <v>21</v>
      </c>
      <c r="M3" s="132" t="s">
        <v>39</v>
      </c>
      <c r="N3" s="129"/>
      <c r="O3" s="130" t="s">
        <v>20</v>
      </c>
      <c r="P3" s="131" t="s">
        <v>19</v>
      </c>
      <c r="Q3" s="131" t="s">
        <v>22</v>
      </c>
      <c r="R3" s="131" t="s">
        <v>21</v>
      </c>
      <c r="S3" s="132" t="s">
        <v>39</v>
      </c>
      <c r="T3" s="129"/>
      <c r="U3" s="130" t="s">
        <v>20</v>
      </c>
      <c r="V3" s="131" t="s">
        <v>19</v>
      </c>
      <c r="W3" s="131" t="s">
        <v>22</v>
      </c>
      <c r="X3" s="131" t="s">
        <v>21</v>
      </c>
      <c r="Y3" s="132" t="s">
        <v>39</v>
      </c>
      <c r="AA3" s="130" t="s">
        <v>20</v>
      </c>
      <c r="AB3" s="131" t="s">
        <v>19</v>
      </c>
      <c r="AC3" s="131" t="s">
        <v>22</v>
      </c>
      <c r="AD3" s="131" t="s">
        <v>21</v>
      </c>
      <c r="AE3" s="132" t="s">
        <v>39</v>
      </c>
      <c r="AG3" s="130" t="s">
        <v>20</v>
      </c>
      <c r="AH3" s="131" t="s">
        <v>19</v>
      </c>
      <c r="AI3" s="131" t="s">
        <v>22</v>
      </c>
      <c r="AJ3" s="131" t="s">
        <v>21</v>
      </c>
      <c r="AK3" s="132" t="s">
        <v>39</v>
      </c>
      <c r="AM3" s="130" t="s">
        <v>20</v>
      </c>
      <c r="AN3" s="131" t="s">
        <v>19</v>
      </c>
      <c r="AO3" s="131" t="s">
        <v>22</v>
      </c>
      <c r="AP3" s="131" t="s">
        <v>21</v>
      </c>
      <c r="AQ3" s="132" t="s">
        <v>39</v>
      </c>
      <c r="AS3" s="130" t="s">
        <v>20</v>
      </c>
      <c r="AT3" s="131" t="s">
        <v>19</v>
      </c>
      <c r="AU3" s="131" t="s">
        <v>22</v>
      </c>
      <c r="AV3" s="131" t="s">
        <v>21</v>
      </c>
      <c r="AW3" s="132" t="s">
        <v>39</v>
      </c>
      <c r="AY3" s="130" t="s">
        <v>20</v>
      </c>
      <c r="AZ3" s="131" t="s">
        <v>19</v>
      </c>
      <c r="BA3" s="131" t="s">
        <v>22</v>
      </c>
      <c r="BB3" s="131" t="s">
        <v>21</v>
      </c>
      <c r="BC3" s="132" t="s">
        <v>39</v>
      </c>
      <c r="BE3" s="130" t="s">
        <v>20</v>
      </c>
      <c r="BF3" s="131" t="s">
        <v>19</v>
      </c>
      <c r="BG3" s="131" t="s">
        <v>22</v>
      </c>
      <c r="BH3" s="131" t="s">
        <v>21</v>
      </c>
      <c r="BI3" s="132" t="s">
        <v>39</v>
      </c>
      <c r="BK3" s="130" t="s">
        <v>20</v>
      </c>
      <c r="BL3" s="131" t="s">
        <v>19</v>
      </c>
      <c r="BM3" s="131" t="s">
        <v>22</v>
      </c>
      <c r="BN3" s="131" t="s">
        <v>21</v>
      </c>
      <c r="BO3" s="132" t="s">
        <v>39</v>
      </c>
      <c r="BQ3" s="130" t="s">
        <v>20</v>
      </c>
      <c r="BR3" s="131" t="s">
        <v>19</v>
      </c>
      <c r="BS3" s="131" t="s">
        <v>22</v>
      </c>
      <c r="BT3" s="131" t="s">
        <v>21</v>
      </c>
      <c r="BU3" s="132" t="s">
        <v>39</v>
      </c>
      <c r="BW3" s="130" t="s">
        <v>20</v>
      </c>
      <c r="BX3" s="131" t="s">
        <v>19</v>
      </c>
      <c r="BY3" s="131" t="s">
        <v>22</v>
      </c>
      <c r="BZ3" s="131" t="s">
        <v>21</v>
      </c>
      <c r="CA3" s="132" t="s">
        <v>39</v>
      </c>
      <c r="CC3" s="130" t="s">
        <v>20</v>
      </c>
      <c r="CD3" s="131" t="s">
        <v>19</v>
      </c>
      <c r="CE3" s="131" t="s">
        <v>22</v>
      </c>
      <c r="CF3" s="131" t="s">
        <v>21</v>
      </c>
      <c r="CG3" s="132" t="s">
        <v>39</v>
      </c>
      <c r="CI3" s="130" t="s">
        <v>20</v>
      </c>
      <c r="CJ3" s="131" t="s">
        <v>19</v>
      </c>
      <c r="CK3" s="131" t="s">
        <v>22</v>
      </c>
      <c r="CL3" s="131" t="s">
        <v>21</v>
      </c>
      <c r="CM3" s="132" t="s">
        <v>39</v>
      </c>
      <c r="CO3" s="130" t="s">
        <v>20</v>
      </c>
      <c r="CP3" s="131" t="s">
        <v>19</v>
      </c>
      <c r="CQ3" s="131" t="s">
        <v>22</v>
      </c>
      <c r="CR3" s="131" t="s">
        <v>21</v>
      </c>
      <c r="CS3" s="132" t="s">
        <v>39</v>
      </c>
      <c r="CU3" s="130" t="s">
        <v>20</v>
      </c>
      <c r="CV3" s="131" t="s">
        <v>19</v>
      </c>
      <c r="CW3" s="131" t="s">
        <v>22</v>
      </c>
      <c r="CX3" s="131" t="s">
        <v>21</v>
      </c>
      <c r="CY3" s="132" t="s">
        <v>39</v>
      </c>
      <c r="DA3" s="130" t="s">
        <v>20</v>
      </c>
      <c r="DB3" s="131" t="s">
        <v>19</v>
      </c>
      <c r="DC3" s="131" t="s">
        <v>22</v>
      </c>
      <c r="DD3" s="131" t="s">
        <v>21</v>
      </c>
      <c r="DE3" s="132" t="s">
        <v>39</v>
      </c>
      <c r="DG3" s="130" t="s">
        <v>20</v>
      </c>
      <c r="DH3" s="131" t="s">
        <v>19</v>
      </c>
      <c r="DI3" s="131" t="s">
        <v>22</v>
      </c>
      <c r="DJ3" s="131" t="s">
        <v>21</v>
      </c>
      <c r="DK3" s="132" t="s">
        <v>39</v>
      </c>
    </row>
    <row r="4" spans="2:115" ht="15" x14ac:dyDescent="0.3">
      <c r="B4" s="104" t="s">
        <v>25</v>
      </c>
      <c r="C4" s="111">
        <v>31398</v>
      </c>
      <c r="D4" s="112">
        <f>C6</f>
        <v>33048</v>
      </c>
      <c r="E4" s="112">
        <f>D6</f>
        <v>34329</v>
      </c>
      <c r="F4" s="112">
        <f>E6</f>
        <v>34471</v>
      </c>
      <c r="G4" s="113">
        <f>C4</f>
        <v>31398</v>
      </c>
      <c r="H4" s="114"/>
      <c r="I4" s="111">
        <f>G6</f>
        <v>35952</v>
      </c>
      <c r="J4" s="112">
        <f>I6</f>
        <v>37111</v>
      </c>
      <c r="K4" s="112">
        <f>J6</f>
        <v>38399</v>
      </c>
      <c r="L4" s="115">
        <f>K6</f>
        <v>38800</v>
      </c>
      <c r="M4" s="113">
        <f>I4</f>
        <v>35952</v>
      </c>
      <c r="N4" s="114"/>
      <c r="O4" s="111">
        <f>M6</f>
        <v>39101</v>
      </c>
      <c r="P4" s="112">
        <f>O6</f>
        <v>38984</v>
      </c>
      <c r="Q4" s="112">
        <f>P6</f>
        <v>39103</v>
      </c>
      <c r="R4" s="115">
        <f>Q6</f>
        <v>39330</v>
      </c>
      <c r="S4" s="113">
        <f>O4</f>
        <v>39101</v>
      </c>
      <c r="T4" s="114"/>
      <c r="U4" s="111">
        <f>S6</f>
        <v>39136</v>
      </c>
      <c r="V4" s="112">
        <f>U6</f>
        <v>38544</v>
      </c>
      <c r="W4" s="112">
        <f>V6</f>
        <v>36976</v>
      </c>
      <c r="X4" s="112">
        <f>W6</f>
        <v>34882</v>
      </c>
      <c r="Y4" s="113">
        <f>U4</f>
        <v>39136</v>
      </c>
      <c r="AA4" s="111">
        <f>Y6</f>
        <v>34694</v>
      </c>
      <c r="AB4" s="112">
        <f>AA6</f>
        <v>34574</v>
      </c>
      <c r="AC4" s="112">
        <f>AB6</f>
        <v>34517</v>
      </c>
      <c r="AD4" s="112">
        <f>AC6</f>
        <v>34905</v>
      </c>
      <c r="AE4" s="113">
        <f>AA4</f>
        <v>34694</v>
      </c>
      <c r="AG4" s="111">
        <f>AE6</f>
        <v>35403</v>
      </c>
      <c r="AH4" s="112">
        <f>AG6</f>
        <v>35100</v>
      </c>
      <c r="AI4" s="112">
        <f>AH6</f>
        <v>35470</v>
      </c>
      <c r="AJ4" s="112">
        <f>AI6</f>
        <v>35994</v>
      </c>
      <c r="AK4" s="113">
        <f>AG4</f>
        <v>35403</v>
      </c>
      <c r="AM4" s="111">
        <f>AK6</f>
        <v>36568</v>
      </c>
      <c r="AN4" s="112">
        <f>AM6</f>
        <v>37005</v>
      </c>
      <c r="AO4" s="112">
        <f>AN6</f>
        <v>37492</v>
      </c>
      <c r="AP4" s="112">
        <f>AO6</f>
        <v>37936</v>
      </c>
      <c r="AQ4" s="113">
        <f>AM4</f>
        <v>36568</v>
      </c>
      <c r="AS4" s="111">
        <f>AQ6</f>
        <v>38625</v>
      </c>
      <c r="AT4" s="112">
        <f>AS6</f>
        <v>39145</v>
      </c>
      <c r="AU4" s="112">
        <f>AT6</f>
        <v>39337</v>
      </c>
      <c r="AV4" s="112">
        <f>AU6</f>
        <v>39653</v>
      </c>
      <c r="AW4" s="113">
        <f>AS4</f>
        <v>38625</v>
      </c>
      <c r="AY4" s="111">
        <f>AW6</f>
        <v>38989</v>
      </c>
      <c r="AZ4" s="112">
        <f>AY6</f>
        <v>39200</v>
      </c>
      <c r="BA4" s="112">
        <f>AZ6</f>
        <v>39465</v>
      </c>
      <c r="BB4" s="112">
        <f>BA6</f>
        <v>39892</v>
      </c>
      <c r="BC4" s="113">
        <f>AY4</f>
        <v>38989</v>
      </c>
      <c r="BE4" s="111">
        <f>BC6</f>
        <v>40373</v>
      </c>
      <c r="BF4" s="112">
        <f>BE6</f>
        <v>40643</v>
      </c>
      <c r="BG4" s="112">
        <f>BF6</f>
        <v>41138</v>
      </c>
      <c r="BH4" s="112">
        <f>BG6</f>
        <v>41461</v>
      </c>
      <c r="BI4" s="113">
        <f>BE4</f>
        <v>40373</v>
      </c>
      <c r="BK4" s="111">
        <f>BI6</f>
        <v>41849</v>
      </c>
      <c r="BL4" s="112">
        <f>BK6</f>
        <v>42114</v>
      </c>
      <c r="BM4" s="112">
        <f>BL6</f>
        <v>42011</v>
      </c>
      <c r="BN4" s="112">
        <f>BM6</f>
        <v>42534</v>
      </c>
      <c r="BO4" s="113">
        <f>BK4</f>
        <v>41849</v>
      </c>
      <c r="BQ4" s="111">
        <f>BO6</f>
        <v>43125</v>
      </c>
      <c r="BR4" s="112">
        <f>BQ6</f>
        <v>43350</v>
      </c>
      <c r="BS4" s="112">
        <f>BR6</f>
        <v>43475</v>
      </c>
      <c r="BT4" s="112">
        <f>BS6</f>
        <v>43650</v>
      </c>
      <c r="BU4" s="113">
        <f>BQ4</f>
        <v>43125</v>
      </c>
      <c r="BW4" s="111">
        <f>BU6</f>
        <v>43975</v>
      </c>
      <c r="BX4" s="112">
        <f>BW6</f>
        <v>44125</v>
      </c>
      <c r="BY4" s="112">
        <f>BX6</f>
        <v>44250</v>
      </c>
      <c r="BZ4" s="112">
        <f>BY6</f>
        <v>44375</v>
      </c>
      <c r="CA4" s="113">
        <f>BW4</f>
        <v>43975</v>
      </c>
      <c r="CC4" s="111">
        <f>CA6</f>
        <v>44625</v>
      </c>
      <c r="CD4" s="112">
        <f>CC6</f>
        <v>44750</v>
      </c>
      <c r="CE4" s="112">
        <f>CD6</f>
        <v>44850</v>
      </c>
      <c r="CF4" s="112">
        <f>CE6</f>
        <v>44950</v>
      </c>
      <c r="CG4" s="113">
        <f>CC4</f>
        <v>44625</v>
      </c>
      <c r="CI4" s="111">
        <f>CG6</f>
        <v>45125</v>
      </c>
      <c r="CJ4" s="112">
        <f>CI6</f>
        <v>45200</v>
      </c>
      <c r="CK4" s="112">
        <f>CJ6</f>
        <v>45275</v>
      </c>
      <c r="CL4" s="112">
        <f>CK6</f>
        <v>45375</v>
      </c>
      <c r="CM4" s="113">
        <f>CI4</f>
        <v>45125</v>
      </c>
      <c r="CO4" s="111">
        <f>CM6</f>
        <v>45525</v>
      </c>
      <c r="CP4" s="112">
        <f>CO6</f>
        <v>45600</v>
      </c>
      <c r="CQ4" s="112">
        <f>CP6</f>
        <v>45675</v>
      </c>
      <c r="CR4" s="112">
        <f>CQ6</f>
        <v>45750</v>
      </c>
      <c r="CS4" s="113">
        <f>CO4</f>
        <v>45525</v>
      </c>
      <c r="CU4" s="111">
        <f>CS6</f>
        <v>45850</v>
      </c>
      <c r="CV4" s="112">
        <f>CU6</f>
        <v>45925</v>
      </c>
      <c r="CW4" s="112">
        <f>CV6</f>
        <v>46000</v>
      </c>
      <c r="CX4" s="112">
        <f>CW6</f>
        <v>46075</v>
      </c>
      <c r="CY4" s="113">
        <f>CU4</f>
        <v>45850</v>
      </c>
      <c r="DA4" s="111">
        <f>CY6</f>
        <v>46150</v>
      </c>
      <c r="DB4" s="112">
        <f>DA6</f>
        <v>46200</v>
      </c>
      <c r="DC4" s="112">
        <f>DB6</f>
        <v>46250</v>
      </c>
      <c r="DD4" s="112">
        <f>DC6</f>
        <v>46300</v>
      </c>
      <c r="DE4" s="113">
        <f>DA4</f>
        <v>46150</v>
      </c>
      <c r="DG4" s="111">
        <f>DE6</f>
        <v>46400</v>
      </c>
      <c r="DH4" s="112">
        <f>DG6</f>
        <v>46450</v>
      </c>
      <c r="DI4" s="112">
        <f>DH6</f>
        <v>46500</v>
      </c>
      <c r="DJ4" s="112">
        <f>DI6</f>
        <v>46550</v>
      </c>
      <c r="DK4" s="113">
        <f>DG4</f>
        <v>46400</v>
      </c>
    </row>
    <row r="5" spans="2:115" ht="15" x14ac:dyDescent="0.3">
      <c r="B5" s="105" t="s">
        <v>26</v>
      </c>
      <c r="C5" s="116">
        <f>C6-C4</f>
        <v>1650</v>
      </c>
      <c r="D5" s="117">
        <f>D6-D4</f>
        <v>1281</v>
      </c>
      <c r="E5" s="117">
        <f>E6-E4</f>
        <v>142</v>
      </c>
      <c r="F5" s="117">
        <f>F6-F4</f>
        <v>1481</v>
      </c>
      <c r="G5" s="118">
        <f>G6-G4</f>
        <v>4554</v>
      </c>
      <c r="H5" s="114"/>
      <c r="I5" s="116">
        <f>I6-I4</f>
        <v>1159</v>
      </c>
      <c r="J5" s="117">
        <f>J6-J4</f>
        <v>1288</v>
      </c>
      <c r="K5" s="117">
        <f>K6-K4</f>
        <v>401</v>
      </c>
      <c r="L5" s="119">
        <f>L6-L4</f>
        <v>301</v>
      </c>
      <c r="M5" s="118">
        <f>M6-M4</f>
        <v>3149</v>
      </c>
      <c r="N5" s="114"/>
      <c r="O5" s="116">
        <f>O6-O4</f>
        <v>-117</v>
      </c>
      <c r="P5" s="117">
        <f>P6-P4</f>
        <v>119</v>
      </c>
      <c r="Q5" s="117">
        <f>Q6-Q4</f>
        <v>227</v>
      </c>
      <c r="R5" s="119">
        <f>R6-R4</f>
        <v>-194</v>
      </c>
      <c r="S5" s="118">
        <f>S6-S4</f>
        <v>35</v>
      </c>
      <c r="T5" s="114"/>
      <c r="U5" s="116">
        <f>U6-U4</f>
        <v>-592</v>
      </c>
      <c r="V5" s="117">
        <f>V6-V4</f>
        <v>-1568</v>
      </c>
      <c r="W5" s="117">
        <v>-2094</v>
      </c>
      <c r="X5" s="117">
        <v>-188</v>
      </c>
      <c r="Y5" s="118">
        <f>Y6-Y4</f>
        <v>-4442</v>
      </c>
      <c r="AA5" s="116">
        <v>-120</v>
      </c>
      <c r="AB5" s="117">
        <v>-57</v>
      </c>
      <c r="AC5" s="117">
        <v>388</v>
      </c>
      <c r="AD5" s="117">
        <v>498</v>
      </c>
      <c r="AE5" s="118">
        <f>AE6-AE4</f>
        <v>709</v>
      </c>
      <c r="AG5" s="116">
        <v>-303</v>
      </c>
      <c r="AH5" s="117">
        <v>370</v>
      </c>
      <c r="AI5" s="117">
        <v>524</v>
      </c>
      <c r="AJ5" s="117">
        <v>574</v>
      </c>
      <c r="AK5" s="118">
        <f>AK6-AK4</f>
        <v>1165</v>
      </c>
      <c r="AM5" s="116">
        <v>437</v>
      </c>
      <c r="AN5" s="117">
        <v>487</v>
      </c>
      <c r="AO5" s="117">
        <v>444</v>
      </c>
      <c r="AP5" s="117">
        <v>689</v>
      </c>
      <c r="AQ5" s="118">
        <f>AQ6-AQ4</f>
        <v>2057</v>
      </c>
      <c r="AS5" s="116">
        <v>520</v>
      </c>
      <c r="AT5" s="117">
        <v>192</v>
      </c>
      <c r="AU5" s="117">
        <v>316</v>
      </c>
      <c r="AV5" s="117">
        <v>-664</v>
      </c>
      <c r="AW5" s="118">
        <f>AW6-AW4</f>
        <v>364</v>
      </c>
      <c r="AY5" s="116">
        <v>211</v>
      </c>
      <c r="AZ5" s="117">
        <v>265</v>
      </c>
      <c r="BA5" s="117">
        <v>427</v>
      </c>
      <c r="BB5" s="117">
        <v>481</v>
      </c>
      <c r="BC5" s="118">
        <f>BC6-BC4</f>
        <v>1384</v>
      </c>
      <c r="BE5" s="116">
        <v>270</v>
      </c>
      <c r="BF5" s="117">
        <v>495</v>
      </c>
      <c r="BG5" s="117">
        <v>323</v>
      </c>
      <c r="BH5" s="117">
        <v>388</v>
      </c>
      <c r="BI5" s="118">
        <f>BI6-BI4</f>
        <v>1476</v>
      </c>
      <c r="BK5" s="116">
        <v>265</v>
      </c>
      <c r="BL5" s="117">
        <v>-103</v>
      </c>
      <c r="BM5" s="117">
        <v>523</v>
      </c>
      <c r="BN5" s="117">
        <v>591</v>
      </c>
      <c r="BO5" s="118">
        <f>BO6-BO4</f>
        <v>1276</v>
      </c>
      <c r="BQ5" s="116">
        <v>225</v>
      </c>
      <c r="BR5" s="117">
        <v>125</v>
      </c>
      <c r="BS5" s="117">
        <v>175</v>
      </c>
      <c r="BT5" s="117">
        <v>325</v>
      </c>
      <c r="BU5" s="118">
        <f>BU6-BU4</f>
        <v>850</v>
      </c>
      <c r="BW5" s="116">
        <v>150</v>
      </c>
      <c r="BX5" s="117">
        <v>125</v>
      </c>
      <c r="BY5" s="117">
        <v>125</v>
      </c>
      <c r="BZ5" s="117">
        <v>250</v>
      </c>
      <c r="CA5" s="118">
        <f>CA6-CA4</f>
        <v>650</v>
      </c>
      <c r="CC5" s="116">
        <v>125</v>
      </c>
      <c r="CD5" s="117">
        <v>100</v>
      </c>
      <c r="CE5" s="117">
        <v>100</v>
      </c>
      <c r="CF5" s="117">
        <v>175</v>
      </c>
      <c r="CG5" s="118">
        <f>CG6-CG4</f>
        <v>500</v>
      </c>
      <c r="CI5" s="116">
        <v>75</v>
      </c>
      <c r="CJ5" s="117">
        <v>75</v>
      </c>
      <c r="CK5" s="117">
        <v>100</v>
      </c>
      <c r="CL5" s="117">
        <v>150</v>
      </c>
      <c r="CM5" s="118">
        <f>CM6-CM4</f>
        <v>400</v>
      </c>
      <c r="CO5" s="116">
        <v>75</v>
      </c>
      <c r="CP5" s="117">
        <v>75</v>
      </c>
      <c r="CQ5" s="117">
        <v>75</v>
      </c>
      <c r="CR5" s="117">
        <v>100</v>
      </c>
      <c r="CS5" s="118">
        <f>CS6-CS4</f>
        <v>325</v>
      </c>
      <c r="CU5" s="116">
        <v>75</v>
      </c>
      <c r="CV5" s="117">
        <v>75</v>
      </c>
      <c r="CW5" s="117">
        <v>75</v>
      </c>
      <c r="CX5" s="117">
        <v>75</v>
      </c>
      <c r="CY5" s="118">
        <f>CY6-CY4</f>
        <v>300</v>
      </c>
      <c r="DA5" s="116">
        <v>50</v>
      </c>
      <c r="DB5" s="117">
        <v>50</v>
      </c>
      <c r="DC5" s="117">
        <v>50</v>
      </c>
      <c r="DD5" s="117">
        <v>100</v>
      </c>
      <c r="DE5" s="118">
        <f>DE6-DE4</f>
        <v>250</v>
      </c>
      <c r="DG5" s="116">
        <v>50</v>
      </c>
      <c r="DH5" s="117">
        <v>50</v>
      </c>
      <c r="DI5" s="117">
        <v>50</v>
      </c>
      <c r="DJ5" s="117">
        <v>50</v>
      </c>
      <c r="DK5" s="118">
        <f>DK6-DK4</f>
        <v>200</v>
      </c>
    </row>
    <row r="6" spans="2:115" ht="15.75" thickBot="1" x14ac:dyDescent="0.35">
      <c r="B6" s="5" t="s">
        <v>27</v>
      </c>
      <c r="C6" s="116">
        <v>33048</v>
      </c>
      <c r="D6" s="117">
        <v>34329</v>
      </c>
      <c r="E6" s="117">
        <v>34471</v>
      </c>
      <c r="F6" s="117">
        <v>35952</v>
      </c>
      <c r="G6" s="118">
        <f>F6</f>
        <v>35952</v>
      </c>
      <c r="H6" s="114"/>
      <c r="I6" s="123">
        <v>37111</v>
      </c>
      <c r="J6" s="124">
        <v>38399</v>
      </c>
      <c r="K6" s="124">
        <v>38800</v>
      </c>
      <c r="L6" s="125">
        <v>39101</v>
      </c>
      <c r="M6" s="121">
        <f>L6</f>
        <v>39101</v>
      </c>
      <c r="N6" s="114"/>
      <c r="O6" s="123">
        <v>38984</v>
      </c>
      <c r="P6" s="124">
        <v>39103</v>
      </c>
      <c r="Q6" s="124">
        <v>39330</v>
      </c>
      <c r="R6" s="125">
        <v>39136</v>
      </c>
      <c r="S6" s="121">
        <f>R6</f>
        <v>39136</v>
      </c>
      <c r="T6" s="114"/>
      <c r="U6" s="123">
        <v>38544</v>
      </c>
      <c r="V6" s="124">
        <v>36976</v>
      </c>
      <c r="W6" s="124">
        <f>W4+W5</f>
        <v>34882</v>
      </c>
      <c r="X6" s="124">
        <f>X4+X5</f>
        <v>34694</v>
      </c>
      <c r="Y6" s="121">
        <f>X6</f>
        <v>34694</v>
      </c>
      <c r="AA6" s="123">
        <f>AA4+AA5</f>
        <v>34574</v>
      </c>
      <c r="AB6" s="124">
        <f>AB4+AB5</f>
        <v>34517</v>
      </c>
      <c r="AC6" s="124">
        <f>AC4+AC5</f>
        <v>34905</v>
      </c>
      <c r="AD6" s="124">
        <f>AD4+AD5</f>
        <v>35403</v>
      </c>
      <c r="AE6" s="121">
        <f>AD6</f>
        <v>35403</v>
      </c>
      <c r="AG6" s="123">
        <f>AG4+AG5</f>
        <v>35100</v>
      </c>
      <c r="AH6" s="124">
        <f>AH4+AH5</f>
        <v>35470</v>
      </c>
      <c r="AI6" s="124">
        <f>AI4+AI5</f>
        <v>35994</v>
      </c>
      <c r="AJ6" s="124">
        <f>AJ4+AJ5</f>
        <v>36568</v>
      </c>
      <c r="AK6" s="121">
        <f>AJ6</f>
        <v>36568</v>
      </c>
      <c r="AM6" s="123">
        <f>AM4+AM5</f>
        <v>37005</v>
      </c>
      <c r="AN6" s="124">
        <f>AN4+AN5</f>
        <v>37492</v>
      </c>
      <c r="AO6" s="124">
        <f>AO4+AO5</f>
        <v>37936</v>
      </c>
      <c r="AP6" s="124">
        <f>AP4+AP5</f>
        <v>38625</v>
      </c>
      <c r="AQ6" s="121">
        <f>AP6</f>
        <v>38625</v>
      </c>
      <c r="AS6" s="123">
        <f>AS4+AS5</f>
        <v>39145</v>
      </c>
      <c r="AT6" s="124">
        <f>AT4+AT5</f>
        <v>39337</v>
      </c>
      <c r="AU6" s="124">
        <f>AU4+AU5</f>
        <v>39653</v>
      </c>
      <c r="AV6" s="124">
        <f>AV4+AV5</f>
        <v>38989</v>
      </c>
      <c r="AW6" s="121">
        <f>AV6</f>
        <v>38989</v>
      </c>
      <c r="AY6" s="123">
        <f>AY4+AY5</f>
        <v>39200</v>
      </c>
      <c r="AZ6" s="124">
        <f>AZ4+AZ5</f>
        <v>39465</v>
      </c>
      <c r="BA6" s="124">
        <f>BA4+BA5</f>
        <v>39892</v>
      </c>
      <c r="BB6" s="124">
        <f>BB4+BB5</f>
        <v>40373</v>
      </c>
      <c r="BC6" s="121">
        <f>BB6</f>
        <v>40373</v>
      </c>
      <c r="BE6" s="123">
        <f>BE4+BE5</f>
        <v>40643</v>
      </c>
      <c r="BF6" s="124">
        <f>BF4+BF5</f>
        <v>41138</v>
      </c>
      <c r="BG6" s="124">
        <f>BG4+BG5</f>
        <v>41461</v>
      </c>
      <c r="BH6" s="124">
        <f>BH4+BH5</f>
        <v>41849</v>
      </c>
      <c r="BI6" s="121">
        <f>BH6</f>
        <v>41849</v>
      </c>
      <c r="BK6" s="123">
        <f>BK4+BK5</f>
        <v>42114</v>
      </c>
      <c r="BL6" s="124">
        <f>BL4+BL5</f>
        <v>42011</v>
      </c>
      <c r="BM6" s="124">
        <f>BM4+BM5</f>
        <v>42534</v>
      </c>
      <c r="BN6" s="124">
        <f>BN4+BN5</f>
        <v>43125</v>
      </c>
      <c r="BO6" s="121">
        <f>BN6</f>
        <v>43125</v>
      </c>
      <c r="BQ6" s="123">
        <f>BQ4+BQ5</f>
        <v>43350</v>
      </c>
      <c r="BR6" s="124">
        <f>BR4+BR5</f>
        <v>43475</v>
      </c>
      <c r="BS6" s="124">
        <f>BS4+BS5</f>
        <v>43650</v>
      </c>
      <c r="BT6" s="124">
        <f>BT4+BT5</f>
        <v>43975</v>
      </c>
      <c r="BU6" s="121">
        <f>BT6</f>
        <v>43975</v>
      </c>
      <c r="BW6" s="123">
        <f>BW4+BW5</f>
        <v>44125</v>
      </c>
      <c r="BX6" s="124">
        <f>BX4+BX5</f>
        <v>44250</v>
      </c>
      <c r="BY6" s="124">
        <f>BY4+BY5</f>
        <v>44375</v>
      </c>
      <c r="BZ6" s="124">
        <f>BZ4+BZ5</f>
        <v>44625</v>
      </c>
      <c r="CA6" s="121">
        <f>BZ6</f>
        <v>44625</v>
      </c>
      <c r="CC6" s="123">
        <f>CC4+CC5</f>
        <v>44750</v>
      </c>
      <c r="CD6" s="124">
        <f>CD4+CD5</f>
        <v>44850</v>
      </c>
      <c r="CE6" s="124">
        <f>CE4+CE5</f>
        <v>44950</v>
      </c>
      <c r="CF6" s="124">
        <f>CF4+CF5</f>
        <v>45125</v>
      </c>
      <c r="CG6" s="121">
        <f>CF6</f>
        <v>45125</v>
      </c>
      <c r="CI6" s="123">
        <f>CI4+CI5</f>
        <v>45200</v>
      </c>
      <c r="CJ6" s="124">
        <f>CJ4+CJ5</f>
        <v>45275</v>
      </c>
      <c r="CK6" s="124">
        <f>CK4+CK5</f>
        <v>45375</v>
      </c>
      <c r="CL6" s="124">
        <f>CL4+CL5</f>
        <v>45525</v>
      </c>
      <c r="CM6" s="121">
        <f>CL6</f>
        <v>45525</v>
      </c>
      <c r="CO6" s="123">
        <f>CO4+CO5</f>
        <v>45600</v>
      </c>
      <c r="CP6" s="124">
        <f>CP4+CP5</f>
        <v>45675</v>
      </c>
      <c r="CQ6" s="124">
        <f>CQ4+CQ5</f>
        <v>45750</v>
      </c>
      <c r="CR6" s="124">
        <f>CR4+CR5</f>
        <v>45850</v>
      </c>
      <c r="CS6" s="121">
        <f>CR6</f>
        <v>45850</v>
      </c>
      <c r="CU6" s="123">
        <f>CU4+CU5</f>
        <v>45925</v>
      </c>
      <c r="CV6" s="124">
        <f>CV4+CV5</f>
        <v>46000</v>
      </c>
      <c r="CW6" s="124">
        <f>CW4+CW5</f>
        <v>46075</v>
      </c>
      <c r="CX6" s="124">
        <f>CX4+CX5</f>
        <v>46150</v>
      </c>
      <c r="CY6" s="121">
        <f>CX6</f>
        <v>46150</v>
      </c>
      <c r="DA6" s="123">
        <f>DA4+DA5</f>
        <v>46200</v>
      </c>
      <c r="DB6" s="124">
        <f>DB4+DB5</f>
        <v>46250</v>
      </c>
      <c r="DC6" s="124">
        <f>DC4+DC5</f>
        <v>46300</v>
      </c>
      <c r="DD6" s="124">
        <f>DD4+DD5</f>
        <v>46400</v>
      </c>
      <c r="DE6" s="121">
        <f>DD6</f>
        <v>46400</v>
      </c>
      <c r="DG6" s="123">
        <f>DG4+DG5</f>
        <v>46450</v>
      </c>
      <c r="DH6" s="124">
        <f>DH4+DH5</f>
        <v>46500</v>
      </c>
      <c r="DI6" s="124">
        <f>DI4+DI5</f>
        <v>46550</v>
      </c>
      <c r="DJ6" s="124">
        <f>DJ4+DJ5</f>
        <v>46600</v>
      </c>
      <c r="DK6" s="121">
        <f>DJ6</f>
        <v>46600</v>
      </c>
    </row>
    <row r="7" spans="2:115" ht="15" x14ac:dyDescent="0.3">
      <c r="B7" s="38" t="s">
        <v>28</v>
      </c>
      <c r="C7" s="112">
        <f>C6-C5/2</f>
        <v>32223</v>
      </c>
      <c r="D7" s="112">
        <f>D6-D5/2</f>
        <v>33688.5</v>
      </c>
      <c r="E7" s="112">
        <f>E6-E5/2</f>
        <v>34400</v>
      </c>
      <c r="F7" s="112">
        <f>F6-F5/2</f>
        <v>35211.5</v>
      </c>
      <c r="G7" s="113">
        <f>(C7+D7+E7+F7)/4</f>
        <v>33880.75</v>
      </c>
      <c r="H7" s="114"/>
      <c r="I7" s="116">
        <f>I6-I5/2</f>
        <v>36531.5</v>
      </c>
      <c r="J7" s="117">
        <f>J6-J5/2</f>
        <v>37755</v>
      </c>
      <c r="K7" s="117">
        <f>K6-K5/2</f>
        <v>38599.5</v>
      </c>
      <c r="L7" s="119">
        <f>L6-L5/2</f>
        <v>38950.5</v>
      </c>
      <c r="M7" s="118">
        <f>(I7+J7+K7+L7)/4</f>
        <v>37959.125</v>
      </c>
      <c r="N7" s="114"/>
      <c r="O7" s="116">
        <f>O6-O5/2</f>
        <v>39042.5</v>
      </c>
      <c r="P7" s="117">
        <f>P6-P5/2</f>
        <v>39043.5</v>
      </c>
      <c r="Q7" s="117">
        <f>Q6-Q5/2</f>
        <v>39216.5</v>
      </c>
      <c r="R7" s="119">
        <f>R6-R5/2</f>
        <v>39233</v>
      </c>
      <c r="S7" s="118">
        <f>(O7+P7+Q7+R7)/4</f>
        <v>39133.875</v>
      </c>
      <c r="T7" s="114"/>
      <c r="U7" s="116">
        <f>U6-U5/2</f>
        <v>38840</v>
      </c>
      <c r="V7" s="117">
        <f>V6-V5/2</f>
        <v>37760</v>
      </c>
      <c r="W7" s="117">
        <f>W6-W5/2</f>
        <v>35929</v>
      </c>
      <c r="X7" s="117">
        <f>X6-X5/2</f>
        <v>34788</v>
      </c>
      <c r="Y7" s="118">
        <f>(U7+V7+W7+X7)/4</f>
        <v>36829.25</v>
      </c>
      <c r="AA7" s="116">
        <f>AA6-AA5/2</f>
        <v>34634</v>
      </c>
      <c r="AB7" s="117">
        <f>AB6-AB5/2</f>
        <v>34545.5</v>
      </c>
      <c r="AC7" s="117">
        <f>AC6-AC5/2</f>
        <v>34711</v>
      </c>
      <c r="AD7" s="117">
        <f>AD6-AD5/2</f>
        <v>35154</v>
      </c>
      <c r="AE7" s="118">
        <f>(AA7+AB7+AC7+AD7)/4</f>
        <v>34761.125</v>
      </c>
      <c r="AG7" s="116">
        <f>AG6-AG5/2</f>
        <v>35251.5</v>
      </c>
      <c r="AH7" s="117">
        <f>AH6-AH5/2</f>
        <v>35285</v>
      </c>
      <c r="AI7" s="117">
        <f>AI6-AI5/2</f>
        <v>35732</v>
      </c>
      <c r="AJ7" s="117">
        <f>AJ6-AJ5/2</f>
        <v>36281</v>
      </c>
      <c r="AK7" s="118">
        <f>(AG7+AH7+AI7+AJ7)/4</f>
        <v>35637.375</v>
      </c>
      <c r="AM7" s="116">
        <f>AM6-AM5/2</f>
        <v>36786.5</v>
      </c>
      <c r="AN7" s="117">
        <f>AN6-AN5/2</f>
        <v>37248.5</v>
      </c>
      <c r="AO7" s="117">
        <f>AO6-AO5/2</f>
        <v>37714</v>
      </c>
      <c r="AP7" s="117">
        <f>AP6-AP5/2</f>
        <v>38280.5</v>
      </c>
      <c r="AQ7" s="118">
        <f>(AM7+AN7+AO7+AP7)/4</f>
        <v>37507.375</v>
      </c>
      <c r="AS7" s="116">
        <f>AS6-AS5/2</f>
        <v>38885</v>
      </c>
      <c r="AT7" s="117">
        <f>AT6-AT5/2</f>
        <v>39241</v>
      </c>
      <c r="AU7" s="117">
        <f>AU6-AU5/2</f>
        <v>39495</v>
      </c>
      <c r="AV7" s="117">
        <f>AV6-AV5/2</f>
        <v>39321</v>
      </c>
      <c r="AW7" s="118">
        <f>(AS7+AT7+AU7+AV7)/4</f>
        <v>39235.5</v>
      </c>
      <c r="AY7" s="116">
        <f>AY6-AY5/2</f>
        <v>39094.5</v>
      </c>
      <c r="AZ7" s="117">
        <f>AZ6-AZ5/2</f>
        <v>39332.5</v>
      </c>
      <c r="BA7" s="117">
        <f>BA6-BA5/2</f>
        <v>39678.5</v>
      </c>
      <c r="BB7" s="117">
        <f>BB6-BB5/2</f>
        <v>40132.5</v>
      </c>
      <c r="BC7" s="118">
        <f>(AY7+AZ7+BA7+BB7)/4</f>
        <v>39559.5</v>
      </c>
      <c r="BE7" s="116">
        <f>BE6-BE5/2</f>
        <v>40508</v>
      </c>
      <c r="BF7" s="117">
        <f>BF6-BF5/2</f>
        <v>40890.5</v>
      </c>
      <c r="BG7" s="117">
        <f>BG6-BG5/2</f>
        <v>41299.5</v>
      </c>
      <c r="BH7" s="117">
        <f>BH6-BH5/2</f>
        <v>41655</v>
      </c>
      <c r="BI7" s="118">
        <f>(BE7+BF7+BG7+BH7)/4</f>
        <v>41088.25</v>
      </c>
      <c r="BK7" s="116">
        <f>BK6-BK5/2</f>
        <v>41981.5</v>
      </c>
      <c r="BL7" s="117">
        <f>BL6-BL5/2</f>
        <v>42062.5</v>
      </c>
      <c r="BM7" s="117">
        <f>BM6-BM5/2</f>
        <v>42272.5</v>
      </c>
      <c r="BN7" s="117">
        <f>BN6-BN5/2</f>
        <v>42829.5</v>
      </c>
      <c r="BO7" s="118">
        <f>(BK7+BL7+BM7+BN7)/4</f>
        <v>42286.5</v>
      </c>
      <c r="BQ7" s="116">
        <f>BQ6-BQ5/2</f>
        <v>43237.5</v>
      </c>
      <c r="BR7" s="117">
        <f>BR6-BR5/2</f>
        <v>43412.5</v>
      </c>
      <c r="BS7" s="117">
        <f>BS6-BS5/2</f>
        <v>43562.5</v>
      </c>
      <c r="BT7" s="117">
        <f>BT6-BT5/2</f>
        <v>43812.5</v>
      </c>
      <c r="BU7" s="118">
        <f>(BQ7+BR7+BS7+BT7)/4</f>
        <v>43506.25</v>
      </c>
      <c r="BW7" s="116">
        <f>BW6-BW5/2</f>
        <v>44050</v>
      </c>
      <c r="BX7" s="117">
        <f>BX6-BX5/2</f>
        <v>44187.5</v>
      </c>
      <c r="BY7" s="117">
        <f>BY6-BY5/2</f>
        <v>44312.5</v>
      </c>
      <c r="BZ7" s="117">
        <f>BZ6-BZ5/2</f>
        <v>44500</v>
      </c>
      <c r="CA7" s="118">
        <f>(BW7+BX7+BY7+BZ7)/4</f>
        <v>44262.5</v>
      </c>
      <c r="CC7" s="116">
        <f>CC6-CC5/2</f>
        <v>44687.5</v>
      </c>
      <c r="CD7" s="117">
        <f>CD6-CD5/2</f>
        <v>44800</v>
      </c>
      <c r="CE7" s="117">
        <f>CE6-CE5/2</f>
        <v>44900</v>
      </c>
      <c r="CF7" s="117">
        <f>CF6-CF5/2</f>
        <v>45037.5</v>
      </c>
      <c r="CG7" s="118">
        <f>(CC7+CD7+CE7+CF7)/4</f>
        <v>44856.25</v>
      </c>
      <c r="CI7" s="116">
        <f>CI6-CI5/2</f>
        <v>45162.5</v>
      </c>
      <c r="CJ7" s="117">
        <f>CJ6-CJ5/2</f>
        <v>45237.5</v>
      </c>
      <c r="CK7" s="117">
        <f>CK6-CK5/2</f>
        <v>45325</v>
      </c>
      <c r="CL7" s="117">
        <f>CL6-CL5/2</f>
        <v>45450</v>
      </c>
      <c r="CM7" s="118">
        <f>(CI7+CJ7+CK7+CL7)/4</f>
        <v>45293.75</v>
      </c>
      <c r="CO7" s="116">
        <f>CO6-CO5/2</f>
        <v>45562.5</v>
      </c>
      <c r="CP7" s="117">
        <f>CP6-CP5/2</f>
        <v>45637.5</v>
      </c>
      <c r="CQ7" s="117">
        <f>CQ6-CQ5/2</f>
        <v>45712.5</v>
      </c>
      <c r="CR7" s="117">
        <f>CR6-CR5/2</f>
        <v>45800</v>
      </c>
      <c r="CS7" s="118">
        <f>(CO7+CP7+CQ7+CR7)/4</f>
        <v>45678.125</v>
      </c>
      <c r="CU7" s="116">
        <f>CU6-CU5/2</f>
        <v>45887.5</v>
      </c>
      <c r="CV7" s="117">
        <f>CV6-CV5/2</f>
        <v>45962.5</v>
      </c>
      <c r="CW7" s="117">
        <f>CW6-CW5/2</f>
        <v>46037.5</v>
      </c>
      <c r="CX7" s="117">
        <f>CX6-CX5/2</f>
        <v>46112.5</v>
      </c>
      <c r="CY7" s="118">
        <f>(CU7+CV7+CW7+CX7)/4</f>
        <v>46000</v>
      </c>
      <c r="DA7" s="116">
        <f>DA6-DA5/2</f>
        <v>46175</v>
      </c>
      <c r="DB7" s="117">
        <f>DB6-DB5/2</f>
        <v>46225</v>
      </c>
      <c r="DC7" s="117">
        <f>DC6-DC5/2</f>
        <v>46275</v>
      </c>
      <c r="DD7" s="117">
        <f>DD6-DD5/2</f>
        <v>46350</v>
      </c>
      <c r="DE7" s="118">
        <f>(DA7+DB7+DC7+DD7)/4</f>
        <v>46256.25</v>
      </c>
      <c r="DG7" s="116">
        <f>DG6-DG5/2</f>
        <v>46425</v>
      </c>
      <c r="DH7" s="117">
        <f>DH6-DH5/2</f>
        <v>46475</v>
      </c>
      <c r="DI7" s="117">
        <f>DI6-DI5/2</f>
        <v>46525</v>
      </c>
      <c r="DJ7" s="117">
        <f>DJ6-DJ5/2</f>
        <v>46575</v>
      </c>
      <c r="DK7" s="118">
        <f>(DG7+DH7+DI7+DJ7)/4</f>
        <v>46500</v>
      </c>
    </row>
    <row r="8" spans="2:115" ht="15.75" thickBot="1" x14ac:dyDescent="0.35">
      <c r="B8" s="41" t="s">
        <v>56</v>
      </c>
      <c r="C8" s="106" t="s">
        <v>35</v>
      </c>
      <c r="D8" s="106" t="s">
        <v>35</v>
      </c>
      <c r="E8" s="106" t="s">
        <v>35</v>
      </c>
      <c r="F8" s="106" t="s">
        <v>35</v>
      </c>
      <c r="G8" s="108" t="s">
        <v>35</v>
      </c>
      <c r="I8" s="109">
        <f>I7/C7-1</f>
        <v>0.13370884151072215</v>
      </c>
      <c r="J8" s="110">
        <f>J7/D7-1</f>
        <v>0.12070884723273512</v>
      </c>
      <c r="K8" s="110">
        <f>K7/E7-1</f>
        <v>0.12207848837209312</v>
      </c>
      <c r="L8" s="120">
        <f>L7/F7-1</f>
        <v>0.1061868991664654</v>
      </c>
      <c r="M8" s="122">
        <f>M7/G7-1</f>
        <v>0.12037440139312139</v>
      </c>
      <c r="O8" s="109">
        <f>O7/I7-1</f>
        <v>6.8735201127793744E-2</v>
      </c>
      <c r="P8" s="110">
        <f>P7/J7-1</f>
        <v>3.4127930075486645E-2</v>
      </c>
      <c r="Q8" s="110">
        <f>Q7/K7-1</f>
        <v>1.5984663013769662E-2</v>
      </c>
      <c r="R8" s="120">
        <f>R7/L7-1</f>
        <v>7.2527952144387786E-3</v>
      </c>
      <c r="S8" s="122">
        <f>S7/M7-1</f>
        <v>3.0947762889687258E-2</v>
      </c>
      <c r="U8" s="109">
        <f>U7/O7-1</f>
        <v>-5.1866555676506332E-3</v>
      </c>
      <c r="V8" s="110">
        <f>V7/P7-1</f>
        <v>-3.2873589714036866E-2</v>
      </c>
      <c r="W8" s="110">
        <f>W7/Q7-1</f>
        <v>-8.3829510537656304E-2</v>
      </c>
      <c r="X8" s="110">
        <f>X7/R7-1</f>
        <v>-0.11329747916294952</v>
      </c>
      <c r="Y8" s="122">
        <f>Y7/S7-1</f>
        <v>-5.8890794739851371E-2</v>
      </c>
      <c r="AA8" s="109">
        <f>AA7/U7-1</f>
        <v>-0.1082904222451081</v>
      </c>
      <c r="AB8" s="110">
        <f>AB7/V7-1</f>
        <v>-8.512976694915253E-2</v>
      </c>
      <c r="AC8" s="110">
        <f>AC7/W7-1</f>
        <v>-3.3900192045422939E-2</v>
      </c>
      <c r="AD8" s="110">
        <f>AD7/X7-1</f>
        <v>1.0520869265263855E-2</v>
      </c>
      <c r="AE8" s="122">
        <f>AE7/Y7-1</f>
        <v>-5.6154415308484418E-2</v>
      </c>
      <c r="AG8" s="109">
        <f>AG7/AA7-1</f>
        <v>1.7829300687185912E-2</v>
      </c>
      <c r="AH8" s="110">
        <f>AH7/AB7-1</f>
        <v>2.1406550780854294E-2</v>
      </c>
      <c r="AI8" s="110">
        <f>AI7/AC7-1</f>
        <v>2.9414306703926751E-2</v>
      </c>
      <c r="AJ8" s="110">
        <f>AJ7/AD7-1</f>
        <v>3.2058940661091162E-2</v>
      </c>
      <c r="AK8" s="122">
        <f>AK7/AE7-1</f>
        <v>2.5207757228800753E-2</v>
      </c>
      <c r="AM8" s="109">
        <f>AM7/AG7-1</f>
        <v>4.3544246344127124E-2</v>
      </c>
      <c r="AN8" s="110">
        <f>AN7/AH7-1</f>
        <v>5.5646875442822763E-2</v>
      </c>
      <c r="AO8" s="110">
        <f>AO7/AI7-1</f>
        <v>5.5468487630135455E-2</v>
      </c>
      <c r="AP8" s="110">
        <f>AP7/AJ7-1</f>
        <v>5.5111490862986168E-2</v>
      </c>
      <c r="AQ8" s="122">
        <f>AQ7/AK7-1</f>
        <v>5.2473000606806819E-2</v>
      </c>
      <c r="AS8" s="109">
        <f>AS7/AM7-1</f>
        <v>5.7045383496663105E-2</v>
      </c>
      <c r="AT8" s="110">
        <f>AT7/AN7-1</f>
        <v>5.3492086929675109E-2</v>
      </c>
      <c r="AU8" s="110">
        <f>AU7/AO7-1</f>
        <v>4.7223842604868116E-2</v>
      </c>
      <c r="AV8" s="110">
        <f>AV7/AP7-1</f>
        <v>2.7180940687817623E-2</v>
      </c>
      <c r="AW8" s="122">
        <f>AW7/AQ7-1</f>
        <v>4.607427205982817E-2</v>
      </c>
      <c r="AY8" s="109">
        <f>AY7/AS7-1</f>
        <v>5.3876816253053406E-3</v>
      </c>
      <c r="AZ8" s="110">
        <f>AZ7/AT7-1</f>
        <v>2.3317448586936962E-3</v>
      </c>
      <c r="BA8" s="110">
        <f>BA7/AU7-1</f>
        <v>4.6461577414862454E-3</v>
      </c>
      <c r="BB8" s="110">
        <f>BB7/AV7-1</f>
        <v>2.0637827115281837E-2</v>
      </c>
      <c r="BC8" s="122">
        <f>BC7/AW7-1</f>
        <v>8.2578277325380256E-3</v>
      </c>
      <c r="BE8" s="109">
        <f>BE7/AY7-1</f>
        <v>3.6155981020348227E-2</v>
      </c>
      <c r="BF8" s="110">
        <f>BF7/AZ7-1</f>
        <v>3.9611008707811646E-2</v>
      </c>
      <c r="BG8" s="110">
        <f>BG7/BA7-1</f>
        <v>4.0853358871933088E-2</v>
      </c>
      <c r="BH8" s="110">
        <f>BH7/BB7-1</f>
        <v>3.7936834236591332E-2</v>
      </c>
      <c r="BI8" s="122">
        <f>BI7/BC7-1</f>
        <v>3.8644320580391467E-2</v>
      </c>
      <c r="BK8" s="109">
        <f>BK7/BE7-1</f>
        <v>3.6375530759356067E-2</v>
      </c>
      <c r="BL8" s="110">
        <f>BL7/BF7-1</f>
        <v>2.8661914136535405E-2</v>
      </c>
      <c r="BM8" s="110">
        <f>BM7/BG7-1</f>
        <v>2.3559607259167725E-2</v>
      </c>
      <c r="BN8" s="110">
        <f>BN7/BH7-1</f>
        <v>2.8195894850558068E-2</v>
      </c>
      <c r="BO8" s="122">
        <f>BO7/BI7-1</f>
        <v>2.9162838524395607E-2</v>
      </c>
      <c r="BQ8" s="109">
        <f>BQ7/BK7-1</f>
        <v>2.9917940045019797E-2</v>
      </c>
      <c r="BR8" s="110">
        <f>BR7/BL7-1</f>
        <v>3.2095096582466676E-2</v>
      </c>
      <c r="BS8" s="110">
        <f>BS7/BM7-1</f>
        <v>3.0516293098350022E-2</v>
      </c>
      <c r="BT8" s="110">
        <f>BT7/BN7-1</f>
        <v>2.2951470365052185E-2</v>
      </c>
      <c r="BU8" s="122">
        <f>BU7/BO7-1</f>
        <v>2.8844903219703788E-2</v>
      </c>
      <c r="BW8" s="109">
        <f>BW7/BQ7-1</f>
        <v>1.8791558253830498E-2</v>
      </c>
      <c r="BX8" s="110">
        <f>BX7/BR7-1</f>
        <v>1.7852001151742014E-2</v>
      </c>
      <c r="BY8" s="110">
        <f>BY7/BS7-1</f>
        <v>1.7216642754662947E-2</v>
      </c>
      <c r="BZ8" s="110">
        <f>BZ7/BT7-1</f>
        <v>1.5691868758915817E-2</v>
      </c>
      <c r="CA8" s="122">
        <f>CA7/BU7-1</f>
        <v>1.7382559977014767E-2</v>
      </c>
      <c r="CC8" s="109">
        <f>CC7/BW7-1</f>
        <v>1.4472190692395026E-2</v>
      </c>
      <c r="CD8" s="110">
        <f>CD7/BX7-1</f>
        <v>1.3861386138613874E-2</v>
      </c>
      <c r="CE8" s="110">
        <f>CE7/BY7-1</f>
        <v>1.3258110014104263E-2</v>
      </c>
      <c r="CF8" s="110">
        <f>CF7/BZ7-1</f>
        <v>1.2078651685393238E-2</v>
      </c>
      <c r="CG8" s="122">
        <f>CG7/CA7-1</f>
        <v>1.3414289748658659E-2</v>
      </c>
      <c r="CI8" s="109">
        <f>CI7/CC7-1</f>
        <v>1.0629370629370527E-2</v>
      </c>
      <c r="CJ8" s="110">
        <f>CJ7/CD7-1</f>
        <v>9.765625E-3</v>
      </c>
      <c r="CK8" s="110">
        <f>CK7/CE7-1</f>
        <v>9.465478841870878E-3</v>
      </c>
      <c r="CL8" s="110">
        <f>CL7/CF7-1</f>
        <v>9.1590341382181695E-3</v>
      </c>
      <c r="CM8" s="122">
        <f>CM7/CG7-1</f>
        <v>9.753378849101324E-3</v>
      </c>
      <c r="CO8" s="109">
        <f>CO7/CI7-1</f>
        <v>8.8569056185994199E-3</v>
      </c>
      <c r="CP8" s="110">
        <f>CP7/CJ7-1</f>
        <v>8.8422216081791571E-3</v>
      </c>
      <c r="CQ8" s="110">
        <f>CQ7/CK7-1</f>
        <v>8.5493656922228656E-3</v>
      </c>
      <c r="CR8" s="110">
        <f>CR7/CL7-1</f>
        <v>7.700770077007757E-3</v>
      </c>
      <c r="CS8" s="122">
        <f>CS7/CM7-1</f>
        <v>8.4862701807644214E-3</v>
      </c>
      <c r="CU8" s="109">
        <f>CU7/CO7-1</f>
        <v>7.1330589849107895E-3</v>
      </c>
      <c r="CV8" s="110">
        <f>CV7/CP7-1</f>
        <v>7.1213366201041683E-3</v>
      </c>
      <c r="CW8" s="110">
        <f>CW7/CQ7-1</f>
        <v>7.109652720809434E-3</v>
      </c>
      <c r="CX8" s="110">
        <f>CX7/CR7-1</f>
        <v>6.8231441048034469E-3</v>
      </c>
      <c r="CY8" s="122">
        <f>CY7/CS7-1</f>
        <v>7.0465895874667339E-3</v>
      </c>
      <c r="DA8" s="109">
        <f>DA7/CU7-1</f>
        <v>6.2653228003268779E-3</v>
      </c>
      <c r="DB8" s="110">
        <f>DB7/CV7-1</f>
        <v>5.7111775904270523E-3</v>
      </c>
      <c r="DC8" s="110">
        <f>DC7/CW7-1</f>
        <v>5.1588379038827181E-3</v>
      </c>
      <c r="DD8" s="110">
        <f>DD7/CX7-1</f>
        <v>5.1504472756844777E-3</v>
      </c>
      <c r="DE8" s="122">
        <f>DE7/CY7-1</f>
        <v>5.5706521739129489E-3</v>
      </c>
      <c r="DG8" s="109">
        <f>DG7/DA7-1</f>
        <v>5.4141851651325901E-3</v>
      </c>
      <c r="DH8" s="110">
        <f>DH7/DB7-1</f>
        <v>5.4083288263926388E-3</v>
      </c>
      <c r="DI8" s="110">
        <f>DI7/DC7-1</f>
        <v>5.4024851431657694E-3</v>
      </c>
      <c r="DJ8" s="110">
        <f>DJ7/DD7-1</f>
        <v>4.8543689320388328E-3</v>
      </c>
      <c r="DK8" s="122">
        <f>DK7/DE7-1</f>
        <v>5.2695581678152692E-3</v>
      </c>
    </row>
    <row r="9" spans="2:115" ht="15.75" thickBot="1" x14ac:dyDescent="0.35">
      <c r="B9" s="1"/>
      <c r="U9" s="114"/>
      <c r="V9" s="114"/>
      <c r="AA9" s="103"/>
      <c r="AB9" s="103"/>
      <c r="AC9" s="103"/>
      <c r="AD9" s="103"/>
      <c r="AE9" s="103"/>
      <c r="AG9" s="103"/>
      <c r="AH9" s="103"/>
      <c r="AI9" s="103"/>
      <c r="AJ9" s="103"/>
      <c r="AK9" s="103"/>
      <c r="AM9" s="103"/>
      <c r="AN9" s="103"/>
      <c r="AO9" s="103"/>
      <c r="AP9" s="103"/>
      <c r="AQ9" s="103"/>
      <c r="AS9" s="103"/>
      <c r="AT9" s="103"/>
      <c r="AU9" s="103"/>
      <c r="AV9" s="103"/>
      <c r="AW9" s="103"/>
      <c r="AY9" s="103"/>
      <c r="AZ9" s="103"/>
      <c r="BA9" s="103"/>
      <c r="BB9" s="103"/>
      <c r="BC9" s="103"/>
      <c r="BE9" s="103"/>
      <c r="BF9" s="103"/>
      <c r="BG9" s="103"/>
      <c r="BH9" s="103"/>
      <c r="BI9" s="103"/>
      <c r="BK9" s="103"/>
      <c r="BL9" s="103"/>
      <c r="BM9" s="103"/>
      <c r="BN9" s="103"/>
      <c r="BO9" s="103"/>
      <c r="BQ9" s="103"/>
      <c r="BR9" s="103"/>
      <c r="BS9" s="103"/>
      <c r="BT9" s="103"/>
      <c r="BU9" s="103"/>
      <c r="BW9" s="103"/>
      <c r="BX9" s="103"/>
      <c r="BY9" s="103"/>
      <c r="BZ9" s="103"/>
      <c r="CA9" s="103"/>
      <c r="CC9" s="103"/>
      <c r="CD9" s="103"/>
      <c r="CE9" s="103"/>
      <c r="CF9" s="103"/>
      <c r="CG9" s="103"/>
      <c r="CI9" s="103"/>
      <c r="CJ9" s="103"/>
      <c r="CK9" s="103"/>
      <c r="CL9" s="103"/>
      <c r="CM9" s="103"/>
      <c r="CO9" s="103"/>
      <c r="CP9" s="103"/>
      <c r="CQ9" s="103"/>
      <c r="CR9" s="103"/>
      <c r="CS9" s="103"/>
      <c r="CU9" s="103"/>
      <c r="CV9" s="103"/>
      <c r="CW9" s="103"/>
      <c r="CX9" s="103"/>
      <c r="CY9" s="103"/>
      <c r="DA9" s="103"/>
      <c r="DB9" s="103"/>
      <c r="DC9" s="103"/>
      <c r="DD9" s="103"/>
      <c r="DE9" s="103"/>
      <c r="DG9" s="103"/>
      <c r="DH9" s="103"/>
      <c r="DI9" s="103"/>
      <c r="DJ9" s="103"/>
      <c r="DK9" s="103"/>
    </row>
    <row r="10" spans="2:115" s="135" customFormat="1" ht="15" x14ac:dyDescent="0.3">
      <c r="B10" s="139" t="s">
        <v>46</v>
      </c>
      <c r="C10" s="141">
        <f>C17-C13</f>
        <v>14.482409045298905</v>
      </c>
      <c r="D10" s="142">
        <f>D17-D13</f>
        <v>14.33525782784432</v>
      </c>
      <c r="E10" s="142">
        <f>E17-E13</f>
        <v>14.356589147286822</v>
      </c>
      <c r="F10" s="143">
        <f>F17-F13</f>
        <v>13.035229967482213</v>
      </c>
      <c r="G10" s="149">
        <f>G61*1000/(G7*12)</f>
        <v>14.037887787804776</v>
      </c>
      <c r="H10" s="134"/>
      <c r="I10" s="141">
        <f>I17-I13</f>
        <v>12.340765275629709</v>
      </c>
      <c r="J10" s="142">
        <f>J17-J13</f>
        <v>12.230433055224474</v>
      </c>
      <c r="K10" s="142">
        <f>K17-K13</f>
        <v>12.008963846681953</v>
      </c>
      <c r="L10" s="143">
        <f>L17-L13</f>
        <v>11.388471692703988</v>
      </c>
      <c r="M10" s="149">
        <f>M61*1000/(M7*12)</f>
        <v>11.984689671675344</v>
      </c>
      <c r="N10" s="134"/>
      <c r="O10" s="141">
        <f>O17-O13</f>
        <v>11.007235704680795</v>
      </c>
      <c r="P10" s="142">
        <f>P17-P13</f>
        <v>11.083791156018288</v>
      </c>
      <c r="Q10" s="142">
        <f>Q17-Q13</f>
        <v>11.125334149316402</v>
      </c>
      <c r="R10" s="143">
        <f>R17-R13</f>
        <v>10.717508220120816</v>
      </c>
      <c r="S10" s="149">
        <f>S61*1000/(S7*12)</f>
        <v>10.983301977293756</v>
      </c>
      <c r="T10" s="134"/>
      <c r="U10" s="141">
        <f>U17-U13</f>
        <v>10.431857191898388</v>
      </c>
      <c r="V10" s="142">
        <f>V17-V13</f>
        <v>10.912782485875706</v>
      </c>
      <c r="W10" s="142">
        <f>W17-W13</f>
        <v>11.774147160603782</v>
      </c>
      <c r="X10" s="142">
        <f>X17-X13</f>
        <v>11.441493235215209</v>
      </c>
      <c r="Y10" s="149">
        <f>Y61*1000/(Y7*12)</f>
        <v>11.120916119660324</v>
      </c>
      <c r="AA10" s="141">
        <f>AA17-AA13</f>
        <v>10.523666531924313</v>
      </c>
      <c r="AB10" s="142">
        <f>AB17-AB13</f>
        <v>10.452977474152446</v>
      </c>
      <c r="AC10" s="142">
        <f>AC17-AC13</f>
        <v>10.731007461611593</v>
      </c>
      <c r="AD10" s="142">
        <f>AD17-AD13</f>
        <v>10.109575012800818</v>
      </c>
      <c r="AE10" s="149">
        <f>AE61*1000/(AE7*12)</f>
        <v>10.453171466688723</v>
      </c>
      <c r="AG10" s="141">
        <f>AG17-AG13</f>
        <v>9.3552520223725697</v>
      </c>
      <c r="AH10" s="142">
        <f>AH17-AH13</f>
        <v>9.4194889235274673</v>
      </c>
      <c r="AI10" s="142">
        <f>AI17-AI13</f>
        <v>9.6263853128848105</v>
      </c>
      <c r="AJ10" s="142">
        <f>AJ17-AJ13</f>
        <v>8.7979934400926112</v>
      </c>
      <c r="AK10" s="149">
        <f>AK61*1000/(AK7*12)</f>
        <v>9.2972850366597797</v>
      </c>
      <c r="AM10" s="141">
        <f>AM17-AM13</f>
        <v>8.261001544950819</v>
      </c>
      <c r="AN10" s="142">
        <f>AN17-AN13</f>
        <v>8.2343360582752769</v>
      </c>
      <c r="AO10" s="142">
        <f>AO17-AO13</f>
        <v>7.8131905039684648</v>
      </c>
      <c r="AP10" s="142">
        <f>AP17-AP13</f>
        <v>7.0401379292328992</v>
      </c>
      <c r="AQ10" s="149">
        <f>AQ61*1000/(AQ7*12)</f>
        <v>7.8303044845624807</v>
      </c>
      <c r="AS10" s="141">
        <f>AS17-AS13</f>
        <v>6.9906990699069906</v>
      </c>
      <c r="AT10" s="142">
        <f>AT17-AT13</f>
        <v>7.0844270023699698</v>
      </c>
      <c r="AU10" s="142">
        <f>AU17-AU13</f>
        <v>7.1696839262353889</v>
      </c>
      <c r="AV10" s="142">
        <f>AV17-AV13</f>
        <v>7.1208768851249964</v>
      </c>
      <c r="AW10" s="149">
        <f>AW61*1000/(AW7*12)</f>
        <v>7.0917918721565929</v>
      </c>
      <c r="AY10" s="141">
        <f>AY17-AY13</f>
        <v>7.0063563928429824</v>
      </c>
      <c r="AZ10" s="142">
        <f>AZ17-AZ13</f>
        <v>6.7933642661920803</v>
      </c>
      <c r="BA10" s="142">
        <f>BA17-BA13</f>
        <v>6.8228385649659131</v>
      </c>
      <c r="BB10" s="142">
        <f>BB17-BB13</f>
        <v>6.669905936585061</v>
      </c>
      <c r="BC10" s="149">
        <f>BC61*1000/(BC7*12)</f>
        <v>6.8220654962777578</v>
      </c>
      <c r="BE10" s="141">
        <f>BE17-BE13</f>
        <v>6.513281327145255</v>
      </c>
      <c r="BF10" s="142">
        <f>BF17-BF13</f>
        <v>6.4797446839730499</v>
      </c>
      <c r="BG10" s="142">
        <f>BG17-BG13</f>
        <v>6.3826599999192881</v>
      </c>
      <c r="BH10" s="142">
        <f>BH17-BH13</f>
        <v>6.2696755091425596</v>
      </c>
      <c r="BI10" s="149">
        <f>BI61*1000/(BI7*12)</f>
        <v>6.4103727951421634</v>
      </c>
      <c r="BK10" s="141">
        <f>BK17-BK13</f>
        <v>5.9716780010242605</v>
      </c>
      <c r="BL10" s="142">
        <f>BL17-BL13</f>
        <v>6.0179891035165918</v>
      </c>
      <c r="BM10" s="142">
        <f>BM17-BM13</f>
        <v>5.8758057839020648</v>
      </c>
      <c r="BN10" s="142">
        <f>BN17-BN13</f>
        <v>5.5405736700171611</v>
      </c>
      <c r="BO10" s="149">
        <f>BO61*1000/(BO7*12)</f>
        <v>5.8500742947906934</v>
      </c>
      <c r="BQ10" s="141">
        <f>BK10*(1+BQ11)</f>
        <v>5.2849350309064702</v>
      </c>
      <c r="BR10" s="142">
        <f>BL10*(1+BR11)</f>
        <v>5.2657404655770179</v>
      </c>
      <c r="BS10" s="142">
        <f>BM10*(1+BS11)</f>
        <v>5.0238139452362649</v>
      </c>
      <c r="BT10" s="143">
        <f>BN10*(1+BT11)</f>
        <v>4.848001961265016</v>
      </c>
      <c r="BU10" s="149">
        <f>BU61*1000/(BU7*12)</f>
        <v>5.1047798723054676</v>
      </c>
      <c r="BW10" s="141">
        <f>BQ10*(1+BW11)</f>
        <v>4.6507428271976936</v>
      </c>
      <c r="BX10" s="142">
        <f>BR10*(1+BX11)</f>
        <v>4.6601803120356609</v>
      </c>
      <c r="BY10" s="142">
        <f>BS10*(1+BY11)</f>
        <v>4.4460753415340948</v>
      </c>
      <c r="BZ10" s="143">
        <f>BT10*(1+BZ11)</f>
        <v>4.2904817357195393</v>
      </c>
      <c r="CA10" s="149">
        <f>CA61*1000/(CA7*12)</f>
        <v>4.5113249923037753</v>
      </c>
      <c r="CC10" s="141">
        <f>BW10*(1+CC11)</f>
        <v>4.1624148303419357</v>
      </c>
      <c r="CD10" s="142">
        <f>BX10*(1+CD11)</f>
        <v>4.1708613792719165</v>
      </c>
      <c r="CE10" s="142">
        <f>BY10*(1+CE11)</f>
        <v>3.9570070539653446</v>
      </c>
      <c r="CF10" s="143">
        <f>BZ10*(1+CF11)</f>
        <v>3.81852874479039</v>
      </c>
      <c r="CG10" s="149">
        <f>CG61*1000/(CG7*12)</f>
        <v>4.0268028847085313</v>
      </c>
      <c r="CI10" s="141">
        <f>CC10*(1+CI11)</f>
        <v>3.7045491990043229</v>
      </c>
      <c r="CJ10" s="142">
        <f>CD10*(1+CJ11)</f>
        <v>3.6703580137592864</v>
      </c>
      <c r="CK10" s="142">
        <f>CE10*(1+CK11)</f>
        <v>3.4821662074895032</v>
      </c>
      <c r="CL10" s="143">
        <f>CF10*(1+CL11)</f>
        <v>3.360305295415543</v>
      </c>
      <c r="CM10" s="149">
        <f>CM61*1000/(CM7*12)</f>
        <v>3.5540200517652356</v>
      </c>
      <c r="CO10" s="141">
        <f>CI10*(1+CO11)</f>
        <v>3.2970487871138476</v>
      </c>
      <c r="CP10" s="142">
        <f>CJ10*(1+CP11)</f>
        <v>3.2666186322457649</v>
      </c>
      <c r="CQ10" s="142">
        <f>CK10*(1+CQ11)</f>
        <v>3.0643062625907627</v>
      </c>
      <c r="CR10" s="143">
        <f>CL10*(1+CR11)</f>
        <v>2.9570686599656777</v>
      </c>
      <c r="CS10" s="149">
        <f>CS61*1000/(CS7*12)</f>
        <v>3.1459967864656169</v>
      </c>
      <c r="CU10" s="141">
        <f>CO10*(1+CU11)</f>
        <v>2.9343734205313243</v>
      </c>
      <c r="CV10" s="142">
        <f>CP10*(1+CV11)</f>
        <v>2.9072905826987308</v>
      </c>
      <c r="CW10" s="142">
        <f>CQ10*(1+CW11)</f>
        <v>2.7272325737057788</v>
      </c>
      <c r="CX10" s="143">
        <f>CR10*(1+CX11)</f>
        <v>2.6317911073694531</v>
      </c>
      <c r="CY10" s="149">
        <f>CY61*1000/(CY7*12)</f>
        <v>2.7999502216982348</v>
      </c>
      <c r="DA10" s="141">
        <f>CU10*(1+DA11)</f>
        <v>2.6115923442728786</v>
      </c>
      <c r="DB10" s="142">
        <f>CV10*(1+DB11)</f>
        <v>2.5874886186018706</v>
      </c>
      <c r="DC10" s="142">
        <f>CW10*(1+DC11)</f>
        <v>2.4272369905981432</v>
      </c>
      <c r="DD10" s="143">
        <f>CX10*(1+DD11)</f>
        <v>2.3422940855588132</v>
      </c>
      <c r="DE10" s="149">
        <f>DE61*1000/(DE7*12)</f>
        <v>2.4920019483705</v>
      </c>
      <c r="DG10" s="141">
        <f>DA10*(1+DG11)</f>
        <v>2.3243171864028618</v>
      </c>
      <c r="DH10" s="142">
        <f>DB10*(1+DH11)</f>
        <v>2.3028648705556649</v>
      </c>
      <c r="DI10" s="142">
        <f>DC10*(1+DI11)</f>
        <v>2.1602409216323477</v>
      </c>
      <c r="DJ10" s="143">
        <f>DD10*(1+DJ11)</f>
        <v>2.0846417361473439</v>
      </c>
      <c r="DK10" s="149">
        <f>DK61*1000/(DK7*12)</f>
        <v>2.21790036547223</v>
      </c>
    </row>
    <row r="11" spans="2:115" ht="15" x14ac:dyDescent="0.3">
      <c r="B11" s="5" t="s">
        <v>23</v>
      </c>
      <c r="C11" s="144" t="s">
        <v>35</v>
      </c>
      <c r="D11" s="107" t="s">
        <v>35</v>
      </c>
      <c r="E11" s="107" t="s">
        <v>35</v>
      </c>
      <c r="F11" s="145" t="s">
        <v>35</v>
      </c>
      <c r="G11" s="138" t="s">
        <v>35</v>
      </c>
      <c r="H11" s="107"/>
      <c r="I11" s="151">
        <f>I10/C10-1</f>
        <v>-0.14787897255010829</v>
      </c>
      <c r="J11" s="133">
        <f>J10/D10-1</f>
        <v>-0.14682852571591043</v>
      </c>
      <c r="K11" s="133">
        <f>K10/E10-1</f>
        <v>-0.16352249664040397</v>
      </c>
      <c r="L11" s="152">
        <f>L10/F10-1</f>
        <v>-0.12633135578629928</v>
      </c>
      <c r="M11" s="153">
        <f>M10/G10-1</f>
        <v>-0.14626118595371018</v>
      </c>
      <c r="N11" s="107"/>
      <c r="O11" s="151">
        <f>O10/I10-1</f>
        <v>-0.10805890406021579</v>
      </c>
      <c r="P11" s="133">
        <f>P10/J10-1</f>
        <v>-9.3753172437044174E-2</v>
      </c>
      <c r="Q11" s="133">
        <f>Q10/K10-1</f>
        <v>-7.3580844163311898E-2</v>
      </c>
      <c r="R11" s="152">
        <f>R10/L10-1</f>
        <v>-5.8916024088905949E-2</v>
      </c>
      <c r="S11" s="153">
        <f>S10/M10-1</f>
        <v>-8.3555579811822045E-2</v>
      </c>
      <c r="T11" s="107"/>
      <c r="U11" s="151">
        <v>-1.6843696997691504E-2</v>
      </c>
      <c r="V11" s="133">
        <v>3.8785623757698451E-2</v>
      </c>
      <c r="W11" s="133">
        <v>0.11429073476992269</v>
      </c>
      <c r="X11" s="133">
        <v>0.11717960741746181</v>
      </c>
      <c r="Y11" s="153">
        <v>6.1177118791201579E-2</v>
      </c>
      <c r="AA11" s="151">
        <f>AA10/U10-1</f>
        <v>8.8008624291009419E-3</v>
      </c>
      <c r="AB11" s="133">
        <f>AB10/V10-1</f>
        <v>-4.2134534644888255E-2</v>
      </c>
      <c r="AC11" s="133">
        <f>AC10/W10-1</f>
        <v>-8.8595775537996246E-2</v>
      </c>
      <c r="AD11" s="133">
        <f>AD10/X10-1</f>
        <v>-0.11641122317102326</v>
      </c>
      <c r="AE11" s="153">
        <f>AE10/Y10-1</f>
        <v>-6.0044032864443264E-2</v>
      </c>
      <c r="AG11" s="151">
        <f>AG10/AA10-1</f>
        <v>-0.11102732170458574</v>
      </c>
      <c r="AH11" s="133">
        <f>AH10/AB10-1</f>
        <v>-9.8870255214892899E-2</v>
      </c>
      <c r="AI11" s="133">
        <f>AI10/AC10-1</f>
        <v>-0.10293741316259319</v>
      </c>
      <c r="AJ11" s="133">
        <f>AJ10/AD10-1</f>
        <v>-0.12973656865372407</v>
      </c>
      <c r="AK11" s="153">
        <f>AK10/AE10-1</f>
        <v>-0.11057758247938665</v>
      </c>
      <c r="AM11" s="151">
        <f>AM10/AG10-1</f>
        <v>-0.11696643498271464</v>
      </c>
      <c r="AN11" s="133">
        <f>AN10/AH10-1</f>
        <v>-0.12581923232501313</v>
      </c>
      <c r="AO11" s="133">
        <f>AO10/AI10-1</f>
        <v>-0.18835676632322251</v>
      </c>
      <c r="AP11" s="133">
        <f>AP10/AJ10-1</f>
        <v>-0.19980186650846243</v>
      </c>
      <c r="AQ11" s="153">
        <f>AQ10/AK10-1</f>
        <v>-0.15778590699466588</v>
      </c>
      <c r="AS11" s="151">
        <f>AS10/AM10-1</f>
        <v>-0.15377100078382699</v>
      </c>
      <c r="AT11" s="133">
        <f>AT10/AN10-1</f>
        <v>-0.13964805999746399</v>
      </c>
      <c r="AU11" s="133">
        <f>AU10/AO10-1</f>
        <v>-8.2361562463660221E-2</v>
      </c>
      <c r="AV11" s="133">
        <f>AV10/AP10-1</f>
        <v>1.1468376998246432E-2</v>
      </c>
      <c r="AW11" s="153">
        <f>AW10/AQ10-1</f>
        <v>-9.431467369651747E-2</v>
      </c>
      <c r="AY11" s="151">
        <f>AY10/AS10-1</f>
        <v>2.2397363667665537E-3</v>
      </c>
      <c r="AZ11" s="133">
        <f>AZ10/AT10-1</f>
        <v>-4.1084866296246636E-2</v>
      </c>
      <c r="BA11" s="133">
        <f>BA10/AU10-1</f>
        <v>-4.8376659952929724E-2</v>
      </c>
      <c r="BB11" s="133">
        <f>BB10/AV10-1</f>
        <v>-6.3330816669781465E-2</v>
      </c>
      <c r="BC11" s="153">
        <f>BC10/AW10-1</f>
        <v>-3.8033600074731444E-2</v>
      </c>
      <c r="BE11" s="151">
        <f>BE10/AY10-1</f>
        <v>-7.0375390295789875E-2</v>
      </c>
      <c r="BF11" s="133">
        <f>BF10/AZ10-1</f>
        <v>-4.6165577161788929E-2</v>
      </c>
      <c r="BG11" s="133">
        <f>BG10/BA10-1</f>
        <v>-6.4515459490257498E-2</v>
      </c>
      <c r="BH11" s="133">
        <f>BH10/BB10-1</f>
        <v>-6.0005408059385035E-2</v>
      </c>
      <c r="BI11" s="153">
        <f>BI10/BC10-1</f>
        <v>-6.0347222019522029E-2</v>
      </c>
      <c r="BK11" s="151">
        <f>BK10/BE10-1</f>
        <v>-8.3153682286648101E-2</v>
      </c>
      <c r="BL11" s="133">
        <f>BL10/BF10-1</f>
        <v>-7.1261384973787756E-2</v>
      </c>
      <c r="BM11" s="133">
        <f>BM10/BG10-1</f>
        <v>-7.9411125772582691E-2</v>
      </c>
      <c r="BN11" s="133">
        <f>BN10/BH10-1</f>
        <v>-0.11629020322697858</v>
      </c>
      <c r="BO11" s="153">
        <f>BO10/BI10-1</f>
        <v>-8.740497912634182E-2</v>
      </c>
      <c r="BQ11" s="151">
        <v>-0.115</v>
      </c>
      <c r="BR11" s="133">
        <v>-0.125</v>
      </c>
      <c r="BS11" s="133">
        <v>-0.14499999999999999</v>
      </c>
      <c r="BT11" s="133">
        <v>-0.125</v>
      </c>
      <c r="BU11" s="153">
        <f>BU10/BO10-1</f>
        <v>-0.12739913801588587</v>
      </c>
      <c r="BW11" s="151">
        <v>-0.12</v>
      </c>
      <c r="BX11" s="133">
        <v>-0.115</v>
      </c>
      <c r="BY11" s="133">
        <v>-0.115</v>
      </c>
      <c r="BZ11" s="133">
        <v>-0.115</v>
      </c>
      <c r="CA11" s="153">
        <f>CA10/BU10-1</f>
        <v>-0.11625474454272022</v>
      </c>
      <c r="CC11" s="151">
        <v>-0.105</v>
      </c>
      <c r="CD11" s="133">
        <f>CC11</f>
        <v>-0.105</v>
      </c>
      <c r="CE11" s="133">
        <v>-0.11</v>
      </c>
      <c r="CF11" s="133">
        <v>-0.11</v>
      </c>
      <c r="CG11" s="153">
        <f>CG10/CA10-1</f>
        <v>-0.10740128641182545</v>
      </c>
      <c r="CI11" s="151">
        <v>-0.11</v>
      </c>
      <c r="CJ11" s="133">
        <v>-0.12</v>
      </c>
      <c r="CK11" s="133">
        <v>-0.12</v>
      </c>
      <c r="CL11" s="133">
        <v>-0.12</v>
      </c>
      <c r="CM11" s="153">
        <f>CM10/CG10-1</f>
        <v>-0.11740898337454053</v>
      </c>
      <c r="CO11" s="151">
        <v>-0.11</v>
      </c>
      <c r="CP11" s="133">
        <v>-0.11</v>
      </c>
      <c r="CQ11" s="133">
        <v>-0.12</v>
      </c>
      <c r="CR11" s="133">
        <v>-0.12</v>
      </c>
      <c r="CS11" s="153">
        <f>CS10/CM10-1</f>
        <v>-0.11480612358868347</v>
      </c>
      <c r="CU11" s="151">
        <v>-0.11</v>
      </c>
      <c r="CV11" s="133">
        <v>-0.11</v>
      </c>
      <c r="CW11" s="133">
        <v>-0.11</v>
      </c>
      <c r="CX11" s="133">
        <v>-0.11</v>
      </c>
      <c r="CY11" s="153">
        <f>CY10/CS10-1</f>
        <v>-0.10999584178092869</v>
      </c>
      <c r="DA11" s="151">
        <v>-0.11</v>
      </c>
      <c r="DB11" s="133">
        <v>-0.11</v>
      </c>
      <c r="DC11" s="133">
        <v>-0.11</v>
      </c>
      <c r="DD11" s="133">
        <v>-0.11</v>
      </c>
      <c r="DE11" s="153">
        <f>DE10/CY10-1</f>
        <v>-0.10998348147095161</v>
      </c>
      <c r="DG11" s="151">
        <v>-0.11</v>
      </c>
      <c r="DH11" s="133">
        <v>-0.11</v>
      </c>
      <c r="DI11" s="133">
        <v>-0.11</v>
      </c>
      <c r="DJ11" s="133">
        <v>-0.11</v>
      </c>
      <c r="DK11" s="153">
        <f>DK10/DE10-1</f>
        <v>-0.10999252351207145</v>
      </c>
    </row>
    <row r="12" spans="2:115" ht="15" x14ac:dyDescent="0.3">
      <c r="B12" s="5"/>
      <c r="C12" s="144"/>
      <c r="D12" s="107"/>
      <c r="E12" s="107"/>
      <c r="F12" s="145"/>
      <c r="G12" s="138"/>
      <c r="I12" s="144"/>
      <c r="J12" s="107"/>
      <c r="K12" s="107"/>
      <c r="L12" s="145"/>
      <c r="M12" s="138"/>
      <c r="O12" s="144"/>
      <c r="P12" s="107"/>
      <c r="Q12" s="107"/>
      <c r="R12" s="145"/>
      <c r="S12" s="138"/>
      <c r="U12" s="144"/>
      <c r="V12" s="107"/>
      <c r="W12" s="107"/>
      <c r="X12" s="145"/>
      <c r="Y12" s="138"/>
      <c r="AA12" s="144"/>
      <c r="AB12" s="107"/>
      <c r="AC12" s="107"/>
      <c r="AD12" s="145"/>
      <c r="AE12" s="138"/>
      <c r="AG12" s="144"/>
      <c r="AH12" s="107"/>
      <c r="AI12" s="107"/>
      <c r="AJ12" s="145"/>
      <c r="AK12" s="138"/>
      <c r="AM12" s="144"/>
      <c r="AN12" s="107"/>
      <c r="AO12" s="107"/>
      <c r="AP12" s="145"/>
      <c r="AQ12" s="138"/>
      <c r="AS12" s="144"/>
      <c r="AT12" s="107"/>
      <c r="AU12" s="107"/>
      <c r="AV12" s="107"/>
      <c r="AW12" s="138"/>
      <c r="AY12" s="144"/>
      <c r="AZ12" s="107"/>
      <c r="BA12" s="107"/>
      <c r="BB12" s="107"/>
      <c r="BC12" s="138"/>
      <c r="BE12" s="144"/>
      <c r="BF12" s="107"/>
      <c r="BG12" s="107"/>
      <c r="BH12" s="107"/>
      <c r="BI12" s="138"/>
      <c r="BK12" s="144"/>
      <c r="BL12" s="107"/>
      <c r="BM12" s="107"/>
      <c r="BN12" s="107"/>
      <c r="BO12" s="138"/>
      <c r="BQ12" s="144"/>
      <c r="BR12" s="107"/>
      <c r="BS12" s="107"/>
      <c r="BT12" s="145"/>
      <c r="BU12" s="138"/>
      <c r="BW12" s="144"/>
      <c r="BX12" s="107"/>
      <c r="BY12" s="107"/>
      <c r="BZ12" s="145"/>
      <c r="CA12" s="138"/>
      <c r="CC12" s="144"/>
      <c r="CD12" s="107"/>
      <c r="CE12" s="107"/>
      <c r="CF12" s="145"/>
      <c r="CG12" s="138"/>
      <c r="CI12" s="144"/>
      <c r="CJ12" s="107"/>
      <c r="CK12" s="107"/>
      <c r="CL12" s="145"/>
      <c r="CM12" s="138"/>
      <c r="CO12" s="144"/>
      <c r="CP12" s="107"/>
      <c r="CQ12" s="107"/>
      <c r="CR12" s="145"/>
      <c r="CS12" s="138"/>
      <c r="CU12" s="144"/>
      <c r="CV12" s="107"/>
      <c r="CW12" s="107"/>
      <c r="CX12" s="145"/>
      <c r="CY12" s="138"/>
      <c r="DA12" s="144"/>
      <c r="DB12" s="107"/>
      <c r="DC12" s="107"/>
      <c r="DD12" s="145"/>
      <c r="DE12" s="138"/>
      <c r="DG12" s="144"/>
      <c r="DH12" s="107"/>
      <c r="DI12" s="107"/>
      <c r="DJ12" s="145"/>
      <c r="DK12" s="138"/>
    </row>
    <row r="13" spans="2:115" ht="15" x14ac:dyDescent="0.3">
      <c r="B13" s="105" t="s">
        <v>47</v>
      </c>
      <c r="C13" s="161">
        <f>C15*C17</f>
        <v>3.6206022613247266</v>
      </c>
      <c r="D13" s="162">
        <f>D15*D17</f>
        <v>3.5838144569610799</v>
      </c>
      <c r="E13" s="162">
        <f>E15*E17</f>
        <v>3.589147286821706</v>
      </c>
      <c r="F13" s="163">
        <f>F15*F17</f>
        <v>3.4650611305965375</v>
      </c>
      <c r="G13" s="164">
        <f>G17-G10</f>
        <v>3.5630606366938959</v>
      </c>
      <c r="H13" s="134"/>
      <c r="I13" s="161">
        <f>I15*I17</f>
        <v>3.2804565922559981</v>
      </c>
      <c r="J13" s="162">
        <f>J15*J17</f>
        <v>3.4496093232684415</v>
      </c>
      <c r="K13" s="162">
        <f>K15*K17</f>
        <v>3.5870930970608428</v>
      </c>
      <c r="L13" s="163">
        <f>L15*L17</f>
        <v>3.5963594819065223</v>
      </c>
      <c r="M13" s="164">
        <f>M17-M10</f>
        <v>3.4815080695353213</v>
      </c>
      <c r="N13" s="134"/>
      <c r="O13" s="161">
        <f>O15*O17</f>
        <v>3.669078568226932</v>
      </c>
      <c r="P13" s="162">
        <f>P15*P17</f>
        <v>3.6945970520060958</v>
      </c>
      <c r="Q13" s="162">
        <f>Q15*Q17</f>
        <v>4.1148496168704503</v>
      </c>
      <c r="R13" s="163">
        <f>R15*R17</f>
        <v>4.1679198633803178</v>
      </c>
      <c r="S13" s="164">
        <f>S17-S10</f>
        <v>3.9121477236792934</v>
      </c>
      <c r="U13" s="161">
        <f>U15*U17</f>
        <v>4.2608994164091998</v>
      </c>
      <c r="V13" s="162">
        <f>V15*V17</f>
        <v>4.6769067796610164</v>
      </c>
      <c r="W13" s="162">
        <f>W15*W17</f>
        <v>5.0460630688301924</v>
      </c>
      <c r="X13" s="162">
        <f>X15*X17</f>
        <v>5.3842321106895099</v>
      </c>
      <c r="Y13" s="164">
        <f>Y17-Y10</f>
        <v>4.8242904756409661</v>
      </c>
      <c r="AA13" s="161">
        <f>AA15*AA17</f>
        <v>5.7416604107716891</v>
      </c>
      <c r="AB13" s="162">
        <f>AB15*AB17</f>
        <v>6.0084043749065241</v>
      </c>
      <c r="AC13" s="162">
        <f>AC15*AC17</f>
        <v>6.1416457799160691</v>
      </c>
      <c r="AD13" s="162">
        <f>AD15*AD17</f>
        <v>6.27547363031234</v>
      </c>
      <c r="AE13" s="164">
        <f>AE17-AE10</f>
        <v>6.0427465068137636</v>
      </c>
      <c r="AG13" s="161">
        <f>AG15*AG17</f>
        <v>6.3414795587894606</v>
      </c>
      <c r="AH13" s="162">
        <f>AH15*AH17</f>
        <v>6.5457465400784081</v>
      </c>
      <c r="AI13" s="162">
        <f>AI15*AI17</f>
        <v>6.6895219970894439</v>
      </c>
      <c r="AJ13" s="162">
        <f>AJ15*AJ17</f>
        <v>6.6370827705961792</v>
      </c>
      <c r="AK13" s="164">
        <f>AK17-AK10</f>
        <v>6.5545184888991788</v>
      </c>
      <c r="AM13" s="161">
        <f>AM15*AM17</f>
        <v>6.4907869281756438</v>
      </c>
      <c r="AN13" s="162">
        <f>AN15*AN17</f>
        <v>6.7371840476797722</v>
      </c>
      <c r="AO13" s="162">
        <f>AO15*AO17</f>
        <v>7.2121758498170445</v>
      </c>
      <c r="AP13" s="162">
        <f>AP15*AP17</f>
        <v>7.3274904977730175</v>
      </c>
      <c r="AQ13" s="164">
        <f>AQ17-AQ10</f>
        <v>6.9467893536493381</v>
      </c>
      <c r="AS13" s="161">
        <f>AS15*AS17</f>
        <v>6.9906990699069906</v>
      </c>
      <c r="AT13" s="162">
        <f>AT15*AT17</f>
        <v>7.0844270023699698</v>
      </c>
      <c r="AU13" s="162">
        <f>AU15*AU17</f>
        <v>7.1696839262353889</v>
      </c>
      <c r="AV13" s="162">
        <f>AV15*AV17</f>
        <v>7.1208768851249964</v>
      </c>
      <c r="AW13" s="164">
        <f>AW17-AW10</f>
        <v>7.0917918721565929</v>
      </c>
      <c r="AY13" s="161">
        <f>AY15*AY17</f>
        <v>7.2923301231631052</v>
      </c>
      <c r="AZ13" s="162">
        <f>AZ15*AZ17</f>
        <v>7.3594779550414202</v>
      </c>
      <c r="BA13" s="162">
        <f>BA15*BA17</f>
        <v>7.3914084453797404</v>
      </c>
      <c r="BB13" s="162">
        <f>BB15*BB17</f>
        <v>7.2257314313004839</v>
      </c>
      <c r="BC13" s="164">
        <f>BC17-BC10</f>
        <v>7.3169740096142108</v>
      </c>
      <c r="BE13" s="161">
        <f>BE15*BE17</f>
        <v>7.0560547710740265</v>
      </c>
      <c r="BF13" s="162">
        <f>BF15*BF17</f>
        <v>7.0197234076374704</v>
      </c>
      <c r="BG13" s="162">
        <f>BG15*BG17</f>
        <v>7.3140352788774683</v>
      </c>
      <c r="BH13" s="162">
        <f>BH15*BH17</f>
        <v>7.0700596166926735</v>
      </c>
      <c r="BI13" s="164">
        <f>BI17-BI10</f>
        <v>7.1153918699384855</v>
      </c>
      <c r="BK13" s="161">
        <f>BK15*BK17</f>
        <v>7.0102306968545669</v>
      </c>
      <c r="BL13" s="162">
        <f>BL15*BL17</f>
        <v>7.2083605745418522</v>
      </c>
      <c r="BM13" s="162">
        <f>BM15*BM17</f>
        <v>7.6317937193210703</v>
      </c>
      <c r="BN13" s="162">
        <f>BN15*BN17</f>
        <v>7.6512684014522696</v>
      </c>
      <c r="BO13" s="164">
        <f>BO17-BO10</f>
        <v>7.3771574064220653</v>
      </c>
      <c r="BQ13" s="161">
        <f>BK13*(1+BQ14)</f>
        <v>7.606100306087205</v>
      </c>
      <c r="BR13" s="162">
        <f>BL13*(1+BR14)</f>
        <v>7.8571130262506195</v>
      </c>
      <c r="BS13" s="162">
        <f>BM13*(1+BS14)</f>
        <v>8.3949730912531777</v>
      </c>
      <c r="BT13" s="163">
        <f>BN13*(1+BT14)</f>
        <v>8.3398825575829747</v>
      </c>
      <c r="BU13" s="164">
        <f>BU17-BU10</f>
        <v>8.0509283210939291</v>
      </c>
      <c r="BW13" s="161">
        <f>BQ13*(1+BW14)</f>
        <v>8.2526188321046163</v>
      </c>
      <c r="BX13" s="162">
        <f>BR13*(1+BX14)</f>
        <v>8.4856820683506697</v>
      </c>
      <c r="BY13" s="162">
        <f>BS13*(1+BY14)</f>
        <v>9.0245960730971664</v>
      </c>
      <c r="BZ13" s="163">
        <f>BT13*(1+BZ14)</f>
        <v>8.9653737494016976</v>
      </c>
      <c r="CA13" s="164">
        <f>CA17-CA10</f>
        <v>8.68314307419908</v>
      </c>
      <c r="CC13" s="161">
        <f>BW13*(1+CC14)</f>
        <v>8.7890390561914167</v>
      </c>
      <c r="CD13" s="162">
        <f>BX13*(1+CD14)</f>
        <v>9.0372514027934621</v>
      </c>
      <c r="CE13" s="162">
        <f>BY13*(1+CE14)</f>
        <v>9.6111948178484816</v>
      </c>
      <c r="CF13" s="163">
        <f>BZ13*(1+CF14)</f>
        <v>9.5481230431128079</v>
      </c>
      <c r="CG13" s="164">
        <f>CG17-CG10</f>
        <v>9.2472915398873674</v>
      </c>
      <c r="CI13" s="161">
        <f>CC13*(1+CI14)</f>
        <v>9.3603265948438583</v>
      </c>
      <c r="CJ13" s="162">
        <f>CD13*(1+CJ14)</f>
        <v>9.6246727439750366</v>
      </c>
      <c r="CK13" s="162">
        <f>CE13*(1+CK14)</f>
        <v>10.235922481008632</v>
      </c>
      <c r="CL13" s="163">
        <f>CF13*(1+CL14)</f>
        <v>10.16875104091514</v>
      </c>
      <c r="CM13" s="164">
        <f>CM17-CM10</f>
        <v>9.8481843761916146</v>
      </c>
      <c r="CO13" s="161">
        <f>CI13*(1+CO14)</f>
        <v>9.8751445575602705</v>
      </c>
      <c r="CP13" s="162">
        <f>CJ13*(1+CP14)</f>
        <v>10.154029744893663</v>
      </c>
      <c r="CQ13" s="162">
        <f>CK13*(1+CQ14)</f>
        <v>10.798898217464107</v>
      </c>
      <c r="CR13" s="163">
        <f>CL13*(1+CR14)</f>
        <v>10.728032348165472</v>
      </c>
      <c r="CS13" s="164">
        <f>CS17-CS10</f>
        <v>10.389706904006189</v>
      </c>
      <c r="CU13" s="161">
        <f>CO13*(1+CU14)</f>
        <v>10.319526062650482</v>
      </c>
      <c r="CV13" s="162">
        <f>CP13*(1+CV14)</f>
        <v>10.610961083413876</v>
      </c>
      <c r="CW13" s="162">
        <f>CQ13*(1+CW14)</f>
        <v>11.28484863724999</v>
      </c>
      <c r="CX13" s="163">
        <f>CR13*(1+CX14)</f>
        <v>11.210793803832917</v>
      </c>
      <c r="CY13" s="164">
        <f>CY17-CY10</f>
        <v>10.857214670722424</v>
      </c>
      <c r="DA13" s="161">
        <f>CU13*(1+DA14)</f>
        <v>10.732307105156501</v>
      </c>
      <c r="DB13" s="162">
        <f>CV13*(1+DB14)</f>
        <v>11.035399526750432</v>
      </c>
      <c r="DC13" s="162">
        <f>CW13*(1+DC14)</f>
        <v>11.73624258273999</v>
      </c>
      <c r="DD13" s="163">
        <f>CX13*(1+DD14)</f>
        <v>11.659225555986234</v>
      </c>
      <c r="DE13" s="164">
        <f>DE17-DE10</f>
        <v>11.291313896721496</v>
      </c>
      <c r="DG13" s="161">
        <f>DA13*(1+DG14)</f>
        <v>11.107937853836978</v>
      </c>
      <c r="DH13" s="162">
        <f>DB13*(1+DH14)</f>
        <v>11.421638510186696</v>
      </c>
      <c r="DI13" s="162">
        <f>DC13*(1+DI14)</f>
        <v>12.147011073135889</v>
      </c>
      <c r="DJ13" s="163">
        <f>DD13*(1+DJ14)</f>
        <v>12.071962140668148</v>
      </c>
      <c r="DK13" s="164">
        <f>DK17-DK10</f>
        <v>11.687623610239648</v>
      </c>
    </row>
    <row r="14" spans="2:115" ht="15" x14ac:dyDescent="0.3">
      <c r="B14" s="5" t="s">
        <v>23</v>
      </c>
      <c r="C14" s="144" t="s">
        <v>35</v>
      </c>
      <c r="D14" s="107" t="s">
        <v>35</v>
      </c>
      <c r="E14" s="107" t="s">
        <v>35</v>
      </c>
      <c r="F14" s="145" t="s">
        <v>35</v>
      </c>
      <c r="G14" s="138" t="s">
        <v>35</v>
      </c>
      <c r="I14" s="151">
        <f>I13/C13-1</f>
        <v>-9.3947261952014083E-2</v>
      </c>
      <c r="J14" s="133">
        <f>J13/D13-1</f>
        <v>-3.7447567474360399E-2</v>
      </c>
      <c r="K14" s="133">
        <f>K13/E13-1</f>
        <v>-5.723336482750252E-4</v>
      </c>
      <c r="L14" s="152">
        <f>L13/F13-1</f>
        <v>3.7892073577178387E-2</v>
      </c>
      <c r="M14" s="153">
        <f>M13/G13-1</f>
        <v>-2.2888346697979789E-2</v>
      </c>
      <c r="O14" s="151">
        <f>O13/I13-1</f>
        <v>0.11846581871814221</v>
      </c>
      <c r="P14" s="133">
        <f>P13/J13-1</f>
        <v>7.1018978028947632E-2</v>
      </c>
      <c r="Q14" s="133">
        <f>Q13/K13-1</f>
        <v>0.14712651875192062</v>
      </c>
      <c r="R14" s="152">
        <f>R13/L13-1</f>
        <v>0.15892748885347707</v>
      </c>
      <c r="S14" s="153">
        <f>S13/M13-1</f>
        <v>0.12369342409752049</v>
      </c>
      <c r="U14" s="151">
        <v>0.20471265297465946</v>
      </c>
      <c r="V14" s="133">
        <v>0.27287815868901077</v>
      </c>
      <c r="W14" s="133">
        <v>0.23054433255499518</v>
      </c>
      <c r="X14" s="133">
        <v>0.29065470173694341</v>
      </c>
      <c r="Y14" s="153">
        <v>0.24637820739279492</v>
      </c>
      <c r="AA14" s="151">
        <f>AA13/U13-1</f>
        <v>0.34752310478391335</v>
      </c>
      <c r="AB14" s="133">
        <f>AB13/V13-1</f>
        <v>0.28469620156551745</v>
      </c>
      <c r="AC14" s="133">
        <f>AC13/W13-1</f>
        <v>0.21711633329621871</v>
      </c>
      <c r="AD14" s="133">
        <f>AD13/X13-1</f>
        <v>0.16552806441115653</v>
      </c>
      <c r="AE14" s="153">
        <f>AE13/Y13-1</f>
        <v>0.25256688777864489</v>
      </c>
      <c r="AG14" s="151">
        <f>AG13/AA13-1</f>
        <v>0.10446788996654632</v>
      </c>
      <c r="AH14" s="133">
        <f>AH13/AB13-1</f>
        <v>8.9431757858382088E-2</v>
      </c>
      <c r="AI14" s="133">
        <f>AI13/AC13-1</f>
        <v>8.9206743079354611E-2</v>
      </c>
      <c r="AJ14" s="133">
        <f>AJ13/AD13-1</f>
        <v>5.7622605334068044E-2</v>
      </c>
      <c r="AK14" s="153">
        <f>AK13/AE13-1</f>
        <v>8.4691949514735354E-2</v>
      </c>
      <c r="AM14" s="151">
        <f>AM13/AG13-1</f>
        <v>2.3544563694010368E-2</v>
      </c>
      <c r="AN14" s="133">
        <f>AN13/AH13-1</f>
        <v>2.9246092318000239E-2</v>
      </c>
      <c r="AO14" s="133">
        <f>AO13/AI13-1</f>
        <v>7.8130224095982248E-2</v>
      </c>
      <c r="AP14" s="133">
        <f>AP13/AJ13-1</f>
        <v>0.10402276889411488</v>
      </c>
      <c r="AQ14" s="153">
        <f>AQ13/AK13-1</f>
        <v>5.984739617631929E-2</v>
      </c>
      <c r="AS14" s="151">
        <f>AS13/AM13-1</f>
        <v>7.7018726275129179E-2</v>
      </c>
      <c r="AT14" s="133">
        <f>AT13/AN13-1</f>
        <v>5.1541260003099554E-2</v>
      </c>
      <c r="AU14" s="133">
        <f>AU13/AO13-1</f>
        <v>-5.891692668965276E-3</v>
      </c>
      <c r="AV14" s="133">
        <f>AV13/AP13-1</f>
        <v>-2.8197049550704345E-2</v>
      </c>
      <c r="AW14" s="153">
        <f>AW13/AQ13-1</f>
        <v>2.0873314437133583E-2</v>
      </c>
      <c r="AY14" s="151">
        <f>AY13/AS13-1</f>
        <v>4.3147480708267461E-2</v>
      </c>
      <c r="AZ14" s="133">
        <f>AZ13/AT13-1</f>
        <v>3.8824728179066126E-2</v>
      </c>
      <c r="BA14" s="133">
        <f>BA13/AU13-1</f>
        <v>3.0925285050992901E-2</v>
      </c>
      <c r="BB14" s="133">
        <f>BB13/AV13-1</f>
        <v>1.4724948607736987E-2</v>
      </c>
      <c r="BC14" s="153">
        <f>BC13/AW13-1</f>
        <v>3.1752502261341853E-2</v>
      </c>
      <c r="BE14" s="151">
        <f>BE13/AY13-1</f>
        <v>-3.2400528788265048E-2</v>
      </c>
      <c r="BF14" s="133">
        <f>BF13/AZ13-1</f>
        <v>-4.616557716178904E-2</v>
      </c>
      <c r="BG14" s="133">
        <f>BG13/BA13-1</f>
        <v>-1.0467986862589984E-2</v>
      </c>
      <c r="BH14" s="133">
        <f>BH13/BB13-1</f>
        <v>-2.1544090876872368E-2</v>
      </c>
      <c r="BI14" s="153">
        <f>BI13/BC13-1</f>
        <v>-2.7549932446234493E-2</v>
      </c>
      <c r="BK14" s="151">
        <f>BK13/BE13-1</f>
        <v>-6.4942911734916509E-3</v>
      </c>
      <c r="BL14" s="133">
        <f>BL13/BF13-1</f>
        <v>2.6872450088153643E-2</v>
      </c>
      <c r="BM14" s="133">
        <f>BM13/BG13-1</f>
        <v>4.3445024302968704E-2</v>
      </c>
      <c r="BN14" s="133">
        <f>BN13/BH13-1</f>
        <v>8.2207055706763787E-2</v>
      </c>
      <c r="BO14" s="153">
        <f>BO13/BI13-1</f>
        <v>3.6788632484108463E-2</v>
      </c>
      <c r="BQ14" s="151">
        <v>8.5000000000000006E-2</v>
      </c>
      <c r="BR14" s="133">
        <v>0.09</v>
      </c>
      <c r="BS14" s="133">
        <v>0.1</v>
      </c>
      <c r="BT14" s="133">
        <v>0.09</v>
      </c>
      <c r="BU14" s="153">
        <f>BU13/BO13-1</f>
        <v>9.1332050755121852E-2</v>
      </c>
      <c r="BW14" s="151">
        <v>8.5000000000000006E-2</v>
      </c>
      <c r="BX14" s="133">
        <v>0.08</v>
      </c>
      <c r="BY14" s="133">
        <v>7.4999999999999997E-2</v>
      </c>
      <c r="BZ14" s="133">
        <v>7.4999999999999997E-2</v>
      </c>
      <c r="CA14" s="153">
        <f>CA13/BU13-1</f>
        <v>7.8526938495863785E-2</v>
      </c>
      <c r="CC14" s="151">
        <v>6.5000000000000002E-2</v>
      </c>
      <c r="CD14" s="133">
        <v>6.5000000000000002E-2</v>
      </c>
      <c r="CE14" s="133">
        <v>6.5000000000000002E-2</v>
      </c>
      <c r="CF14" s="133">
        <v>6.5000000000000002E-2</v>
      </c>
      <c r="CG14" s="153">
        <f>CG13/CA13-1</f>
        <v>6.4970536690174718E-2</v>
      </c>
      <c r="CI14" s="151">
        <v>6.5000000000000002E-2</v>
      </c>
      <c r="CJ14" s="133">
        <f>CI14</f>
        <v>6.5000000000000002E-2</v>
      </c>
      <c r="CK14" s="133">
        <f>CJ14</f>
        <v>6.5000000000000002E-2</v>
      </c>
      <c r="CL14" s="133">
        <f>CK14</f>
        <v>6.5000000000000002E-2</v>
      </c>
      <c r="CM14" s="153">
        <f>CM13/CG13-1</f>
        <v>6.4980414396188291E-2</v>
      </c>
      <c r="CO14" s="151">
        <v>5.5E-2</v>
      </c>
      <c r="CP14" s="133">
        <v>5.5E-2</v>
      </c>
      <c r="CQ14" s="133">
        <v>5.5E-2</v>
      </c>
      <c r="CR14" s="133">
        <v>5.5E-2</v>
      </c>
      <c r="CS14" s="153">
        <f>CS13/CM13-1</f>
        <v>5.4987041989559726E-2</v>
      </c>
      <c r="CU14" s="151">
        <v>4.4999999999999998E-2</v>
      </c>
      <c r="CV14" s="133">
        <v>4.4999999999999998E-2</v>
      </c>
      <c r="CW14" s="133">
        <v>4.4999999999999998E-2</v>
      </c>
      <c r="CX14" s="133">
        <v>4.4999999999999998E-2</v>
      </c>
      <c r="CY14" s="153">
        <f>CY13/CS13-1</f>
        <v>4.4997204544429126E-2</v>
      </c>
      <c r="DA14" s="151">
        <v>0.04</v>
      </c>
      <c r="DB14" s="133">
        <v>0.04</v>
      </c>
      <c r="DC14" s="133">
        <v>0.04</v>
      </c>
      <c r="DD14" s="133">
        <v>0.04</v>
      </c>
      <c r="DE14" s="153">
        <f>DE13/CY13-1</f>
        <v>3.998255898629921E-2</v>
      </c>
      <c r="DG14" s="151">
        <v>3.5000000000000003E-2</v>
      </c>
      <c r="DH14" s="133">
        <v>3.5000000000000003E-2</v>
      </c>
      <c r="DI14" s="133">
        <v>3.5000000000000003E-2</v>
      </c>
      <c r="DJ14" s="133">
        <v>3.5400000000000001E-2</v>
      </c>
      <c r="DK14" s="153">
        <f>DK13/DE13-1</f>
        <v>3.5098635742756512E-2</v>
      </c>
    </row>
    <row r="15" spans="2:115" ht="15.75" thickBot="1" x14ac:dyDescent="0.35">
      <c r="B15" s="140" t="s">
        <v>48</v>
      </c>
      <c r="C15" s="146">
        <v>0.2</v>
      </c>
      <c r="D15" s="147">
        <v>0.2</v>
      </c>
      <c r="E15" s="147">
        <v>0.2</v>
      </c>
      <c r="F15" s="148">
        <v>0.21</v>
      </c>
      <c r="G15" s="150">
        <f>G13/G17</f>
        <v>0.20243571827836787</v>
      </c>
      <c r="I15" s="146">
        <v>0.21</v>
      </c>
      <c r="J15" s="147">
        <v>0.22</v>
      </c>
      <c r="K15" s="147">
        <v>0.23</v>
      </c>
      <c r="L15" s="148">
        <v>0.24</v>
      </c>
      <c r="M15" s="150">
        <f>M13/M17</f>
        <v>0.22510432931156843</v>
      </c>
      <c r="O15" s="146">
        <v>0.25</v>
      </c>
      <c r="P15" s="147">
        <v>0.25</v>
      </c>
      <c r="Q15" s="147">
        <v>0.27</v>
      </c>
      <c r="R15" s="148">
        <v>0.28000000000000003</v>
      </c>
      <c r="S15" s="122">
        <f>S13/S17</f>
        <v>0.26264045746962117</v>
      </c>
      <c r="U15" s="168">
        <v>0.28999999999999998</v>
      </c>
      <c r="V15" s="169">
        <v>0.3</v>
      </c>
      <c r="W15" s="169">
        <v>0.3</v>
      </c>
      <c r="X15" s="170">
        <v>0.32</v>
      </c>
      <c r="Y15" s="150">
        <f>Y13/Y17</f>
        <v>0.30255427841634747</v>
      </c>
      <c r="AA15" s="168">
        <v>0.35299999999999998</v>
      </c>
      <c r="AB15" s="169">
        <v>0.36499999999999999</v>
      </c>
      <c r="AC15" s="169">
        <v>0.36399999999999999</v>
      </c>
      <c r="AD15" s="170">
        <v>0.38300000000000001</v>
      </c>
      <c r="AE15" s="150">
        <f>AE13/AE17</f>
        <v>0.36631768638279311</v>
      </c>
      <c r="AG15" s="168">
        <v>0.40400000000000003</v>
      </c>
      <c r="AH15" s="169">
        <v>0.41</v>
      </c>
      <c r="AI15" s="169">
        <v>0.41</v>
      </c>
      <c r="AJ15" s="170">
        <v>0.43</v>
      </c>
      <c r="AK15" s="150">
        <f>AK13/AK17</f>
        <v>0.41348724000590065</v>
      </c>
      <c r="AM15" s="168">
        <v>0.44</v>
      </c>
      <c r="AN15" s="169">
        <v>0.45</v>
      </c>
      <c r="AO15" s="169">
        <v>0.48</v>
      </c>
      <c r="AP15" s="170">
        <v>0.51</v>
      </c>
      <c r="AQ15" s="150">
        <f>AQ13/AQ17</f>
        <v>0.47010524733122838</v>
      </c>
      <c r="AS15" s="168">
        <v>0.5</v>
      </c>
      <c r="AT15" s="169">
        <v>0.5</v>
      </c>
      <c r="AU15" s="169">
        <v>0.5</v>
      </c>
      <c r="AV15" s="170">
        <v>0.5</v>
      </c>
      <c r="AW15" s="150">
        <f>AW13/AW17</f>
        <v>0.5</v>
      </c>
      <c r="AY15" s="168">
        <v>0.51</v>
      </c>
      <c r="AZ15" s="169">
        <v>0.52</v>
      </c>
      <c r="BA15" s="169">
        <v>0.52</v>
      </c>
      <c r="BB15" s="169">
        <v>0.52</v>
      </c>
      <c r="BC15" s="150">
        <f>BC13/BC17</f>
        <v>0.51750148986889166</v>
      </c>
      <c r="BE15" s="168">
        <v>0.52</v>
      </c>
      <c r="BF15" s="169">
        <v>0.52</v>
      </c>
      <c r="BG15" s="169">
        <v>0.53400000000000003</v>
      </c>
      <c r="BH15" s="170">
        <v>0.53</v>
      </c>
      <c r="BI15" s="150">
        <f>BI13/BI17</f>
        <v>0.52606207827260454</v>
      </c>
      <c r="BK15" s="168">
        <v>0.54</v>
      </c>
      <c r="BL15" s="169">
        <v>0.54500000000000004</v>
      </c>
      <c r="BM15" s="169">
        <v>0.56499999999999995</v>
      </c>
      <c r="BN15" s="170">
        <v>0.57999999999999996</v>
      </c>
      <c r="BO15" s="150">
        <f>BO13/BO17</f>
        <v>0.55772497020262213</v>
      </c>
      <c r="BQ15" s="168">
        <f>BQ13/BQ17</f>
        <v>0.59003021148036261</v>
      </c>
      <c r="BR15" s="169">
        <f>BR13/BR17</f>
        <v>0.59873510217451564</v>
      </c>
      <c r="BS15" s="169">
        <f>BS13/BS17</f>
        <v>0.62561340815864308</v>
      </c>
      <c r="BT15" s="170">
        <f>BT13/BT17</f>
        <v>0.63238971691507451</v>
      </c>
      <c r="BU15" s="150">
        <f>BU13/BU17</f>
        <v>0.61197224830004326</v>
      </c>
      <c r="BW15" s="168">
        <f>BW13/BW17</f>
        <v>0.63957122570110458</v>
      </c>
      <c r="BX15" s="169">
        <f>BX13/BX17</f>
        <v>0.64550212247857819</v>
      </c>
      <c r="BY15" s="169">
        <f>BY13/BY17</f>
        <v>0.6699440432712982</v>
      </c>
      <c r="BZ15" s="170">
        <f>BZ13/BZ17</f>
        <v>0.67633309366300021</v>
      </c>
      <c r="CA15" s="150">
        <f>CA13/CA17</f>
        <v>0.65808966533809765</v>
      </c>
      <c r="CC15" s="168">
        <f>CC13/CC17</f>
        <v>0.67861408712809246</v>
      </c>
      <c r="CD15" s="169">
        <f>CD13/CD17</f>
        <v>0.68421973312225837</v>
      </c>
      <c r="CE15" s="169">
        <f>CE13/CE17</f>
        <v>0.70836172019333588</v>
      </c>
      <c r="CF15" s="170">
        <f>CF13/CF17</f>
        <v>0.71432421481599806</v>
      </c>
      <c r="CG15" s="150">
        <f>CG13/CG17</f>
        <v>0.69664198883148154</v>
      </c>
      <c r="CI15" s="168">
        <f>CI13/CI17</f>
        <v>0.71644971927336099</v>
      </c>
      <c r="CJ15" s="169">
        <f>CJ13/CJ17</f>
        <v>0.72393008480826015</v>
      </c>
      <c r="CK15" s="169">
        <f>CK13/CK17</f>
        <v>0.74616243657842019</v>
      </c>
      <c r="CL15" s="170">
        <f>CL13/CL17</f>
        <v>0.75162308354117502</v>
      </c>
      <c r="CM15" s="150">
        <f>CM13/CM17</f>
        <v>0.73481824793303485</v>
      </c>
      <c r="CO15" s="168">
        <f>CO13/CO17</f>
        <v>0.74969629576178853</v>
      </c>
      <c r="CP15" s="169">
        <f>CP13/CP17</f>
        <v>0.75659755471948109</v>
      </c>
      <c r="CQ15" s="169">
        <f>CQ13/CQ17</f>
        <v>0.77896118700410066</v>
      </c>
      <c r="CR15" s="170">
        <f>CR13/CR17</f>
        <v>0.78392058208348603</v>
      </c>
      <c r="CS15" s="150">
        <f>CS13/CS17</f>
        <v>0.76757789189193171</v>
      </c>
      <c r="CU15" s="168">
        <f>CU13/CU17</f>
        <v>0.77860301232442408</v>
      </c>
      <c r="CV15" s="169">
        <f>CV13/CV17</f>
        <v>0.78493590336191976</v>
      </c>
      <c r="CW15" s="169">
        <f>CW13/CW17</f>
        <v>0.80536563179683762</v>
      </c>
      <c r="CX15" s="170">
        <f>CX13/CX17</f>
        <v>0.80987719242815503</v>
      </c>
      <c r="CY15" s="150">
        <f>CY13/CY17</f>
        <v>0.79498305513964107</v>
      </c>
      <c r="DA15" s="168">
        <f>DA13/DA17</f>
        <v>0.80428566970470106</v>
      </c>
      <c r="DB15" s="169">
        <f>DB13/DB17</f>
        <v>0.81006313852142731</v>
      </c>
      <c r="DC15" s="169">
        <f>DC13/DC17</f>
        <v>0.82862707020333726</v>
      </c>
      <c r="DD15" s="170">
        <f>DD13/DD17</f>
        <v>0.83271143807784953</v>
      </c>
      <c r="DE15" s="150">
        <f>DE13/DE17</f>
        <v>0.81920156395038568</v>
      </c>
      <c r="DG15" s="168">
        <f>DG13/DG17</f>
        <v>0.82696001680732234</v>
      </c>
      <c r="DH15" s="169">
        <f>DH13/DH17</f>
        <v>0.8322077814642862</v>
      </c>
      <c r="DI15" s="169">
        <f>DI13/DI17</f>
        <v>0.84901077282889215</v>
      </c>
      <c r="DJ15" s="170">
        <f>DJ13/DJ17</f>
        <v>0.85274422069820033</v>
      </c>
      <c r="DK15" s="150">
        <f>DK13/DK17</f>
        <v>0.84050220837804224</v>
      </c>
    </row>
    <row r="16" spans="2:115" ht="15.75" thickBot="1" x14ac:dyDescent="0.35">
      <c r="B16" s="1"/>
      <c r="X16" s="227">
        <f>1*28/X20</f>
        <v>1.5945330296127564E-2</v>
      </c>
      <c r="Y16" s="227">
        <f>X16/18*100</f>
        <v>8.8585168311819798E-2</v>
      </c>
      <c r="Z16">
        <f>Y16/3.5</f>
        <v>2.5310048089091371E-2</v>
      </c>
      <c r="AA16" s="103"/>
      <c r="AB16" s="103"/>
      <c r="AC16" s="103"/>
      <c r="AD16" s="103"/>
      <c r="AE16" s="103"/>
      <c r="AG16" s="103"/>
      <c r="AH16" s="103"/>
      <c r="AI16" s="103"/>
      <c r="AJ16" s="103"/>
      <c r="AK16" s="103"/>
      <c r="AM16" s="103"/>
      <c r="AN16" s="103"/>
      <c r="AO16" s="103"/>
      <c r="AP16" s="103"/>
      <c r="AQ16" s="103"/>
      <c r="AS16" s="103"/>
      <c r="AT16" s="103"/>
      <c r="AU16" s="103"/>
      <c r="AV16" s="103"/>
      <c r="AW16" s="103"/>
      <c r="AY16" s="103"/>
      <c r="AZ16" s="103"/>
      <c r="BA16" s="103"/>
      <c r="BB16" s="103"/>
      <c r="BC16" s="103"/>
      <c r="BE16" s="103"/>
      <c r="BF16" s="103"/>
      <c r="BG16" s="103"/>
      <c r="BH16" s="103"/>
      <c r="BI16" s="103"/>
      <c r="BK16" s="103"/>
      <c r="BL16" s="103"/>
      <c r="BM16" s="103"/>
      <c r="BN16" s="103"/>
      <c r="BO16" s="103"/>
      <c r="BQ16" s="103"/>
      <c r="BR16" s="103"/>
      <c r="BS16" s="103"/>
      <c r="BT16" s="103"/>
      <c r="BU16" s="103"/>
      <c r="BW16" s="103"/>
      <c r="BX16" s="103"/>
      <c r="BY16" s="103"/>
      <c r="BZ16" s="103"/>
      <c r="CA16" s="103"/>
      <c r="CC16" s="103"/>
      <c r="CD16" s="103"/>
      <c r="CE16" s="103"/>
      <c r="CF16" s="103"/>
      <c r="CG16" s="103"/>
      <c r="CI16" s="103"/>
      <c r="CJ16" s="103"/>
      <c r="CK16" s="103"/>
      <c r="CL16" s="103"/>
      <c r="CM16" s="103"/>
      <c r="CO16" s="103"/>
      <c r="CP16" s="103"/>
      <c r="CQ16" s="103"/>
      <c r="CR16" s="103"/>
      <c r="CS16" s="103"/>
      <c r="CU16" s="103"/>
      <c r="CV16" s="103"/>
      <c r="CW16" s="103"/>
      <c r="CX16" s="103"/>
      <c r="CY16" s="103"/>
      <c r="DA16" s="103"/>
      <c r="DB16" s="103"/>
      <c r="DC16" s="103"/>
      <c r="DD16" s="103"/>
      <c r="DE16" s="103"/>
      <c r="DG16" s="103"/>
      <c r="DH16" s="103"/>
      <c r="DI16" s="103"/>
      <c r="DJ16" s="103"/>
      <c r="DK16" s="103"/>
    </row>
    <row r="17" spans="2:115" s="135" customFormat="1" ht="15" x14ac:dyDescent="0.3">
      <c r="B17" s="42" t="s">
        <v>60</v>
      </c>
      <c r="C17" s="141">
        <f>C20*1000/(C7*3)</f>
        <v>18.103011306623632</v>
      </c>
      <c r="D17" s="142">
        <f>D20*1000/(D7*3)</f>
        <v>17.919072284805399</v>
      </c>
      <c r="E17" s="142">
        <f>E20*1000/(E7*3)</f>
        <v>17.945736434108529</v>
      </c>
      <c r="F17" s="143">
        <f>F20*1000/(F7*3)</f>
        <v>16.500291098078751</v>
      </c>
      <c r="G17" s="149">
        <f>G20*1000/(G7*12)</f>
        <v>17.600948424498672</v>
      </c>
      <c r="H17" s="134"/>
      <c r="I17" s="141">
        <f>I20*1000/(I7*3)</f>
        <v>15.621221867885707</v>
      </c>
      <c r="J17" s="142">
        <f>J20*1000/(J7*3)</f>
        <v>15.680042378492915</v>
      </c>
      <c r="K17" s="142">
        <f>K20*1000/(K7*3)</f>
        <v>15.596056943742795</v>
      </c>
      <c r="L17" s="143">
        <f>L20*1000/(L7*3)</f>
        <v>14.984831174610511</v>
      </c>
      <c r="M17" s="149">
        <f>M20*1000/(M7*12)</f>
        <v>15.466197741210665</v>
      </c>
      <c r="N17" s="134"/>
      <c r="O17" s="141">
        <f>O20*1000/(O7*3)</f>
        <v>14.676314272907728</v>
      </c>
      <c r="P17" s="142">
        <f>P20*1000/(P7*3)</f>
        <v>14.778388208024383</v>
      </c>
      <c r="Q17" s="142">
        <f>Q20*1000/(Q7*3)</f>
        <v>15.240183766186851</v>
      </c>
      <c r="R17" s="143">
        <f>R20*1000/(R7*3)</f>
        <v>14.885428083501134</v>
      </c>
      <c r="S17" s="149">
        <f>S20*1000/(S7*12)</f>
        <v>14.89544970097305</v>
      </c>
      <c r="T17" s="134"/>
      <c r="U17" s="141">
        <f>U20*1000/(U7*3)</f>
        <v>14.692756608307587</v>
      </c>
      <c r="V17" s="142">
        <f>V20*1000/(V7*3)</f>
        <v>15.589689265536723</v>
      </c>
      <c r="W17" s="142">
        <f>W20*1000/(W7*3)</f>
        <v>16.820210229433975</v>
      </c>
      <c r="X17" s="142">
        <f>X20*1000/(X7*3)</f>
        <v>16.825725345904718</v>
      </c>
      <c r="Y17" s="149">
        <f>Y20*1000/(Y7*12)</f>
        <v>15.94520659530129</v>
      </c>
      <c r="AA17" s="141">
        <f>AA20*1000/(AA7*3)</f>
        <v>16.265326942696003</v>
      </c>
      <c r="AB17" s="142">
        <f>AB20*1000/(AB7*3)</f>
        <v>16.46138184905897</v>
      </c>
      <c r="AC17" s="142">
        <f>AC20*1000/(AC7*3)</f>
        <v>16.872653241527662</v>
      </c>
      <c r="AD17" s="142">
        <f>AD20*1000/(AD7*3)</f>
        <v>16.385048643113159</v>
      </c>
      <c r="AE17" s="149">
        <f>AE20*1000/(AE7*12)</f>
        <v>16.495917973502486</v>
      </c>
      <c r="AG17" s="141">
        <f>AG20*1000/(AG7*3)</f>
        <v>15.69673158116203</v>
      </c>
      <c r="AH17" s="142">
        <f>AH20*1000/(AH7*3)</f>
        <v>15.965235463605875</v>
      </c>
      <c r="AI17" s="142">
        <f>AI20*1000/(AI7*3)</f>
        <v>16.315907309974254</v>
      </c>
      <c r="AJ17" s="142">
        <f>AJ20*1000/(AJ7*3)</f>
        <v>15.43507621068879</v>
      </c>
      <c r="AK17" s="149">
        <f>AK20*1000/(AK7*12)</f>
        <v>15.851803525558958</v>
      </c>
      <c r="AM17" s="141">
        <f>AM20*1000/(AM7*3)</f>
        <v>14.751788473126464</v>
      </c>
      <c r="AN17" s="142">
        <f>AN20*1000/(AN7*3)</f>
        <v>14.971520105955049</v>
      </c>
      <c r="AO17" s="142">
        <f>AO20*1000/(AO7*3)</f>
        <v>15.025366353785509</v>
      </c>
      <c r="AP17" s="142">
        <f>AP20*1000/(AP7*3)</f>
        <v>14.367628427005917</v>
      </c>
      <c r="AQ17" s="149">
        <f>AQ20*1000/(AQ7*12)</f>
        <v>14.777093838211819</v>
      </c>
      <c r="AS17" s="141">
        <f>AS20*1000/(AS7*3)</f>
        <v>13.981398139813981</v>
      </c>
      <c r="AT17" s="142">
        <f>AT20*1000/(AT7*3)</f>
        <v>14.16885400473994</v>
      </c>
      <c r="AU17" s="142">
        <f>AU20*1000/(AU7*3)</f>
        <v>14.339367852470778</v>
      </c>
      <c r="AV17" s="142">
        <f>AV20*1000/(AV7*3)</f>
        <v>14.241753770249993</v>
      </c>
      <c r="AW17" s="149">
        <f>AW20*1000/(AW7*12)</f>
        <v>14.183583744313186</v>
      </c>
      <c r="AY17" s="141">
        <f>AY20*1000/(AY7*3)</f>
        <v>14.298686516006088</v>
      </c>
      <c r="AZ17" s="142">
        <f>AZ20*1000/(AZ7*3)</f>
        <v>14.152842221233501</v>
      </c>
      <c r="BA17" s="142">
        <f>BA20*1000/(BA7*3)</f>
        <v>14.214247010345654</v>
      </c>
      <c r="BB17" s="142">
        <f>BB20*1000/(BB7*3)</f>
        <v>13.895637367885545</v>
      </c>
      <c r="BC17" s="149">
        <f>BC20*1000/(BC7*12)</f>
        <v>14.139039505891969</v>
      </c>
      <c r="BE17" s="141">
        <f>BE20*1000/(BE7*3)</f>
        <v>13.569336098219281</v>
      </c>
      <c r="BF17" s="142">
        <f>BF20*1000/(BF7*3)</f>
        <v>13.49946809161052</v>
      </c>
      <c r="BG17" s="142">
        <f>BG20*1000/(BG7*3)</f>
        <v>13.696695278796756</v>
      </c>
      <c r="BH17" s="142">
        <f>BH20*1000/(BH7*3)</f>
        <v>13.339735125835233</v>
      </c>
      <c r="BI17" s="149">
        <f>BI20*1000/(BI7*12)</f>
        <v>13.525764665080649</v>
      </c>
      <c r="BK17" s="141">
        <f>BK20*1000/(BK7*3)</f>
        <v>12.981908697878827</v>
      </c>
      <c r="BL17" s="142">
        <f>BL20*1000/(BL7*3)</f>
        <v>13.226349678058444</v>
      </c>
      <c r="BM17" s="142">
        <f>BM20*1000/(BM7*3)</f>
        <v>13.507599503223135</v>
      </c>
      <c r="BN17" s="142">
        <f>BN20*1000/(BN7*3)</f>
        <v>13.191842071469431</v>
      </c>
      <c r="BO17" s="149">
        <f>BO20*1000/(BO7*12)</f>
        <v>13.227231701212759</v>
      </c>
      <c r="BQ17" s="141">
        <f>BQ10+BQ13</f>
        <v>12.891035336993674</v>
      </c>
      <c r="BR17" s="142">
        <f>BR10+BR13</f>
        <v>13.122853491827637</v>
      </c>
      <c r="BS17" s="142">
        <f>BS10+BS13</f>
        <v>13.418787036489443</v>
      </c>
      <c r="BT17" s="143">
        <f>BT10+BT13</f>
        <v>13.187884518847991</v>
      </c>
      <c r="BU17" s="149">
        <f>BU20*1000/(BU7*12)</f>
        <v>13.155708193399397</v>
      </c>
      <c r="BW17" s="141">
        <f>BW10+BW13</f>
        <v>12.903361659302309</v>
      </c>
      <c r="BX17" s="142">
        <f>BX10+BX13</f>
        <v>13.14586238038633</v>
      </c>
      <c r="BY17" s="142">
        <f>BY10+BY13</f>
        <v>13.470671414631262</v>
      </c>
      <c r="BZ17" s="143">
        <f>BZ10+BZ13</f>
        <v>13.255855485121238</v>
      </c>
      <c r="CA17" s="149">
        <f>CA20*1000/(CA7*12)</f>
        <v>13.194468066502855</v>
      </c>
      <c r="CC17" s="141">
        <f>CC10+CC13</f>
        <v>12.951453886533352</v>
      </c>
      <c r="CD17" s="142">
        <f>CD10+CD13</f>
        <v>13.208112782065378</v>
      </c>
      <c r="CE17" s="142">
        <f>CE10+CE13</f>
        <v>13.568201871813827</v>
      </c>
      <c r="CF17" s="143">
        <f>CF10+CF13</f>
        <v>13.366651787903198</v>
      </c>
      <c r="CG17" s="149">
        <f>CG20*1000/(CG7*12)</f>
        <v>13.274094424595898</v>
      </c>
      <c r="CI17" s="141">
        <f>CI10+CI13</f>
        <v>13.064875793848181</v>
      </c>
      <c r="CJ17" s="142">
        <f>CJ10+CJ13</f>
        <v>13.295030757734324</v>
      </c>
      <c r="CK17" s="142">
        <f>CK10+CK13</f>
        <v>13.718088688498135</v>
      </c>
      <c r="CL17" s="143">
        <f>CL10+CL13</f>
        <v>13.529056336330683</v>
      </c>
      <c r="CM17" s="149">
        <f>CM20*1000/(CM7*12)</f>
        <v>13.40220442795685</v>
      </c>
      <c r="CO17" s="141">
        <f>CO10+CO13</f>
        <v>13.172193344674119</v>
      </c>
      <c r="CP17" s="142">
        <f>CP10+CP13</f>
        <v>13.420648377139427</v>
      </c>
      <c r="CQ17" s="142">
        <f>CQ10+CQ13</f>
        <v>13.863204480054868</v>
      </c>
      <c r="CR17" s="143">
        <f>CR10+CR13</f>
        <v>13.68510100813115</v>
      </c>
      <c r="CS17" s="149">
        <f>CS20*1000/(CS7*12)</f>
        <v>13.535703690471806</v>
      </c>
      <c r="CU17" s="141">
        <f>CU10+CU13</f>
        <v>13.253899483181806</v>
      </c>
      <c r="CV17" s="142">
        <f>CV10+CV13</f>
        <v>13.518251666112608</v>
      </c>
      <c r="CW17" s="142">
        <f>CW10+CW13</f>
        <v>14.012081210955769</v>
      </c>
      <c r="CX17" s="143">
        <f>CX10+CX13</f>
        <v>13.842584911202371</v>
      </c>
      <c r="CY17" s="149">
        <f>CY20*1000/(CY7*12)</f>
        <v>13.65716489242066</v>
      </c>
      <c r="DA17" s="141">
        <f>DA10+DA13</f>
        <v>13.343899449429379</v>
      </c>
      <c r="DB17" s="142">
        <f>DB10+DB13</f>
        <v>13.622888145352302</v>
      </c>
      <c r="DC17" s="142">
        <f>DC10+DC13</f>
        <v>14.163479573338133</v>
      </c>
      <c r="DD17" s="143">
        <f>DD10+DD13</f>
        <v>14.001519641545048</v>
      </c>
      <c r="DE17" s="149">
        <f>DE20*1000/(DE7*12)</f>
        <v>13.783315845091996</v>
      </c>
      <c r="DG17" s="141">
        <f>DG10+DG13</f>
        <v>13.43225504023984</v>
      </c>
      <c r="DH17" s="142">
        <f>DH10+DH13</f>
        <v>13.724503380742361</v>
      </c>
      <c r="DI17" s="142">
        <f>DI10+DI13</f>
        <v>14.307251994768237</v>
      </c>
      <c r="DJ17" s="143">
        <f>DJ10+DJ13</f>
        <v>14.156603876815492</v>
      </c>
      <c r="DK17" s="149">
        <f>DK20*1000/(DK7*12)</f>
        <v>13.905523975711878</v>
      </c>
    </row>
    <row r="18" spans="2:115" ht="15" x14ac:dyDescent="0.3">
      <c r="B18" s="40" t="s">
        <v>23</v>
      </c>
      <c r="C18" s="144" t="s">
        <v>35</v>
      </c>
      <c r="D18" s="107" t="s">
        <v>35</v>
      </c>
      <c r="E18" s="107" t="s">
        <v>35</v>
      </c>
      <c r="F18" s="145" t="s">
        <v>35</v>
      </c>
      <c r="G18" s="138" t="s">
        <v>35</v>
      </c>
      <c r="I18" s="151">
        <f>I17/C17-1</f>
        <v>-0.13709263043048947</v>
      </c>
      <c r="J18" s="133">
        <f>J17/D17-1</f>
        <v>-0.12495233406760042</v>
      </c>
      <c r="K18" s="133">
        <f>K17/E17-1</f>
        <v>-0.13093246404197822</v>
      </c>
      <c r="L18" s="152">
        <f>L17/F17-1</f>
        <v>-9.1844435619968912E-2</v>
      </c>
      <c r="M18" s="153">
        <f>M17/G17-1</f>
        <v>-0.12128611662293476</v>
      </c>
      <c r="O18" s="151">
        <f>O17/I17-1</f>
        <v>-6.0488712276760559E-2</v>
      </c>
      <c r="P18" s="133">
        <f>P17/J17-1</f>
        <v>-5.7503299334526026E-2</v>
      </c>
      <c r="Q18" s="133">
        <f>Q17/K17-1</f>
        <v>-2.2818150692808459E-2</v>
      </c>
      <c r="R18" s="152">
        <f>R17/L17-1</f>
        <v>-6.6335809827340331E-3</v>
      </c>
      <c r="S18" s="153">
        <f>S17/M17-1</f>
        <v>-3.6902931786318871E-2</v>
      </c>
      <c r="U18" s="151">
        <v>3.854539049539607E-2</v>
      </c>
      <c r="V18" s="133">
        <v>9.7308757490526698E-2</v>
      </c>
      <c r="W18" s="133">
        <v>0.14567920617189234</v>
      </c>
      <c r="X18" s="133">
        <v>0.16575263382691663</v>
      </c>
      <c r="Y18" s="153">
        <v>0.109818417425396</v>
      </c>
      <c r="AA18" s="151">
        <f>AA17/U17-1</f>
        <v>0.1070303127119967</v>
      </c>
      <c r="AB18" s="133">
        <f>AB17/V17-1</f>
        <v>5.5914686218233367E-2</v>
      </c>
      <c r="AC18" s="133">
        <f>AC17/W17-1</f>
        <v>3.1178571122680854E-3</v>
      </c>
      <c r="AD18" s="133">
        <f>AD17/X17-1</f>
        <v>-2.6190651144725741E-2</v>
      </c>
      <c r="AE18" s="153">
        <f>AE17/Y17-1</f>
        <v>3.4537738655796346E-2</v>
      </c>
      <c r="AG18" s="151">
        <f>AG17/AA17-1</f>
        <v>-3.4957511984676226E-2</v>
      </c>
      <c r="AH18" s="133">
        <f>AH17/AB17-1</f>
        <v>-3.0140020443147564E-2</v>
      </c>
      <c r="AI18" s="133">
        <f>AI17/AC17-1</f>
        <v>-3.2996940290524246E-2</v>
      </c>
      <c r="AJ18" s="133">
        <f>AJ17/AD17-1</f>
        <v>-5.7978005016399825E-2</v>
      </c>
      <c r="AK18" s="153">
        <f>AK17/AE17-1</f>
        <v>-3.9046899298249005E-2</v>
      </c>
      <c r="AM18" s="151">
        <f>AM17/AG17-1</f>
        <v>-6.0199991517317697E-2</v>
      </c>
      <c r="AN18" s="133">
        <f>AN17/AH17-1</f>
        <v>-6.2242449221377671E-2</v>
      </c>
      <c r="AO18" s="133">
        <f>AO17/AI17-1</f>
        <v>-7.9097100251348529E-2</v>
      </c>
      <c r="AP18" s="133">
        <f>AP17/AJ17-1</f>
        <v>-6.9157273285354148E-2</v>
      </c>
      <c r="AQ18" s="153">
        <f>AQ17/AK17-1</f>
        <v>-6.7797313133127757E-2</v>
      </c>
      <c r="AS18" s="151">
        <f>AS17/AM17-1</f>
        <v>-5.2223520877886287E-2</v>
      </c>
      <c r="AT18" s="133">
        <f>AT17/AN17-1</f>
        <v>-5.3612865997210379E-2</v>
      </c>
      <c r="AU18" s="133">
        <f>AU17/AO17-1</f>
        <v>-4.5656024962206665E-2</v>
      </c>
      <c r="AV18" s="133">
        <f>AV17/AP17-1</f>
        <v>-8.7609905417184164E-3</v>
      </c>
      <c r="AW18" s="153">
        <f>AW17/AQ17-1</f>
        <v>-4.0164196045360812E-2</v>
      </c>
      <c r="AY18" s="151">
        <f>AY17/AS17-1</f>
        <v>2.2693608537516896E-2</v>
      </c>
      <c r="AZ18" s="133">
        <f>AZ17/AT17-1</f>
        <v>-1.1300690585902551E-3</v>
      </c>
      <c r="BA18" s="133">
        <f>BA17/AU17-1</f>
        <v>-8.7256874509684668E-3</v>
      </c>
      <c r="BB18" s="133">
        <f>BB17/AV17-1</f>
        <v>-2.4302934031022239E-2</v>
      </c>
      <c r="BC18" s="153">
        <f>BC17/AW17-1</f>
        <v>-3.1405489066947956E-3</v>
      </c>
      <c r="BE18" s="151">
        <f>BE17/AY17-1</f>
        <v>-5.100821092695218E-2</v>
      </c>
      <c r="BF18" s="133">
        <f>BF17/AZ17-1</f>
        <v>-4.616557716178904E-2</v>
      </c>
      <c r="BG18" s="133">
        <f>BG17/BA17-1</f>
        <v>-3.641077372387036E-2</v>
      </c>
      <c r="BH18" s="133">
        <f>BH17/BB17-1</f>
        <v>-4.000552312447847E-2</v>
      </c>
      <c r="BI18" s="153">
        <f>BI17/BC17-1</f>
        <v>-4.3374575801684245E-2</v>
      </c>
      <c r="BK18" s="151">
        <f>BK17/BE17-1</f>
        <v>-4.3290798907806738E-2</v>
      </c>
      <c r="BL18" s="133">
        <f>BL17/BF17-1</f>
        <v>-2.0231790741578215E-2</v>
      </c>
      <c r="BM18" s="133">
        <f>BM17/BG17-1</f>
        <v>-1.380594163223825E-2</v>
      </c>
      <c r="BN18" s="133">
        <f>BN17/BH17-1</f>
        <v>-1.1086655992095129E-2</v>
      </c>
      <c r="BO18" s="153">
        <f>BO17/BI17-1</f>
        <v>-2.2071429694367706E-2</v>
      </c>
      <c r="BQ18" s="151">
        <f>BQ17/BK17-1</f>
        <v>-7.0000000000001172E-3</v>
      </c>
      <c r="BR18" s="133">
        <f>BR17/BL17-1</f>
        <v>-7.8249999999999709E-3</v>
      </c>
      <c r="BS18" s="133">
        <f>BS17/BM17-1</f>
        <v>-6.5749999999999975E-3</v>
      </c>
      <c r="BT18" s="152">
        <f>BT17/BN17-1</f>
        <v>-2.9999999999996696E-4</v>
      </c>
      <c r="BU18" s="153">
        <f>BU17/BO17-1</f>
        <v>-5.4072922761914111E-3</v>
      </c>
      <c r="BW18" s="151">
        <f>BW17/BQ17-1</f>
        <v>9.5619335347429946E-4</v>
      </c>
      <c r="BX18" s="133">
        <f>BX17/BR17-1</f>
        <v>1.7533449240305643E-3</v>
      </c>
      <c r="BY18" s="133">
        <f>BY17/BS17-1</f>
        <v>3.866547550142263E-3</v>
      </c>
      <c r="BZ18" s="152">
        <f>BZ17/BT17-1</f>
        <v>5.1540462138641718E-3</v>
      </c>
      <c r="CA18" s="153">
        <f>CA17/BU17-1</f>
        <v>2.946239954068508E-3</v>
      </c>
      <c r="CC18" s="151">
        <f>CC17/BW17-1</f>
        <v>3.7271083691878815E-3</v>
      </c>
      <c r="CD18" s="133">
        <f>CD17/BX17-1</f>
        <v>4.735360821358281E-3</v>
      </c>
      <c r="CE18" s="133">
        <f>CE17/BY17-1</f>
        <v>7.2402075724771198E-3</v>
      </c>
      <c r="CF18" s="152">
        <f>CF17/BZ17-1</f>
        <v>8.3582913910249523E-3</v>
      </c>
      <c r="CG18" s="153">
        <f>CG17/CA17-1</f>
        <v>6.0348289670875133E-3</v>
      </c>
      <c r="CI18" s="151">
        <f>CI17/CC17-1</f>
        <v>8.7574652474160519E-3</v>
      </c>
      <c r="CJ18" s="133">
        <f>CJ17/CD17-1</f>
        <v>6.5806506276178123E-3</v>
      </c>
      <c r="CK18" s="133">
        <f>CK17/CE17-1</f>
        <v>1.1046918235767089E-2</v>
      </c>
      <c r="CL18" s="152">
        <f>CL17/CF17-1</f>
        <v>1.214997974095966E-2</v>
      </c>
      <c r="CM18" s="153">
        <f>CM17/CG17-1</f>
        <v>9.6511294302361605E-3</v>
      </c>
      <c r="CO18" s="151">
        <f>CO17/CI17-1</f>
        <v>8.2142036801047258E-3</v>
      </c>
      <c r="CP18" s="133">
        <f>CP17/CJ17-1</f>
        <v>9.4484639933627435E-3</v>
      </c>
      <c r="CQ18" s="133">
        <f>CQ17/CK17-1</f>
        <v>1.0578426401223417E-2</v>
      </c>
      <c r="CR18" s="152">
        <f>CR17/CL17-1</f>
        <v>1.1534039619705672E-2</v>
      </c>
      <c r="CS18" s="153">
        <f>CS17/CM17-1</f>
        <v>9.9609928525248304E-3</v>
      </c>
      <c r="CU18" s="151">
        <f>CU17/CO17-1</f>
        <v>6.2029258430771339E-3</v>
      </c>
      <c r="CV18" s="133">
        <f>CV17/CP17-1</f>
        <v>7.2726209815194842E-3</v>
      </c>
      <c r="CW18" s="133">
        <f>CW17/CQ17-1</f>
        <v>1.0738983985635553E-2</v>
      </c>
      <c r="CX18" s="152">
        <f>CX17/CR17-1</f>
        <v>1.1507690222940292E-2</v>
      </c>
      <c r="CY18" s="153">
        <f>CY17/CS17-1</f>
        <v>8.9733939753982028E-3</v>
      </c>
      <c r="DA18" s="151">
        <f>DA17/CU17-1</f>
        <v>6.79045184866367E-3</v>
      </c>
      <c r="DB18" s="133">
        <f>DB17/CV17-1</f>
        <v>7.7403855042879055E-3</v>
      </c>
      <c r="DC18" s="133">
        <f>DC17/CW17-1</f>
        <v>1.0804844769525701E-2</v>
      </c>
      <c r="DD18" s="152">
        <f>DD17/CX17-1</f>
        <v>1.1481578864223296E-2</v>
      </c>
      <c r="DE18" s="153">
        <f>DE17/CY17-1</f>
        <v>9.236979538948642E-3</v>
      </c>
      <c r="DG18" s="151">
        <f>DG17/DA17-1</f>
        <v>6.6214221071816404E-3</v>
      </c>
      <c r="DH18" s="133">
        <f>DH17/DB17-1</f>
        <v>7.4591550856069055E-3</v>
      </c>
      <c r="DI18" s="133">
        <f>DI17/DC17-1</f>
        <v>1.0150925179483794E-2</v>
      </c>
      <c r="DJ18" s="152">
        <f>DJ17/DD17-1</f>
        <v>1.1076243096519445E-2</v>
      </c>
      <c r="DK18" s="153">
        <f>DK17/DE17-1</f>
        <v>8.8663810648581531E-3</v>
      </c>
    </row>
    <row r="19" spans="2:115" ht="15" x14ac:dyDescent="0.3">
      <c r="B19" s="40"/>
      <c r="C19" s="144"/>
      <c r="D19" s="107"/>
      <c r="E19" s="107"/>
      <c r="F19" s="145"/>
      <c r="G19" s="138"/>
      <c r="I19" s="144"/>
      <c r="J19" s="107"/>
      <c r="K19" s="107"/>
      <c r="L19" s="145"/>
      <c r="M19" s="138"/>
      <c r="O19" s="144"/>
      <c r="P19" s="107"/>
      <c r="Q19" s="107"/>
      <c r="R19" s="145"/>
      <c r="S19" s="138"/>
      <c r="U19" s="144"/>
      <c r="V19" s="107"/>
      <c r="W19" s="107"/>
      <c r="X19" s="145"/>
      <c r="Y19" s="138"/>
      <c r="AA19" s="151"/>
      <c r="AB19" s="107"/>
      <c r="AC19" s="107"/>
      <c r="AD19" s="145"/>
      <c r="AE19" s="138"/>
      <c r="AG19" s="144"/>
      <c r="AH19" s="107"/>
      <c r="AI19" s="107"/>
      <c r="AJ19" s="145"/>
      <c r="AK19" s="138"/>
      <c r="AM19" s="144"/>
      <c r="AN19" s="107"/>
      <c r="AO19" s="107"/>
      <c r="AP19" s="145"/>
      <c r="AQ19" s="138"/>
      <c r="AS19" s="144"/>
      <c r="AT19" s="107"/>
      <c r="AU19" s="107"/>
      <c r="AV19" s="145"/>
      <c r="AW19" s="138"/>
      <c r="AY19" s="144"/>
      <c r="AZ19" s="107"/>
      <c r="BA19" s="107"/>
      <c r="BB19" s="145"/>
      <c r="BC19" s="138"/>
      <c r="BE19" s="144"/>
      <c r="BF19" s="107"/>
      <c r="BG19" s="107"/>
      <c r="BH19" s="145"/>
      <c r="BI19" s="138"/>
      <c r="BK19" s="144"/>
      <c r="BL19" s="107"/>
      <c r="BM19" s="107"/>
      <c r="BN19" s="145"/>
      <c r="BO19" s="138"/>
      <c r="BQ19" s="144"/>
      <c r="BR19" s="107"/>
      <c r="BS19" s="107"/>
      <c r="BT19" s="145"/>
      <c r="BU19" s="138"/>
      <c r="BW19" s="144"/>
      <c r="BX19" s="107"/>
      <c r="BY19" s="107"/>
      <c r="BZ19" s="145"/>
      <c r="CA19" s="138"/>
      <c r="CC19" s="144"/>
      <c r="CD19" s="107"/>
      <c r="CE19" s="107"/>
      <c r="CF19" s="145"/>
      <c r="CG19" s="138"/>
      <c r="CI19" s="144"/>
      <c r="CJ19" s="107"/>
      <c r="CK19" s="107"/>
      <c r="CL19" s="145"/>
      <c r="CM19" s="138"/>
      <c r="CO19" s="144"/>
      <c r="CP19" s="107"/>
      <c r="CQ19" s="107"/>
      <c r="CR19" s="145"/>
      <c r="CS19" s="138"/>
      <c r="CU19" s="144"/>
      <c r="CV19" s="107"/>
      <c r="CW19" s="107"/>
      <c r="CX19" s="145"/>
      <c r="CY19" s="138"/>
      <c r="DA19" s="144"/>
      <c r="DB19" s="107"/>
      <c r="DC19" s="107"/>
      <c r="DD19" s="145"/>
      <c r="DE19" s="138"/>
      <c r="DG19" s="144"/>
      <c r="DH19" s="107"/>
      <c r="DI19" s="107"/>
      <c r="DJ19" s="145"/>
      <c r="DK19" s="138"/>
    </row>
    <row r="20" spans="2:115" s="135" customFormat="1" ht="15" x14ac:dyDescent="0.3">
      <c r="B20" s="39" t="s">
        <v>59</v>
      </c>
      <c r="C20" s="156">
        <v>1750</v>
      </c>
      <c r="D20" s="157">
        <v>1811</v>
      </c>
      <c r="E20" s="157">
        <v>1852</v>
      </c>
      <c r="F20" s="158">
        <v>1743</v>
      </c>
      <c r="G20" s="159">
        <f>C20+D20+E20+F20</f>
        <v>7156</v>
      </c>
      <c r="H20" s="160"/>
      <c r="I20" s="156">
        <v>1712</v>
      </c>
      <c r="J20" s="157">
        <v>1776</v>
      </c>
      <c r="K20" s="157">
        <v>1806</v>
      </c>
      <c r="L20" s="158">
        <v>1751</v>
      </c>
      <c r="M20" s="159">
        <f>I20+J20+K20+L20</f>
        <v>7045</v>
      </c>
      <c r="N20" s="160"/>
      <c r="O20" s="156">
        <v>1719</v>
      </c>
      <c r="P20" s="157">
        <v>1731</v>
      </c>
      <c r="Q20" s="157">
        <v>1793</v>
      </c>
      <c r="R20" s="158">
        <v>1752</v>
      </c>
      <c r="S20" s="159">
        <f>O20+P20+Q20+R20</f>
        <v>6995</v>
      </c>
      <c r="T20" s="134"/>
      <c r="U20" s="156">
        <v>1712</v>
      </c>
      <c r="V20" s="157">
        <v>1766</v>
      </c>
      <c r="W20" s="157">
        <v>1813</v>
      </c>
      <c r="X20" s="158">
        <v>1756</v>
      </c>
      <c r="Y20" s="159">
        <f>U20+V20+W20+X20</f>
        <v>7047</v>
      </c>
      <c r="AA20" s="156">
        <v>1690</v>
      </c>
      <c r="AB20" s="157">
        <v>1706</v>
      </c>
      <c r="AC20" s="157">
        <v>1757</v>
      </c>
      <c r="AD20" s="158">
        <v>1728</v>
      </c>
      <c r="AE20" s="159">
        <f>AA20+AB20+AC20+AD20</f>
        <v>6881</v>
      </c>
      <c r="AG20" s="156">
        <v>1660</v>
      </c>
      <c r="AH20" s="157">
        <v>1690</v>
      </c>
      <c r="AI20" s="157">
        <v>1749</v>
      </c>
      <c r="AJ20" s="158">
        <v>1680</v>
      </c>
      <c r="AK20" s="159">
        <f>AG20+AH20+AI20+AJ20</f>
        <v>6779</v>
      </c>
      <c r="AM20" s="156">
        <v>1628</v>
      </c>
      <c r="AN20" s="157">
        <v>1673</v>
      </c>
      <c r="AO20" s="157">
        <v>1700</v>
      </c>
      <c r="AP20" s="158">
        <v>1650</v>
      </c>
      <c r="AQ20" s="159">
        <f>AM20+AN20+AO20+AP20</f>
        <v>6651</v>
      </c>
      <c r="AS20" s="156">
        <v>1631</v>
      </c>
      <c r="AT20" s="157">
        <v>1668</v>
      </c>
      <c r="AU20" s="157">
        <v>1699</v>
      </c>
      <c r="AV20" s="158">
        <v>1680</v>
      </c>
      <c r="AW20" s="159">
        <f>AS20+AT20+AU20+AV20</f>
        <v>6678</v>
      </c>
      <c r="AY20" s="156">
        <v>1677</v>
      </c>
      <c r="AZ20" s="157">
        <v>1670</v>
      </c>
      <c r="BA20" s="157">
        <v>1692</v>
      </c>
      <c r="BB20" s="158">
        <v>1673</v>
      </c>
      <c r="BC20" s="159">
        <f>AY20+AZ20+BA20+BB20</f>
        <v>6712</v>
      </c>
      <c r="BE20" s="156">
        <v>1649</v>
      </c>
      <c r="BF20" s="157">
        <v>1656</v>
      </c>
      <c r="BG20" s="157">
        <v>1697</v>
      </c>
      <c r="BH20" s="158">
        <v>1667</v>
      </c>
      <c r="BI20" s="159">
        <f>BE20+BF20+BG20+BH20</f>
        <v>6669</v>
      </c>
      <c r="BK20" s="156">
        <v>1635</v>
      </c>
      <c r="BL20" s="157">
        <v>1669</v>
      </c>
      <c r="BM20" s="157">
        <v>1713</v>
      </c>
      <c r="BN20" s="158">
        <v>1695</v>
      </c>
      <c r="BO20" s="159">
        <f>BK20+BL20+BM20+BN20</f>
        <v>6712</v>
      </c>
      <c r="BQ20" s="156">
        <f>BQ17*BQ7*3/1000</f>
        <v>1672.1284211497921</v>
      </c>
      <c r="BR20" s="157">
        <f>BR17*BR7*3/1000</f>
        <v>1709.0876316419019</v>
      </c>
      <c r="BS20" s="157">
        <f>BS17*BS7*3/1000</f>
        <v>1753.6677308312137</v>
      </c>
      <c r="BT20" s="158">
        <f>BT17*BT7*3/1000</f>
        <v>1733.3825714460827</v>
      </c>
      <c r="BU20" s="159">
        <f>BQ20+BR20+BS20+BT20</f>
        <v>6868.2663550689904</v>
      </c>
      <c r="BW20" s="156">
        <f>BW17*BW7*3/1000</f>
        <v>1705.1792432768</v>
      </c>
      <c r="BX20" s="157">
        <f>BX17*BX7*3/1000</f>
        <v>1742.6483817999629</v>
      </c>
      <c r="BY20" s="157">
        <f>BY17*BY7*3/1000</f>
        <v>1790.7573811825434</v>
      </c>
      <c r="BZ20" s="158">
        <f>BZ17*BZ7*3/1000</f>
        <v>1769.6567072636853</v>
      </c>
      <c r="CA20" s="159">
        <f>BW20+BX20+BY20+BZ20</f>
        <v>7008.2417135229916</v>
      </c>
      <c r="CC20" s="156">
        <f>CC17*CC7*3/1000</f>
        <v>1736.3042866633775</v>
      </c>
      <c r="CD20" s="157">
        <f>CD17*CD7*3/1000</f>
        <v>1775.1703579095868</v>
      </c>
      <c r="CE20" s="157">
        <f>CE17*CE7*3/1000</f>
        <v>1827.6367921333224</v>
      </c>
      <c r="CF20" s="158">
        <f>CF17*CF7*3/1000</f>
        <v>1806.0017396930709</v>
      </c>
      <c r="CG20" s="159">
        <f>CC20+CD20+CE20+CF20</f>
        <v>7145.1131763993571</v>
      </c>
      <c r="CI20" s="156">
        <f>CI17*CI7*3/1000</f>
        <v>1770.1273591190054</v>
      </c>
      <c r="CJ20" s="157">
        <f>CJ17*CJ7*3/1000</f>
        <v>1804.3018617090197</v>
      </c>
      <c r="CK20" s="157">
        <f>CK17*CK7*3/1000</f>
        <v>1865.3171094185338</v>
      </c>
      <c r="CL20" s="158">
        <f>CL17*CL7*3/1000</f>
        <v>1844.6868314586886</v>
      </c>
      <c r="CM20" s="159">
        <f>CI20+CJ20+CK20+CL20</f>
        <v>7284.4331617052467</v>
      </c>
      <c r="CO20" s="156">
        <f>CO17*CO7*3/1000</f>
        <v>1800.4741778001437</v>
      </c>
      <c r="CP20" s="157">
        <f>CP17*CP7*3/1000</f>
        <v>1837.454520935102</v>
      </c>
      <c r="CQ20" s="157">
        <f>CQ17*CQ7*3/1000</f>
        <v>1901.1652043835245</v>
      </c>
      <c r="CR20" s="158">
        <f>CR17*CR7*3/1000</f>
        <v>1880.3328785172203</v>
      </c>
      <c r="CS20" s="159">
        <f>CO20+CP20+CQ20+CR20</f>
        <v>7419.4267816359898</v>
      </c>
      <c r="CU20" s="156">
        <f>CU17*CU7*3/1000</f>
        <v>1824.5649376035155</v>
      </c>
      <c r="CV20" s="157">
        <f>CV17*CV7*3/1000</f>
        <v>1863.9979266111022</v>
      </c>
      <c r="CW20" s="157">
        <f>CW17*CW7*3/1000</f>
        <v>1935.2435662481287</v>
      </c>
      <c r="CX20" s="158">
        <f>CX17*CX7*3/1000</f>
        <v>1914.9485901534581</v>
      </c>
      <c r="CY20" s="159">
        <f>CU20+CV20+CW20+CX20</f>
        <v>7538.7550206162041</v>
      </c>
      <c r="DA20" s="156">
        <f>DA17*DA7*3/1000</f>
        <v>1848.4636712322047</v>
      </c>
      <c r="DB20" s="157">
        <f>DB17*DB7*3/1000</f>
        <v>1889.1540135567304</v>
      </c>
      <c r="DC20" s="157">
        <f>DC17*DC7*3/1000</f>
        <v>1966.2450517686661</v>
      </c>
      <c r="DD20" s="158">
        <f>DD17*DD7*3/1000</f>
        <v>1946.9113061568389</v>
      </c>
      <c r="DE20" s="159">
        <f>DA20+DB20+DC20+DD20</f>
        <v>7650.7740427144399</v>
      </c>
      <c r="DG20" s="156">
        <f>DG17*DG7*3/1000</f>
        <v>1870.7773207294035</v>
      </c>
      <c r="DH20" s="157">
        <f>DH17*DH7*3/1000</f>
        <v>1913.5388838600036</v>
      </c>
      <c r="DI20" s="157">
        <f>DI17*DI7*3/1000</f>
        <v>1996.9346971697769</v>
      </c>
      <c r="DJ20" s="158">
        <f>DJ17*DJ7*3/1000</f>
        <v>1978.0314766880447</v>
      </c>
      <c r="DK20" s="159">
        <f>DG20+DH20+DI20+DJ20</f>
        <v>7759.2823784472284</v>
      </c>
    </row>
    <row r="21" spans="2:115" ht="15.75" thickBot="1" x14ac:dyDescent="0.35">
      <c r="B21" s="41" t="s">
        <v>23</v>
      </c>
      <c r="C21" s="155" t="s">
        <v>35</v>
      </c>
      <c r="D21" s="106" t="s">
        <v>35</v>
      </c>
      <c r="E21" s="106" t="s">
        <v>35</v>
      </c>
      <c r="F21" s="154" t="s">
        <v>35</v>
      </c>
      <c r="G21" s="108" t="s">
        <v>35</v>
      </c>
      <c r="I21" s="109">
        <f>I20/C20-1</f>
        <v>-2.1714285714285686E-2</v>
      </c>
      <c r="J21" s="110">
        <f>J20/D20-1</f>
        <v>-1.9326339039204887E-2</v>
      </c>
      <c r="K21" s="110">
        <f>K20/E20-1</f>
        <v>-2.4838012958963263E-2</v>
      </c>
      <c r="L21" s="120">
        <f>L20/F20-1</f>
        <v>4.589787722317773E-3</v>
      </c>
      <c r="M21" s="122">
        <f>M20/G20-1</f>
        <v>-1.5511458915595355E-2</v>
      </c>
      <c r="O21" s="109">
        <f>O20/I20-1</f>
        <v>4.0887850467290487E-3</v>
      </c>
      <c r="P21" s="110">
        <f>P20/J20-1</f>
        <v>-2.5337837837837829E-2</v>
      </c>
      <c r="Q21" s="110">
        <f>Q20/K20-1</f>
        <v>-7.1982281284607152E-3</v>
      </c>
      <c r="R21" s="120">
        <f>R20/L20-1</f>
        <v>5.711022272987254E-4</v>
      </c>
      <c r="S21" s="122">
        <f>S20/M20-1</f>
        <v>-7.0972320794889798E-3</v>
      </c>
      <c r="U21" s="109">
        <v>3.3158813263525211E-2</v>
      </c>
      <c r="V21" s="110">
        <v>6.1236279607163491E-2</v>
      </c>
      <c r="W21" s="110">
        <v>4.9637479085331782E-2</v>
      </c>
      <c r="X21" s="120">
        <v>3.3675799086757996E-2</v>
      </c>
      <c r="Y21" s="122">
        <v>4.4460328806290139E-2</v>
      </c>
      <c r="Z21" s="135"/>
      <c r="AA21" s="109">
        <f>AA20/U20-1</f>
        <v>-1.2850467289719614E-2</v>
      </c>
      <c r="AB21" s="110">
        <f>AB20/V20-1</f>
        <v>-3.3975084937712396E-2</v>
      </c>
      <c r="AC21" s="110">
        <f>AC20/W20-1</f>
        <v>-3.0888030888030937E-2</v>
      </c>
      <c r="AD21" s="120">
        <f>AD20/X20-1</f>
        <v>-1.5945330296127547E-2</v>
      </c>
      <c r="AE21" s="122">
        <f>AE20/Y20-1</f>
        <v>-2.3556123172981391E-2</v>
      </c>
      <c r="AG21" s="109">
        <f>AG20/AA20-1</f>
        <v>-1.7751479289940808E-2</v>
      </c>
      <c r="AH21" s="110">
        <f>AH20/AB20-1</f>
        <v>-9.3786635404454755E-3</v>
      </c>
      <c r="AI21" s="110">
        <f>AI20/AC20-1</f>
        <v>-4.5532157085942382E-3</v>
      </c>
      <c r="AJ21" s="120">
        <f>AJ20/AD20-1</f>
        <v>-2.777777777777779E-2</v>
      </c>
      <c r="AK21" s="122">
        <f>AK20/AE20-1</f>
        <v>-1.4823426827496045E-2</v>
      </c>
      <c r="AM21" s="109">
        <f>AM20/AG20-1</f>
        <v>-1.927710843373498E-2</v>
      </c>
      <c r="AN21" s="110">
        <f>AN20/AH20-1</f>
        <v>-1.0059171597633143E-2</v>
      </c>
      <c r="AO21" s="110">
        <f>AO20/AI20-1</f>
        <v>-2.8016009148084664E-2</v>
      </c>
      <c r="AP21" s="120">
        <f>AP20/AJ20-1</f>
        <v>-1.7857142857142905E-2</v>
      </c>
      <c r="AQ21" s="122">
        <f>AQ20/AK20-1</f>
        <v>-1.8881840979495523E-2</v>
      </c>
      <c r="AS21" s="109">
        <f>AS20/AM20-1</f>
        <v>1.8427518427517331E-3</v>
      </c>
      <c r="AT21" s="110">
        <f>AT20/AN20-1</f>
        <v>-2.9886431560072202E-3</v>
      </c>
      <c r="AU21" s="110">
        <f>AU20/AO20-1</f>
        <v>-5.8823529411766717E-4</v>
      </c>
      <c r="AV21" s="120">
        <f>AV20/AP20-1</f>
        <v>1.8181818181818077E-2</v>
      </c>
      <c r="AW21" s="122">
        <f>AW20/AQ20-1</f>
        <v>4.0595399188092518E-3</v>
      </c>
      <c r="AY21" s="109">
        <f>AY20/AS20-1</f>
        <v>2.8203556100551808E-2</v>
      </c>
      <c r="AZ21" s="110">
        <f>AZ20/AT20-1</f>
        <v>1.1990407673860837E-3</v>
      </c>
      <c r="BA21" s="110">
        <f>BA20/AU20-1</f>
        <v>-4.1200706297822576E-3</v>
      </c>
      <c r="BB21" s="120">
        <f>BB20/AV20-1</f>
        <v>-4.1666666666666519E-3</v>
      </c>
      <c r="BC21" s="122">
        <f>BC20/AW20-1</f>
        <v>5.0913447139862011E-3</v>
      </c>
      <c r="BE21" s="109">
        <f>BE20/AY20-1</f>
        <v>-1.6696481812760844E-2</v>
      </c>
      <c r="BF21" s="110">
        <f>BF20/AZ20-1</f>
        <v>-8.3832335329341312E-3</v>
      </c>
      <c r="BG21" s="110">
        <f>BG20/BA20-1</f>
        <v>2.9550827423168169E-3</v>
      </c>
      <c r="BH21" s="120">
        <f>BH20/BB20-1</f>
        <v>-3.5863717872085532E-3</v>
      </c>
      <c r="BI21" s="122">
        <f>BI20/BC20-1</f>
        <v>-6.4064362336114788E-3</v>
      </c>
      <c r="BK21" s="109">
        <f>BK20/BE20-1</f>
        <v>-8.4899939357185872E-3</v>
      </c>
      <c r="BL21" s="110">
        <f>BL20/BF20-1</f>
        <v>7.8502415458936436E-3</v>
      </c>
      <c r="BM21" s="110">
        <f>BM20/BG20-1</f>
        <v>9.4284030642310945E-3</v>
      </c>
      <c r="BN21" s="120">
        <f>BN20/BH20-1</f>
        <v>1.6796640671865593E-2</v>
      </c>
      <c r="BO21" s="122">
        <f>BO20/BI20-1</f>
        <v>6.4477432898486509E-3</v>
      </c>
      <c r="BQ21" s="109">
        <f>BQ20/BK20-1</f>
        <v>2.2708514464704566E-2</v>
      </c>
      <c r="BR21" s="110">
        <f>BR20/BL20-1</f>
        <v>2.4018952451708708E-2</v>
      </c>
      <c r="BS21" s="110">
        <f>BS20/BM20-1</f>
        <v>2.3740648471228143E-2</v>
      </c>
      <c r="BT21" s="120">
        <f>BT20/BN20-1</f>
        <v>2.2644584923942501E-2</v>
      </c>
      <c r="BU21" s="122">
        <f>BU20/BO20-1</f>
        <v>2.3281638121124937E-2</v>
      </c>
      <c r="BW21" s="109">
        <f>BW20/BQ20-1</f>
        <v>1.9765719970408435E-2</v>
      </c>
      <c r="BX21" s="110">
        <f>BX20/BR20-1</f>
        <v>1.9636646791375778E-2</v>
      </c>
      <c r="BY21" s="110">
        <f>BY20/BS20-1</f>
        <v>2.1149759272670154E-2</v>
      </c>
      <c r="BZ21" s="120">
        <f>BZ20/BT20-1</f>
        <v>2.0926791589545468E-2</v>
      </c>
      <c r="CA21" s="122">
        <f>CA20/BU20-1</f>
        <v>2.0380013123791452E-2</v>
      </c>
      <c r="CC21" s="109">
        <f>CC20/BW20-1</f>
        <v>1.8253238484633005E-2</v>
      </c>
      <c r="CD21" s="110">
        <f>CD20/BX20-1</f>
        <v>1.8662385624822475E-2</v>
      </c>
      <c r="CE21" s="110">
        <f>CE20/BY20-1</f>
        <v>2.05943090551024E-2</v>
      </c>
      <c r="CF21" s="120">
        <f>CF20/BZ20-1</f>
        <v>2.0537899966815543E-2</v>
      </c>
      <c r="CG21" s="122">
        <f>CG20/CA20-1</f>
        <v>1.9530071660094128E-2</v>
      </c>
      <c r="CI21" s="109">
        <f>CI20/CC20-1</f>
        <v>1.9479922220675405E-2</v>
      </c>
      <c r="CJ21" s="110">
        <f>CJ20/CD20-1</f>
        <v>1.6410539793903389E-2</v>
      </c>
      <c r="CK21" s="110">
        <f>CK20/CE20-1</f>
        <v>2.0616961448466364E-2</v>
      </c>
      <c r="CL21" s="120">
        <f>CL20/CF20-1</f>
        <v>2.1420295958403779E-2</v>
      </c>
      <c r="CM21" s="122">
        <f>CM20/CG20-1</f>
        <v>1.9498639400992168E-2</v>
      </c>
      <c r="CO21" s="109">
        <f>CO20/CI20-1</f>
        <v>1.714386172543092E-2</v>
      </c>
      <c r="CP21" s="110">
        <f>CP20/CJ20-1</f>
        <v>1.837423101402802E-2</v>
      </c>
      <c r="CQ21" s="110">
        <f>CQ20/CK20-1</f>
        <v>1.921823092919861E-2</v>
      </c>
      <c r="CR21" s="120">
        <f>CR20/CL20-1</f>
        <v>1.9323630683883763E-2</v>
      </c>
      <c r="CS21" s="122">
        <f>CS20/CM20-1</f>
        <v>1.8531794709904625E-2</v>
      </c>
      <c r="CU21" s="109">
        <f>CU20/CO20-1</f>
        <v>1.3380230663905701E-2</v>
      </c>
      <c r="CV21" s="110">
        <f>CV20/CP20-1</f>
        <v>1.4445748383743462E-2</v>
      </c>
      <c r="CW21" s="110">
        <f>CW20/CQ20-1</f>
        <v>1.7924987153157268E-2</v>
      </c>
      <c r="CX21" s="120">
        <f>CX20/CR20-1</f>
        <v>1.8409352956448188E-2</v>
      </c>
      <c r="CY21" s="122">
        <f>CY20/CS20-1</f>
        <v>1.6083215387415972E-2</v>
      </c>
      <c r="DA21" s="109">
        <f>DA20/CU20-1</f>
        <v>1.3098319021782379E-2</v>
      </c>
      <c r="DB21" s="110">
        <f>DB20/CV20-1</f>
        <v>1.3495769810948133E-2</v>
      </c>
      <c r="DC21" s="110">
        <f>DC20/CW20-1</f>
        <v>1.6019423116150788E-2</v>
      </c>
      <c r="DD21" s="120">
        <f>DD20/CX20-1</f>
        <v>1.6691161406489519E-2</v>
      </c>
      <c r="DE21" s="122">
        <f>DE20/CY20-1</f>
        <v>1.4859087713010588E-2</v>
      </c>
      <c r="DG21" s="109">
        <f>DG20/DA20-1</f>
        <v>1.2071456877658981E-2</v>
      </c>
      <c r="DH21" s="110">
        <f>DH20/DB20-1</f>
        <v>1.2907825475469537E-2</v>
      </c>
      <c r="DI21" s="110">
        <f>DI20/DC20-1</f>
        <v>1.5608250545121605E-2</v>
      </c>
      <c r="DJ21" s="120">
        <f>DJ20/DD20-1</f>
        <v>1.5984380198929671E-2</v>
      </c>
      <c r="DK21" s="122">
        <f>DK20/DE20-1</f>
        <v>1.4182661143432584E-2</v>
      </c>
    </row>
    <row r="22" spans="2:115" ht="15.75" thickBot="1" x14ac:dyDescent="0.35">
      <c r="B22" s="1"/>
      <c r="U22" s="442"/>
      <c r="V22" s="442"/>
      <c r="W22" s="442"/>
      <c r="X22" s="442"/>
      <c r="Z22" s="135"/>
      <c r="AA22" s="103"/>
      <c r="AB22" s="103"/>
      <c r="AC22" s="103"/>
      <c r="AD22" s="103"/>
      <c r="AE22" s="103"/>
      <c r="AG22" s="103"/>
      <c r="AH22" s="103"/>
      <c r="AI22" s="103"/>
      <c r="AJ22" s="103"/>
      <c r="AK22" s="103"/>
      <c r="AM22" s="103"/>
      <c r="AN22" s="103"/>
      <c r="AO22" s="103"/>
      <c r="AP22" s="103"/>
      <c r="AQ22" s="103"/>
      <c r="AS22" s="103"/>
      <c r="AT22" s="103"/>
      <c r="AU22" s="103"/>
      <c r="AV22" s="103"/>
      <c r="AW22" s="103"/>
      <c r="AY22" s="103"/>
      <c r="AZ22" s="103"/>
      <c r="BA22" s="103"/>
      <c r="BB22" s="103"/>
      <c r="BC22" s="442"/>
      <c r="BE22" s="103"/>
      <c r="BF22" s="103"/>
      <c r="BG22" s="103"/>
      <c r="BH22" s="103"/>
      <c r="BI22" s="442"/>
      <c r="BK22" s="103"/>
      <c r="BL22" s="103"/>
      <c r="BM22" s="103"/>
      <c r="BN22" s="103"/>
      <c r="BO22" s="442"/>
      <c r="BQ22" s="103"/>
      <c r="BR22" s="103"/>
      <c r="BS22" s="103"/>
      <c r="BT22" s="103"/>
      <c r="BU22" s="227">
        <f>BU20/AW20-1</f>
        <v>2.8491517680292011E-2</v>
      </c>
      <c r="BW22" s="103"/>
      <c r="BX22" s="103"/>
      <c r="BY22" s="103"/>
      <c r="BZ22" s="103"/>
      <c r="CA22" s="103"/>
      <c r="CC22" s="103"/>
      <c r="CD22" s="103"/>
      <c r="CE22" s="103"/>
      <c r="CF22" s="103"/>
      <c r="CG22" s="103"/>
      <c r="CI22" s="103"/>
      <c r="CJ22" s="103"/>
      <c r="CK22" s="103"/>
      <c r="CL22" s="103"/>
      <c r="CM22" s="103"/>
      <c r="CO22" s="103"/>
      <c r="CP22" s="103"/>
      <c r="CQ22" s="103"/>
      <c r="CR22" s="103"/>
      <c r="CS22" s="103"/>
      <c r="CU22" s="103"/>
      <c r="CV22" s="103"/>
      <c r="CW22" s="103"/>
      <c r="CX22" s="103"/>
      <c r="CY22" s="103"/>
      <c r="DA22" s="103"/>
      <c r="DB22" s="103"/>
      <c r="DC22" s="103"/>
      <c r="DD22" s="103"/>
      <c r="DE22" s="103"/>
      <c r="DG22" s="103"/>
      <c r="DH22" s="103"/>
      <c r="DI22" s="103"/>
      <c r="DJ22" s="103"/>
      <c r="DK22" s="103"/>
    </row>
    <row r="23" spans="2:115" ht="15" x14ac:dyDescent="0.3">
      <c r="B23" s="38" t="s">
        <v>41</v>
      </c>
      <c r="C23" s="185">
        <v>1.2999999999999999E-2</v>
      </c>
      <c r="D23" s="186">
        <v>8.0000000000000002E-3</v>
      </c>
      <c r="E23" s="186">
        <v>1.4999999999999999E-2</v>
      </c>
      <c r="F23" s="187">
        <v>7.0000000000000001E-3</v>
      </c>
      <c r="G23" s="191">
        <f>G24/G7/12</f>
        <v>1.0705839599182428E-2</v>
      </c>
      <c r="H23" s="136"/>
      <c r="I23" s="185">
        <v>6.0000000000000001E-3</v>
      </c>
      <c r="J23" s="186">
        <v>6.0000000000000001E-3</v>
      </c>
      <c r="K23" s="186">
        <v>1.2E-2</v>
      </c>
      <c r="L23" s="187">
        <v>1.6E-2</v>
      </c>
      <c r="M23" s="191">
        <f>M24/M7/12</f>
        <v>1.0090597451864343E-2</v>
      </c>
      <c r="N23" s="136"/>
      <c r="O23" s="185">
        <v>1.6E-2</v>
      </c>
      <c r="P23" s="186">
        <v>1.2999999999999999E-2</v>
      </c>
      <c r="Q23" s="186">
        <v>1.2999999999999999E-2</v>
      </c>
      <c r="R23" s="187">
        <v>1.6E-2</v>
      </c>
      <c r="S23" s="191">
        <f>S24/S7/12</f>
        <v>1.4500148528608528E-2</v>
      </c>
      <c r="T23" s="227"/>
      <c r="U23" s="185">
        <v>1.4999999999999999E-2</v>
      </c>
      <c r="V23" s="186">
        <v>1.2999999999999999E-2</v>
      </c>
      <c r="W23" s="186">
        <v>1.4E-2</v>
      </c>
      <c r="X23" s="187">
        <v>1.7000000000000001E-2</v>
      </c>
      <c r="Y23" s="191">
        <f>Y24/Y7/12</f>
        <v>1.4715762607166859E-2</v>
      </c>
      <c r="Z23" s="227"/>
      <c r="AA23" s="248">
        <v>1.4999999999999999E-2</v>
      </c>
      <c r="AB23" s="249">
        <v>1.6E-2</v>
      </c>
      <c r="AC23" s="249">
        <v>1.4999999999999999E-2</v>
      </c>
      <c r="AD23" s="249">
        <v>1.4999999999999999E-2</v>
      </c>
      <c r="AE23" s="191">
        <f>AE24/AE7/12</f>
        <v>1.5248449237474331E-2</v>
      </c>
      <c r="AG23" s="248">
        <v>1.7000000000000001E-2</v>
      </c>
      <c r="AH23" s="249">
        <v>1.4E-2</v>
      </c>
      <c r="AI23" s="249">
        <v>1.4E-2</v>
      </c>
      <c r="AJ23" s="250">
        <v>1.4E-2</v>
      </c>
      <c r="AK23" s="191">
        <f>AK24/AK7/12</f>
        <v>1.4741879136720931E-2</v>
      </c>
      <c r="AM23" s="248">
        <v>1.4E-2</v>
      </c>
      <c r="AN23" s="249">
        <v>1.4999999999999999E-2</v>
      </c>
      <c r="AO23" s="249">
        <v>1.4E-2</v>
      </c>
      <c r="AP23" s="250">
        <v>1.4999999999999999E-2</v>
      </c>
      <c r="AQ23" s="191">
        <f>AQ24/AQ7/12</f>
        <v>1.4503427659227021E-2</v>
      </c>
      <c r="AS23" s="248">
        <v>1.2999999999999999E-2</v>
      </c>
      <c r="AT23" s="249">
        <v>1.7000000000000001E-2</v>
      </c>
      <c r="AU23" s="249">
        <v>1.9E-2</v>
      </c>
      <c r="AV23" s="250">
        <v>2.7E-2</v>
      </c>
      <c r="AW23" s="191">
        <f>AW24/AW7/12</f>
        <v>1.9017688063106119E-2</v>
      </c>
      <c r="AY23" s="248">
        <v>1.7000000000000001E-2</v>
      </c>
      <c r="AZ23" s="249">
        <v>1.7000000000000001E-2</v>
      </c>
      <c r="BA23" s="249">
        <v>1.7999999999999999E-2</v>
      </c>
      <c r="BB23" s="249">
        <v>1.7999999999999999E-2</v>
      </c>
      <c r="BC23" s="191">
        <f>BC24/BC7/12</f>
        <v>1.750437315941809E-2</v>
      </c>
      <c r="BE23" s="248">
        <v>1.6E-2</v>
      </c>
      <c r="BF23" s="249">
        <v>1.4E-2</v>
      </c>
      <c r="BG23" s="249">
        <v>1.6E-2</v>
      </c>
      <c r="BH23" s="250">
        <v>1.7000000000000001E-2</v>
      </c>
      <c r="BI23" s="191">
        <f>BI24/BI7/12</f>
        <v>1.5755854776000441E-2</v>
      </c>
      <c r="BK23" s="248">
        <v>1.7000000000000001E-2</v>
      </c>
      <c r="BL23" s="249">
        <v>1.9E-2</v>
      </c>
      <c r="BM23" s="249">
        <v>1.2999999999999999E-2</v>
      </c>
      <c r="BN23" s="249">
        <v>1.4999999999999999E-2</v>
      </c>
      <c r="BO23" s="191">
        <f>BO24/BO7/12</f>
        <v>1.5991261986686059E-2</v>
      </c>
      <c r="BQ23" s="248">
        <v>1.6E-2</v>
      </c>
      <c r="BR23" s="249">
        <v>1.6E-2</v>
      </c>
      <c r="BS23" s="249">
        <v>1.4999999999999999E-2</v>
      </c>
      <c r="BT23" s="249">
        <v>1.4999999999999999E-2</v>
      </c>
      <c r="BU23" s="191">
        <f>BU24/BU7/12</f>
        <v>1.549791696595317E-2</v>
      </c>
      <c r="BW23" s="248">
        <v>1.4999999999999999E-2</v>
      </c>
      <c r="BX23" s="249">
        <v>1.4999999999999999E-2</v>
      </c>
      <c r="BY23" s="249">
        <v>1.4999999999999999E-2</v>
      </c>
      <c r="BZ23" s="249">
        <v>1.4999999999999999E-2</v>
      </c>
      <c r="CA23" s="191">
        <f>CA24/CA7/12</f>
        <v>1.4999999999999999E-2</v>
      </c>
      <c r="CC23" s="248">
        <v>1.4999999999999999E-2</v>
      </c>
      <c r="CD23" s="249">
        <v>1.4999999999999999E-2</v>
      </c>
      <c r="CE23" s="249">
        <v>1.4999999999999999E-2</v>
      </c>
      <c r="CF23" s="249">
        <v>1.4999999999999999E-2</v>
      </c>
      <c r="CG23" s="191">
        <f>CG24/CG7/12</f>
        <v>1.4999999999999999E-2</v>
      </c>
      <c r="CI23" s="248">
        <v>1.4999999999999999E-2</v>
      </c>
      <c r="CJ23" s="249">
        <v>1.4999999999999999E-2</v>
      </c>
      <c r="CK23" s="249">
        <v>1.4999999999999999E-2</v>
      </c>
      <c r="CL23" s="249">
        <v>1.4999999999999999E-2</v>
      </c>
      <c r="CM23" s="191">
        <f>CM24/CM7/12</f>
        <v>1.4999999999999999E-2</v>
      </c>
      <c r="CO23" s="248">
        <v>1.4999999999999999E-2</v>
      </c>
      <c r="CP23" s="249">
        <v>1.4999999999999999E-2</v>
      </c>
      <c r="CQ23" s="249">
        <v>1.4999999999999999E-2</v>
      </c>
      <c r="CR23" s="249">
        <v>1.4999999999999999E-2</v>
      </c>
      <c r="CS23" s="191">
        <f>CS24/CS7/12</f>
        <v>1.4999999999999999E-2</v>
      </c>
      <c r="CU23" s="248">
        <v>1.4999999999999999E-2</v>
      </c>
      <c r="CV23" s="249">
        <v>1.4999999999999999E-2</v>
      </c>
      <c r="CW23" s="249">
        <v>1.4999999999999999E-2</v>
      </c>
      <c r="CX23" s="249">
        <v>1.4999999999999999E-2</v>
      </c>
      <c r="CY23" s="191">
        <f>CY24/CY7/12</f>
        <v>1.4999999999999999E-2</v>
      </c>
      <c r="DA23" s="248">
        <v>1.4999999999999999E-2</v>
      </c>
      <c r="DB23" s="249">
        <v>1.4999999999999999E-2</v>
      </c>
      <c r="DC23" s="249">
        <v>1.4999999999999999E-2</v>
      </c>
      <c r="DD23" s="249">
        <v>1.4999999999999999E-2</v>
      </c>
      <c r="DE23" s="191">
        <f>DE24/DE7/12</f>
        <v>1.4999999999999999E-2</v>
      </c>
      <c r="DG23" s="248">
        <v>1.4999999999999999E-2</v>
      </c>
      <c r="DH23" s="249">
        <v>1.4999999999999999E-2</v>
      </c>
      <c r="DI23" s="249">
        <v>1.4999999999999999E-2</v>
      </c>
      <c r="DJ23" s="249">
        <v>1.4999999999999999E-2</v>
      </c>
      <c r="DK23" s="191">
        <f>DK24/DK7/12</f>
        <v>1.4999999999999999E-2</v>
      </c>
    </row>
    <row r="24" spans="2:115" ht="15" x14ac:dyDescent="0.3">
      <c r="B24" s="40" t="s">
        <v>45</v>
      </c>
      <c r="C24" s="116">
        <f>C23*3*C7</f>
        <v>1256.6969999999999</v>
      </c>
      <c r="D24" s="117">
        <f>D23*3*D7</f>
        <v>808.524</v>
      </c>
      <c r="E24" s="117">
        <f>E23*3*E7</f>
        <v>1548</v>
      </c>
      <c r="F24" s="119">
        <f>F23*3*F7</f>
        <v>739.44150000000002</v>
      </c>
      <c r="G24" s="118">
        <f>C24+D24+E24+F24</f>
        <v>4352.6625000000004</v>
      </c>
      <c r="I24" s="116">
        <f>I23*3*I7</f>
        <v>657.56700000000012</v>
      </c>
      <c r="J24" s="117">
        <f>J23*3*J7</f>
        <v>679.59</v>
      </c>
      <c r="K24" s="117">
        <f>K23*3*K7</f>
        <v>1389.5820000000001</v>
      </c>
      <c r="L24" s="119">
        <f>L23*3*L7</f>
        <v>1869.624</v>
      </c>
      <c r="M24" s="118">
        <f>I24+J24+K24+L24</f>
        <v>4596.3630000000003</v>
      </c>
      <c r="N24" s="114"/>
      <c r="O24" s="116">
        <f>O23*3*O7</f>
        <v>1874.04</v>
      </c>
      <c r="P24" s="117">
        <f>P23*3*P7</f>
        <v>1522.6965</v>
      </c>
      <c r="Q24" s="117">
        <f>Q23*3*Q7</f>
        <v>1529.4435000000001</v>
      </c>
      <c r="R24" s="119">
        <f>R23*3*R7</f>
        <v>1883.184</v>
      </c>
      <c r="S24" s="118">
        <f>O24+P24+Q24+R24</f>
        <v>6809.3640000000005</v>
      </c>
      <c r="U24" s="116">
        <f>U23*3*U7</f>
        <v>1747.8</v>
      </c>
      <c r="V24" s="117">
        <f>V23*3*V7</f>
        <v>1472.64</v>
      </c>
      <c r="W24" s="117">
        <f>W23*3*W7</f>
        <v>1509.018</v>
      </c>
      <c r="X24" s="119">
        <f>X23*3*X7</f>
        <v>1774.1880000000001</v>
      </c>
      <c r="Y24" s="118">
        <f>U24+V24+W24+X24</f>
        <v>6503.6460000000006</v>
      </c>
      <c r="AA24" s="116">
        <f>AA23*3*AA7</f>
        <v>1558.53</v>
      </c>
      <c r="AB24" s="117">
        <f>AB23*3*AB7</f>
        <v>1658.184</v>
      </c>
      <c r="AC24" s="117">
        <f>AC23*3*AC7</f>
        <v>1561.9949999999999</v>
      </c>
      <c r="AD24" s="119">
        <f>AD23*3*AD7</f>
        <v>1581.9299999999998</v>
      </c>
      <c r="AE24" s="118">
        <f>AA24+AB24+AC24+AD24</f>
        <v>6360.6389999999992</v>
      </c>
      <c r="AG24" s="116">
        <f>AG23*3*AG7</f>
        <v>1797.8265000000001</v>
      </c>
      <c r="AH24" s="117">
        <f>AH23*3*AH7</f>
        <v>1481.97</v>
      </c>
      <c r="AI24" s="117">
        <f>AI23*3*AI7</f>
        <v>1500.7440000000001</v>
      </c>
      <c r="AJ24" s="119">
        <f>AJ23*3*AJ7</f>
        <v>1523.8020000000001</v>
      </c>
      <c r="AK24" s="118">
        <f>AG24+AH24+AI24+AJ24</f>
        <v>6304.3425000000007</v>
      </c>
      <c r="AM24" s="116">
        <f>AM23*3*AM7</f>
        <v>1545.0330000000001</v>
      </c>
      <c r="AN24" s="117">
        <f>AN23*3*AN7</f>
        <v>1676.1824999999999</v>
      </c>
      <c r="AO24" s="117">
        <f>AO23*3*AO7</f>
        <v>1583.9880000000001</v>
      </c>
      <c r="AP24" s="119">
        <f>AP23*3*AP7</f>
        <v>1722.6224999999999</v>
      </c>
      <c r="AQ24" s="118">
        <f>AM24+AN24+AO24+AP24</f>
        <v>6527.8260000000009</v>
      </c>
      <c r="AS24" s="116">
        <f>AS23*3*AS7</f>
        <v>1516.5150000000001</v>
      </c>
      <c r="AT24" s="117">
        <f>AT23*3*AT7</f>
        <v>2001.2910000000002</v>
      </c>
      <c r="AU24" s="117">
        <f>AU23*3*AU7</f>
        <v>2251.2149999999997</v>
      </c>
      <c r="AV24" s="117">
        <f>AV23*3*AV7</f>
        <v>3185.0010000000002</v>
      </c>
      <c r="AW24" s="118">
        <f>AS24+AT24+AU24+AV24</f>
        <v>8954.0220000000008</v>
      </c>
      <c r="AY24" s="116">
        <f>AY23*3*AY7</f>
        <v>1993.8195000000001</v>
      </c>
      <c r="AZ24" s="117">
        <f>AZ23*3*AZ7</f>
        <v>2005.9575000000002</v>
      </c>
      <c r="BA24" s="117">
        <f>BA23*3*BA7</f>
        <v>2142.6389999999997</v>
      </c>
      <c r="BB24" s="117">
        <f>BB23*3*BB7</f>
        <v>2167.1549999999997</v>
      </c>
      <c r="BC24" s="118">
        <f>AY24+AZ24+BA24+BB24</f>
        <v>8309.5709999999999</v>
      </c>
      <c r="BE24" s="116">
        <f>BE23*3*BE7</f>
        <v>1944.384</v>
      </c>
      <c r="BF24" s="117">
        <f>BF23*3*BF7</f>
        <v>1717.4010000000001</v>
      </c>
      <c r="BG24" s="117">
        <f>BG23*3*BG7</f>
        <v>1982.376</v>
      </c>
      <c r="BH24" s="117">
        <f>BH23*3*BH7</f>
        <v>2124.4050000000002</v>
      </c>
      <c r="BI24" s="118">
        <f>BE24+BF24+BG24+BH24</f>
        <v>7768.5660000000007</v>
      </c>
      <c r="BK24" s="116">
        <f>BK23*3*BK7</f>
        <v>2141.0565000000001</v>
      </c>
      <c r="BL24" s="117">
        <f>BL23*3*BL7</f>
        <v>2397.5625</v>
      </c>
      <c r="BM24" s="117">
        <f>BM23*3*BM7</f>
        <v>1648.6275000000001</v>
      </c>
      <c r="BN24" s="119">
        <f>BN23*3*BN7</f>
        <v>1927.3274999999999</v>
      </c>
      <c r="BO24" s="118">
        <f>BK24+BL24+BM24+BN24</f>
        <v>8114.5740000000005</v>
      </c>
      <c r="BQ24" s="116">
        <f>BQ23*3*BQ7</f>
        <v>2075.4</v>
      </c>
      <c r="BR24" s="117">
        <f>BR23*3*BR7</f>
        <v>2083.8000000000002</v>
      </c>
      <c r="BS24" s="117">
        <f>BS23*3*BS7</f>
        <v>1960.3125</v>
      </c>
      <c r="BT24" s="119">
        <f>BT23*3*BT7</f>
        <v>1971.5625</v>
      </c>
      <c r="BU24" s="118">
        <f>BQ24+BR24+BS24+BT24</f>
        <v>8091.0750000000007</v>
      </c>
      <c r="BW24" s="116">
        <f>BW23*3*BW7</f>
        <v>1982.25</v>
      </c>
      <c r="BX24" s="117">
        <f>BX23*3*BX7</f>
        <v>1988.4375</v>
      </c>
      <c r="BY24" s="117">
        <f>BY23*3*BY7</f>
        <v>1994.0625</v>
      </c>
      <c r="BZ24" s="119">
        <f>BZ23*3*BZ7</f>
        <v>2002.5</v>
      </c>
      <c r="CA24" s="118">
        <f>BW24+BX24+BY24+BZ24</f>
        <v>7967.25</v>
      </c>
      <c r="CC24" s="116">
        <f>CC23*3*CC7</f>
        <v>2010.9375</v>
      </c>
      <c r="CD24" s="117">
        <f>CD23*3*CD7</f>
        <v>2016</v>
      </c>
      <c r="CE24" s="117">
        <f>CE23*3*CE7</f>
        <v>2020.5</v>
      </c>
      <c r="CF24" s="119">
        <f>CF23*3*CF7</f>
        <v>2026.6875</v>
      </c>
      <c r="CG24" s="118">
        <f>CC24+CD24+CE24+CF24</f>
        <v>8074.125</v>
      </c>
      <c r="CI24" s="116">
        <f>CI23*3*CI7</f>
        <v>2032.3125</v>
      </c>
      <c r="CJ24" s="117">
        <f>CJ23*3*CJ7</f>
        <v>2035.6875</v>
      </c>
      <c r="CK24" s="117">
        <f>CK23*3*CK7</f>
        <v>2039.625</v>
      </c>
      <c r="CL24" s="119">
        <f>CL23*3*CL7</f>
        <v>2045.25</v>
      </c>
      <c r="CM24" s="118">
        <f>CI24+CJ24+CK24+CL24</f>
        <v>8152.875</v>
      </c>
      <c r="CO24" s="116">
        <f>CO23*3*CO7</f>
        <v>2050.3125</v>
      </c>
      <c r="CP24" s="117">
        <f>CP23*3*CP7</f>
        <v>2053.6875</v>
      </c>
      <c r="CQ24" s="117">
        <f>CQ23*3*CQ7</f>
        <v>2057.0625</v>
      </c>
      <c r="CR24" s="119">
        <f>CR23*3*CR7</f>
        <v>2061</v>
      </c>
      <c r="CS24" s="118">
        <f>CO24+CP24+CQ24+CR24</f>
        <v>8222.0625</v>
      </c>
      <c r="CU24" s="116">
        <f>CU23*3*CU7</f>
        <v>2064.9375</v>
      </c>
      <c r="CV24" s="117">
        <f>CV23*3*CV7</f>
        <v>2068.3125</v>
      </c>
      <c r="CW24" s="117">
        <f>CW23*3*CW7</f>
        <v>2071.6875</v>
      </c>
      <c r="CX24" s="119">
        <f>CX23*3*CX7</f>
        <v>2075.0625</v>
      </c>
      <c r="CY24" s="118">
        <f>CU24+CV24+CW24+CX24</f>
        <v>8280</v>
      </c>
      <c r="DA24" s="116">
        <f>DA23*3*DA7</f>
        <v>2077.875</v>
      </c>
      <c r="DB24" s="117">
        <f>DB23*3*DB7</f>
        <v>2080.125</v>
      </c>
      <c r="DC24" s="117">
        <f>DC23*3*DC7</f>
        <v>2082.375</v>
      </c>
      <c r="DD24" s="119">
        <f>DD23*3*DD7</f>
        <v>2085.75</v>
      </c>
      <c r="DE24" s="118">
        <f>DA24+DB24+DC24+DD24</f>
        <v>8326.125</v>
      </c>
      <c r="DG24" s="116">
        <f>DG23*3*DG7</f>
        <v>2089.125</v>
      </c>
      <c r="DH24" s="117">
        <f>DH23*3*DH7</f>
        <v>2091.375</v>
      </c>
      <c r="DI24" s="117">
        <f>DI23*3*DI7</f>
        <v>2093.625</v>
      </c>
      <c r="DJ24" s="119">
        <f>DJ23*3*DJ7</f>
        <v>2095.875</v>
      </c>
      <c r="DK24" s="118">
        <f>DG24+DH24+DI24+DJ24</f>
        <v>8370</v>
      </c>
    </row>
    <row r="25" spans="2:115" ht="15" x14ac:dyDescent="0.3">
      <c r="B25" s="40" t="s">
        <v>42</v>
      </c>
      <c r="C25" s="116">
        <f>C24+C5</f>
        <v>2906.6970000000001</v>
      </c>
      <c r="D25" s="117">
        <f>D24+D5</f>
        <v>2089.5239999999999</v>
      </c>
      <c r="E25" s="117">
        <f>E24+E5</f>
        <v>1690</v>
      </c>
      <c r="F25" s="119">
        <f>F24+F5</f>
        <v>2220.4414999999999</v>
      </c>
      <c r="G25" s="118">
        <f>C25+D25+E25+F25</f>
        <v>8906.6624999999985</v>
      </c>
      <c r="I25" s="116">
        <f>I24+I5</f>
        <v>1816.567</v>
      </c>
      <c r="J25" s="117">
        <f>J24+J5</f>
        <v>1967.5900000000001</v>
      </c>
      <c r="K25" s="117">
        <f>K24+K5</f>
        <v>1790.5820000000001</v>
      </c>
      <c r="L25" s="119">
        <f>L24+L5</f>
        <v>2170.6239999999998</v>
      </c>
      <c r="M25" s="118">
        <f>I25+J25+K25+L25</f>
        <v>7745.3630000000003</v>
      </c>
      <c r="O25" s="116">
        <f>O24+O5</f>
        <v>1757.04</v>
      </c>
      <c r="P25" s="117">
        <f>P24+P5</f>
        <v>1641.6965</v>
      </c>
      <c r="Q25" s="117">
        <f>Q24+Q5</f>
        <v>1756.4435000000001</v>
      </c>
      <c r="R25" s="119">
        <f>R24+R5</f>
        <v>1689.184</v>
      </c>
      <c r="S25" s="118">
        <f>O25+P25+Q25+R25</f>
        <v>6844.3640000000005</v>
      </c>
      <c r="U25" s="116">
        <f>U24+908</f>
        <v>2655.8</v>
      </c>
      <c r="V25" s="117">
        <f>V24+932</f>
        <v>2404.6400000000003</v>
      </c>
      <c r="W25" s="117">
        <f>W24+1006</f>
        <v>2515.018</v>
      </c>
      <c r="X25" s="119">
        <f>X24+X5</f>
        <v>1586.1880000000001</v>
      </c>
      <c r="Y25" s="118">
        <f>U25+V25+W25+X25</f>
        <v>9161.6460000000006</v>
      </c>
      <c r="AA25" s="116">
        <f>AA24+AA5</f>
        <v>1438.53</v>
      </c>
      <c r="AB25" s="117">
        <f>AB24+AB5</f>
        <v>1601.184</v>
      </c>
      <c r="AC25" s="117">
        <f>AC24+AC5</f>
        <v>1949.9949999999999</v>
      </c>
      <c r="AD25" s="119">
        <f>AD24+AD5</f>
        <v>2079.9299999999998</v>
      </c>
      <c r="AE25" s="118">
        <f>AA25+AB25+AC25+AD25</f>
        <v>7069.6389999999992</v>
      </c>
      <c r="AG25" s="116">
        <f>AG24+AG5</f>
        <v>1494.8265000000001</v>
      </c>
      <c r="AH25" s="117">
        <f>AH24+AH5</f>
        <v>1851.97</v>
      </c>
      <c r="AI25" s="117">
        <f>AI24+AI5</f>
        <v>2024.7440000000001</v>
      </c>
      <c r="AJ25" s="119">
        <f>AJ24+AJ5</f>
        <v>2097.8020000000001</v>
      </c>
      <c r="AK25" s="118">
        <f>AG25+AH25+AI25+AJ25</f>
        <v>7469.3425000000007</v>
      </c>
      <c r="AM25" s="116">
        <f>AM24+AM5</f>
        <v>1982.0330000000001</v>
      </c>
      <c r="AN25" s="117">
        <f>AN24+AN5</f>
        <v>2163.1824999999999</v>
      </c>
      <c r="AO25" s="117">
        <f>AO24+AO5</f>
        <v>2027.9880000000001</v>
      </c>
      <c r="AP25" s="119">
        <f>AP24+AP5</f>
        <v>2411.6224999999999</v>
      </c>
      <c r="AQ25" s="118">
        <f>AM25+AN25+AO25+AP25</f>
        <v>8584.8260000000009</v>
      </c>
      <c r="AS25" s="116">
        <f>AS24+AS5</f>
        <v>2036.5150000000001</v>
      </c>
      <c r="AT25" s="117">
        <f>AT24+AT5</f>
        <v>2193.2910000000002</v>
      </c>
      <c r="AU25" s="117">
        <f>AU24+AU5</f>
        <v>2567.2149999999997</v>
      </c>
      <c r="AV25" s="117">
        <f>AV24+AV5</f>
        <v>2521.0010000000002</v>
      </c>
      <c r="AW25" s="118">
        <f>AS25+AT25+AU25+AV25</f>
        <v>9318.0220000000008</v>
      </c>
      <c r="AY25" s="116">
        <f>AY24+AY5</f>
        <v>2204.8195000000001</v>
      </c>
      <c r="AZ25" s="117">
        <f>AZ24+AZ5</f>
        <v>2270.9575000000004</v>
      </c>
      <c r="BA25" s="117">
        <f>BA24+BA5</f>
        <v>2569.6389999999997</v>
      </c>
      <c r="BB25" s="117">
        <f>BB24+BB5</f>
        <v>2648.1549999999997</v>
      </c>
      <c r="BC25" s="118">
        <f>AY25+AZ25+BA25+BB25</f>
        <v>9693.5709999999999</v>
      </c>
      <c r="BE25" s="116">
        <f>BE24+BE5</f>
        <v>2214.384</v>
      </c>
      <c r="BF25" s="117">
        <f>BF24+BF5</f>
        <v>2212.4009999999998</v>
      </c>
      <c r="BG25" s="117">
        <f>BG24+BG5</f>
        <v>2305.3760000000002</v>
      </c>
      <c r="BH25" s="117">
        <f>BH24+BH5</f>
        <v>2512.4050000000002</v>
      </c>
      <c r="BI25" s="118">
        <f>BE25+BF25+BG25+BH25</f>
        <v>9244.5660000000007</v>
      </c>
      <c r="BK25" s="116">
        <f>BK24+BK5</f>
        <v>2406.0565000000001</v>
      </c>
      <c r="BL25" s="117">
        <f>BL24+BL5</f>
        <v>2294.5625</v>
      </c>
      <c r="BM25" s="117">
        <f>BM24+BM5</f>
        <v>2171.6275000000001</v>
      </c>
      <c r="BN25" s="119">
        <f>BN24+BN5</f>
        <v>2518.3274999999999</v>
      </c>
      <c r="BO25" s="118">
        <f>BK25+BL25+BM25+BN25</f>
        <v>9390.5740000000005</v>
      </c>
      <c r="BQ25" s="116">
        <f>BQ24+BQ5</f>
        <v>2300.4</v>
      </c>
      <c r="BR25" s="117">
        <f>BR24+BR5</f>
        <v>2208.8000000000002</v>
      </c>
      <c r="BS25" s="117">
        <f>BS24+BS5</f>
        <v>2135.3125</v>
      </c>
      <c r="BT25" s="119">
        <f>BT24+BT5</f>
        <v>2296.5625</v>
      </c>
      <c r="BU25" s="118">
        <f>BQ25+BR25+BS25+BT25</f>
        <v>8941.0750000000007</v>
      </c>
      <c r="BW25" s="116">
        <f>BW24+BW5</f>
        <v>2132.25</v>
      </c>
      <c r="BX25" s="117">
        <f>BX24+BX5</f>
        <v>2113.4375</v>
      </c>
      <c r="BY25" s="117">
        <f>BY24+BY5</f>
        <v>2119.0625</v>
      </c>
      <c r="BZ25" s="119">
        <f>BZ24+BZ5</f>
        <v>2252.5</v>
      </c>
      <c r="CA25" s="118">
        <f>BW25+BX25+BY25+BZ25</f>
        <v>8617.25</v>
      </c>
      <c r="CC25" s="116">
        <f>CC24+CC5</f>
        <v>2135.9375</v>
      </c>
      <c r="CD25" s="117">
        <f>CD24+CD5</f>
        <v>2116</v>
      </c>
      <c r="CE25" s="117">
        <f>CE24+CE5</f>
        <v>2120.5</v>
      </c>
      <c r="CF25" s="119">
        <f>CF24+CF5</f>
        <v>2201.6875</v>
      </c>
      <c r="CG25" s="118">
        <f>CC25+CD25+CE25+CF25</f>
        <v>8574.125</v>
      </c>
      <c r="CI25" s="116">
        <f>CI24+CI5</f>
        <v>2107.3125</v>
      </c>
      <c r="CJ25" s="117">
        <f>CJ24+CJ5</f>
        <v>2110.6875</v>
      </c>
      <c r="CK25" s="117">
        <f>CK24+CK5</f>
        <v>2139.625</v>
      </c>
      <c r="CL25" s="119">
        <f>CL24+CL5</f>
        <v>2195.25</v>
      </c>
      <c r="CM25" s="118">
        <f>CI25+CJ25+CK25+CL25</f>
        <v>8552.875</v>
      </c>
      <c r="CO25" s="116">
        <f>CO24+CO5</f>
        <v>2125.3125</v>
      </c>
      <c r="CP25" s="117">
        <f>CP24+CP5</f>
        <v>2128.6875</v>
      </c>
      <c r="CQ25" s="117">
        <f>CQ24+CQ5</f>
        <v>2132.0625</v>
      </c>
      <c r="CR25" s="119">
        <f>CR24+CR5</f>
        <v>2161</v>
      </c>
      <c r="CS25" s="118">
        <f>CO25+CP25+CQ25+CR25</f>
        <v>8547.0625</v>
      </c>
      <c r="CU25" s="116">
        <f>CU24+CU5</f>
        <v>2139.9375</v>
      </c>
      <c r="CV25" s="117">
        <f>CV24+CV5</f>
        <v>2143.3125</v>
      </c>
      <c r="CW25" s="117">
        <f>CW24+CW5</f>
        <v>2146.6875</v>
      </c>
      <c r="CX25" s="119">
        <f>CX24+CX5</f>
        <v>2150.0625</v>
      </c>
      <c r="CY25" s="118">
        <f>CU25+CV25+CW25+CX25</f>
        <v>8580</v>
      </c>
      <c r="DA25" s="116">
        <f>DA24+DA5</f>
        <v>2127.875</v>
      </c>
      <c r="DB25" s="117">
        <f>DB24+DB5</f>
        <v>2130.125</v>
      </c>
      <c r="DC25" s="117">
        <f>DC24+DC5</f>
        <v>2132.375</v>
      </c>
      <c r="DD25" s="119">
        <f>DD24+DD5</f>
        <v>2185.75</v>
      </c>
      <c r="DE25" s="118">
        <f>DA25+DB25+DC25+DD25</f>
        <v>8576.125</v>
      </c>
      <c r="DG25" s="116">
        <f>DG24+DG5</f>
        <v>2139.125</v>
      </c>
      <c r="DH25" s="117">
        <f>DH24+DH5</f>
        <v>2141.375</v>
      </c>
      <c r="DI25" s="117">
        <f>DI24+DI5</f>
        <v>2143.625</v>
      </c>
      <c r="DJ25" s="119">
        <f>DJ24+DJ5</f>
        <v>2145.875</v>
      </c>
      <c r="DK25" s="118">
        <f>DG25+DH25+DI25+DJ25</f>
        <v>8570</v>
      </c>
    </row>
    <row r="26" spans="2:115" s="135" customFormat="1" ht="15" x14ac:dyDescent="0.3">
      <c r="B26" s="39" t="s">
        <v>43</v>
      </c>
      <c r="C26" s="188">
        <f>C29*1000/C25</f>
        <v>69.150654505784402</v>
      </c>
      <c r="D26" s="189">
        <f>D29*1000/D25</f>
        <v>94.758423449551188</v>
      </c>
      <c r="E26" s="189">
        <f>E29*1000/E25</f>
        <v>122.48520710059172</v>
      </c>
      <c r="F26" s="190">
        <f>F29*1000/F25</f>
        <v>104.03336453583668</v>
      </c>
      <c r="G26" s="192">
        <f>G29*1000/G25</f>
        <v>93.974594860869615</v>
      </c>
      <c r="H26" s="134"/>
      <c r="I26" s="188">
        <f>I29*1000/I25</f>
        <v>94.684093677799936</v>
      </c>
      <c r="J26" s="189">
        <f>J29*1000/J25</f>
        <v>89.957765591408773</v>
      </c>
      <c r="K26" s="189">
        <f>K29*1000/K25</f>
        <v>109.4616163906484</v>
      </c>
      <c r="L26" s="190">
        <f>L29*1000/L25</f>
        <v>117.93843613633685</v>
      </c>
      <c r="M26" s="192">
        <f>M29*1000/M25</f>
        <v>103.416715265637</v>
      </c>
      <c r="N26" s="134"/>
      <c r="O26" s="188">
        <f>O29*1000/O25</f>
        <v>132.6093885170514</v>
      </c>
      <c r="P26" s="189">
        <f>P29*1000/P25</f>
        <v>131.57121307135637</v>
      </c>
      <c r="Q26" s="189">
        <f>Q29*1000/Q25</f>
        <v>179.90900362009936</v>
      </c>
      <c r="R26" s="190">
        <f>R29*1000/R25</f>
        <v>206.6086347017258</v>
      </c>
      <c r="S26" s="192">
        <f>S29*1000/S25</f>
        <v>162.76165323761271</v>
      </c>
      <c r="T26" s="134"/>
      <c r="U26" s="188">
        <f>U29*1000/U25</f>
        <v>44.431056555463513</v>
      </c>
      <c r="V26" s="189">
        <f>V29*1000/V25</f>
        <v>52.814558520194282</v>
      </c>
      <c r="W26" s="189">
        <f>W29*1000/W25</f>
        <v>75.148567525162846</v>
      </c>
      <c r="X26" s="189">
        <f>X29*1000/X25</f>
        <v>141.21907365331222</v>
      </c>
      <c r="Y26" s="192">
        <f>Y29*1000/Y25</f>
        <v>71.821155281485446</v>
      </c>
      <c r="AA26" s="188">
        <f>AA29*1000/AA25</f>
        <v>116.09073151063933</v>
      </c>
      <c r="AB26" s="189">
        <f>AB29*1000/AB25</f>
        <v>103.04874392949218</v>
      </c>
      <c r="AC26" s="189">
        <f>AC29*1000/AC25</f>
        <v>72.307877712506965</v>
      </c>
      <c r="AD26" s="189">
        <f>AD29*1000/AD25</f>
        <v>95.195511387402462</v>
      </c>
      <c r="AE26" s="192">
        <f>AE29*1000/AE25</f>
        <v>94.912908565769783</v>
      </c>
      <c r="AG26" s="188">
        <f>AG29*1000/AG25</f>
        <v>117.07044262327433</v>
      </c>
      <c r="AH26" s="189">
        <f>AH29*1000/AH25</f>
        <v>87.474419132059367</v>
      </c>
      <c r="AI26" s="189">
        <f>AI29*1000/AI25</f>
        <v>103.22292596002259</v>
      </c>
      <c r="AJ26" s="189">
        <f>AJ29*1000/AJ25</f>
        <v>146.34364920998263</v>
      </c>
      <c r="AK26" s="192">
        <f>AK29*1000/AK25</f>
        <v>114.20014546126382</v>
      </c>
      <c r="AM26" s="188">
        <f>AM29*1000/AM25</f>
        <v>107.96994802811052</v>
      </c>
      <c r="AN26" s="189">
        <f>AN29*1000/AN25</f>
        <v>116.49502526948143</v>
      </c>
      <c r="AO26" s="189">
        <f>AO29*1000/AO25</f>
        <v>150.88846679566151</v>
      </c>
      <c r="AP26" s="189">
        <f>AP29*1000/AP25</f>
        <v>127.30018898065514</v>
      </c>
      <c r="AQ26" s="192">
        <f>AQ29*1000/AQ25</f>
        <v>125.68688054947181</v>
      </c>
      <c r="AS26" s="188">
        <f>AS29*1000/AS25</f>
        <v>117.848383144735</v>
      </c>
      <c r="AT26" s="189">
        <f>AT29*1000/AT25</f>
        <v>97.114336401325673</v>
      </c>
      <c r="AU26" s="189">
        <f>AU29*1000/AU25</f>
        <v>119.58484193961162</v>
      </c>
      <c r="AV26" s="189">
        <f>AV29*1000/AV25</f>
        <v>165.80715358700769</v>
      </c>
      <c r="AW26" s="192">
        <f>AW29*1000/AW25</f>
        <v>126.42168048111498</v>
      </c>
      <c r="AY26" s="188">
        <f>AY29*1000/AY25</f>
        <v>174.16391681949474</v>
      </c>
      <c r="AZ26" s="189">
        <f>AZ29*1000/AZ25</f>
        <v>166.00927141965445</v>
      </c>
      <c r="BA26" s="189">
        <f>BA29*1000/BA25</f>
        <v>141.65413896660195</v>
      </c>
      <c r="BB26" s="189">
        <f>BB29*1000/BB25</f>
        <v>150.67093882344503</v>
      </c>
      <c r="BC26" s="192">
        <f>BC29*1000/BC25</f>
        <v>157.21760329604024</v>
      </c>
      <c r="BE26" s="188">
        <f>BE29*1000/BE25</f>
        <v>131.86511463233117</v>
      </c>
      <c r="BF26" s="189">
        <f>BF29*1000/BF25</f>
        <v>104.41145163105604</v>
      </c>
      <c r="BG26" s="189">
        <f>BG29*1000/BG25</f>
        <v>154.85543356051247</v>
      </c>
      <c r="BH26" s="189">
        <f>BH29*1000/BH25</f>
        <v>161.20012497984996</v>
      </c>
      <c r="BI26" s="192">
        <f>BI29*1000/BI25</f>
        <v>139.00057612223222</v>
      </c>
      <c r="BK26" s="188">
        <f>BK29*1000/BK25</f>
        <v>140.06321131694122</v>
      </c>
      <c r="BL26" s="189">
        <f>BL29*1000/BL25</f>
        <v>122.46343257156866</v>
      </c>
      <c r="BM26" s="189">
        <f>BM29*1000/BM25</f>
        <v>156.56460419662213</v>
      </c>
      <c r="BN26" s="189">
        <f>BH26*(1+BN27)</f>
        <v>163.61812685454768</v>
      </c>
      <c r="BO26" s="192">
        <f>BO29*1000/BO25</f>
        <v>152.38685089963616</v>
      </c>
      <c r="BQ26" s="188">
        <f>BK26*(1+BQ27)</f>
        <v>154.06953244863536</v>
      </c>
      <c r="BR26" s="189">
        <f>BL26*(1+BR27)</f>
        <v>131.6481900144363</v>
      </c>
      <c r="BS26" s="189">
        <f>BM26*(1+BS27)</f>
        <v>164.39283440645323</v>
      </c>
      <c r="BT26" s="189">
        <f>BN26*(1+BT27)</f>
        <v>208.61311173954829</v>
      </c>
      <c r="BU26" s="192">
        <f>BU29*1000/BU25</f>
        <v>165.00579608118863</v>
      </c>
      <c r="BW26" s="188">
        <f>BQ26*(1+BW27)</f>
        <v>169.47648569349892</v>
      </c>
      <c r="BX26" s="189">
        <f>BR26*(1+BX27)</f>
        <v>140.86356331544684</v>
      </c>
      <c r="BY26" s="189">
        <f>BS26*(1+BY27)</f>
        <v>168.50265526661454</v>
      </c>
      <c r="BZ26" s="189">
        <f>BT26*(1+BZ27)</f>
        <v>219.04376732652571</v>
      </c>
      <c r="CA26" s="192">
        <f>CA29*1000/CA25</f>
        <v>175.1761081021628</v>
      </c>
      <c r="CC26" s="188">
        <f>BW26*(1+CC27)</f>
        <v>172.1881094645949</v>
      </c>
      <c r="CD26" s="189">
        <f>BX26*(1+CD27)</f>
        <v>142.97651676517853</v>
      </c>
      <c r="CE26" s="189">
        <f>BY26*(1+CE27)</f>
        <v>171.03019509561375</v>
      </c>
      <c r="CF26" s="189">
        <f>BZ26*(1+CF27)</f>
        <v>229.99595569285199</v>
      </c>
      <c r="CG26" s="192">
        <f>CG29*1000/CG25</f>
        <v>179.53669895580086</v>
      </c>
      <c r="CI26" s="188">
        <f>CC26*(1+CI27)</f>
        <v>176.49281220120977</v>
      </c>
      <c r="CJ26" s="189">
        <f>CD26*(1+CJ27)</f>
        <v>146.55092968430799</v>
      </c>
      <c r="CK26" s="189">
        <f>CE26*(1+CK27)</f>
        <v>172.74049704656989</v>
      </c>
      <c r="CL26" s="189">
        <f>CF26*(1+CL27)</f>
        <v>235.74585458517328</v>
      </c>
      <c r="CM26" s="192">
        <f>CM29*1000/CM25</f>
        <v>183.37339175203408</v>
      </c>
      <c r="CO26" s="188">
        <f>CI26*(1+CO27)</f>
        <v>178.25774032322187</v>
      </c>
      <c r="CP26" s="189">
        <f>CJ26*(1+CP27)</f>
        <v>148.01643898115108</v>
      </c>
      <c r="CQ26" s="189">
        <f>CK26*(1+CQ27)</f>
        <v>177.05900947273412</v>
      </c>
      <c r="CR26" s="189">
        <f>CL26*(1+CR27)</f>
        <v>243.99695949565432</v>
      </c>
      <c r="CS26" s="192">
        <f>CS29*1000/CS25</f>
        <v>187.04817602988823</v>
      </c>
      <c r="CU26" s="188">
        <f>CO26*(1+CU27)</f>
        <v>180.04031772645408</v>
      </c>
      <c r="CV26" s="189">
        <f>CP26*(1+CV27)</f>
        <v>149.49660337096259</v>
      </c>
      <c r="CW26" s="189">
        <f>CQ26*(1+CW27)</f>
        <v>178.82959956746146</v>
      </c>
      <c r="CX26" s="189">
        <f>CR26*(1+CX27)</f>
        <v>246.43692909061087</v>
      </c>
      <c r="CY26" s="192">
        <f>CY29*1000/CY25</f>
        <v>188.74580792559865</v>
      </c>
      <c r="DA26" s="188">
        <f>CU26*(1+DA27)</f>
        <v>181.84072090371862</v>
      </c>
      <c r="DB26" s="189">
        <f>CV26*(1+DB27)</f>
        <v>150.99156940467222</v>
      </c>
      <c r="DC26" s="189">
        <f>CW26*(1+DC27)</f>
        <v>180.61789556313607</v>
      </c>
      <c r="DD26" s="189">
        <f>CX26*(1+DD27)</f>
        <v>248.90129838151699</v>
      </c>
      <c r="DE26" s="192">
        <f>DE29*1000/DE25</f>
        <v>190.96577285895097</v>
      </c>
      <c r="DG26" s="188">
        <f>DA26*(1+DG27)</f>
        <v>183.65912811275581</v>
      </c>
      <c r="DH26" s="189">
        <f>DB26*(1+DH27)</f>
        <v>152.50148509871894</v>
      </c>
      <c r="DI26" s="189">
        <f>DC26*(1+DI27)</f>
        <v>182.42407451876744</v>
      </c>
      <c r="DJ26" s="189">
        <f>DD26*(1+DJ27)</f>
        <v>251.39031136533217</v>
      </c>
      <c r="DK26" s="192">
        <f>DK29*1000/DK25</f>
        <v>192.52435136742625</v>
      </c>
    </row>
    <row r="27" spans="2:115" ht="15.75" thickBot="1" x14ac:dyDescent="0.35">
      <c r="B27" s="41" t="s">
        <v>23</v>
      </c>
      <c r="C27" s="109" t="s">
        <v>35</v>
      </c>
      <c r="D27" s="110" t="s">
        <v>35</v>
      </c>
      <c r="E27" s="110" t="s">
        <v>35</v>
      </c>
      <c r="F27" s="120" t="s">
        <v>35</v>
      </c>
      <c r="G27" s="122" t="s">
        <v>35</v>
      </c>
      <c r="I27" s="109">
        <f>I26/C26-1</f>
        <v>0.36924363701980112</v>
      </c>
      <c r="J27" s="110">
        <f>J26/D26-1</f>
        <v>-5.0662069749379701E-2</v>
      </c>
      <c r="K27" s="110">
        <f>K26/E26-1</f>
        <v>-0.10632786618262902</v>
      </c>
      <c r="L27" s="120">
        <f>L26/F26-1</f>
        <v>0.13365973178451074</v>
      </c>
      <c r="M27" s="122">
        <f>M26/G26-1</f>
        <v>0.10047524459931467</v>
      </c>
      <c r="O27" s="109">
        <f>O26/I26-1</f>
        <v>0.40054557598985174</v>
      </c>
      <c r="P27" s="110">
        <f>P26/J26-1</f>
        <v>0.46258871823203451</v>
      </c>
      <c r="Q27" s="110">
        <f>Q26/K26-1</f>
        <v>0.64358073224533041</v>
      </c>
      <c r="R27" s="120">
        <f>R26/L26-1</f>
        <v>0.75183461363593285</v>
      </c>
      <c r="S27" s="122">
        <f>S26/M26-1</f>
        <v>0.57384280500054397</v>
      </c>
      <c r="U27" s="109">
        <v>-0.36396885979895977</v>
      </c>
      <c r="V27" s="110">
        <v>-0.31411897549767986</v>
      </c>
      <c r="W27" s="110">
        <v>-0.39223078552896784</v>
      </c>
      <c r="X27" s="110">
        <v>-2.1974147414952627E-3</v>
      </c>
      <c r="Y27" s="122">
        <v>-0.30054672335264598</v>
      </c>
      <c r="AA27" s="109">
        <f>AA26/U26-1</f>
        <v>1.6128285147962367</v>
      </c>
      <c r="AB27" s="110">
        <f>AB26/V26-1</f>
        <v>0.95114276852452062</v>
      </c>
      <c r="AC27" s="110">
        <f>AC26/W26-1</f>
        <v>-3.7800984186487696E-2</v>
      </c>
      <c r="AD27" s="110">
        <f>AD26/X26-1</f>
        <v>-0.32590188474749493</v>
      </c>
      <c r="AE27" s="122">
        <f>AE26/Y26-1</f>
        <v>0.32151743025828328</v>
      </c>
      <c r="AG27" s="109">
        <f>AG26/AA26-1</f>
        <v>8.4391845919691288E-3</v>
      </c>
      <c r="AH27" s="110">
        <f>AH26/AB26-1</f>
        <v>-0.15113551319062213</v>
      </c>
      <c r="AI27" s="110">
        <f>AI26/AC26-1</f>
        <v>0.42754744331499461</v>
      </c>
      <c r="AJ27" s="110">
        <f>AJ26/AD26-1</f>
        <v>0.5372956883905009</v>
      </c>
      <c r="AK27" s="122">
        <f>AK26/AE26-1</f>
        <v>0.20320983928259828</v>
      </c>
      <c r="AM27" s="109">
        <f>AM26/AG26-1</f>
        <v>-7.7735202765472189E-2</v>
      </c>
      <c r="AN27" s="110">
        <f>AN26/AH26-1</f>
        <v>0.33176106140939221</v>
      </c>
      <c r="AO27" s="110">
        <f>AO26/AI26-1</f>
        <v>0.46177281250581292</v>
      </c>
      <c r="AP27" s="110">
        <f>AP26/AJ26-1</f>
        <v>-0.13012836793486537</v>
      </c>
      <c r="AQ27" s="122">
        <f>AQ26/AK26-1</f>
        <v>0.10058424218123463</v>
      </c>
      <c r="AS27" s="109">
        <f>AS26/AM26-1</f>
        <v>9.1492450418264371E-2</v>
      </c>
      <c r="AT27" s="110">
        <f>AT26/AN26-1</f>
        <v>-0.16636494840293392</v>
      </c>
      <c r="AU27" s="110">
        <f>AU26/AO26-1</f>
        <v>-0.20746201164892453</v>
      </c>
      <c r="AV27" s="110">
        <f>AV26/AP26-1</f>
        <v>0.30248945358756818</v>
      </c>
      <c r="AW27" s="122">
        <f>AW26/AQ26-1</f>
        <v>5.8462739184137469E-3</v>
      </c>
      <c r="AY27" s="109">
        <f>AY26/AS26-1</f>
        <v>0.47786428775688905</v>
      </c>
      <c r="AZ27" s="110">
        <f>AZ26/AT26-1</f>
        <v>0.70942084939570593</v>
      </c>
      <c r="BA27" s="110">
        <f>BA26/AU26-1</f>
        <v>0.18454928458353415</v>
      </c>
      <c r="BB27" s="110">
        <f>BB26/AV26-1</f>
        <v>-9.1288068313770898E-2</v>
      </c>
      <c r="BC27" s="122">
        <f>BC26/AW26-1</f>
        <v>0.24359684745312005</v>
      </c>
      <c r="BE27" s="109">
        <f>BE26/AY26-1</f>
        <v>-0.24286777054401276</v>
      </c>
      <c r="BF27" s="110">
        <f>BF26/AZ26-1</f>
        <v>-0.37105047966197879</v>
      </c>
      <c r="BG27" s="110">
        <f>BG26/BA26-1</f>
        <v>9.3193850107147425E-2</v>
      </c>
      <c r="BH27" s="110">
        <f>BH26/BB26-1</f>
        <v>6.9881997408557606E-2</v>
      </c>
      <c r="BI27" s="122">
        <f>BI26/BC26-1</f>
        <v>-0.1158714214686597</v>
      </c>
      <c r="BK27" s="109">
        <f>BK26/BE26-1</f>
        <v>6.2170322359087482E-2</v>
      </c>
      <c r="BL27" s="110">
        <f>BL26/BF26-1</f>
        <v>0.17289273023710416</v>
      </c>
      <c r="BM27" s="110">
        <f>BM26/BG26-1</f>
        <v>1.1037201580929912E-2</v>
      </c>
      <c r="BN27" s="110">
        <v>1.4999999999999999E-2</v>
      </c>
      <c r="BO27" s="122">
        <f>BO26/BI26-1</f>
        <v>9.630373593295416E-2</v>
      </c>
      <c r="BQ27" s="109">
        <v>0.1</v>
      </c>
      <c r="BR27" s="110">
        <v>7.4999999999999997E-2</v>
      </c>
      <c r="BS27" s="110">
        <v>0.05</v>
      </c>
      <c r="BT27" s="110">
        <v>0.27500000000000002</v>
      </c>
      <c r="BU27" s="122">
        <f>BU26/BO26-1</f>
        <v>8.280862231258701E-2</v>
      </c>
      <c r="BW27" s="109">
        <v>0.1</v>
      </c>
      <c r="BX27" s="110">
        <v>7.0000000000000007E-2</v>
      </c>
      <c r="BY27" s="110">
        <v>2.5000000000000001E-2</v>
      </c>
      <c r="BZ27" s="110">
        <v>0.05</v>
      </c>
      <c r="CA27" s="122">
        <f>CA26/BU26-1</f>
        <v>6.1636089534515603E-2</v>
      </c>
      <c r="CC27" s="109">
        <v>1.6E-2</v>
      </c>
      <c r="CD27" s="110">
        <v>1.4999999999999999E-2</v>
      </c>
      <c r="CE27" s="110">
        <v>1.4999999999999999E-2</v>
      </c>
      <c r="CF27" s="110">
        <v>0.05</v>
      </c>
      <c r="CG27" s="122">
        <f>CG26/CA26-1</f>
        <v>2.4892611788674746E-2</v>
      </c>
      <c r="CI27" s="109">
        <v>2.5000000000000001E-2</v>
      </c>
      <c r="CJ27" s="110">
        <v>2.5000000000000001E-2</v>
      </c>
      <c r="CK27" s="110">
        <v>0.01</v>
      </c>
      <c r="CL27" s="110">
        <v>2.5000000000000001E-2</v>
      </c>
      <c r="CM27" s="122">
        <f>CM26/CG26-1</f>
        <v>2.1369964015979681E-2</v>
      </c>
      <c r="CO27" s="109">
        <v>0.01</v>
      </c>
      <c r="CP27" s="110">
        <v>0.01</v>
      </c>
      <c r="CQ27" s="110">
        <v>2.5000000000000001E-2</v>
      </c>
      <c r="CR27" s="110">
        <v>3.5000000000000003E-2</v>
      </c>
      <c r="CS27" s="122">
        <f>CS26/CM26-1</f>
        <v>2.0039899151908402E-2</v>
      </c>
      <c r="CU27" s="109">
        <v>0.01</v>
      </c>
      <c r="CV27" s="110">
        <v>0.01</v>
      </c>
      <c r="CW27" s="110">
        <v>0.01</v>
      </c>
      <c r="CX27" s="110">
        <v>0.01</v>
      </c>
      <c r="CY27" s="122">
        <f>CY26/CS26-1</f>
        <v>9.0759072434856147E-3</v>
      </c>
      <c r="DA27" s="109">
        <v>0.01</v>
      </c>
      <c r="DB27" s="110">
        <v>0.01</v>
      </c>
      <c r="DC27" s="110">
        <v>0.01</v>
      </c>
      <c r="DD27" s="110">
        <v>0.01</v>
      </c>
      <c r="DE27" s="122">
        <f>DE26/CY26-1</f>
        <v>1.1761664843053854E-2</v>
      </c>
      <c r="DG27" s="109">
        <v>0.01</v>
      </c>
      <c r="DH27" s="110">
        <v>0.01</v>
      </c>
      <c r="DI27" s="110">
        <v>0.01</v>
      </c>
      <c r="DJ27" s="110">
        <v>0.01</v>
      </c>
      <c r="DK27" s="122">
        <f>DK26/DE26-1</f>
        <v>8.1615594519466317E-3</v>
      </c>
    </row>
    <row r="28" spans="2:115" ht="15.75" thickBot="1" x14ac:dyDescent="0.35">
      <c r="B28" s="1"/>
      <c r="AA28" s="103"/>
      <c r="AB28" s="103"/>
      <c r="AC28" s="103"/>
      <c r="AD28" s="103"/>
      <c r="AE28" s="103"/>
      <c r="AG28" s="103"/>
      <c r="AH28" s="103"/>
      <c r="AI28" s="103"/>
      <c r="AJ28" s="103"/>
      <c r="AK28" s="103"/>
      <c r="AM28" s="103"/>
      <c r="AN28" s="103"/>
      <c r="AO28" s="103"/>
      <c r="AP28" s="103"/>
      <c r="AQ28" s="103"/>
      <c r="AS28" s="103"/>
      <c r="AT28" s="103"/>
      <c r="AU28" s="103"/>
      <c r="AV28" s="103"/>
      <c r="AW28" s="103"/>
      <c r="AY28" s="103"/>
      <c r="AZ28" s="103"/>
      <c r="BA28" s="103"/>
      <c r="BB28" s="103"/>
      <c r="BC28" s="103"/>
      <c r="BE28" s="103"/>
      <c r="BF28" s="103"/>
      <c r="BG28" s="103"/>
      <c r="BH28" s="103"/>
      <c r="BI28" s="103"/>
      <c r="BK28" s="103"/>
      <c r="BL28" s="103"/>
      <c r="BM28" s="103"/>
      <c r="BN28" s="103"/>
      <c r="BO28" s="103"/>
      <c r="BQ28" s="103"/>
      <c r="BR28" s="103"/>
      <c r="BS28" s="103"/>
      <c r="BT28" s="103"/>
      <c r="BU28" s="103"/>
      <c r="BW28" s="103"/>
      <c r="BX28" s="103"/>
      <c r="BY28" s="103"/>
      <c r="BZ28" s="103"/>
      <c r="CA28" s="103"/>
      <c r="CC28" s="103"/>
      <c r="CD28" s="103"/>
      <c r="CE28" s="103"/>
      <c r="CF28" s="103"/>
      <c r="CG28" s="103"/>
      <c r="CI28" s="103"/>
      <c r="CJ28" s="103"/>
      <c r="CK28" s="103"/>
      <c r="CL28" s="103"/>
      <c r="CM28" s="103"/>
      <c r="CO28" s="103"/>
      <c r="CP28" s="103"/>
      <c r="CQ28" s="103"/>
      <c r="CR28" s="103"/>
      <c r="CS28" s="103"/>
      <c r="CU28" s="103"/>
      <c r="CV28" s="103"/>
      <c r="CW28" s="103"/>
      <c r="CX28" s="103"/>
      <c r="CY28" s="103"/>
      <c r="DA28" s="103"/>
      <c r="DB28" s="103"/>
      <c r="DC28" s="103"/>
      <c r="DD28" s="103"/>
      <c r="DE28" s="103"/>
      <c r="DG28" s="103"/>
      <c r="DH28" s="103"/>
      <c r="DI28" s="103"/>
      <c r="DJ28" s="103"/>
      <c r="DK28" s="103"/>
    </row>
    <row r="29" spans="2:115" s="135" customFormat="1" ht="15" x14ac:dyDescent="0.3">
      <c r="B29" s="139" t="s">
        <v>34</v>
      </c>
      <c r="C29" s="181">
        <f>C32-C20</f>
        <v>201</v>
      </c>
      <c r="D29" s="182">
        <f>D32-D20</f>
        <v>198</v>
      </c>
      <c r="E29" s="182">
        <f>E32-E20</f>
        <v>207</v>
      </c>
      <c r="F29" s="179">
        <f>F32-F20</f>
        <v>231</v>
      </c>
      <c r="G29" s="137">
        <f>C29+D29+E29+F29</f>
        <v>837</v>
      </c>
      <c r="H29" s="134"/>
      <c r="I29" s="181">
        <f>I32-I20</f>
        <v>172</v>
      </c>
      <c r="J29" s="182">
        <f>J32-J20</f>
        <v>177</v>
      </c>
      <c r="K29" s="182">
        <f>K32-K20</f>
        <v>196</v>
      </c>
      <c r="L29" s="179">
        <f>L32-L20</f>
        <v>256</v>
      </c>
      <c r="M29" s="137">
        <f>I29+J29+K29+L29</f>
        <v>801</v>
      </c>
      <c r="N29" s="134"/>
      <c r="O29" s="181">
        <f>O32-O20</f>
        <v>233</v>
      </c>
      <c r="P29" s="182">
        <f>P32-P20</f>
        <v>216</v>
      </c>
      <c r="Q29" s="182">
        <f>Q32-Q20</f>
        <v>316</v>
      </c>
      <c r="R29" s="182">
        <f>R32-R20</f>
        <v>349</v>
      </c>
      <c r="S29" s="184">
        <f>O29+P29+Q29+R29</f>
        <v>1114</v>
      </c>
      <c r="T29" s="134"/>
      <c r="U29" s="181">
        <f>U32-U20</f>
        <v>118</v>
      </c>
      <c r="V29" s="182">
        <f>V32-V20</f>
        <v>127</v>
      </c>
      <c r="W29" s="182">
        <f>W32-W20</f>
        <v>189</v>
      </c>
      <c r="X29" s="182">
        <f>X32-X20</f>
        <v>224</v>
      </c>
      <c r="Y29" s="184">
        <f>U29+V29+W29+X29</f>
        <v>658</v>
      </c>
      <c r="AA29" s="181">
        <f>AA32-AA20</f>
        <v>167</v>
      </c>
      <c r="AB29" s="182">
        <f>AB32-AB20</f>
        <v>165</v>
      </c>
      <c r="AC29" s="182">
        <f>AC32-AC20</f>
        <v>141</v>
      </c>
      <c r="AD29" s="182">
        <f>AD32-AD20</f>
        <v>198</v>
      </c>
      <c r="AE29" s="184">
        <f>AA29+AB29+AC29+AD29</f>
        <v>671</v>
      </c>
      <c r="AG29" s="181">
        <f>AG32-AG20</f>
        <v>175</v>
      </c>
      <c r="AH29" s="182">
        <f>AH32-AH20</f>
        <v>162</v>
      </c>
      <c r="AI29" s="182">
        <f>AI32-AI20</f>
        <v>209</v>
      </c>
      <c r="AJ29" s="182">
        <f>AJ32-AJ20</f>
        <v>307</v>
      </c>
      <c r="AK29" s="184">
        <f>AG29+AH29+AI29+AJ29</f>
        <v>853</v>
      </c>
      <c r="AM29" s="181">
        <f>AM32-AM20</f>
        <v>214</v>
      </c>
      <c r="AN29" s="182">
        <f>AN32-AN20</f>
        <v>252</v>
      </c>
      <c r="AO29" s="182">
        <f>AO32-AO20</f>
        <v>306</v>
      </c>
      <c r="AP29" s="182">
        <f>AP32-AP20</f>
        <v>307</v>
      </c>
      <c r="AQ29" s="184">
        <f>AM29+AN29+AO29+AP29</f>
        <v>1079</v>
      </c>
      <c r="AS29" s="181">
        <f>AS32-AS20</f>
        <v>240</v>
      </c>
      <c r="AT29" s="182">
        <f>AT32-AT20</f>
        <v>213</v>
      </c>
      <c r="AU29" s="182">
        <f>AU32-AU20</f>
        <v>307</v>
      </c>
      <c r="AV29" s="182">
        <f>AV32-AV20</f>
        <v>418</v>
      </c>
      <c r="AW29" s="184">
        <f>AS29+AT29+AU29+AV29</f>
        <v>1178</v>
      </c>
      <c r="AY29" s="181">
        <f>AY32-AY20</f>
        <v>384</v>
      </c>
      <c r="AZ29" s="182">
        <f>AZ32-AZ20</f>
        <v>377</v>
      </c>
      <c r="BA29" s="182">
        <f>BA32-BA20</f>
        <v>364</v>
      </c>
      <c r="BB29" s="182">
        <f>BB32-BB20</f>
        <v>399</v>
      </c>
      <c r="BC29" s="184">
        <f>AY29+AZ29+BA29+BB29</f>
        <v>1524</v>
      </c>
      <c r="BE29" s="181">
        <f>BE32-BE20</f>
        <v>292</v>
      </c>
      <c r="BF29" s="182">
        <f>BF32-BF20</f>
        <v>231</v>
      </c>
      <c r="BG29" s="182">
        <f>BG32-BG20</f>
        <v>357</v>
      </c>
      <c r="BH29" s="182">
        <f>BH32-BH20</f>
        <v>405</v>
      </c>
      <c r="BI29" s="184">
        <f>BE29+BF29+BG29+BH29</f>
        <v>1285</v>
      </c>
      <c r="BK29" s="181">
        <f>BK32-BK20</f>
        <v>337</v>
      </c>
      <c r="BL29" s="182">
        <f>BL32-BL20</f>
        <v>281</v>
      </c>
      <c r="BM29" s="182">
        <f>BM32-BM20</f>
        <v>340</v>
      </c>
      <c r="BN29" s="182">
        <f>BN32-BN20</f>
        <v>473</v>
      </c>
      <c r="BO29" s="184">
        <f>BK29+BL29+BM29+BN29</f>
        <v>1431</v>
      </c>
      <c r="BQ29" s="181">
        <f>BQ26*BQ25/1000</f>
        <v>354.42155244484076</v>
      </c>
      <c r="BR29" s="182">
        <f>BR26*BR25/1000</f>
        <v>290.78452210388696</v>
      </c>
      <c r="BS29" s="182">
        <f>BS26*BS25/1000</f>
        <v>351.03007421852971</v>
      </c>
      <c r="BT29" s="183">
        <f>BT26*BT25/1000</f>
        <v>479.09304942935637</v>
      </c>
      <c r="BU29" s="183">
        <f>BQ29+BR29+BS29+BT29</f>
        <v>1475.3291981966138</v>
      </c>
      <c r="BW29" s="181">
        <f>BW26*BW25/1000</f>
        <v>361.3662366199631</v>
      </c>
      <c r="BX29" s="182">
        <f>BX26*BX25/1000</f>
        <v>297.70633709448964</v>
      </c>
      <c r="BY29" s="182">
        <f>BY26*BY25/1000</f>
        <v>357.0676579259104</v>
      </c>
      <c r="BZ29" s="183">
        <f>BZ26*BZ25/1000</f>
        <v>493.39608590299918</v>
      </c>
      <c r="CA29" s="183">
        <f>BW29+BX29+BY29+BZ29</f>
        <v>1509.5363175433624</v>
      </c>
      <c r="CC29" s="181">
        <f>CC26*CC25/1000</f>
        <v>367.78304005953316</v>
      </c>
      <c r="CD29" s="182">
        <f>CD26*CD25/1000</f>
        <v>302.53830947511779</v>
      </c>
      <c r="CE29" s="182">
        <f>CE26*CE25/1000</f>
        <v>362.66952870024897</v>
      </c>
      <c r="CF29" s="183">
        <f>CF26*CF25/1000</f>
        <v>506.37922069950605</v>
      </c>
      <c r="CG29" s="183">
        <f>CC29+CD29+CE29+CF29</f>
        <v>1539.3700989344059</v>
      </c>
      <c r="CI29" s="181">
        <f>CI26*CI25/1000</f>
        <v>371.92550931176186</v>
      </c>
      <c r="CJ29" s="182">
        <f>CJ26*CJ25/1000</f>
        <v>309.32321539804781</v>
      </c>
      <c r="CK29" s="182">
        <f>CK26*CK25/1000</f>
        <v>369.59988599326709</v>
      </c>
      <c r="CL29" s="183">
        <f>CL26*CL25/1000</f>
        <v>517.52108727810162</v>
      </c>
      <c r="CM29" s="183">
        <f>CI29+CJ29+CK29+CL29</f>
        <v>1568.3696979811784</v>
      </c>
      <c r="CO29" s="181">
        <f>CO26*CO25/1000</f>
        <v>378.85340373069744</v>
      </c>
      <c r="CP29" s="182">
        <f>CP26*CP25/1000</f>
        <v>315.08074345368902</v>
      </c>
      <c r="CQ29" s="182">
        <f>CQ26*CQ25/1000</f>
        <v>377.50087438396122</v>
      </c>
      <c r="CR29" s="183">
        <f>CR26*CR25/1000</f>
        <v>527.27742947010893</v>
      </c>
      <c r="CS29" s="183">
        <f>CO29+CP29+CQ29+CR29</f>
        <v>1598.7124510384565</v>
      </c>
      <c r="CU29" s="181">
        <f>CU26*CU25/1000</f>
        <v>385.27502741475382</v>
      </c>
      <c r="CV29" s="182">
        <f>CV26*CV25/1000</f>
        <v>320.41793871252622</v>
      </c>
      <c r="CW29" s="182">
        <f>CW26*CW25/1000</f>
        <v>383.89126602147491</v>
      </c>
      <c r="CX29" s="183">
        <f>CX26*CX25/1000</f>
        <v>529.85479985288157</v>
      </c>
      <c r="CY29" s="183">
        <f>CU29+CV29+CW29+CX29</f>
        <v>1619.4390320016364</v>
      </c>
      <c r="DA29" s="181">
        <f>DA26*DA25/1000</f>
        <v>386.93432399300025</v>
      </c>
      <c r="DB29" s="182">
        <f>DB26*DB25/1000</f>
        <v>321.63091677812741</v>
      </c>
      <c r="DC29" s="182">
        <f>DC26*DC25/1000</f>
        <v>385.14508505144227</v>
      </c>
      <c r="DD29" s="183">
        <f>DD26*DD25/1000</f>
        <v>544.03601293740076</v>
      </c>
      <c r="DE29" s="183">
        <f>DA29+DB29+DC29+DD29</f>
        <v>1637.7463387599707</v>
      </c>
      <c r="DG29" s="181">
        <f>DG26*DG25/1000</f>
        <v>392.86983242419876</v>
      </c>
      <c r="DH29" s="182">
        <f>DH26*DH25/1000</f>
        <v>326.56286765326928</v>
      </c>
      <c r="DI29" s="182">
        <f>DI26*DI25/1000</f>
        <v>391.04880674029289</v>
      </c>
      <c r="DJ29" s="183">
        <f>DJ26*DJ25/1000</f>
        <v>539.45218440108215</v>
      </c>
      <c r="DK29" s="183">
        <f>DG29+DH29+DI29+DJ29</f>
        <v>1649.933691218843</v>
      </c>
    </row>
    <row r="30" spans="2:115" ht="15" x14ac:dyDescent="0.3">
      <c r="B30" s="5" t="s">
        <v>23</v>
      </c>
      <c r="C30" s="144" t="s">
        <v>35</v>
      </c>
      <c r="D30" s="107" t="s">
        <v>35</v>
      </c>
      <c r="E30" s="107" t="s">
        <v>35</v>
      </c>
      <c r="F30" s="145" t="s">
        <v>35</v>
      </c>
      <c r="G30" s="138" t="s">
        <v>35</v>
      </c>
      <c r="I30" s="151">
        <f>I29/C29-1</f>
        <v>-0.14427860696517414</v>
      </c>
      <c r="J30" s="133">
        <f>J29/D29-1</f>
        <v>-0.10606060606060608</v>
      </c>
      <c r="K30" s="133">
        <f>K29/E29-1</f>
        <v>-5.3140096618357502E-2</v>
      </c>
      <c r="L30" s="133">
        <f>L29/F29-1</f>
        <v>0.10822510822510822</v>
      </c>
      <c r="M30" s="153">
        <f>M29/G29-1</f>
        <v>-4.3010752688172005E-2</v>
      </c>
      <c r="O30" s="151">
        <f>O29/I29-1</f>
        <v>0.35465116279069764</v>
      </c>
      <c r="P30" s="133">
        <f>P29/J29-1</f>
        <v>0.22033898305084754</v>
      </c>
      <c r="Q30" s="133">
        <f>Q29/K29-1</f>
        <v>0.61224489795918369</v>
      </c>
      <c r="R30" s="133">
        <f>R29/L29-1</f>
        <v>0.36328125</v>
      </c>
      <c r="S30" s="153">
        <f>S29/M29-1</f>
        <v>0.39076154806491892</v>
      </c>
      <c r="U30" s="151">
        <v>-3.8626609442060089E-2</v>
      </c>
      <c r="V30" s="133">
        <v>4.6296296296295392E-3</v>
      </c>
      <c r="W30" s="133">
        <v>-0.129746835443038</v>
      </c>
      <c r="X30" s="133">
        <v>-6.3037249283667607E-2</v>
      </c>
      <c r="Y30" s="153">
        <v>-6.3734290843806107E-2</v>
      </c>
      <c r="AA30" s="151">
        <f>AA29/U29-1</f>
        <v>0.4152542372881356</v>
      </c>
      <c r="AB30" s="133">
        <f>AB29/V29-1</f>
        <v>0.29921259842519676</v>
      </c>
      <c r="AC30" s="133">
        <f>AC29/W29-1</f>
        <v>-0.25396825396825395</v>
      </c>
      <c r="AD30" s="133">
        <f>AD29/X29-1</f>
        <v>-0.1160714285714286</v>
      </c>
      <c r="AE30" s="153">
        <f>AE29/Y29-1</f>
        <v>1.9756838905775176E-2</v>
      </c>
      <c r="AG30" s="151">
        <f>AG29/AA29-1</f>
        <v>4.7904191616766401E-2</v>
      </c>
      <c r="AH30" s="133">
        <f>AH29/AB29-1</f>
        <v>-1.8181818181818188E-2</v>
      </c>
      <c r="AI30" s="133">
        <f>AI29/AC29-1</f>
        <v>0.48226950354609932</v>
      </c>
      <c r="AJ30" s="133">
        <f>AJ29/AD29-1</f>
        <v>0.55050505050505061</v>
      </c>
      <c r="AK30" s="153">
        <f>AK29/AE29-1</f>
        <v>0.27123695976154982</v>
      </c>
      <c r="AM30" s="151">
        <f>AM29/AG29-1</f>
        <v>0.22285714285714286</v>
      </c>
      <c r="AN30" s="133">
        <f>AN29/AH29-1</f>
        <v>0.55555555555555558</v>
      </c>
      <c r="AO30" s="133">
        <f>AO29/AI29-1</f>
        <v>0.46411483253588526</v>
      </c>
      <c r="AP30" s="133">
        <f>AP29/AJ29-1</f>
        <v>0</v>
      </c>
      <c r="AQ30" s="153">
        <f>AQ29/AK29-1</f>
        <v>0.26494724501758493</v>
      </c>
      <c r="AS30" s="151">
        <f>AS29/AM29-1</f>
        <v>0.12149532710280364</v>
      </c>
      <c r="AT30" s="133">
        <f>AT29/AN29-1</f>
        <v>-0.15476190476190477</v>
      </c>
      <c r="AU30" s="133">
        <f>AU29/AO29-1</f>
        <v>3.2679738562091387E-3</v>
      </c>
      <c r="AV30" s="133">
        <f>AV29/AP29-1</f>
        <v>0.36156351791530938</v>
      </c>
      <c r="AW30" s="153">
        <f>AW29/AQ29-1</f>
        <v>9.1751621872103728E-2</v>
      </c>
      <c r="AY30" s="151">
        <f>AY29/AS29-1</f>
        <v>0.60000000000000009</v>
      </c>
      <c r="AZ30" s="133">
        <f>AZ29/AT29-1</f>
        <v>0.7699530516431925</v>
      </c>
      <c r="BA30" s="133">
        <f>BA29/AU29-1</f>
        <v>0.18566775244299683</v>
      </c>
      <c r="BB30" s="133">
        <f>BB29/AV29-1</f>
        <v>-4.5454545454545414E-2</v>
      </c>
      <c r="BC30" s="153">
        <f>BC29/AW29-1</f>
        <v>0.29371816638370118</v>
      </c>
      <c r="BE30" s="151">
        <f>BE29/AY29-1</f>
        <v>-0.23958333333333337</v>
      </c>
      <c r="BF30" s="133">
        <f>BF29/AZ29-1</f>
        <v>-0.38726790450928383</v>
      </c>
      <c r="BG30" s="133">
        <f>BG29/BA29-1</f>
        <v>-1.9230769230769273E-2</v>
      </c>
      <c r="BH30" s="133">
        <f>BH29/BB29-1</f>
        <v>1.5037593984962516E-2</v>
      </c>
      <c r="BI30" s="153">
        <f>BI29/BC29-1</f>
        <v>-0.15682414698162728</v>
      </c>
      <c r="BK30" s="151">
        <f>BK29/BE29-1</f>
        <v>0.15410958904109595</v>
      </c>
      <c r="BL30" s="133">
        <f>BL29/BF29-1</f>
        <v>0.21645021645021645</v>
      </c>
      <c r="BM30" s="133">
        <f>BM29/BG29-1</f>
        <v>-4.7619047619047672E-2</v>
      </c>
      <c r="BN30" s="133">
        <f>BN29/BH29-1</f>
        <v>0.16790123456790118</v>
      </c>
      <c r="BO30" s="153">
        <f>BO29/BI29-1</f>
        <v>0.1136186770428016</v>
      </c>
      <c r="BQ30" s="151">
        <f>BQ29/BK29-1</f>
        <v>5.1696001320002294E-2</v>
      </c>
      <c r="BR30" s="133">
        <f>BR29/BL29-1</f>
        <v>3.4820363359028272E-2</v>
      </c>
      <c r="BS30" s="133">
        <f>BS29/BM29-1</f>
        <v>3.2441394760381437E-2</v>
      </c>
      <c r="BT30" s="152">
        <f>BT29/BN29-1</f>
        <v>1.2881711267138218E-2</v>
      </c>
      <c r="BU30" s="152">
        <f>BU29/BO29-1</f>
        <v>3.0977776517549849E-2</v>
      </c>
      <c r="BW30" s="151">
        <f>BW29/BQ29-1</f>
        <v>1.9594418362024246E-2</v>
      </c>
      <c r="BX30" s="133">
        <f>BX29/BR29-1</f>
        <v>2.380393199927533E-2</v>
      </c>
      <c r="BY30" s="133">
        <f>BY29/BS29-1</f>
        <v>1.7199619493633689E-2</v>
      </c>
      <c r="BZ30" s="152">
        <f>BZ29/BT29-1</f>
        <v>2.9854401959450216E-2</v>
      </c>
      <c r="CA30" s="152">
        <f>CA29/BU29-1</f>
        <v>2.3186092560604221E-2</v>
      </c>
      <c r="CC30" s="151">
        <f>CC29/BW29-1</f>
        <v>1.7757064134130474E-2</v>
      </c>
      <c r="CD30" s="133">
        <f>CD29/BX29-1</f>
        <v>1.6230666863817911E-2</v>
      </c>
      <c r="CE30" s="133">
        <f>CE29/BY29-1</f>
        <v>1.5688541513051213E-2</v>
      </c>
      <c r="CF30" s="152">
        <f>CF29/BZ29-1</f>
        <v>2.6313817980022192E-2</v>
      </c>
      <c r="CG30" s="152">
        <f>CG29/CA29-1</f>
        <v>1.97635399985574E-2</v>
      </c>
      <c r="CI30" s="151">
        <f>CI29/CC29-1</f>
        <v>1.1263350402340944E-2</v>
      </c>
      <c r="CJ30" s="133">
        <f>CJ29/CD29-1</f>
        <v>2.242660089792059E-2</v>
      </c>
      <c r="CK30" s="133">
        <f>CK29/CE29-1</f>
        <v>1.9109290261730694E-2</v>
      </c>
      <c r="CL30" s="152">
        <f>CL29/CF29-1</f>
        <v>2.2003009055553857E-2</v>
      </c>
      <c r="CM30" s="152">
        <f>CM29/CG29-1</f>
        <v>1.8838613967392837E-2</v>
      </c>
      <c r="CO30" s="151">
        <f>CO29/CI29-1</f>
        <v>1.8627102055343014E-2</v>
      </c>
      <c r="CP30" s="133">
        <f>CP29/CJ29-1</f>
        <v>1.8613307275473057E-2</v>
      </c>
      <c r="CQ30" s="133">
        <f>CQ29/CK29-1</f>
        <v>2.1377139685692548E-2</v>
      </c>
      <c r="CR30" s="152">
        <f>CR29/CL29-1</f>
        <v>1.8852066962760317E-2</v>
      </c>
      <c r="CS30" s="152">
        <f>CS29/CM29-1</f>
        <v>1.9346684073490827E-2</v>
      </c>
      <c r="CU30" s="151">
        <f>CU29/CO29-1</f>
        <v>1.6950154389060446E-2</v>
      </c>
      <c r="CV30" s="133">
        <f>CV29/CP29-1</f>
        <v>1.6939135030388464E-2</v>
      </c>
      <c r="CW30" s="133">
        <f>CW29/CQ29-1</f>
        <v>1.6928150558437993E-2</v>
      </c>
      <c r="CX30" s="152">
        <f>CX29/CR29-1</f>
        <v>4.8880726515503348E-3</v>
      </c>
      <c r="CY30" s="152">
        <f>CY29/CS29-1</f>
        <v>1.2964545906749336E-2</v>
      </c>
      <c r="DA30" s="151">
        <f>DA29/CU29-1</f>
        <v>4.3067846607669491E-3</v>
      </c>
      <c r="DB30" s="133">
        <f>DB29/CV29-1</f>
        <v>3.7856122240691459E-3</v>
      </c>
      <c r="DC30" s="133">
        <f>DC29/CW29-1</f>
        <v>3.2660785512563795E-3</v>
      </c>
      <c r="DD30" s="152">
        <f>DD29/CX29-1</f>
        <v>2.6764338245981234E-2</v>
      </c>
      <c r="DE30" s="152">
        <f>DE29/CY29-1</f>
        <v>1.1304721200715129E-2</v>
      </c>
      <c r="DG30" s="151">
        <f>DG29/DA29-1</f>
        <v>1.5339834341772995E-2</v>
      </c>
      <c r="DH30" s="133">
        <f>DH29/DB29-1</f>
        <v>1.5334194002699419E-2</v>
      </c>
      <c r="DI30" s="133">
        <f>DI29/DC29-1</f>
        <v>1.5328565566563368E-2</v>
      </c>
      <c r="DJ30" s="152">
        <f>DJ29/DD29-1</f>
        <v>-8.4255976209538508E-3</v>
      </c>
      <c r="DK30" s="152">
        <f>DK29/DE29-1</f>
        <v>7.4415385157264868E-3</v>
      </c>
    </row>
    <row r="31" spans="2:115" ht="15" x14ac:dyDescent="0.3">
      <c r="B31" s="5"/>
      <c r="C31" s="144"/>
      <c r="D31" s="107"/>
      <c r="E31" s="107"/>
      <c r="F31" s="145"/>
      <c r="G31" s="138"/>
      <c r="I31" s="144"/>
      <c r="J31" s="107"/>
      <c r="K31" s="107"/>
      <c r="L31" s="107"/>
      <c r="M31" s="138"/>
      <c r="O31" s="144"/>
      <c r="P31" s="107"/>
      <c r="Q31" s="107"/>
      <c r="R31" s="107"/>
      <c r="S31" s="138"/>
      <c r="U31" s="144"/>
      <c r="V31" s="107"/>
      <c r="W31" s="107"/>
      <c r="X31" s="107"/>
      <c r="Y31" s="138"/>
      <c r="AA31" s="144"/>
      <c r="AB31" s="107"/>
      <c r="AC31" s="107"/>
      <c r="AD31" s="107"/>
      <c r="AE31" s="138"/>
      <c r="AG31" s="144"/>
      <c r="AH31" s="107"/>
      <c r="AI31" s="107"/>
      <c r="AJ31" s="107"/>
      <c r="AK31" s="138"/>
      <c r="AM31" s="144"/>
      <c r="AN31" s="107"/>
      <c r="AO31" s="107"/>
      <c r="AP31" s="107"/>
      <c r="AQ31" s="138"/>
      <c r="AS31" s="144"/>
      <c r="AT31" s="107"/>
      <c r="AU31" s="107"/>
      <c r="AV31" s="107"/>
      <c r="AW31" s="138"/>
      <c r="AY31" s="144"/>
      <c r="AZ31" s="107"/>
      <c r="BA31" s="107"/>
      <c r="BB31" s="107"/>
      <c r="BC31" s="138"/>
      <c r="BE31" s="144"/>
      <c r="BF31" s="107"/>
      <c r="BG31" s="107"/>
      <c r="BH31" s="107"/>
      <c r="BI31" s="138"/>
      <c r="BK31" s="144"/>
      <c r="BL31" s="107"/>
      <c r="BM31" s="107"/>
      <c r="BN31" s="107"/>
      <c r="BO31" s="138"/>
      <c r="BQ31" s="144"/>
      <c r="BR31" s="107"/>
      <c r="BS31" s="107"/>
      <c r="BT31" s="145"/>
      <c r="BU31" s="145"/>
      <c r="BW31" s="144"/>
      <c r="BX31" s="107"/>
      <c r="BY31" s="107"/>
      <c r="BZ31" s="145"/>
      <c r="CA31" s="145"/>
      <c r="CC31" s="144"/>
      <c r="CD31" s="107"/>
      <c r="CE31" s="107"/>
      <c r="CF31" s="145"/>
      <c r="CG31" s="145"/>
      <c r="CI31" s="144"/>
      <c r="CJ31" s="107"/>
      <c r="CK31" s="107"/>
      <c r="CL31" s="145"/>
      <c r="CM31" s="145"/>
      <c r="CO31" s="144"/>
      <c r="CP31" s="107"/>
      <c r="CQ31" s="107"/>
      <c r="CR31" s="145"/>
      <c r="CS31" s="145"/>
      <c r="CU31" s="144"/>
      <c r="CV31" s="107"/>
      <c r="CW31" s="107"/>
      <c r="CX31" s="145"/>
      <c r="CY31" s="145"/>
      <c r="DA31" s="144"/>
      <c r="DB31" s="107"/>
      <c r="DC31" s="107"/>
      <c r="DD31" s="145"/>
      <c r="DE31" s="145"/>
      <c r="DG31" s="144"/>
      <c r="DH31" s="107"/>
      <c r="DI31" s="107"/>
      <c r="DJ31" s="145"/>
      <c r="DK31" s="145"/>
    </row>
    <row r="32" spans="2:115" s="135" customFormat="1" ht="15" x14ac:dyDescent="0.3">
      <c r="B32" s="105" t="s">
        <v>58</v>
      </c>
      <c r="C32" s="156">
        <v>1951</v>
      </c>
      <c r="D32" s="157">
        <v>2009</v>
      </c>
      <c r="E32" s="157">
        <v>2059</v>
      </c>
      <c r="F32" s="158">
        <v>1974</v>
      </c>
      <c r="G32" s="159">
        <f>C32+D32+E32+F32</f>
        <v>7993</v>
      </c>
      <c r="H32" s="160"/>
      <c r="I32" s="156">
        <v>1884</v>
      </c>
      <c r="J32" s="157">
        <v>1953</v>
      </c>
      <c r="K32" s="157">
        <v>2002</v>
      </c>
      <c r="L32" s="157">
        <v>2007</v>
      </c>
      <c r="M32" s="159">
        <f>I32+J32+K32+L32</f>
        <v>7846</v>
      </c>
      <c r="N32" s="160"/>
      <c r="O32" s="156">
        <v>1952</v>
      </c>
      <c r="P32" s="157">
        <v>1947</v>
      </c>
      <c r="Q32" s="157">
        <v>2109</v>
      </c>
      <c r="R32" s="157">
        <v>2101</v>
      </c>
      <c r="S32" s="159">
        <f>O32+P32+Q32+R32</f>
        <v>8109</v>
      </c>
      <c r="T32" s="160"/>
      <c r="U32" s="156">
        <v>1830</v>
      </c>
      <c r="V32" s="157">
        <v>1893</v>
      </c>
      <c r="W32" s="157">
        <v>2002</v>
      </c>
      <c r="X32" s="157">
        <v>1980</v>
      </c>
      <c r="Y32" s="159">
        <f>U32+V32+W32+X32</f>
        <v>7705</v>
      </c>
      <c r="AA32" s="156">
        <v>1857</v>
      </c>
      <c r="AB32" s="157">
        <v>1871</v>
      </c>
      <c r="AC32" s="157">
        <v>1898</v>
      </c>
      <c r="AD32" s="157">
        <v>1926</v>
      </c>
      <c r="AE32" s="159">
        <f>AA32+AB32+AC32+AD32</f>
        <v>7552</v>
      </c>
      <c r="AF32" s="247"/>
      <c r="AG32" s="156">
        <v>1835</v>
      </c>
      <c r="AH32" s="157">
        <v>1852</v>
      </c>
      <c r="AI32" s="157">
        <v>1958</v>
      </c>
      <c r="AJ32" s="157">
        <v>1987</v>
      </c>
      <c r="AK32" s="159">
        <f>AG32+AH32+AI32+AJ32</f>
        <v>7632</v>
      </c>
      <c r="AM32" s="156">
        <v>1842</v>
      </c>
      <c r="AN32" s="157">
        <v>1925</v>
      </c>
      <c r="AO32" s="157">
        <v>2006</v>
      </c>
      <c r="AP32" s="157">
        <v>1957</v>
      </c>
      <c r="AQ32" s="159">
        <f>AM32+AN32+AO32+AP32</f>
        <v>7730</v>
      </c>
      <c r="AS32" s="156">
        <v>1871</v>
      </c>
      <c r="AT32" s="157">
        <v>1881</v>
      </c>
      <c r="AU32" s="157">
        <v>2006</v>
      </c>
      <c r="AV32" s="157">
        <v>2098</v>
      </c>
      <c r="AW32" s="159">
        <f>AS32+AT32+AU32+AV32</f>
        <v>7856</v>
      </c>
      <c r="AY32" s="156">
        <v>2061</v>
      </c>
      <c r="AZ32" s="157">
        <v>2047</v>
      </c>
      <c r="BA32" s="157">
        <v>2056</v>
      </c>
      <c r="BB32" s="157">
        <v>2072</v>
      </c>
      <c r="BC32" s="159">
        <f>AY32+AZ32+BA32+BB32</f>
        <v>8236</v>
      </c>
      <c r="BE32" s="156">
        <v>1941</v>
      </c>
      <c r="BF32" s="157">
        <v>1887</v>
      </c>
      <c r="BG32" s="157">
        <v>2054</v>
      </c>
      <c r="BH32" s="157">
        <v>2072</v>
      </c>
      <c r="BI32" s="159">
        <f>BE32+BF32+BG32+BH32</f>
        <v>7954</v>
      </c>
      <c r="BK32" s="156">
        <v>1972</v>
      </c>
      <c r="BL32" s="157">
        <v>1950</v>
      </c>
      <c r="BM32" s="157">
        <v>2053</v>
      </c>
      <c r="BN32" s="157">
        <v>2168</v>
      </c>
      <c r="BO32" s="159">
        <f>BK32+BL32+BM32+BN32</f>
        <v>8143</v>
      </c>
      <c r="BQ32" s="156">
        <f>BQ20+BQ29</f>
        <v>2026.5499735946328</v>
      </c>
      <c r="BR32" s="157">
        <f>BR20+BR29</f>
        <v>1999.8721537457889</v>
      </c>
      <c r="BS32" s="157">
        <f>BS20+BS29</f>
        <v>2104.6978050497432</v>
      </c>
      <c r="BT32" s="158">
        <f>BT20+BT29</f>
        <v>2212.4756208754388</v>
      </c>
      <c r="BU32" s="158">
        <f>BQ32+BR32+BS32+BT32</f>
        <v>8343.5955532656044</v>
      </c>
      <c r="BW32" s="156">
        <f>BW20+BW29</f>
        <v>2066.545479896763</v>
      </c>
      <c r="BX32" s="157">
        <f>BX20+BX29</f>
        <v>2040.3547188944526</v>
      </c>
      <c r="BY32" s="157">
        <f>BY20+BY29</f>
        <v>2147.8250391084539</v>
      </c>
      <c r="BZ32" s="158">
        <f>BZ20+BZ29</f>
        <v>2263.0527931666848</v>
      </c>
      <c r="CA32" s="158">
        <f>BW32+BX32+BY32+BZ32</f>
        <v>8517.7780310663547</v>
      </c>
      <c r="CC32" s="156">
        <f>CC20+CC29</f>
        <v>2104.0873267229108</v>
      </c>
      <c r="CD32" s="157">
        <f>CD20+CD29</f>
        <v>2077.7086673847043</v>
      </c>
      <c r="CE32" s="157">
        <f>CE20+CE29</f>
        <v>2190.3063208335716</v>
      </c>
      <c r="CF32" s="158">
        <f>CF20+CF29</f>
        <v>2312.380960392577</v>
      </c>
      <c r="CG32" s="158">
        <f>CC32+CD32+CE32+CF32</f>
        <v>8684.4832753337632</v>
      </c>
      <c r="CI32" s="156">
        <f>CI20+CI29</f>
        <v>2142.0528684307674</v>
      </c>
      <c r="CJ32" s="157">
        <f>CJ20+CJ29</f>
        <v>2113.6250771070677</v>
      </c>
      <c r="CK32" s="157">
        <f>CK20+CK29</f>
        <v>2234.9169954118011</v>
      </c>
      <c r="CL32" s="158">
        <f>CL20+CL29</f>
        <v>2362.2079187367904</v>
      </c>
      <c r="CM32" s="158">
        <f>CI32+CJ32+CK32+CL32</f>
        <v>8852.802859686426</v>
      </c>
      <c r="CO32" s="156">
        <f>CO20+CO29</f>
        <v>2179.3275815308411</v>
      </c>
      <c r="CP32" s="157">
        <f>CP20+CP29</f>
        <v>2152.5352643887909</v>
      </c>
      <c r="CQ32" s="157">
        <f>CQ20+CQ29</f>
        <v>2278.6660787674855</v>
      </c>
      <c r="CR32" s="158">
        <f>CR20+CR29</f>
        <v>2407.6103079873292</v>
      </c>
      <c r="CS32" s="158">
        <f>CO32+CP32+CQ32+CR32</f>
        <v>9018.1392326744462</v>
      </c>
      <c r="CU32" s="156">
        <f>CU20+CU29</f>
        <v>2209.8399650182691</v>
      </c>
      <c r="CV32" s="157">
        <f>CV20+CV29</f>
        <v>2184.4158653236286</v>
      </c>
      <c r="CW32" s="157">
        <f>CW20+CW29</f>
        <v>2319.1348322696035</v>
      </c>
      <c r="CX32" s="158">
        <f>CX20+CX29</f>
        <v>2444.8033900063397</v>
      </c>
      <c r="CY32" s="158">
        <f>CU32+CV32+CW32+CX32</f>
        <v>9158.1940526178405</v>
      </c>
      <c r="DA32" s="156">
        <f>DA20+DA29</f>
        <v>2235.3979952252048</v>
      </c>
      <c r="DB32" s="157">
        <f>DB20+DB29</f>
        <v>2210.784930334858</v>
      </c>
      <c r="DC32" s="157">
        <f>DC20+DC29</f>
        <v>2351.3901368201086</v>
      </c>
      <c r="DD32" s="158">
        <f>DD20+DD29</f>
        <v>2490.9473190942399</v>
      </c>
      <c r="DE32" s="158">
        <f>DA32+DB32+DC32+DD32</f>
        <v>9288.5203814744109</v>
      </c>
      <c r="DG32" s="156">
        <f>DG20+DG29</f>
        <v>2263.6471531536022</v>
      </c>
      <c r="DH32" s="157">
        <f>DH20+DH29</f>
        <v>2240.101751513273</v>
      </c>
      <c r="DI32" s="157">
        <f>DI20+DI29</f>
        <v>2387.9835039100699</v>
      </c>
      <c r="DJ32" s="158">
        <f>DJ20+DJ29</f>
        <v>2517.4836610891271</v>
      </c>
      <c r="DK32" s="158">
        <f>DG32+DH32+DI32+DJ32</f>
        <v>9409.2160696660721</v>
      </c>
    </row>
    <row r="33" spans="2:115" ht="15.75" thickBot="1" x14ac:dyDescent="0.35">
      <c r="B33" s="140" t="s">
        <v>23</v>
      </c>
      <c r="C33" s="155" t="s">
        <v>35</v>
      </c>
      <c r="D33" s="106" t="s">
        <v>35</v>
      </c>
      <c r="E33" s="106" t="s">
        <v>35</v>
      </c>
      <c r="F33" s="154" t="s">
        <v>35</v>
      </c>
      <c r="G33" s="108" t="s">
        <v>35</v>
      </c>
      <c r="I33" s="109">
        <f>I32/C32-1</f>
        <v>-3.4341363403382896E-2</v>
      </c>
      <c r="J33" s="110">
        <f>J32/D32-1</f>
        <v>-2.7874564459930307E-2</v>
      </c>
      <c r="K33" s="110">
        <f>K32/E32-1</f>
        <v>-2.768334142787765E-2</v>
      </c>
      <c r="L33" s="110">
        <f>L32/F32-1</f>
        <v>1.6717325227963542E-2</v>
      </c>
      <c r="M33" s="122">
        <f>M32/G32-1</f>
        <v>-1.8391092205679915E-2</v>
      </c>
      <c r="O33" s="109">
        <f>O32/I32-1</f>
        <v>3.6093418259023347E-2</v>
      </c>
      <c r="P33" s="110">
        <f>P32/J32-1</f>
        <v>-3.072196620583667E-3</v>
      </c>
      <c r="Q33" s="110">
        <f>Q32/K32-1</f>
        <v>5.3446553446553358E-2</v>
      </c>
      <c r="R33" s="110">
        <f>R32/L32-1</f>
        <v>4.683607374190335E-2</v>
      </c>
      <c r="S33" s="122">
        <f>S32/M32-1</f>
        <v>3.3520265103237357E-2</v>
      </c>
      <c r="U33" s="109">
        <f>U32/O32-1</f>
        <v>-6.25E-2</v>
      </c>
      <c r="V33" s="110">
        <f>V32/P32-1</f>
        <v>-2.7734976887519247E-2</v>
      </c>
      <c r="W33" s="110">
        <f>W32/Q32-1</f>
        <v>-5.0734945471787585E-2</v>
      </c>
      <c r="X33" s="110">
        <f>X32/R32-1</f>
        <v>-5.759162303664922E-2</v>
      </c>
      <c r="Y33" s="122">
        <f>Y32/S32-1</f>
        <v>-4.982118633616972E-2</v>
      </c>
      <c r="AA33" s="109">
        <f>AA32/U32-1</f>
        <v>1.4754098360655776E-2</v>
      </c>
      <c r="AB33" s="110">
        <f>AB32/V32-1</f>
        <v>-1.1621764395139955E-2</v>
      </c>
      <c r="AC33" s="110">
        <f>AC32/W32-1</f>
        <v>-5.1948051948051965E-2</v>
      </c>
      <c r="AD33" s="110">
        <f>AD32/X32-1</f>
        <v>-2.7272727272727226E-2</v>
      </c>
      <c r="AE33" s="122">
        <f>AE32/Y32-1</f>
        <v>-1.9857235561323794E-2</v>
      </c>
      <c r="AG33" s="109">
        <f>AG32/AA32-1</f>
        <v>-1.1847065158858361E-2</v>
      </c>
      <c r="AH33" s="110">
        <f>AH32/AB32-1</f>
        <v>-1.0154997327632254E-2</v>
      </c>
      <c r="AI33" s="110">
        <f>AI32/AC32-1</f>
        <v>3.1612223393045369E-2</v>
      </c>
      <c r="AJ33" s="110">
        <f>AJ32/AD32-1</f>
        <v>3.1671858774662498E-2</v>
      </c>
      <c r="AK33" s="122">
        <f>AK32/AE32-1</f>
        <v>1.0593220338983134E-2</v>
      </c>
      <c r="AM33" s="109">
        <f>AM32/AG32-1</f>
        <v>3.814713896457711E-3</v>
      </c>
      <c r="AN33" s="110">
        <f>AN32/AH32-1</f>
        <v>3.9416846652267745E-2</v>
      </c>
      <c r="AO33" s="110">
        <f>AO32/AI32-1</f>
        <v>2.4514811031664863E-2</v>
      </c>
      <c r="AP33" s="110">
        <f>AP32/AJ32-1</f>
        <v>-1.509813789632608E-2</v>
      </c>
      <c r="AQ33" s="122">
        <f>AQ32/AK32-1</f>
        <v>1.2840670859538772E-2</v>
      </c>
      <c r="AS33" s="109">
        <f>AS32/AM32-1</f>
        <v>1.574375678610207E-2</v>
      </c>
      <c r="AT33" s="110">
        <f>AT32/AN32-1</f>
        <v>-2.2857142857142909E-2</v>
      </c>
      <c r="AU33" s="110">
        <f>AU32/AO32-1</f>
        <v>0</v>
      </c>
      <c r="AV33" s="110">
        <f>AV32/AP32-1</f>
        <v>7.2049054675523694E-2</v>
      </c>
      <c r="AW33" s="122">
        <f>AW32/AQ32-1</f>
        <v>1.6300129366106031E-2</v>
      </c>
      <c r="AY33" s="109">
        <f>AY32/AS32-1</f>
        <v>0.10154997327632276</v>
      </c>
      <c r="AZ33" s="110">
        <f>AZ32/AT32-1</f>
        <v>8.825093035619358E-2</v>
      </c>
      <c r="BA33" s="110">
        <f>BA32/AU32-1</f>
        <v>2.4925224327019047E-2</v>
      </c>
      <c r="BB33" s="110">
        <f>BB32/AV32-1</f>
        <v>-1.2392755004766443E-2</v>
      </c>
      <c r="BC33" s="122">
        <f>BC32/AW32-1</f>
        <v>4.8370672097759693E-2</v>
      </c>
      <c r="BE33" s="109">
        <f>BE32/AY32-1</f>
        <v>-5.8224163027656428E-2</v>
      </c>
      <c r="BF33" s="110">
        <f>BF32/AZ32-1</f>
        <v>-7.816316560820713E-2</v>
      </c>
      <c r="BG33" s="110">
        <f>BG32/BA32-1</f>
        <v>-9.7276264591439343E-4</v>
      </c>
      <c r="BH33" s="110">
        <f>BH32/BB32-1</f>
        <v>0</v>
      </c>
      <c r="BI33" s="122">
        <f>BI32/BC32-1</f>
        <v>-3.4239922292374936E-2</v>
      </c>
      <c r="BK33" s="109">
        <f>BK32/BE32-1</f>
        <v>1.5971148892323539E-2</v>
      </c>
      <c r="BL33" s="110">
        <f>BL32/BF32-1</f>
        <v>3.3386327503974522E-2</v>
      </c>
      <c r="BM33" s="110">
        <f>BM32/BG32-1</f>
        <v>-4.8685491723465812E-4</v>
      </c>
      <c r="BN33" s="110">
        <f>BN32/BH32-1</f>
        <v>4.6332046332046239E-2</v>
      </c>
      <c r="BO33" s="122">
        <f>BO32/BI32-1</f>
        <v>2.376162936887094E-2</v>
      </c>
      <c r="BQ33" s="109">
        <f>BQ32/BK32-1</f>
        <v>2.766225841512826E-2</v>
      </c>
      <c r="BR33" s="110">
        <f>BR32/BL32-1</f>
        <v>2.5575463459379E-2</v>
      </c>
      <c r="BS33" s="110">
        <f>BS32/BM32-1</f>
        <v>2.5181590379806718E-2</v>
      </c>
      <c r="BT33" s="120">
        <f>BT32/BN32-1</f>
        <v>2.0514585274648889E-2</v>
      </c>
      <c r="BU33" s="120">
        <f>BU32/BO32-1</f>
        <v>2.4634109451750597E-2</v>
      </c>
      <c r="BW33" s="109">
        <f>BW32/BQ32-1</f>
        <v>1.9735761181939981E-2</v>
      </c>
      <c r="BX33" s="110">
        <f>BX32/BR32-1</f>
        <v>2.0242576543125113E-2</v>
      </c>
      <c r="BY33" s="110">
        <f>BY32/BS32-1</f>
        <v>2.0490938867915753E-2</v>
      </c>
      <c r="BZ33" s="120">
        <f>BZ32/BT32-1</f>
        <v>2.2859990778670625E-2</v>
      </c>
      <c r="CA33" s="120">
        <f>CA32/BU32-1</f>
        <v>2.08761890109328E-2</v>
      </c>
      <c r="CC33" s="109">
        <f>CC32/BW32-1</f>
        <v>1.8166475014149253E-2</v>
      </c>
      <c r="CD33" s="110">
        <f>CD32/BX32-1</f>
        <v>1.8307575709429313E-2</v>
      </c>
      <c r="CE33" s="110">
        <f>CE32/BY32-1</f>
        <v>1.9778744055778175E-2</v>
      </c>
      <c r="CF33" s="120">
        <f>CF32/BZ32-1</f>
        <v>2.1797179179751991E-2</v>
      </c>
      <c r="CG33" s="120">
        <f>CG32/CA32-1</f>
        <v>1.957144734922589E-2</v>
      </c>
      <c r="CI33" s="109">
        <f>CI32/CC32-1</f>
        <v>1.8043710080696718E-2</v>
      </c>
      <c r="CJ33" s="110">
        <f>CJ32/CD32-1</f>
        <v>1.7286547573376998E-2</v>
      </c>
      <c r="CK33" s="110">
        <f>CK32/CE32-1</f>
        <v>2.0367322211466643E-2</v>
      </c>
      <c r="CL33" s="120">
        <f>CL32/CF32-1</f>
        <v>2.1547902009950048E-2</v>
      </c>
      <c r="CM33" s="120">
        <f>CM32/CG32-1</f>
        <v>1.9381646439545319E-2</v>
      </c>
      <c r="CO33" s="109">
        <f>CO32/CI32-1</f>
        <v>1.7401397346173075E-2</v>
      </c>
      <c r="CP33" s="110">
        <f>CP32/CJ32-1</f>
        <v>1.8409219167185409E-2</v>
      </c>
      <c r="CQ33" s="110">
        <f>CQ32/CK32-1</f>
        <v>1.957526093608819E-2</v>
      </c>
      <c r="CR33" s="120">
        <f>CR32/CL32-1</f>
        <v>1.9220318791759006E-2</v>
      </c>
      <c r="CS33" s="120">
        <f>CS32/CM32-1</f>
        <v>1.8676161167094696E-2</v>
      </c>
      <c r="CU33" s="109">
        <f>CU32/CO32-1</f>
        <v>1.400082472502584E-2</v>
      </c>
      <c r="CV33" s="110">
        <f>CV32/CP32-1</f>
        <v>1.4810721785731173E-2</v>
      </c>
      <c r="CW33" s="110">
        <f>CW32/CQ32-1</f>
        <v>1.7759843743321735E-2</v>
      </c>
      <c r="CX33" s="120">
        <f>CX32/CR32-1</f>
        <v>1.5448132073376364E-2</v>
      </c>
      <c r="CY33" s="120">
        <f>CY32/CS32-1</f>
        <v>1.5530345709894311E-2</v>
      </c>
      <c r="DA33" s="109">
        <f>DA32/CU32-1</f>
        <v>1.1565557059116882E-2</v>
      </c>
      <c r="DB33" s="110">
        <f>DB32/CV32-1</f>
        <v>1.2071449136505263E-2</v>
      </c>
      <c r="DC33" s="110">
        <f>DC32/CW32-1</f>
        <v>1.3908335169516173E-2</v>
      </c>
      <c r="DD33" s="120">
        <f>DD32/CX32-1</f>
        <v>1.8874290373010583E-2</v>
      </c>
      <c r="DE33" s="120">
        <f>DE32/CY32-1</f>
        <v>1.4230570798979381E-2</v>
      </c>
      <c r="DG33" s="109">
        <f>DG32/DA32-1</f>
        <v>1.2637193908528799E-2</v>
      </c>
      <c r="DH33" s="110">
        <f>DH32/DB32-1</f>
        <v>1.3260820071708368E-2</v>
      </c>
      <c r="DI33" s="110">
        <f>DI32/DC32-1</f>
        <v>1.5562439646637394E-2</v>
      </c>
      <c r="DJ33" s="120">
        <f>DJ32/DD32-1</f>
        <v>1.0653112489161787E-2</v>
      </c>
      <c r="DK33" s="120">
        <f>DK32/DE32-1</f>
        <v>1.2994070447687633E-2</v>
      </c>
    </row>
    <row r="34" spans="2:115" ht="15.75" thickBot="1" x14ac:dyDescent="0.35">
      <c r="B34" s="1"/>
      <c r="AA34" s="103"/>
      <c r="AB34" s="103"/>
      <c r="AC34" s="103"/>
      <c r="AD34" s="103"/>
      <c r="AE34" s="103"/>
      <c r="AG34" s="103"/>
      <c r="AH34" s="103"/>
      <c r="AI34" s="103"/>
      <c r="AJ34" s="103"/>
      <c r="AK34" s="103"/>
      <c r="AM34" s="103"/>
      <c r="AN34" s="103"/>
      <c r="AO34" s="103"/>
      <c r="AP34" s="103"/>
      <c r="AQ34" s="103"/>
      <c r="AS34" s="103"/>
      <c r="AT34" s="103"/>
      <c r="AU34" s="103"/>
      <c r="AV34" s="103"/>
      <c r="AW34" s="103"/>
      <c r="AY34" s="103"/>
      <c r="AZ34" s="103"/>
      <c r="BA34" s="103"/>
      <c r="BB34" s="103"/>
      <c r="BC34" s="103"/>
      <c r="BE34" s="103"/>
      <c r="BF34" s="103"/>
      <c r="BG34" s="103"/>
      <c r="BH34" s="103"/>
      <c r="BI34" s="103"/>
      <c r="BK34" s="103"/>
      <c r="BL34" s="103"/>
      <c r="BM34" s="103"/>
      <c r="BN34" s="103"/>
      <c r="BO34" s="103"/>
      <c r="BQ34" s="103"/>
      <c r="BR34" s="103"/>
      <c r="BS34" s="103"/>
      <c r="BT34" s="103"/>
      <c r="BU34" s="103"/>
      <c r="BW34" s="103"/>
      <c r="BX34" s="103"/>
      <c r="BY34" s="103"/>
      <c r="BZ34" s="103"/>
      <c r="CA34" s="103"/>
      <c r="CC34" s="103"/>
      <c r="CD34" s="103"/>
      <c r="CE34" s="103"/>
      <c r="CF34" s="103"/>
      <c r="CG34" s="103"/>
      <c r="CI34" s="103"/>
      <c r="CJ34" s="103"/>
      <c r="CK34" s="103"/>
      <c r="CL34" s="103"/>
      <c r="CM34" s="103"/>
      <c r="CO34" s="103"/>
      <c r="CP34" s="103"/>
      <c r="CQ34" s="103"/>
      <c r="CR34" s="103"/>
      <c r="CS34" s="103"/>
      <c r="CU34" s="103"/>
      <c r="CV34" s="103"/>
      <c r="CW34" s="103"/>
      <c r="CX34" s="103"/>
      <c r="CY34" s="103"/>
      <c r="DA34" s="103"/>
      <c r="DB34" s="103"/>
      <c r="DC34" s="103"/>
      <c r="DD34" s="103"/>
      <c r="DE34" s="103"/>
      <c r="DG34" s="103"/>
      <c r="DH34" s="103"/>
      <c r="DI34" s="103"/>
      <c r="DJ34" s="103"/>
      <c r="DK34" s="103"/>
    </row>
    <row r="35" spans="2:115" s="135" customFormat="1" ht="15" x14ac:dyDescent="0.3">
      <c r="B35" s="42" t="s">
        <v>57</v>
      </c>
      <c r="C35" s="178">
        <v>65</v>
      </c>
      <c r="D35" s="179">
        <v>91</v>
      </c>
      <c r="E35" s="179">
        <v>94</v>
      </c>
      <c r="F35" s="180">
        <v>88</v>
      </c>
      <c r="G35" s="202">
        <f>G37*1000/G25</f>
        <v>82.336210786026754</v>
      </c>
      <c r="H35" s="134"/>
      <c r="I35" s="178">
        <v>97</v>
      </c>
      <c r="J35" s="179">
        <v>85</v>
      </c>
      <c r="K35" s="179">
        <v>107</v>
      </c>
      <c r="L35" s="180">
        <v>107</v>
      </c>
      <c r="M35" s="202">
        <f>M37*1000/M25</f>
        <v>99.065878642485828</v>
      </c>
      <c r="N35" s="134"/>
      <c r="O35" s="178">
        <v>101</v>
      </c>
      <c r="P35" s="179">
        <v>93</v>
      </c>
      <c r="Q35" s="179">
        <v>103</v>
      </c>
      <c r="R35" s="180">
        <v>99</v>
      </c>
      <c r="S35" s="202">
        <f>S37*1000/S25</f>
        <v>99.100765388865923</v>
      </c>
      <c r="T35" s="134"/>
      <c r="U35" s="211">
        <v>88</v>
      </c>
      <c r="V35" s="212">
        <v>84</v>
      </c>
      <c r="W35" s="212">
        <v>86</v>
      </c>
      <c r="X35" s="212">
        <v>90</v>
      </c>
      <c r="Y35" s="202">
        <f>Y37*1000/Y25</f>
        <v>86.747362646406557</v>
      </c>
      <c r="AA35" s="211">
        <v>78</v>
      </c>
      <c r="AB35" s="212">
        <v>64</v>
      </c>
      <c r="AC35" s="212">
        <v>69</v>
      </c>
      <c r="AD35" s="212">
        <v>79</v>
      </c>
      <c r="AE35" s="202">
        <f>AE37*1000/AE25</f>
        <v>72.640942628046503</v>
      </c>
      <c r="AG35" s="211">
        <v>83</v>
      </c>
      <c r="AH35" s="212">
        <v>82</v>
      </c>
      <c r="AI35" s="212">
        <v>88</v>
      </c>
      <c r="AJ35" s="210">
        <v>86</v>
      </c>
      <c r="AK35" s="202">
        <f>AK37*1000/AK25</f>
        <v>84.949991716138356</v>
      </c>
      <c r="AM35" s="211">
        <v>79</v>
      </c>
      <c r="AN35" s="212">
        <v>78</v>
      </c>
      <c r="AO35" s="212">
        <v>81</v>
      </c>
      <c r="AP35" s="210">
        <v>83</v>
      </c>
      <c r="AQ35" s="202">
        <f>AQ37*1000/AQ25</f>
        <v>80.344148792299336</v>
      </c>
      <c r="AS35" s="211">
        <v>67</v>
      </c>
      <c r="AT35" s="212">
        <v>77</v>
      </c>
      <c r="AU35" s="212">
        <v>73</v>
      </c>
      <c r="AV35" s="210">
        <v>67</v>
      </c>
      <c r="AW35" s="202">
        <f>AW37*1000/AW25</f>
        <v>71.006880430202884</v>
      </c>
      <c r="AY35" s="211">
        <v>74</v>
      </c>
      <c r="AZ35" s="212">
        <v>66</v>
      </c>
      <c r="BA35" s="212">
        <v>56</v>
      </c>
      <c r="BB35" s="210">
        <v>80</v>
      </c>
      <c r="BC35" s="202">
        <f>BC37*1000/BC25</f>
        <v>68.99335879419462</v>
      </c>
      <c r="BE35" s="211">
        <v>82</v>
      </c>
      <c r="BF35" s="212">
        <v>76</v>
      </c>
      <c r="BG35" s="212">
        <v>73</v>
      </c>
      <c r="BH35" s="210">
        <v>81</v>
      </c>
      <c r="BI35" s="202">
        <f>BI37*1000/BI25</f>
        <v>78.047927506818596</v>
      </c>
      <c r="BK35" s="211">
        <v>73</v>
      </c>
      <c r="BL35" s="212">
        <v>75</v>
      </c>
      <c r="BM35" s="212">
        <v>92</v>
      </c>
      <c r="BN35" s="210">
        <v>94</v>
      </c>
      <c r="BO35" s="202">
        <f>BO37*1000/BO25</f>
        <v>83.514258766290524</v>
      </c>
      <c r="BQ35" s="211">
        <f>BK35*(1+BQ36)</f>
        <v>80.300000000000011</v>
      </c>
      <c r="BR35" s="212">
        <f>BL35*(1+BR36)</f>
        <v>78.75</v>
      </c>
      <c r="BS35" s="212">
        <f>BM35*(1+BS36)</f>
        <v>96.600000000000009</v>
      </c>
      <c r="BT35" s="210">
        <f>BN35*(1+BT36)</f>
        <v>94</v>
      </c>
      <c r="BU35" s="202">
        <f>BU37*1000/BU25</f>
        <v>87.328781214786801</v>
      </c>
      <c r="BW35" s="211">
        <f>BQ35*(1+BW36)</f>
        <v>84.315000000000012</v>
      </c>
      <c r="BX35" s="212">
        <f>BR35*(1+BX36)</f>
        <v>80.71875</v>
      </c>
      <c r="BY35" s="212">
        <f>BS35*(1+BY36)</f>
        <v>99.015000000000001</v>
      </c>
      <c r="BZ35" s="210">
        <f>BT35*(1+BZ36)</f>
        <v>96.35</v>
      </c>
      <c r="CA35" s="202">
        <f>CA37*1000/CA25</f>
        <v>90.193743989164176</v>
      </c>
      <c r="CC35" s="211">
        <f>BW35*(1+CC36)</f>
        <v>86.422875000000005</v>
      </c>
      <c r="CD35" s="212">
        <f>BX35*(1+CD36)</f>
        <v>82.736718749999994</v>
      </c>
      <c r="CE35" s="212">
        <f>BY35*(1+CE36)</f>
        <v>101.49037499999999</v>
      </c>
      <c r="CF35" s="210">
        <f>BZ35*(1+CF36)</f>
        <v>98.758749999999992</v>
      </c>
      <c r="CG35" s="202">
        <f>CG37*1000/CG25</f>
        <v>92.407213800059779</v>
      </c>
      <c r="CI35" s="211">
        <f>CC35*(1+CI36)</f>
        <v>88.583446874999993</v>
      </c>
      <c r="CJ35" s="212">
        <f>CD35*(1+CJ36)</f>
        <v>84.805136718749992</v>
      </c>
      <c r="CK35" s="212">
        <f>CE35*(1+CK36)</f>
        <v>104.02763437499998</v>
      </c>
      <c r="CL35" s="210">
        <f>CF35*(1+CL36)</f>
        <v>101.22771874999998</v>
      </c>
      <c r="CM35" s="202">
        <f>CM37*1000/CM25</f>
        <v>94.759998677214043</v>
      </c>
      <c r="CO35" s="211">
        <f>CI35*(1+CO36)</f>
        <v>90.798033046874991</v>
      </c>
      <c r="CP35" s="212">
        <f>CJ35*(1+CP36)</f>
        <v>86.925265136718735</v>
      </c>
      <c r="CQ35" s="212">
        <f>CK35*(1+CQ36)</f>
        <v>106.62832523437497</v>
      </c>
      <c r="CR35" s="210">
        <f>CL35*(1+CR36)</f>
        <v>103.75841171874997</v>
      </c>
      <c r="CS35" s="202">
        <f>CS37*1000/CS25</f>
        <v>97.059206169943039</v>
      </c>
      <c r="CU35" s="211">
        <f>CO35*(1+CU36)</f>
        <v>93.067983873046856</v>
      </c>
      <c r="CV35" s="212">
        <f>CP35*(1+CV36)</f>
        <v>89.098396765136698</v>
      </c>
      <c r="CW35" s="212">
        <f>CQ35*(1+CW36)</f>
        <v>109.29403336523434</v>
      </c>
      <c r="CX35" s="210">
        <f>CR35*(1+CX36)</f>
        <v>106.35237201171871</v>
      </c>
      <c r="CY35" s="202">
        <f>CY37*1000/CY25</f>
        <v>99.465006801186789</v>
      </c>
      <c r="DA35" s="211">
        <f>CU35*(1+DA36)</f>
        <v>95.394683469873016</v>
      </c>
      <c r="DB35" s="212">
        <f>CV35*(1+DB36)</f>
        <v>91.325856684265105</v>
      </c>
      <c r="DC35" s="212">
        <f>CW35*(1+DC36)</f>
        <v>112.0263841993652</v>
      </c>
      <c r="DD35" s="210">
        <f>CX35*(1+DD36)</f>
        <v>109.01118131201167</v>
      </c>
      <c r="DE35" s="202">
        <f>DE37*1000/DE25</f>
        <v>101.98975680950046</v>
      </c>
      <c r="DG35" s="211">
        <f>DA35*(1+DG36)</f>
        <v>97.779550556619839</v>
      </c>
      <c r="DH35" s="212">
        <f>DB35*(1+DH36)</f>
        <v>93.609003101371727</v>
      </c>
      <c r="DI35" s="212">
        <f>DC35*(1+DI36)</f>
        <v>114.82704380434932</v>
      </c>
      <c r="DJ35" s="210">
        <f>DD35*(1+DJ36)</f>
        <v>111.73646084481196</v>
      </c>
      <c r="DK35" s="202">
        <f>DK37*1000/DK25</f>
        <v>104.49629635835339</v>
      </c>
    </row>
    <row r="36" spans="2:115" ht="15" x14ac:dyDescent="0.3">
      <c r="B36" s="40" t="s">
        <v>23</v>
      </c>
      <c r="C36" s="144" t="s">
        <v>35</v>
      </c>
      <c r="D36" s="107" t="s">
        <v>35</v>
      </c>
      <c r="E36" s="107" t="s">
        <v>35</v>
      </c>
      <c r="F36" s="145" t="s">
        <v>35</v>
      </c>
      <c r="G36" s="138" t="s">
        <v>35</v>
      </c>
      <c r="I36" s="151">
        <f>I35/C35-1</f>
        <v>0.49230769230769234</v>
      </c>
      <c r="J36" s="133">
        <f>J35/D35-1</f>
        <v>-6.5934065934065922E-2</v>
      </c>
      <c r="K36" s="133">
        <f>K35/E35-1</f>
        <v>0.13829787234042556</v>
      </c>
      <c r="L36" s="152">
        <f>L35/F35-1</f>
        <v>0.21590909090909083</v>
      </c>
      <c r="M36" s="153">
        <f>M35/G35-1</f>
        <v>0.20318724528064225</v>
      </c>
      <c r="O36" s="151">
        <f>O35/I35-1</f>
        <v>4.1237113402061931E-2</v>
      </c>
      <c r="P36" s="133">
        <f>P35/J35-1</f>
        <v>9.4117647058823639E-2</v>
      </c>
      <c r="Q36" s="133">
        <f>Q35/K35-1</f>
        <v>-3.7383177570093462E-2</v>
      </c>
      <c r="R36" s="152">
        <f>R35/L35-1</f>
        <v>-7.4766355140186924E-2</v>
      </c>
      <c r="S36" s="153">
        <f>S35/M35-1</f>
        <v>3.5215703790392183E-4</v>
      </c>
      <c r="U36" s="151">
        <f>U35/O35-1</f>
        <v>-0.12871287128712872</v>
      </c>
      <c r="V36" s="133">
        <f>V35/P35-1</f>
        <v>-9.6774193548387122E-2</v>
      </c>
      <c r="W36" s="133">
        <f>W35/Q35-1</f>
        <v>-0.16504854368932043</v>
      </c>
      <c r="X36" s="133">
        <f>X35/R35-1</f>
        <v>-9.0909090909090939E-2</v>
      </c>
      <c r="Y36" s="153">
        <f>Y35/S35-1</f>
        <v>-0.12465496804172294</v>
      </c>
      <c r="AA36" s="151">
        <f>AA35/U35-1</f>
        <v>-0.11363636363636365</v>
      </c>
      <c r="AB36" s="133">
        <f>AB35/V35-1</f>
        <v>-0.23809523809523814</v>
      </c>
      <c r="AC36" s="133">
        <f>AC35/W35-1</f>
        <v>-0.19767441860465118</v>
      </c>
      <c r="AD36" s="133">
        <f>AD35/X35-1</f>
        <v>-0.12222222222222223</v>
      </c>
      <c r="AE36" s="153">
        <f>AE35/Y35-1</f>
        <v>-0.16261497281317527</v>
      </c>
      <c r="AG36" s="151">
        <f>AG35/AA35-1</f>
        <v>6.4102564102564097E-2</v>
      </c>
      <c r="AH36" s="133">
        <f>AH35/AB35-1</f>
        <v>0.28125</v>
      </c>
      <c r="AI36" s="133">
        <f>AI35/AC35-1</f>
        <v>0.2753623188405796</v>
      </c>
      <c r="AJ36" s="133">
        <f>AJ35/AD35-1</f>
        <v>8.8607594936708889E-2</v>
      </c>
      <c r="AK36" s="153">
        <f>AK35/AE35-1</f>
        <v>0.16945056937269642</v>
      </c>
      <c r="AM36" s="151">
        <f>AM35/AG35-1</f>
        <v>-4.8192771084337394E-2</v>
      </c>
      <c r="AN36" s="133">
        <f>AN35/AH35-1</f>
        <v>-4.8780487804878092E-2</v>
      </c>
      <c r="AO36" s="133">
        <f>AO35/AI35-1</f>
        <v>-7.9545454545454586E-2</v>
      </c>
      <c r="AP36" s="133">
        <f>AP35/AJ35-1</f>
        <v>-3.4883720930232509E-2</v>
      </c>
      <c r="AQ36" s="153">
        <f>AQ35/AK35-1</f>
        <v>-5.4218285732499094E-2</v>
      </c>
      <c r="AS36" s="151">
        <f>AS35/AM35-1</f>
        <v>-0.15189873417721522</v>
      </c>
      <c r="AT36" s="133">
        <f>AT35/AN35-1</f>
        <v>-1.2820512820512775E-2</v>
      </c>
      <c r="AU36" s="133">
        <f>AU35/AO35-1</f>
        <v>-9.8765432098765427E-2</v>
      </c>
      <c r="AV36" s="133">
        <f>AV35/AP35-1</f>
        <v>-0.19277108433734935</v>
      </c>
      <c r="AW36" s="153">
        <f>AW35/AQ35-1</f>
        <v>-0.11621590996295916</v>
      </c>
      <c r="AY36" s="151">
        <f>AY35/AS35-1</f>
        <v>0.10447761194029859</v>
      </c>
      <c r="AZ36" s="133">
        <f>AZ35/AT35-1</f>
        <v>-0.1428571428571429</v>
      </c>
      <c r="BA36" s="133">
        <f>BA35/AU35-1</f>
        <v>-0.23287671232876717</v>
      </c>
      <c r="BB36" s="133">
        <f>BB35/AV35-1</f>
        <v>0.19402985074626855</v>
      </c>
      <c r="BC36" s="153">
        <f>BC35/AW35-1</f>
        <v>-2.8356711684968006E-2</v>
      </c>
      <c r="BE36" s="151">
        <f>BE35/AY35-1</f>
        <v>0.10810810810810811</v>
      </c>
      <c r="BF36" s="133">
        <f>BF35/AZ35-1</f>
        <v>0.1515151515151516</v>
      </c>
      <c r="BG36" s="133">
        <f>BG35/BA35-1</f>
        <v>0.3035714285714286</v>
      </c>
      <c r="BH36" s="133">
        <f>BH35/BB35-1</f>
        <v>1.2499999999999956E-2</v>
      </c>
      <c r="BI36" s="153">
        <f>BI35/BC35-1</f>
        <v>0.13123826511524861</v>
      </c>
      <c r="BK36" s="151">
        <f>BK35/BE35-1</f>
        <v>-0.1097560975609756</v>
      </c>
      <c r="BL36" s="133">
        <f>BL35/BF35-1</f>
        <v>-1.3157894736842146E-2</v>
      </c>
      <c r="BM36" s="133">
        <f>BM35/BG35-1</f>
        <v>0.26027397260273966</v>
      </c>
      <c r="BN36" s="133">
        <f>BN35/BH35-1</f>
        <v>0.16049382716049387</v>
      </c>
      <c r="BO36" s="153">
        <f>BO35/BI35-1</f>
        <v>7.0038134696073451E-2</v>
      </c>
      <c r="BQ36" s="151">
        <v>0.1</v>
      </c>
      <c r="BR36" s="133">
        <v>0.05</v>
      </c>
      <c r="BS36" s="133">
        <v>0.05</v>
      </c>
      <c r="BT36" s="152">
        <v>0</v>
      </c>
      <c r="BU36" s="153">
        <f>BU35/BO35-1</f>
        <v>4.5675103926516192E-2</v>
      </c>
      <c r="BW36" s="151">
        <v>0.05</v>
      </c>
      <c r="BX36" s="133">
        <v>2.5000000000000001E-2</v>
      </c>
      <c r="BY36" s="133">
        <v>2.5000000000000001E-2</v>
      </c>
      <c r="BZ36" s="152">
        <v>2.5000000000000001E-2</v>
      </c>
      <c r="CA36" s="153">
        <f>CA35/BU35-1</f>
        <v>3.2806627259928778E-2</v>
      </c>
      <c r="CC36" s="151">
        <v>2.5000000000000001E-2</v>
      </c>
      <c r="CD36" s="133">
        <v>2.5000000000000001E-2</v>
      </c>
      <c r="CE36" s="133">
        <v>2.5000000000000001E-2</v>
      </c>
      <c r="CF36" s="152">
        <v>2.5000000000000001E-2</v>
      </c>
      <c r="CG36" s="153">
        <f>CG35/CA35-1</f>
        <v>2.4541278729504068E-2</v>
      </c>
      <c r="CI36" s="151">
        <v>2.5000000000000001E-2</v>
      </c>
      <c r="CJ36" s="133">
        <v>2.5000000000000001E-2</v>
      </c>
      <c r="CK36" s="133">
        <v>2.5000000000000001E-2</v>
      </c>
      <c r="CL36" s="152">
        <v>2.5000000000000001E-2</v>
      </c>
      <c r="CM36" s="153">
        <f>CM35/CG35-1</f>
        <v>2.5461052015321561E-2</v>
      </c>
      <c r="CO36" s="151">
        <v>2.5000000000000001E-2</v>
      </c>
      <c r="CP36" s="133">
        <v>2.5000000000000001E-2</v>
      </c>
      <c r="CQ36" s="133">
        <v>2.5000000000000001E-2</v>
      </c>
      <c r="CR36" s="152">
        <v>2.5000000000000001E-2</v>
      </c>
      <c r="CS36" s="153">
        <f>CS35/CM35-1</f>
        <v>2.426348168873349E-2</v>
      </c>
      <c r="CU36" s="151">
        <v>2.5000000000000001E-2</v>
      </c>
      <c r="CV36" s="133">
        <v>2.5000000000000001E-2</v>
      </c>
      <c r="CW36" s="133">
        <v>2.5000000000000001E-2</v>
      </c>
      <c r="CX36" s="152">
        <v>2.5000000000000001E-2</v>
      </c>
      <c r="CY36" s="153">
        <f>CY35/CS35-1</f>
        <v>2.4786939087791282E-2</v>
      </c>
      <c r="DA36" s="151">
        <v>2.5000000000000001E-2</v>
      </c>
      <c r="DB36" s="133">
        <v>2.5000000000000001E-2</v>
      </c>
      <c r="DC36" s="133">
        <v>2.5000000000000001E-2</v>
      </c>
      <c r="DD36" s="152">
        <v>2.5000000000000001E-2</v>
      </c>
      <c r="DE36" s="153">
        <f>DE35/CY35-1</f>
        <v>2.5383299006455751E-2</v>
      </c>
      <c r="DG36" s="151">
        <v>2.5000000000000001E-2</v>
      </c>
      <c r="DH36" s="133">
        <v>2.5000000000000001E-2</v>
      </c>
      <c r="DI36" s="133">
        <v>2.5000000000000001E-2</v>
      </c>
      <c r="DJ36" s="152">
        <v>2.5000000000000001E-2</v>
      </c>
      <c r="DK36" s="153">
        <f>DK35/DE35-1</f>
        <v>2.4576385190668848E-2</v>
      </c>
    </row>
    <row r="37" spans="2:115" ht="15" x14ac:dyDescent="0.3">
      <c r="B37" s="39" t="s">
        <v>55</v>
      </c>
      <c r="C37" s="194">
        <f>C35*C25/1000</f>
        <v>188.935305</v>
      </c>
      <c r="D37" s="194">
        <f>D35*D25/1000</f>
        <v>190.14668399999999</v>
      </c>
      <c r="E37" s="194">
        <f>E35*E25/1000</f>
        <v>158.86000000000001</v>
      </c>
      <c r="F37" s="195">
        <f>F35*F25/1000</f>
        <v>195.39885199999998</v>
      </c>
      <c r="G37" s="196">
        <f>C37+D37+E37+F37</f>
        <v>733.34084099999995</v>
      </c>
      <c r="I37" s="193">
        <f>I35*I25/1000</f>
        <v>176.20699900000002</v>
      </c>
      <c r="J37" s="194">
        <f>J35*J25/1000</f>
        <v>167.24515000000002</v>
      </c>
      <c r="K37" s="194">
        <f>K35*K25/1000</f>
        <v>191.592274</v>
      </c>
      <c r="L37" s="195">
        <f>L35*L25/1000</f>
        <v>232.25676799999999</v>
      </c>
      <c r="M37" s="196">
        <f>I37+J37+K37+L37</f>
        <v>767.30119100000002</v>
      </c>
      <c r="N37" s="129"/>
      <c r="O37" s="193">
        <f>O35*O25/1000</f>
        <v>177.46104</v>
      </c>
      <c r="P37" s="194">
        <f>P35*P25/1000</f>
        <v>152.6777745</v>
      </c>
      <c r="Q37" s="194">
        <f>Q35*Q25/1000</f>
        <v>180.91368050000003</v>
      </c>
      <c r="R37" s="195">
        <f>R35*R25/1000</f>
        <v>167.22921599999998</v>
      </c>
      <c r="S37" s="196">
        <f>O37+P37+Q37+R37</f>
        <v>678.28171099999997</v>
      </c>
      <c r="U37" s="193">
        <f>U35*U25/1000</f>
        <v>233.71040000000002</v>
      </c>
      <c r="V37" s="194">
        <f>V35*V25/1000</f>
        <v>201.98976000000005</v>
      </c>
      <c r="W37" s="194">
        <f>W35*W25/1000</f>
        <v>216.29154800000001</v>
      </c>
      <c r="X37" s="194">
        <f>X35*X25/1000</f>
        <v>142.75692000000001</v>
      </c>
      <c r="Y37" s="196">
        <f>U37+V37+W37+X37</f>
        <v>794.74862800000017</v>
      </c>
      <c r="AA37" s="193">
        <f>AA35*AA25/1000</f>
        <v>112.20533999999999</v>
      </c>
      <c r="AB37" s="194">
        <f>AB35*AB25/1000</f>
        <v>102.475776</v>
      </c>
      <c r="AC37" s="194">
        <f>AC35*AC25/1000</f>
        <v>134.549655</v>
      </c>
      <c r="AD37" s="194">
        <f>AD35*AD25/1000</f>
        <v>164.31447</v>
      </c>
      <c r="AE37" s="196">
        <f>AA37+AB37+AC37+AD37</f>
        <v>513.54524100000003</v>
      </c>
      <c r="AG37" s="193">
        <f>AG35*AG25/1000</f>
        <v>124.07059950000001</v>
      </c>
      <c r="AH37" s="194">
        <f>AH35*AH25/1000</f>
        <v>151.86154000000002</v>
      </c>
      <c r="AI37" s="194">
        <f>AI35*AI25/1000</f>
        <v>178.17747200000002</v>
      </c>
      <c r="AJ37" s="194">
        <f>AJ35*AJ25/1000</f>
        <v>180.41097200000002</v>
      </c>
      <c r="AK37" s="196">
        <f>AG37+AH37+AI37+AJ37</f>
        <v>634.52058350000016</v>
      </c>
      <c r="AM37" s="193">
        <f>AM35*AM25/1000</f>
        <v>156.58060700000001</v>
      </c>
      <c r="AN37" s="194">
        <f>AN35*AN25/1000</f>
        <v>168.72823499999998</v>
      </c>
      <c r="AO37" s="194">
        <f>AO35*AO25/1000</f>
        <v>164.26702799999998</v>
      </c>
      <c r="AP37" s="195">
        <f>AP35*AP25/1000</f>
        <v>200.16466749999998</v>
      </c>
      <c r="AQ37" s="196">
        <f>AM37+AN37+AO37+AP37</f>
        <v>689.74053749999996</v>
      </c>
      <c r="AS37" s="193">
        <f>AS35*AS25/1000</f>
        <v>136.446505</v>
      </c>
      <c r="AT37" s="194">
        <f>AT35*AT25/1000</f>
        <v>168.88340700000001</v>
      </c>
      <c r="AU37" s="194">
        <f>AU35*AU25/1000</f>
        <v>187.40669499999998</v>
      </c>
      <c r="AV37" s="194">
        <f>AV35*AV25/1000</f>
        <v>168.90706700000001</v>
      </c>
      <c r="AW37" s="196">
        <f>AS37+AT37+AU37+AV37</f>
        <v>661.64367400000003</v>
      </c>
      <c r="AY37" s="193">
        <f>AY35*AY25/1000</f>
        <v>163.156643</v>
      </c>
      <c r="AZ37" s="194">
        <f>AZ35*AZ25/1000</f>
        <v>149.88319500000003</v>
      </c>
      <c r="BA37" s="194">
        <f>BA35*BA25/1000</f>
        <v>143.89978399999998</v>
      </c>
      <c r="BB37" s="194">
        <f>BB35*BB25/1000</f>
        <v>211.85239999999996</v>
      </c>
      <c r="BC37" s="196">
        <f>AY37+AZ37+BA37+BB37</f>
        <v>668.79202199999997</v>
      </c>
      <c r="BE37" s="193">
        <f>BE35*BE25/1000</f>
        <v>181.57948800000003</v>
      </c>
      <c r="BF37" s="194">
        <f>BF35*BF25/1000</f>
        <v>168.14247599999999</v>
      </c>
      <c r="BG37" s="194">
        <f>BG35*BG25/1000</f>
        <v>168.29244800000001</v>
      </c>
      <c r="BH37" s="195">
        <f>BH35*BH25/1000</f>
        <v>203.50480500000003</v>
      </c>
      <c r="BI37" s="196">
        <f>BE37+BF37+BG37+BH37</f>
        <v>721.51921700000003</v>
      </c>
      <c r="BK37" s="193">
        <f>BK35*BK25/1000</f>
        <v>175.64212449999999</v>
      </c>
      <c r="BL37" s="194">
        <f>BL35*BL25/1000</f>
        <v>172.09218749999999</v>
      </c>
      <c r="BM37" s="194">
        <f>BM35*BM25/1000</f>
        <v>199.78973000000002</v>
      </c>
      <c r="BN37" s="195">
        <f>BN35*BN25/1000</f>
        <v>236.72278499999999</v>
      </c>
      <c r="BO37" s="196">
        <f>BK37+BL37+BM37+BN37</f>
        <v>784.24682699999994</v>
      </c>
      <c r="BQ37" s="193">
        <f>BQ35*BQ25/1000</f>
        <v>184.72212000000002</v>
      </c>
      <c r="BR37" s="194">
        <f>BR35*BR25/1000</f>
        <v>173.94300000000001</v>
      </c>
      <c r="BS37" s="194">
        <f>BS35*BS25/1000</f>
        <v>206.27118750000002</v>
      </c>
      <c r="BT37" s="195">
        <f>BT35*BT25/1000</f>
        <v>215.87687500000001</v>
      </c>
      <c r="BU37" s="196">
        <f>BQ37+BR37+BS37+BT37</f>
        <v>780.81318250000004</v>
      </c>
      <c r="BW37" s="193">
        <f>BW35*BW25/1000</f>
        <v>179.78065875000004</v>
      </c>
      <c r="BX37" s="194">
        <f>BX35*BX25/1000</f>
        <v>170.59403320312501</v>
      </c>
      <c r="BY37" s="194">
        <f>BY35*BY25/1000</f>
        <v>209.81897343750001</v>
      </c>
      <c r="BZ37" s="195">
        <f>BZ35*BZ25/1000</f>
        <v>217.02837500000001</v>
      </c>
      <c r="CA37" s="196">
        <f>BW37+BX37+BY37+BZ37</f>
        <v>777.22204039062501</v>
      </c>
      <c r="CC37" s="193">
        <f>CC35*CC25/1000</f>
        <v>184.59385957031253</v>
      </c>
      <c r="CD37" s="194">
        <f>CD35*CD25/1000</f>
        <v>175.07089687499999</v>
      </c>
      <c r="CE37" s="194">
        <f>CE35*CE25/1000</f>
        <v>215.21034018749998</v>
      </c>
      <c r="CF37" s="195">
        <f>CF35*CF25/1000</f>
        <v>217.43590539062498</v>
      </c>
      <c r="CG37" s="196">
        <f>CC37+CD37+CE37+CF37</f>
        <v>792.31100202343748</v>
      </c>
      <c r="CI37" s="193">
        <f>CI35*CI25/1000</f>
        <v>186.67300489277343</v>
      </c>
      <c r="CJ37" s="194">
        <f>CJ35*CJ25/1000</f>
        <v>178.99714200805664</v>
      </c>
      <c r="CK37" s="194">
        <f>CK35*CK25/1000</f>
        <v>222.58012719960934</v>
      </c>
      <c r="CL37" s="195">
        <f>CL35*CL25/1000</f>
        <v>222.22014958593746</v>
      </c>
      <c r="CM37" s="196">
        <f>CI37+CJ37+CK37+CL37</f>
        <v>810.47042368637699</v>
      </c>
      <c r="CO37" s="193">
        <f>CO35*CO25/1000</f>
        <v>192.97419460993649</v>
      </c>
      <c r="CP37" s="194">
        <f>CP35*CP25/1000</f>
        <v>185.03672533071898</v>
      </c>
      <c r="CQ37" s="194">
        <f>CQ35*CQ25/1000</f>
        <v>227.33825367001458</v>
      </c>
      <c r="CR37" s="195">
        <f>CR35*CR25/1000</f>
        <v>224.22192772421869</v>
      </c>
      <c r="CS37" s="196">
        <f>CO37+CP37+CQ37+CR37</f>
        <v>829.57110133488868</v>
      </c>
      <c r="CU37" s="193">
        <f>CU35*CU25/1000</f>
        <v>199.15966873932823</v>
      </c>
      <c r="CV37" s="194">
        <f>CV35*CV25/1000</f>
        <v>190.96570751667704</v>
      </c>
      <c r="CW37" s="194">
        <f>CW35*CW25/1000</f>
        <v>234.6201352497315</v>
      </c>
      <c r="CX37" s="195">
        <f>CX35*CX25/1000</f>
        <v>228.66424684844597</v>
      </c>
      <c r="CY37" s="196">
        <f>CU37+CV37+CW37+CX37</f>
        <v>853.40975835418271</v>
      </c>
      <c r="DA37" s="193">
        <f>DA35*DA25/1000</f>
        <v>202.98796208845604</v>
      </c>
      <c r="DB37" s="194">
        <f>DB35*DB25/1000</f>
        <v>194.53549046957022</v>
      </c>
      <c r="DC37" s="194">
        <f>DC35*DC25/1000</f>
        <v>238.88226100712134</v>
      </c>
      <c r="DD37" s="195">
        <f>DD35*DD25/1000</f>
        <v>238.27118955272951</v>
      </c>
      <c r="DE37" s="196">
        <f>DA37+DB37+DC37+DD37</f>
        <v>874.67690311787715</v>
      </c>
      <c r="DG37" s="193">
        <f>DG35*DG25/1000</f>
        <v>209.16268108442941</v>
      </c>
      <c r="DH37" s="194">
        <f>DH35*DH25/1000</f>
        <v>200.45197901619989</v>
      </c>
      <c r="DI37" s="194">
        <f>DI35*DI25/1000</f>
        <v>246.14612177509829</v>
      </c>
      <c r="DJ37" s="195">
        <f>DJ35*DJ25/1000</f>
        <v>239.77247791536087</v>
      </c>
      <c r="DK37" s="196">
        <f>DG37+DH37+DI37+DJ37</f>
        <v>895.53325979108854</v>
      </c>
    </row>
    <row r="38" spans="2:115" ht="15" x14ac:dyDescent="0.3">
      <c r="B38" s="40" t="s">
        <v>23</v>
      </c>
      <c r="C38" s="144" t="s">
        <v>35</v>
      </c>
      <c r="D38" s="107" t="s">
        <v>35</v>
      </c>
      <c r="E38" s="107" t="s">
        <v>35</v>
      </c>
      <c r="F38" s="145" t="s">
        <v>35</v>
      </c>
      <c r="G38" s="138" t="s">
        <v>35</v>
      </c>
      <c r="I38" s="151">
        <f>I37/C37-1</f>
        <v>-6.7368594768457801E-2</v>
      </c>
      <c r="J38" s="133">
        <f>J37/D37-1</f>
        <v>-0.12044140617251031</v>
      </c>
      <c r="K38" s="133">
        <f>K37/E37-1</f>
        <v>0.20604478156867678</v>
      </c>
      <c r="L38" s="152">
        <f>L37/F37-1</f>
        <v>0.18862913278528382</v>
      </c>
      <c r="M38" s="153">
        <f>M37/G37-1</f>
        <v>4.6309094081942836E-2</v>
      </c>
      <c r="O38" s="151">
        <f>O37/I37-1</f>
        <v>7.1168625940900565E-3</v>
      </c>
      <c r="P38" s="133">
        <f>P37/J37-1</f>
        <v>-8.7101930908011549E-2</v>
      </c>
      <c r="Q38" s="133">
        <f>Q37/K37-1</f>
        <v>-5.5736034011475755E-2</v>
      </c>
      <c r="R38" s="152">
        <f>R37/L37-1</f>
        <v>-0.27998130069561644</v>
      </c>
      <c r="S38" s="153">
        <f>S37/M37-1</f>
        <v>-0.11601634539884353</v>
      </c>
      <c r="U38" s="151">
        <f>U37/O37-1</f>
        <v>0.31696737492353266</v>
      </c>
      <c r="V38" s="133">
        <f>V37/P37-1</f>
        <v>0.32298077216209387</v>
      </c>
      <c r="W38" s="133">
        <f>W37/Q37-1</f>
        <v>0.1955510904549862</v>
      </c>
      <c r="X38" s="133">
        <f>X37/R37-1</f>
        <v>-0.14633983573779341</v>
      </c>
      <c r="Y38" s="153">
        <f>Y37/S37-1</f>
        <v>0.17170876806967339</v>
      </c>
      <c r="AA38" s="151">
        <f>AA37/U37-1</f>
        <v>-0.51989581978380084</v>
      </c>
      <c r="AB38" s="133">
        <f>AB37/V37-1</f>
        <v>-0.49266846002490439</v>
      </c>
      <c r="AC38" s="133">
        <f>AC37/W37-1</f>
        <v>-0.37792458261013506</v>
      </c>
      <c r="AD38" s="133">
        <f>AD37/X37-1</f>
        <v>0.15100879172792459</v>
      </c>
      <c r="AE38" s="153">
        <f>AE37/Y37-1</f>
        <v>-0.35382682912917229</v>
      </c>
      <c r="AG38" s="151">
        <f>AG37/AA37-1</f>
        <v>0.10574594310752072</v>
      </c>
      <c r="AH38" s="133">
        <f>AH37/AB37-1</f>
        <v>0.48192622615514535</v>
      </c>
      <c r="AI38" s="133">
        <f>AI37/AC37-1</f>
        <v>0.32425067905228011</v>
      </c>
      <c r="AJ38" s="133">
        <f>AJ37/AD37-1</f>
        <v>9.7961561145528009E-2</v>
      </c>
      <c r="AK38" s="153">
        <f>AK37/AE37-1</f>
        <v>0.23556900705462902</v>
      </c>
      <c r="AM38" s="151">
        <f>AM37/AG37-1</f>
        <v>0.26202829381831116</v>
      </c>
      <c r="AN38" s="133">
        <f>AN37/AH37-1</f>
        <v>0.11106627128896474</v>
      </c>
      <c r="AO38" s="133">
        <f>AO37/AI37-1</f>
        <v>-7.8070722655667946E-2</v>
      </c>
      <c r="AP38" s="152">
        <f>AP37/AJ37-1</f>
        <v>0.10949276133826258</v>
      </c>
      <c r="AQ38" s="153">
        <f>AQ37/AK37-1</f>
        <v>8.7026261142558736E-2</v>
      </c>
      <c r="AS38" s="151">
        <f>AS37/AM37-1</f>
        <v>-0.12858617925781834</v>
      </c>
      <c r="AT38" s="133">
        <f>AT37/AN37-1</f>
        <v>9.1965639301583302E-4</v>
      </c>
      <c r="AU38" s="133">
        <f>AU37/AO37-1</f>
        <v>0.14086616944211117</v>
      </c>
      <c r="AV38" s="133">
        <f>AV37/AP37-1</f>
        <v>-0.15615943058482074</v>
      </c>
      <c r="AW38" s="153">
        <f>AW37/AQ37-1</f>
        <v>-4.0735409871425654E-2</v>
      </c>
      <c r="AY38" s="151">
        <f>AY37/AS37-1</f>
        <v>0.19575538413387727</v>
      </c>
      <c r="AZ38" s="133">
        <f>AZ37/AT37-1</f>
        <v>-0.11250490700960325</v>
      </c>
      <c r="BA38" s="133">
        <f>BA37/AU37-1</f>
        <v>-0.23215238388361747</v>
      </c>
      <c r="BB38" s="133">
        <f>BB37/AV37-1</f>
        <v>0.25425421068971588</v>
      </c>
      <c r="BC38" s="153">
        <f>BC37/AW37-1</f>
        <v>1.0803924046888014E-2</v>
      </c>
      <c r="BE38" s="151">
        <f>BE37/AY37-1</f>
        <v>0.11291507756751296</v>
      </c>
      <c r="BF38" s="133">
        <f>BF37/AZ37-1</f>
        <v>0.12182340388460466</v>
      </c>
      <c r="BG38" s="133">
        <f>BG37/BA37-1</f>
        <v>0.16951147056621041</v>
      </c>
      <c r="BH38" s="152">
        <f>BH37/BB37-1</f>
        <v>-3.9402881440096627E-2</v>
      </c>
      <c r="BI38" s="153">
        <f>BI37/BC37-1</f>
        <v>7.8839449732550859E-2</v>
      </c>
      <c r="BK38" s="151">
        <f>BK37/BE37-1</f>
        <v>-3.269842626717856E-2</v>
      </c>
      <c r="BL38" s="133">
        <f>BL37/BF37-1</f>
        <v>2.3490266076491073E-2</v>
      </c>
      <c r="BM38" s="133">
        <f>BM37/BG37-1</f>
        <v>0.18715802387044733</v>
      </c>
      <c r="BN38" s="152">
        <f>BN37/BH37-1</f>
        <v>0.16322946281292938</v>
      </c>
      <c r="BO38" s="153">
        <f>BO37/BI37-1</f>
        <v>8.6938238818939029E-2</v>
      </c>
      <c r="BQ38" s="151">
        <f>BQ37/BK37-1</f>
        <v>5.1696001320002294E-2</v>
      </c>
      <c r="BR38" s="133">
        <f>BR37/BL37-1</f>
        <v>1.0754773513469429E-2</v>
      </c>
      <c r="BS38" s="133">
        <f>BS37/BM37-1</f>
        <v>3.2441394760381437E-2</v>
      </c>
      <c r="BT38" s="152">
        <f>BT37/BN37-1</f>
        <v>-8.8060428995037299E-2</v>
      </c>
      <c r="BU38" s="153">
        <f>BU37/BO37-1</f>
        <v>-4.3782701845728189E-3</v>
      </c>
      <c r="BW38" s="151">
        <f>BW37/BQ37-1</f>
        <v>-2.675078247261331E-2</v>
      </c>
      <c r="BX38" s="133">
        <f>BX37/BR37-1</f>
        <v>-1.9253242710974283E-2</v>
      </c>
      <c r="BY38" s="133">
        <f>BY37/BS37-1</f>
        <v>1.7199619493633689E-2</v>
      </c>
      <c r="BZ38" s="152">
        <f>BZ37/BT37-1</f>
        <v>5.3340590556538725E-3</v>
      </c>
      <c r="CA38" s="153">
        <f>CA37/BU37-1</f>
        <v>-4.5992334528432988E-3</v>
      </c>
      <c r="CC38" s="151">
        <f>CC37/BW37-1</f>
        <v>2.6772628678625843E-2</v>
      </c>
      <c r="CD38" s="133">
        <f>CD37/BX37-1</f>
        <v>2.6242791660505471E-2</v>
      </c>
      <c r="CE38" s="133">
        <f>CE37/BY37-1</f>
        <v>2.5695325173278105E-2</v>
      </c>
      <c r="CF38" s="152">
        <f>CF37/BZ37-1</f>
        <v>1.8777746947833407E-3</v>
      </c>
      <c r="CG38" s="153">
        <f>CG37/CA37-1</f>
        <v>1.9413965184555071E-2</v>
      </c>
      <c r="CI38" s="151">
        <f>CI37/CC37-1</f>
        <v>1.1263350402340722E-2</v>
      </c>
      <c r="CJ38" s="133">
        <f>CJ37/CD37-1</f>
        <v>2.242660089792059E-2</v>
      </c>
      <c r="CK38" s="133">
        <f>CK37/CE37-1</f>
        <v>3.4244576750766198E-2</v>
      </c>
      <c r="CL38" s="152">
        <f>CL37/CF37-1</f>
        <v>2.2003009055553857E-2</v>
      </c>
      <c r="CM38" s="153">
        <f>CM37/CG37-1</f>
        <v>2.2919562667391036E-2</v>
      </c>
      <c r="CO38" s="151">
        <f>CO37/CI37-1</f>
        <v>3.3755227333392535E-2</v>
      </c>
      <c r="CP38" s="133">
        <f>CP37/CJ37-1</f>
        <v>3.3741227680554209E-2</v>
      </c>
      <c r="CQ38" s="133">
        <f>CQ37/CK37-1</f>
        <v>2.1377139685692548E-2</v>
      </c>
      <c r="CR38" s="152">
        <f>CR37/CL37-1</f>
        <v>9.0080856394487707E-3</v>
      </c>
      <c r="CS38" s="153">
        <f>CS37/CM37-1</f>
        <v>2.356739628033977E-2</v>
      </c>
      <c r="CU38" s="151">
        <f>CU37/CO37-1</f>
        <v>3.2053374503749454E-2</v>
      </c>
      <c r="CV38" s="133">
        <f>CV37/CP37-1</f>
        <v>3.2042191491235661E-2</v>
      </c>
      <c r="CW38" s="133">
        <f>CW37/CQ37-1</f>
        <v>3.203104388356337E-2</v>
      </c>
      <c r="CX38" s="152">
        <f>CX37/CR37-1</f>
        <v>1.9812152938454286E-2</v>
      </c>
      <c r="CY38" s="153">
        <f>CY37/CS37-1</f>
        <v>2.8736122775895323E-2</v>
      </c>
      <c r="DA38" s="151">
        <f>DA37/CU37-1</f>
        <v>1.9222231957708891E-2</v>
      </c>
      <c r="DB38" s="133">
        <f>DB37/CV37-1</f>
        <v>1.869331933630769E-2</v>
      </c>
      <c r="DC38" s="133">
        <f>DC37/CW37-1</f>
        <v>1.8166069816868857E-2</v>
      </c>
      <c r="DD38" s="152">
        <f>DD37/CX37-1</f>
        <v>4.2013313566465982E-2</v>
      </c>
      <c r="DE38" s="153">
        <f>DE37/CY37-1</f>
        <v>2.4920203402300611E-2</v>
      </c>
      <c r="DG38" s="151">
        <f>DG37/DA37-1</f>
        <v>3.0419138812195268E-2</v>
      </c>
      <c r="DH38" s="133">
        <f>DH37/DB37-1</f>
        <v>3.0413414705709574E-2</v>
      </c>
      <c r="DI38" s="133">
        <f>DI37/DC37-1</f>
        <v>3.0407702678937776E-2</v>
      </c>
      <c r="DJ38" s="152">
        <f>DJ37/DD37-1</f>
        <v>6.3007548896258925E-3</v>
      </c>
      <c r="DK38" s="153">
        <f>DK37/DE37-1</f>
        <v>2.3844640916967919E-2</v>
      </c>
    </row>
    <row r="39" spans="2:115" ht="15" x14ac:dyDescent="0.3">
      <c r="B39" s="40"/>
      <c r="C39" s="144"/>
      <c r="D39" s="107"/>
      <c r="E39" s="107"/>
      <c r="F39" s="145"/>
      <c r="G39" s="138"/>
      <c r="I39" s="144"/>
      <c r="J39" s="107"/>
      <c r="K39" s="107"/>
      <c r="L39" s="145"/>
      <c r="M39" s="138"/>
      <c r="O39" s="144"/>
      <c r="P39" s="107"/>
      <c r="Q39" s="107"/>
      <c r="R39" s="145"/>
      <c r="S39" s="138"/>
      <c r="U39" s="144"/>
      <c r="V39" s="107"/>
      <c r="W39" s="107"/>
      <c r="X39" s="107"/>
      <c r="Y39" s="138"/>
      <c r="Z39" s="429"/>
      <c r="AA39" s="144"/>
      <c r="AB39" s="107"/>
      <c r="AC39" s="107"/>
      <c r="AD39" s="107"/>
      <c r="AE39" s="138"/>
      <c r="AG39" s="144"/>
      <c r="AH39" s="107"/>
      <c r="AI39" s="107"/>
      <c r="AJ39" s="145"/>
      <c r="AK39" s="138"/>
      <c r="AM39" s="144"/>
      <c r="AN39" s="107"/>
      <c r="AO39" s="107"/>
      <c r="AP39" s="145"/>
      <c r="AQ39" s="138"/>
      <c r="AS39" s="144"/>
      <c r="AT39" s="107"/>
      <c r="AU39" s="107"/>
      <c r="AV39" s="145"/>
      <c r="AW39" s="138"/>
      <c r="AY39" s="144"/>
      <c r="AZ39" s="107"/>
      <c r="BA39" s="107"/>
      <c r="BB39" s="145"/>
      <c r="BC39" s="138"/>
      <c r="BE39" s="144"/>
      <c r="BF39" s="107"/>
      <c r="BG39" s="107"/>
      <c r="BH39" s="145"/>
      <c r="BI39" s="138"/>
      <c r="BK39" s="144"/>
      <c r="BL39" s="107"/>
      <c r="BM39" s="107"/>
      <c r="BN39" s="145"/>
      <c r="BO39" s="138"/>
      <c r="BQ39" s="144"/>
      <c r="BR39" s="107"/>
      <c r="BS39" s="107"/>
      <c r="BT39" s="145"/>
      <c r="BU39" s="138"/>
      <c r="BW39" s="144"/>
      <c r="BX39" s="107"/>
      <c r="BY39" s="107"/>
      <c r="BZ39" s="145"/>
      <c r="CA39" s="138"/>
      <c r="CC39" s="144"/>
      <c r="CD39" s="107"/>
      <c r="CE39" s="107"/>
      <c r="CF39" s="145"/>
      <c r="CG39" s="138"/>
      <c r="CI39" s="144"/>
      <c r="CJ39" s="107"/>
      <c r="CK39" s="107"/>
      <c r="CL39" s="145"/>
      <c r="CM39" s="138"/>
      <c r="CO39" s="144"/>
      <c r="CP39" s="107"/>
      <c r="CQ39" s="107"/>
      <c r="CR39" s="145"/>
      <c r="CS39" s="138"/>
      <c r="CU39" s="144"/>
      <c r="CV39" s="107"/>
      <c r="CW39" s="107"/>
      <c r="CX39" s="145"/>
      <c r="CY39" s="138"/>
      <c r="DA39" s="144"/>
      <c r="DB39" s="107"/>
      <c r="DC39" s="107"/>
      <c r="DD39" s="145"/>
      <c r="DE39" s="138"/>
      <c r="DG39" s="144"/>
      <c r="DH39" s="107"/>
      <c r="DI39" s="107"/>
      <c r="DJ39" s="145"/>
      <c r="DK39" s="138"/>
    </row>
    <row r="40" spans="2:115" ht="15" x14ac:dyDescent="0.3">
      <c r="B40" s="39" t="s">
        <v>53</v>
      </c>
      <c r="C40" s="203">
        <f>C32-C46-C37</f>
        <v>1062.064695</v>
      </c>
      <c r="D40" s="204">
        <f>D32-D46-D37</f>
        <v>1077.8533159999999</v>
      </c>
      <c r="E40" s="204">
        <f>E32-E46-E37</f>
        <v>1123.1399999999999</v>
      </c>
      <c r="F40" s="205">
        <f>F32-F46-F37</f>
        <v>1058.601148</v>
      </c>
      <c r="G40" s="213">
        <f>C40+D40+E40+F40</f>
        <v>4321.6591589999998</v>
      </c>
      <c r="H40" s="197"/>
      <c r="I40" s="203">
        <f>I32-I46-I37</f>
        <v>1015.793001</v>
      </c>
      <c r="J40" s="204">
        <f>J32-J46-J37</f>
        <v>1012.75485</v>
      </c>
      <c r="K40" s="204">
        <f>K32-K46-K37</f>
        <v>1038.4077259999999</v>
      </c>
      <c r="L40" s="205">
        <f>L32-L46-L37</f>
        <v>1008.743232</v>
      </c>
      <c r="M40" s="213">
        <f>I40+J40+K40+L40</f>
        <v>4075.6988089999995</v>
      </c>
      <c r="N40" s="197"/>
      <c r="O40" s="203">
        <f>O32-O46-O37</f>
        <v>1013.53896</v>
      </c>
      <c r="P40" s="204">
        <f>P32-P46-P37</f>
        <v>996.32222550000006</v>
      </c>
      <c r="Q40" s="204">
        <f>Q32-Q46-Q37</f>
        <v>1008.0863194999999</v>
      </c>
      <c r="R40" s="205">
        <f>R32-R46-R37</f>
        <v>1039.770784</v>
      </c>
      <c r="S40" s="213">
        <f>O40+P40+Q40+R40</f>
        <v>4057.7182890000004</v>
      </c>
      <c r="T40" s="114"/>
      <c r="U40" s="203">
        <f>U32-U46-U37</f>
        <v>768.28959999999995</v>
      </c>
      <c r="V40" s="204">
        <f>V32-V46-V37</f>
        <v>779.01023999999995</v>
      </c>
      <c r="W40" s="204">
        <f>W32-W46-W37</f>
        <v>857.70845199999997</v>
      </c>
      <c r="X40" s="204">
        <f>X32-X46-X37</f>
        <v>946.24307999999996</v>
      </c>
      <c r="Y40" s="213">
        <f>U40+V40+W40+X40</f>
        <v>3351.2513719999997</v>
      </c>
      <c r="AA40" s="203">
        <f>AA43*AA32</f>
        <v>913.32902032786876</v>
      </c>
      <c r="AB40" s="204">
        <f>AB43*AB32</f>
        <v>876.60376652931848</v>
      </c>
      <c r="AC40" s="204">
        <f>AC43*AC32</f>
        <v>860.60216877922085</v>
      </c>
      <c r="AD40" s="204">
        <f>AD43*AD32</f>
        <v>881.91645054545438</v>
      </c>
      <c r="AE40" s="213">
        <f>AA40+AB40+AC40+AD40</f>
        <v>3532.4514061818627</v>
      </c>
      <c r="AG40" s="203">
        <f>AG43*AG32</f>
        <v>890.58125191256829</v>
      </c>
      <c r="AH40" s="204">
        <f>AH43*AH32</f>
        <v>823.25385762282076</v>
      </c>
      <c r="AI40" s="204">
        <f>AI43*AI32</f>
        <v>906.4087167912088</v>
      </c>
      <c r="AJ40" s="205">
        <f>AJ43*AJ32</f>
        <v>1110.5353838181816</v>
      </c>
      <c r="AK40" s="213">
        <f>AG40+AH40+AI40+AJ40</f>
        <v>3730.7792101447794</v>
      </c>
      <c r="AM40" s="203">
        <f>AM43*AM32</f>
        <v>922.52956459016389</v>
      </c>
      <c r="AN40" s="204">
        <f>AN43*AN32</f>
        <v>902.86642868462752</v>
      </c>
      <c r="AO40" s="204">
        <f>AO43*AO32</f>
        <v>968.74915520079935</v>
      </c>
      <c r="AP40" s="205">
        <f>AP43*AP32</f>
        <v>976.34836745454527</v>
      </c>
      <c r="AQ40" s="213">
        <f>AM40+AN40+AO40+AP40</f>
        <v>3770.4935159301358</v>
      </c>
      <c r="AS40" s="203">
        <f>AS43*AS32</f>
        <v>965.11864568306009</v>
      </c>
      <c r="AT40" s="204">
        <f>AT43*AT32</f>
        <v>863.41948174326456</v>
      </c>
      <c r="AU40" s="204">
        <f>AU43*AU32</f>
        <v>932.64115520079929</v>
      </c>
      <c r="AV40" s="205">
        <f>AV43*AV32</f>
        <v>1130.6133443636361</v>
      </c>
      <c r="AW40" s="213">
        <f>AS40+AT40+AU40+AV40</f>
        <v>3891.7926269907603</v>
      </c>
      <c r="AY40" s="203">
        <f>AY43*AY32</f>
        <v>1094.0414183606558</v>
      </c>
      <c r="AZ40" s="204">
        <f>AZ43*AZ32</f>
        <v>1041.9670542947702</v>
      </c>
      <c r="BA40" s="204">
        <f>BA43*BA32</f>
        <v>1027.8474452107894</v>
      </c>
      <c r="BB40" s="205">
        <f>BB43*BB32</f>
        <v>1028.5419301818181</v>
      </c>
      <c r="BC40" s="213">
        <f>AY40+AZ40+BA40+BB40</f>
        <v>4192.3978480480337</v>
      </c>
      <c r="BE40" s="203">
        <f>BE43*BE32</f>
        <v>972.11177245901638</v>
      </c>
      <c r="BF40" s="204">
        <f>BF43*BF32</f>
        <v>870.89111087163224</v>
      </c>
      <c r="BG40" s="204">
        <f>BG43*BG32</f>
        <v>1031.9825936103896</v>
      </c>
      <c r="BH40" s="205">
        <f>BH43*BH32</f>
        <v>1028.5419301818181</v>
      </c>
      <c r="BI40" s="213">
        <f>BE40+BF40+BG40+BH40</f>
        <v>3903.5274071228569</v>
      </c>
      <c r="BK40" s="203">
        <f>BK43*BK32</f>
        <v>992.56751431693976</v>
      </c>
      <c r="BL40" s="204">
        <f>BL43*BL32</f>
        <v>899.9669667194928</v>
      </c>
      <c r="BM40" s="204">
        <f>BM43*BM32</f>
        <v>969.89016781018972</v>
      </c>
      <c r="BN40" s="205">
        <f>BN43*BN32</f>
        <v>1043.6763825454543</v>
      </c>
      <c r="BO40" s="213">
        <f>BK40+BL40+BM40+BN40</f>
        <v>3906.1010313920769</v>
      </c>
      <c r="BQ40" s="203">
        <f>BQ43*BQ32</f>
        <v>1009.8914235244632</v>
      </c>
      <c r="BR40" s="204">
        <f>BR43*BR32</f>
        <v>917.98435860711072</v>
      </c>
      <c r="BS40" s="204">
        <f>BS43*BS32</f>
        <v>989.05180021676358</v>
      </c>
      <c r="BT40" s="205">
        <f>BT43*BT32</f>
        <v>1059.5557816421315</v>
      </c>
      <c r="BU40" s="213">
        <f>BQ40+BR40+BS40+BT40</f>
        <v>3976.4833639904691</v>
      </c>
      <c r="BW40" s="203">
        <f>BW43*BW32</f>
        <v>1029.8223994788314</v>
      </c>
      <c r="BX40" s="204">
        <f>BX43*BX32</f>
        <v>936.56672725160684</v>
      </c>
      <c r="BY40" s="204">
        <f>BY43*BY32</f>
        <v>1003.9488375944362</v>
      </c>
      <c r="BZ40" s="205">
        <f>BZ43*BZ32</f>
        <v>1078.1195850570409</v>
      </c>
      <c r="CA40" s="213">
        <f>BW40+BX40+BY40+BZ40</f>
        <v>4048.4575493819157</v>
      </c>
      <c r="CC40" s="203">
        <f>CC43*CC32</f>
        <v>1043.2704240511675</v>
      </c>
      <c r="CD40" s="204">
        <f>CD43*CD32</f>
        <v>948.51872184923639</v>
      </c>
      <c r="CE40" s="204">
        <f>CE43*CE32</f>
        <v>1018.3299188962285</v>
      </c>
      <c r="CF40" s="205">
        <f>CF43*CF32</f>
        <v>1095.8385984287477</v>
      </c>
      <c r="CG40" s="213">
        <f>CC40+CD40+CE40+CF40</f>
        <v>4105.9576632253802</v>
      </c>
      <c r="CI40" s="203">
        <f>CI43*CI32</f>
        <v>1056.7397609474356</v>
      </c>
      <c r="CJ40" s="204">
        <f>CJ43*CJ32</f>
        <v>959.63127316595421</v>
      </c>
      <c r="CK40" s="204">
        <f>CK43*CK32</f>
        <v>1033.4832799834353</v>
      </c>
      <c r="CL40" s="205">
        <f>CL43*CL32</f>
        <v>1113.5461013695692</v>
      </c>
      <c r="CM40" s="213">
        <f>CI40+CJ40+CK40+CL40</f>
        <v>4163.4004154663944</v>
      </c>
      <c r="CO40" s="203">
        <f>CO43*CO32</f>
        <v>1069.6801904653548</v>
      </c>
      <c r="CP40" s="204">
        <f>CP43*CP32</f>
        <v>971.91599743237953</v>
      </c>
      <c r="CQ40" s="204">
        <f>CQ43*CQ32</f>
        <v>1048.0173196652765</v>
      </c>
      <c r="CR40" s="205">
        <f>CR43*CR32</f>
        <v>1128.9297866572447</v>
      </c>
      <c r="CS40" s="213">
        <f>CO40+CP40+CQ40+CR40</f>
        <v>4218.5432942202551</v>
      </c>
      <c r="CU40" s="203">
        <f>CU43*CU32</f>
        <v>1079.1319954113469</v>
      </c>
      <c r="CV40" s="204">
        <f>CV43*CV32</f>
        <v>980.8497352061429</v>
      </c>
      <c r="CW40" s="204">
        <f>CW43*CW32</f>
        <v>1060.8321064221527</v>
      </c>
      <c r="CX40" s="205">
        <f>CX43*CX32</f>
        <v>1140.2576346280784</v>
      </c>
      <c r="CY40" s="213">
        <f>CU40+CV40+CW40+CX40</f>
        <v>4261.0714716677212</v>
      </c>
      <c r="DA40" s="203">
        <f>DA43*DA32</f>
        <v>1086.0242630905325</v>
      </c>
      <c r="DB40" s="204">
        <f>DB43*DB32</f>
        <v>987.16305056940132</v>
      </c>
      <c r="DC40" s="204">
        <f>DC43*DC32</f>
        <v>1069.7080395748055</v>
      </c>
      <c r="DD40" s="205">
        <f>DD43*DD32</f>
        <v>1155.5518200263552</v>
      </c>
      <c r="DE40" s="213">
        <f>DA40+DB40+DC40+DD40</f>
        <v>4298.4471732610946</v>
      </c>
      <c r="DG40" s="203">
        <f>DG43*DG32</f>
        <v>1094.0894444096905</v>
      </c>
      <c r="DH40" s="204">
        <f>DH43*DH32</f>
        <v>994.65338778565774</v>
      </c>
      <c r="DI40" s="204">
        <f>DI43*DI32</f>
        <v>1080.3853476204361</v>
      </c>
      <c r="DJ40" s="205">
        <f>DJ43*DJ32</f>
        <v>1161.568334399429</v>
      </c>
      <c r="DK40" s="213">
        <f>DG40+DH40+DI40+DJ40</f>
        <v>4330.696514215213</v>
      </c>
    </row>
    <row r="41" spans="2:115" ht="15" x14ac:dyDescent="0.3">
      <c r="B41" s="40" t="s">
        <v>23</v>
      </c>
      <c r="C41" s="144" t="s">
        <v>35</v>
      </c>
      <c r="D41" s="107" t="s">
        <v>35</v>
      </c>
      <c r="E41" s="107" t="s">
        <v>35</v>
      </c>
      <c r="F41" s="145" t="s">
        <v>35</v>
      </c>
      <c r="G41" s="138" t="s">
        <v>35</v>
      </c>
      <c r="I41" s="151">
        <f>I40/C40-1</f>
        <v>-4.3567679274001292E-2</v>
      </c>
      <c r="J41" s="133">
        <f>J40/D40-1</f>
        <v>-6.0396405553202359E-2</v>
      </c>
      <c r="K41" s="133">
        <f>K40/E40-1</f>
        <v>-7.5442308171732808E-2</v>
      </c>
      <c r="L41" s="133">
        <f>L40/F40-1</f>
        <v>-4.7097923608146242E-2</v>
      </c>
      <c r="M41" s="153">
        <f>M40/G40-1</f>
        <v>-5.6913407779458858E-2</v>
      </c>
      <c r="O41" s="151">
        <f>O40/I40-1</f>
        <v>-2.2189963878280761E-3</v>
      </c>
      <c r="P41" s="133">
        <f>P40/J40-1</f>
        <v>-1.6225668531728021E-2</v>
      </c>
      <c r="Q41" s="133">
        <f>Q40/K40-1</f>
        <v>-2.9199904566195367E-2</v>
      </c>
      <c r="R41" s="133">
        <f>R40/L40-1</f>
        <v>3.0758622229844157E-2</v>
      </c>
      <c r="S41" s="153">
        <f>S40/M40-1</f>
        <v>-4.4116410074990231E-3</v>
      </c>
      <c r="U41" s="151">
        <f>U40/O40-1</f>
        <v>-0.24197329326146477</v>
      </c>
      <c r="V41" s="133">
        <f>V40/P40-1</f>
        <v>-0.21811416019645957</v>
      </c>
      <c r="W41" s="133">
        <f>W40/Q40-1</f>
        <v>-0.1491716181354249</v>
      </c>
      <c r="X41" s="133">
        <f>X40/R40-1</f>
        <v>-8.9950309663634598E-2</v>
      </c>
      <c r="Y41" s="153">
        <f>Y40/S40-1</f>
        <v>-0.1741044761325965</v>
      </c>
      <c r="Z41" s="428"/>
      <c r="AA41" s="151">
        <f>AA40/U40-1</f>
        <v>0.18878222525447286</v>
      </c>
      <c r="AB41" s="133">
        <f>AB40/V40-1</f>
        <v>0.12527887506243629</v>
      </c>
      <c r="AC41" s="133">
        <f>AC40/W40-1</f>
        <v>3.3737766865573615E-3</v>
      </c>
      <c r="AD41" s="133">
        <f>AD40/X40-1</f>
        <v>-6.7981083100280726E-2</v>
      </c>
      <c r="AE41" s="153">
        <f>AE40/Y40-1</f>
        <v>5.4069365161863114E-2</v>
      </c>
      <c r="AG41" s="151">
        <f>AG40/AA40-1</f>
        <v>-2.4906433398047989E-2</v>
      </c>
      <c r="AH41" s="133">
        <f>AH40/AB40-1</f>
        <v>-6.0859776039661084E-2</v>
      </c>
      <c r="AI41" s="133">
        <f>AI40/AC40-1</f>
        <v>5.3226159163606734E-2</v>
      </c>
      <c r="AJ41" s="152">
        <f>AJ40/AD40-1</f>
        <v>0.2592296958870981</v>
      </c>
      <c r="AK41" s="152">
        <f>AK40/AE40-1</f>
        <v>5.6144524342454982E-2</v>
      </c>
      <c r="AM41" s="151">
        <f>AM40/AG40-1</f>
        <v>3.5873551805615689E-2</v>
      </c>
      <c r="AN41" s="133">
        <f>AN40/AH40-1</f>
        <v>9.6704765273364579E-2</v>
      </c>
      <c r="AO41" s="133">
        <f>AO40/AI40-1</f>
        <v>6.877740389598519E-2</v>
      </c>
      <c r="AP41" s="152">
        <f>AP40/AJ40-1</f>
        <v>-0.12083092382187943</v>
      </c>
      <c r="AQ41" s="152">
        <f>AQ40/AK40-1</f>
        <v>1.0645043179549507E-2</v>
      </c>
      <c r="AS41" s="151">
        <f>AS40/AM40-1</f>
        <v>4.616554604601375E-2</v>
      </c>
      <c r="AT41" s="133">
        <f>AT40/AN40-1</f>
        <v>-4.3690789343926117E-2</v>
      </c>
      <c r="AU41" s="133">
        <f>AU40/AO40-1</f>
        <v>-3.7272806697328908E-2</v>
      </c>
      <c r="AV41" s="152">
        <f>AV40/AP40-1</f>
        <v>0.15800198172223889</v>
      </c>
      <c r="AW41" s="152">
        <f>AW40/AQ40-1</f>
        <v>3.2170619190337257E-2</v>
      </c>
      <c r="AY41" s="151">
        <f>AY40/AS40-1</f>
        <v>0.13358230436668328</v>
      </c>
      <c r="AZ41" s="133">
        <f>AZ40/AT40-1</f>
        <v>0.20679122526980032</v>
      </c>
      <c r="BA41" s="133">
        <f>BA40/AU40-1</f>
        <v>0.10208244562131941</v>
      </c>
      <c r="BB41" s="152">
        <f>BB40/AV40-1</f>
        <v>-9.0279682873607658E-2</v>
      </c>
      <c r="BC41" s="152">
        <f>BC40/AW40-1</f>
        <v>7.7240811592191427E-2</v>
      </c>
      <c r="BE41" s="151">
        <f>BE40/AY40-1</f>
        <v>-0.11144883900679237</v>
      </c>
      <c r="BF41" s="133">
        <f>BF40/AZ40-1</f>
        <v>-0.1641855591479584</v>
      </c>
      <c r="BG41" s="133">
        <f>BG40/BA40-1</f>
        <v>4.0231149270912869E-3</v>
      </c>
      <c r="BH41" s="152">
        <f>BH40/BB40-1</f>
        <v>0</v>
      </c>
      <c r="BI41" s="152">
        <f>BI40/BC40-1</f>
        <v>-6.8903394046839761E-2</v>
      </c>
      <c r="BK41" s="151">
        <f>BK40/BE40-1</f>
        <v>2.1042582177746239E-2</v>
      </c>
      <c r="BL41" s="133">
        <f>BL40/BF40-1</f>
        <v>3.3386327503974522E-2</v>
      </c>
      <c r="BM41" s="133">
        <f>BM40/BG40-1</f>
        <v>-6.0168094098340896E-2</v>
      </c>
      <c r="BN41" s="152">
        <f>BN40/BH40-1</f>
        <v>1.4714472905310583E-2</v>
      </c>
      <c r="BO41" s="152">
        <f>BO40/BI40-1</f>
        <v>6.5930733943964093E-4</v>
      </c>
      <c r="BQ41" s="151">
        <f>BQ40/BK40-1</f>
        <v>1.7453633085549258E-2</v>
      </c>
      <c r="BR41" s="133">
        <f>BR40/BL40-1</f>
        <v>2.0020059128718737E-2</v>
      </c>
      <c r="BS41" s="133">
        <f>BS40/BM40-1</f>
        <v>1.9756497222604974E-2</v>
      </c>
      <c r="BT41" s="152">
        <f>BT40/BN40-1</f>
        <v>1.5214868672172477E-2</v>
      </c>
      <c r="BU41" s="152">
        <f>BU40/BO40-1</f>
        <v>1.8018564300501083E-2</v>
      </c>
      <c r="BW41" s="151">
        <f>BW40/BQ40-1</f>
        <v>1.9735761181939981E-2</v>
      </c>
      <c r="BX41" s="133">
        <f>BX40/BR40-1</f>
        <v>2.0242576543125113E-2</v>
      </c>
      <c r="BY41" s="133">
        <f>BY40/BS40-1</f>
        <v>1.5061938489377091E-2</v>
      </c>
      <c r="BZ41" s="152">
        <f>BZ40/BT40-1</f>
        <v>1.7520364417377587E-2</v>
      </c>
      <c r="CA41" s="152">
        <f>CA40/BU40-1</f>
        <v>1.8099958884077783E-2</v>
      </c>
      <c r="CC41" s="151">
        <f>CC40/BW40-1</f>
        <v>1.3058586198107403E-2</v>
      </c>
      <c r="CD41" s="133">
        <f>CD40/BX40-1</f>
        <v>1.2761498193196719E-2</v>
      </c>
      <c r="CE41" s="133">
        <f>CE40/BY40-1</f>
        <v>1.4324516114039065E-2</v>
      </c>
      <c r="CF41" s="152">
        <f>CF40/BZ40-1</f>
        <v>1.6435109441750084E-2</v>
      </c>
      <c r="CG41" s="152">
        <f>CG40/CA40-1</f>
        <v>1.420296820260436E-2</v>
      </c>
      <c r="CI41" s="151">
        <f>CI40/CC40-1</f>
        <v>1.2910686036669894E-2</v>
      </c>
      <c r="CJ41" s="133">
        <f>CJ40/CD40-1</f>
        <v>1.1715690013005542E-2</v>
      </c>
      <c r="CK41" s="133">
        <f>CK40/CE40-1</f>
        <v>1.4880600879950245E-2</v>
      </c>
      <c r="CL41" s="152">
        <f>CL40/CF40-1</f>
        <v>1.6158860407190501E-2</v>
      </c>
      <c r="CM41" s="152">
        <f>CM40/CG40-1</f>
        <v>1.3990098523298133E-2</v>
      </c>
      <c r="CO41" s="151">
        <f>CO40/CI40-1</f>
        <v>1.2245616183039543E-2</v>
      </c>
      <c r="CP41" s="133">
        <f>CP40/CJ40-1</f>
        <v>1.2801504713259693E-2</v>
      </c>
      <c r="CQ41" s="133">
        <f>CQ40/CK40-1</f>
        <v>1.4063158991865166E-2</v>
      </c>
      <c r="CR41" s="152">
        <f>CR40/CL40-1</f>
        <v>1.3815041217202229E-2</v>
      </c>
      <c r="CS41" s="152">
        <f>CS40/CM40-1</f>
        <v>1.3244673404223528E-2</v>
      </c>
      <c r="CU41" s="151">
        <f>CU40/CO40-1</f>
        <v>8.8361035665063259E-3</v>
      </c>
      <c r="CV41" s="133">
        <f>CV40/CP40-1</f>
        <v>9.1918826291208511E-3</v>
      </c>
      <c r="CW41" s="133">
        <f>CW40/CQ40-1</f>
        <v>1.2227647879873738E-2</v>
      </c>
      <c r="CX41" s="152">
        <f>CX40/CR40-1</f>
        <v>1.0034147477298472E-2</v>
      </c>
      <c r="CY41" s="152">
        <f>CY40/CS40-1</f>
        <v>1.0081247122847525E-2</v>
      </c>
      <c r="DA41" s="151">
        <f>DA40/CU40-1</f>
        <v>6.3868625047656113E-3</v>
      </c>
      <c r="DB41" s="133">
        <f>DB40/CV40-1</f>
        <v>6.4365775272718917E-3</v>
      </c>
      <c r="DC41" s="133">
        <f>DC40/CW40-1</f>
        <v>8.3669537327528687E-3</v>
      </c>
      <c r="DD41" s="152">
        <f>DD40/CX40-1</f>
        <v>1.3412920846844756E-2</v>
      </c>
      <c r="DE41" s="152">
        <f>DE40/CY40-1</f>
        <v>8.7714326882071258E-3</v>
      </c>
      <c r="DG41" s="151">
        <f>DG40/DA40-1</f>
        <v>7.4263362184989745E-3</v>
      </c>
      <c r="DH41" s="133">
        <f>DH40/DB40-1</f>
        <v>7.5877406593936048E-3</v>
      </c>
      <c r="DI41" s="133">
        <f>DI40/DC40-1</f>
        <v>9.9815161246004092E-3</v>
      </c>
      <c r="DJ41" s="152">
        <f>DJ40/DD40-1</f>
        <v>5.2066158079664415E-3</v>
      </c>
      <c r="DK41" s="152">
        <f>DK40/DE40-1</f>
        <v>7.5025560753028131E-3</v>
      </c>
    </row>
    <row r="42" spans="2:115" ht="15" x14ac:dyDescent="0.3">
      <c r="B42" s="39"/>
      <c r="C42" s="203"/>
      <c r="D42" s="204"/>
      <c r="E42" s="204"/>
      <c r="F42" s="205"/>
      <c r="G42" s="213"/>
      <c r="H42" s="197"/>
      <c r="I42" s="203"/>
      <c r="J42" s="204"/>
      <c r="K42" s="204"/>
      <c r="L42" s="205"/>
      <c r="M42" s="213"/>
      <c r="N42" s="197"/>
      <c r="O42" s="203"/>
      <c r="P42" s="204"/>
      <c r="Q42" s="204"/>
      <c r="R42" s="205"/>
      <c r="S42" s="213"/>
      <c r="T42" s="114"/>
      <c r="U42" s="203"/>
      <c r="V42" s="204"/>
      <c r="W42" s="204"/>
      <c r="X42" s="204"/>
      <c r="Y42" s="213"/>
      <c r="AA42" s="203"/>
      <c r="AB42" s="204"/>
      <c r="AC42" s="204"/>
      <c r="AD42" s="204"/>
      <c r="AE42" s="213"/>
      <c r="AG42" s="203"/>
      <c r="AH42" s="204"/>
      <c r="AI42" s="204"/>
      <c r="AJ42" s="205"/>
      <c r="AK42" s="213"/>
      <c r="AM42" s="203"/>
      <c r="AN42" s="204"/>
      <c r="AO42" s="204"/>
      <c r="AP42" s="205"/>
      <c r="AQ42" s="213"/>
      <c r="AS42" s="203"/>
      <c r="AT42" s="204"/>
      <c r="AU42" s="204"/>
      <c r="AV42" s="205"/>
      <c r="AW42" s="213"/>
      <c r="AY42" s="203"/>
      <c r="AZ42" s="204"/>
      <c r="BA42" s="204"/>
      <c r="BB42" s="205"/>
      <c r="BC42" s="213"/>
      <c r="BE42" s="203"/>
      <c r="BF42" s="204"/>
      <c r="BG42" s="204"/>
      <c r="BH42" s="205"/>
      <c r="BI42" s="213"/>
      <c r="BK42" s="203"/>
      <c r="BL42" s="204"/>
      <c r="BM42" s="204"/>
      <c r="BN42" s="205"/>
      <c r="BO42" s="213"/>
      <c r="BQ42" s="203"/>
      <c r="BR42" s="204"/>
      <c r="BS42" s="204"/>
      <c r="BT42" s="205"/>
      <c r="BU42" s="213"/>
      <c r="BW42" s="203"/>
      <c r="BX42" s="204"/>
      <c r="BY42" s="204"/>
      <c r="BZ42" s="205"/>
      <c r="CA42" s="213"/>
      <c r="CC42" s="203"/>
      <c r="CD42" s="204"/>
      <c r="CE42" s="204"/>
      <c r="CF42" s="205"/>
      <c r="CG42" s="213"/>
      <c r="CI42" s="203"/>
      <c r="CJ42" s="204"/>
      <c r="CK42" s="204"/>
      <c r="CL42" s="205"/>
      <c r="CM42" s="213"/>
      <c r="CO42" s="203"/>
      <c r="CP42" s="204"/>
      <c r="CQ42" s="204"/>
      <c r="CR42" s="205"/>
      <c r="CS42" s="213"/>
      <c r="CU42" s="203"/>
      <c r="CV42" s="204"/>
      <c r="CW42" s="204"/>
      <c r="CX42" s="205"/>
      <c r="CY42" s="213"/>
      <c r="DA42" s="203"/>
      <c r="DB42" s="204"/>
      <c r="DC42" s="204"/>
      <c r="DD42" s="205"/>
      <c r="DE42" s="213"/>
      <c r="DG42" s="203"/>
      <c r="DH42" s="204"/>
      <c r="DI42" s="204"/>
      <c r="DJ42" s="205"/>
      <c r="DK42" s="213"/>
    </row>
    <row r="43" spans="2:115" ht="15" x14ac:dyDescent="0.3">
      <c r="B43" s="40" t="s">
        <v>54</v>
      </c>
      <c r="C43" s="151">
        <f>C40/C32</f>
        <v>0.54436939774474635</v>
      </c>
      <c r="D43" s="133">
        <f>D40/D32</f>
        <v>0.53651235241413631</v>
      </c>
      <c r="E43" s="133">
        <f>E40/E32</f>
        <v>0.54547838756677991</v>
      </c>
      <c r="F43" s="152">
        <f>F40/F32</f>
        <v>0.5362721114488348</v>
      </c>
      <c r="G43" s="153">
        <f>G40/G32</f>
        <v>0.54068049030401599</v>
      </c>
      <c r="I43" s="151">
        <f>I40/I32</f>
        <v>0.53916825955414016</v>
      </c>
      <c r="J43" s="133">
        <f>J40/J32</f>
        <v>0.51856367127496161</v>
      </c>
      <c r="K43" s="133">
        <f>K40/K32</f>
        <v>0.51868517782217782</v>
      </c>
      <c r="L43" s="152">
        <f>L40/L32</f>
        <v>0.5026124723467863</v>
      </c>
      <c r="M43" s="153">
        <f>M40/M32</f>
        <v>0.51946199451950037</v>
      </c>
      <c r="O43" s="151">
        <f>O40/O32</f>
        <v>0.5192310245901639</v>
      </c>
      <c r="P43" s="133">
        <f>P40/P32</f>
        <v>0.51172173882896765</v>
      </c>
      <c r="Q43" s="133">
        <f>Q40/Q32</f>
        <v>0.4779925649596965</v>
      </c>
      <c r="R43" s="152">
        <f>R40/R32</f>
        <v>0.49489328129462162</v>
      </c>
      <c r="S43" s="153">
        <f>S40/S32</f>
        <v>0.50039687865334814</v>
      </c>
      <c r="U43" s="151">
        <f>U40/U32</f>
        <v>0.41983038251366117</v>
      </c>
      <c r="V43" s="133">
        <f>V40/V32</f>
        <v>0.41152152139461168</v>
      </c>
      <c r="W43" s="133">
        <f>W40/W32</f>
        <v>0.4284258001998002</v>
      </c>
      <c r="X43" s="133">
        <f>X40/X32</f>
        <v>0.47790054545454541</v>
      </c>
      <c r="Y43" s="153">
        <f>Y40/Y32</f>
        <v>0.4349450190785204</v>
      </c>
      <c r="AA43" s="151">
        <f>U43+AA44</f>
        <v>0.49183038251366118</v>
      </c>
      <c r="AB43" s="215">
        <f>V43+AB44</f>
        <v>0.46852152139461167</v>
      </c>
      <c r="AC43" s="215">
        <f>W43+AC44</f>
        <v>0.45342580019980022</v>
      </c>
      <c r="AD43" s="215">
        <f>X43+AD44</f>
        <v>0.45790054545454539</v>
      </c>
      <c r="AE43" s="153">
        <f>AE40/AE32</f>
        <v>0.46775045103043733</v>
      </c>
      <c r="AG43" s="151">
        <f>AA43+AG44</f>
        <v>0.48533038251366117</v>
      </c>
      <c r="AH43" s="215">
        <f>AB43+AH44</f>
        <v>0.44452152139461165</v>
      </c>
      <c r="AI43" s="215">
        <f>AC43+AI44</f>
        <v>0.46292580019980023</v>
      </c>
      <c r="AJ43" s="255">
        <f>AD43+AJ44</f>
        <v>0.55890054545454537</v>
      </c>
      <c r="AK43" s="153">
        <f>AK40/AK32</f>
        <v>0.48883375394978767</v>
      </c>
      <c r="AM43" s="151">
        <f>AG43+AM44</f>
        <v>0.50083038251366119</v>
      </c>
      <c r="AN43" s="215">
        <f>AH43+AN44</f>
        <v>0.46902152139461167</v>
      </c>
      <c r="AO43" s="215">
        <f>AI43+AO44</f>
        <v>0.48292580019980025</v>
      </c>
      <c r="AP43" s="255">
        <f>AJ43+AP44</f>
        <v>0.49890054545454537</v>
      </c>
      <c r="AQ43" s="153">
        <f>AQ40/AQ32</f>
        <v>0.48777406415655056</v>
      </c>
      <c r="AS43" s="151">
        <f>AM43+AS44</f>
        <v>0.5158303825136612</v>
      </c>
      <c r="AT43" s="215">
        <f>AN43+AT44</f>
        <v>0.45902152139461166</v>
      </c>
      <c r="AU43" s="215">
        <f>AO43+AU44</f>
        <v>0.46492580019980023</v>
      </c>
      <c r="AV43" s="255">
        <f>AP43+AV44</f>
        <v>0.53890054545454535</v>
      </c>
      <c r="AW43" s="153">
        <f>AW40/AW32</f>
        <v>0.49539111850697048</v>
      </c>
      <c r="AY43" s="151">
        <f>AS43+AY44</f>
        <v>0.53083038251366121</v>
      </c>
      <c r="AZ43" s="215">
        <f>AT43+AZ44</f>
        <v>0.50902152139461165</v>
      </c>
      <c r="BA43" s="215">
        <f>AU43+BA44</f>
        <v>0.49992580019980026</v>
      </c>
      <c r="BB43" s="255">
        <f>AV43+BB44</f>
        <v>0.49640054545454537</v>
      </c>
      <c r="BC43" s="153">
        <f>BC40/BC32</f>
        <v>0.50903325012725031</v>
      </c>
      <c r="BE43" s="151">
        <f>AY43+BE44</f>
        <v>0.50083038251366119</v>
      </c>
      <c r="BF43" s="215">
        <f>AZ43+BF44</f>
        <v>0.46152152139461167</v>
      </c>
      <c r="BG43" s="215">
        <f>BA43+BG44</f>
        <v>0.50242580019980021</v>
      </c>
      <c r="BH43" s="255">
        <f>BB43+BH44</f>
        <v>0.49640054545454537</v>
      </c>
      <c r="BI43" s="153">
        <f>BI40/BI32</f>
        <v>0.4907628120597004</v>
      </c>
      <c r="BK43" s="151">
        <f>BE43+BK44</f>
        <v>0.50333038251366113</v>
      </c>
      <c r="BL43" s="215">
        <f>BF43+BL44</f>
        <v>0.46152152139461167</v>
      </c>
      <c r="BM43" s="215">
        <f>BG43+BM44</f>
        <v>0.47242580019980018</v>
      </c>
      <c r="BN43" s="255">
        <f>BH43+BN44</f>
        <v>0.48140054545454536</v>
      </c>
      <c r="BO43" s="153">
        <f>BO40/BO32</f>
        <v>0.47968820230775844</v>
      </c>
      <c r="BQ43" s="151">
        <f>BK43+BQ44</f>
        <v>0.49833038251366113</v>
      </c>
      <c r="BR43" s="215">
        <f>BL43+BR44</f>
        <v>0.45902152139461166</v>
      </c>
      <c r="BS43" s="215">
        <f>BM43+BS44</f>
        <v>0.46992580019980018</v>
      </c>
      <c r="BT43" s="255">
        <f>BN43+BT44</f>
        <v>0.47890054545454536</v>
      </c>
      <c r="BU43" s="153">
        <f>BU40/BU32</f>
        <v>0.47659109775930009</v>
      </c>
      <c r="BW43" s="151">
        <f>BQ43+BW44</f>
        <v>0.49833038251366113</v>
      </c>
      <c r="BX43" s="215">
        <f>BR43+BX44</f>
        <v>0.45902152139461166</v>
      </c>
      <c r="BY43" s="215">
        <f>BS43+BY44</f>
        <v>0.46742580019980018</v>
      </c>
      <c r="BZ43" s="255">
        <f>BT43+BZ44</f>
        <v>0.47640054545454535</v>
      </c>
      <c r="CA43" s="153">
        <f>CA40/CA32</f>
        <v>0.47529502818883418</v>
      </c>
      <c r="CC43" s="151">
        <f>BW43+CC44</f>
        <v>0.49583038251366113</v>
      </c>
      <c r="CD43" s="215">
        <f>BX43+CD44</f>
        <v>0.45652152139461166</v>
      </c>
      <c r="CE43" s="215">
        <f>BY43+CE44</f>
        <v>0.46492580019980018</v>
      </c>
      <c r="CF43" s="255">
        <f>BZ43+CF44</f>
        <v>0.47390054545454535</v>
      </c>
      <c r="CG43" s="153">
        <f>CG40/CG32</f>
        <v>0.47279239685881941</v>
      </c>
      <c r="CI43" s="151">
        <f>CC43+CI44</f>
        <v>0.49333038251366113</v>
      </c>
      <c r="CJ43" s="215">
        <f>CD43+CJ44</f>
        <v>0.45402152139461166</v>
      </c>
      <c r="CK43" s="215">
        <f>CE43+CK44</f>
        <v>0.46242580019980017</v>
      </c>
      <c r="CL43" s="255">
        <f>CF43+CL44</f>
        <v>0.47140054545454535</v>
      </c>
      <c r="CM43" s="153">
        <f>CM40/CM32</f>
        <v>0.4702917800672527</v>
      </c>
      <c r="CO43" s="151">
        <f>CI43+CO44</f>
        <v>0.49083038251366112</v>
      </c>
      <c r="CP43" s="215">
        <f>CJ43+CP44</f>
        <v>0.45152152139461166</v>
      </c>
      <c r="CQ43" s="215">
        <f>CK43+CQ44</f>
        <v>0.45992580019980017</v>
      </c>
      <c r="CR43" s="255">
        <f>CL43+CR44</f>
        <v>0.46890054545454535</v>
      </c>
      <c r="CS43" s="153">
        <f>CS40/CS32</f>
        <v>0.46778422747518295</v>
      </c>
      <c r="CU43" s="151">
        <f>CO43+CU44</f>
        <v>0.48833038251366112</v>
      </c>
      <c r="CV43" s="215">
        <f>CP43+CV44</f>
        <v>0.44902152139461166</v>
      </c>
      <c r="CW43" s="215">
        <f>CQ43+CW44</f>
        <v>0.45742580019980017</v>
      </c>
      <c r="CX43" s="255">
        <f>CR43+CX44</f>
        <v>0.46640054545454535</v>
      </c>
      <c r="CY43" s="153">
        <f>CY40/CY32</f>
        <v>0.46527420659422558</v>
      </c>
      <c r="DA43" s="151">
        <f>CU43+DA44</f>
        <v>0.48583038251366112</v>
      </c>
      <c r="DB43" s="215">
        <f>CV43+DB44</f>
        <v>0.44652152139461165</v>
      </c>
      <c r="DC43" s="215">
        <f>CW43+DC44</f>
        <v>0.45492580019980017</v>
      </c>
      <c r="DD43" s="255">
        <f>CX43+DD44</f>
        <v>0.46390054545454534</v>
      </c>
      <c r="DE43" s="153">
        <f>DE40/DE32</f>
        <v>0.4627698488807947</v>
      </c>
      <c r="DG43" s="151">
        <f>DA43+DG44</f>
        <v>0.48333038251366112</v>
      </c>
      <c r="DH43" s="215">
        <f>DB43+DH44</f>
        <v>0.44402152139461165</v>
      </c>
      <c r="DI43" s="215">
        <f>DC43+DI44</f>
        <v>0.45242580019980017</v>
      </c>
      <c r="DJ43" s="255">
        <f>DD43+DJ44</f>
        <v>0.46140054545454534</v>
      </c>
      <c r="DK43" s="153">
        <f>DK40/DK32</f>
        <v>0.46026113994520129</v>
      </c>
    </row>
    <row r="44" spans="2:115" ht="15.75" thickBot="1" x14ac:dyDescent="0.35">
      <c r="B44" s="41" t="s">
        <v>23</v>
      </c>
      <c r="C44" s="155" t="s">
        <v>35</v>
      </c>
      <c r="D44" s="106" t="s">
        <v>35</v>
      </c>
      <c r="E44" s="106" t="s">
        <v>35</v>
      </c>
      <c r="F44" s="154" t="s">
        <v>35</v>
      </c>
      <c r="G44" s="108" t="s">
        <v>35</v>
      </c>
      <c r="I44" s="109">
        <f>I43-C43</f>
        <v>-5.2011381906061915E-3</v>
      </c>
      <c r="J44" s="110">
        <f>J43-D43</f>
        <v>-1.7948681139174694E-2</v>
      </c>
      <c r="K44" s="110">
        <f>K43-E43</f>
        <v>-2.6793209744602087E-2</v>
      </c>
      <c r="L44" s="110">
        <f>L43-F43</f>
        <v>-3.36596391020485E-2</v>
      </c>
      <c r="M44" s="122">
        <f>M43-G43</f>
        <v>-2.1218495784515623E-2</v>
      </c>
      <c r="O44" s="109">
        <f>O43-I43</f>
        <v>-1.9937234963976258E-2</v>
      </c>
      <c r="P44" s="110">
        <f>P43-J43</f>
        <v>-6.841932445993959E-3</v>
      </c>
      <c r="Q44" s="110">
        <f>Q43-K43</f>
        <v>-4.0692612862481325E-2</v>
      </c>
      <c r="R44" s="110">
        <f>R43-L43</f>
        <v>-7.7191910521646756E-3</v>
      </c>
      <c r="S44" s="122">
        <f>S43-M43</f>
        <v>-1.9065115866152227E-2</v>
      </c>
      <c r="U44" s="109">
        <f>U43-O43</f>
        <v>-9.9400642076502732E-2</v>
      </c>
      <c r="V44" s="110">
        <f>V43-P43</f>
        <v>-0.10020021743435598</v>
      </c>
      <c r="W44" s="110">
        <f>W43-Q43</f>
        <v>-4.9566764759896298E-2</v>
      </c>
      <c r="X44" s="110">
        <f>X43-R43</f>
        <v>-1.6992735840076212E-2</v>
      </c>
      <c r="Y44" s="122">
        <f>Y43-S43</f>
        <v>-6.5451859574827742E-2</v>
      </c>
      <c r="AA44" s="109">
        <v>7.1999999999999995E-2</v>
      </c>
      <c r="AB44" s="110">
        <v>5.7000000000000002E-2</v>
      </c>
      <c r="AC44" s="110">
        <v>2.5000000000000001E-2</v>
      </c>
      <c r="AD44" s="110">
        <v>-0.02</v>
      </c>
      <c r="AE44" s="122">
        <f>AE43-Y43</f>
        <v>3.280543195191693E-2</v>
      </c>
      <c r="AG44" s="109">
        <v>-6.4999999999999997E-3</v>
      </c>
      <c r="AH44" s="110">
        <v>-2.4E-2</v>
      </c>
      <c r="AI44" s="257">
        <v>9.4999999999999998E-3</v>
      </c>
      <c r="AJ44" s="110">
        <v>0.10100000000000001</v>
      </c>
      <c r="AK44" s="122">
        <f>AK43-AE43</f>
        <v>2.1083302919350344E-2</v>
      </c>
      <c r="AM44" s="256">
        <v>1.55E-2</v>
      </c>
      <c r="AN44" s="257">
        <v>2.4500000000000001E-2</v>
      </c>
      <c r="AO44" s="257">
        <v>0.02</v>
      </c>
      <c r="AP44" s="257">
        <v>-0.06</v>
      </c>
      <c r="AQ44" s="436">
        <f>AQ43-AK43</f>
        <v>-1.0596897932371174E-3</v>
      </c>
      <c r="AR44" s="437"/>
      <c r="AS44" s="256">
        <v>1.4999999999999999E-2</v>
      </c>
      <c r="AT44" s="257">
        <v>-0.01</v>
      </c>
      <c r="AU44" s="257">
        <v>-1.7999999999999999E-2</v>
      </c>
      <c r="AV44" s="257">
        <v>0.04</v>
      </c>
      <c r="AW44" s="436">
        <f>AW43-AQ43</f>
        <v>7.6170543504199273E-3</v>
      </c>
      <c r="AY44" s="256">
        <v>1.4999999999999999E-2</v>
      </c>
      <c r="AZ44" s="257">
        <v>0.05</v>
      </c>
      <c r="BA44" s="257">
        <v>3.5000000000000003E-2</v>
      </c>
      <c r="BB44" s="257">
        <v>-4.2500000000000003E-2</v>
      </c>
      <c r="BC44" s="436">
        <f>BC43-AW43</f>
        <v>1.3642131620279829E-2</v>
      </c>
      <c r="BE44" s="256">
        <v>-0.03</v>
      </c>
      <c r="BF44" s="257">
        <v>-4.7500000000000001E-2</v>
      </c>
      <c r="BG44" s="257">
        <v>2.5000000000000001E-3</v>
      </c>
      <c r="BH44" s="257">
        <v>0</v>
      </c>
      <c r="BI44" s="436">
        <f>BI43-BC43</f>
        <v>-1.827043806754991E-2</v>
      </c>
      <c r="BK44" s="256">
        <v>2.5000000000000001E-3</v>
      </c>
      <c r="BL44" s="257">
        <v>0</v>
      </c>
      <c r="BM44" s="257">
        <v>-0.03</v>
      </c>
      <c r="BN44" s="257">
        <v>-1.4999999999999999E-2</v>
      </c>
      <c r="BO44" s="436">
        <f>BO43-BI43</f>
        <v>-1.1074609751941966E-2</v>
      </c>
      <c r="BQ44" s="256">
        <v>-5.0000000000000001E-3</v>
      </c>
      <c r="BR44" s="257">
        <v>-2.5000000000000001E-3</v>
      </c>
      <c r="BS44" s="257">
        <v>-2.5000000000000001E-3</v>
      </c>
      <c r="BT44" s="257">
        <v>-2.5000000000000001E-3</v>
      </c>
      <c r="BU44" s="436">
        <f>BU43-BO43</f>
        <v>-3.0971045484583515E-3</v>
      </c>
      <c r="BW44" s="256">
        <v>0</v>
      </c>
      <c r="BX44" s="257">
        <f>BW44</f>
        <v>0</v>
      </c>
      <c r="BY44" s="257">
        <v>-2.5000000000000001E-3</v>
      </c>
      <c r="BZ44" s="257">
        <f>BY44</f>
        <v>-2.5000000000000001E-3</v>
      </c>
      <c r="CA44" s="436">
        <f>CA43-BU43</f>
        <v>-1.2960695704659075E-3</v>
      </c>
      <c r="CC44" s="256">
        <v>-2.5000000000000001E-3</v>
      </c>
      <c r="CD44" s="257">
        <v>-2.5000000000000001E-3</v>
      </c>
      <c r="CE44" s="257">
        <v>-2.5000000000000001E-3</v>
      </c>
      <c r="CF44" s="257">
        <v>-2.5000000000000001E-3</v>
      </c>
      <c r="CG44" s="436">
        <f>CG43-CA43</f>
        <v>-2.5026313300147707E-3</v>
      </c>
      <c r="CI44" s="256">
        <v>-2.5000000000000001E-3</v>
      </c>
      <c r="CJ44" s="257">
        <v>-2.5000000000000001E-3</v>
      </c>
      <c r="CK44" s="257">
        <v>-2.5000000000000001E-3</v>
      </c>
      <c r="CL44" s="257">
        <v>-2.5000000000000001E-3</v>
      </c>
      <c r="CM44" s="436">
        <f>CM43-CG43</f>
        <v>-2.5006167915667121E-3</v>
      </c>
      <c r="CO44" s="256">
        <v>-2.5000000000000001E-3</v>
      </c>
      <c r="CP44" s="257">
        <v>-2.5000000000000001E-3</v>
      </c>
      <c r="CQ44" s="257">
        <v>-2.5000000000000001E-3</v>
      </c>
      <c r="CR44" s="257">
        <v>-2.5000000000000001E-3</v>
      </c>
      <c r="CS44" s="436">
        <f>CS43-CM43</f>
        <v>-2.5075525920697506E-3</v>
      </c>
      <c r="CU44" s="256">
        <v>-2.5000000000000001E-3</v>
      </c>
      <c r="CV44" s="257">
        <v>-2.5000000000000001E-3</v>
      </c>
      <c r="CW44" s="257">
        <v>-2.5000000000000001E-3</v>
      </c>
      <c r="CX44" s="257">
        <v>-2.5000000000000001E-3</v>
      </c>
      <c r="CY44" s="436">
        <f>CY43-CS43</f>
        <v>-2.5100208809573643E-3</v>
      </c>
      <c r="DA44" s="256">
        <v>-2.5000000000000001E-3</v>
      </c>
      <c r="DB44" s="257">
        <v>-2.5000000000000001E-3</v>
      </c>
      <c r="DC44" s="257">
        <v>-2.5000000000000001E-3</v>
      </c>
      <c r="DD44" s="257">
        <v>-2.5000000000000001E-3</v>
      </c>
      <c r="DE44" s="436">
        <f>DE43-CY43</f>
        <v>-2.5043577134308825E-3</v>
      </c>
      <c r="DG44" s="256">
        <v>-2.5000000000000001E-3</v>
      </c>
      <c r="DH44" s="257">
        <v>-2.5000000000000001E-3</v>
      </c>
      <c r="DI44" s="257">
        <v>-2.5000000000000001E-3</v>
      </c>
      <c r="DJ44" s="257">
        <v>-2.5000000000000001E-3</v>
      </c>
      <c r="DK44" s="436">
        <f>DK43-DE43</f>
        <v>-2.5087089355934067E-3</v>
      </c>
    </row>
    <row r="45" spans="2:115" ht="15.75" thickBot="1" x14ac:dyDescent="0.35">
      <c r="B45" s="1"/>
      <c r="AA45" s="103"/>
      <c r="AB45" s="103"/>
      <c r="AC45" s="103"/>
      <c r="AD45" s="103"/>
      <c r="AE45" s="103"/>
      <c r="AG45" s="103"/>
      <c r="AH45" s="103"/>
      <c r="AI45" s="103"/>
      <c r="AJ45" s="103"/>
      <c r="AK45" s="103"/>
      <c r="AM45" s="103"/>
      <c r="AN45" s="103"/>
      <c r="AO45" s="103"/>
      <c r="AP45" s="103"/>
      <c r="AQ45" s="103"/>
      <c r="AS45" s="103"/>
      <c r="AT45" s="103"/>
      <c r="AU45" s="103"/>
      <c r="AV45" s="103"/>
      <c r="AW45" s="103"/>
      <c r="AY45" s="103"/>
      <c r="AZ45" s="103"/>
      <c r="BA45" s="103"/>
      <c r="BB45" s="103"/>
      <c r="BC45" s="103"/>
      <c r="BE45" s="103"/>
      <c r="BF45" s="103"/>
      <c r="BG45" s="103"/>
      <c r="BH45" s="103"/>
      <c r="BI45" s="103"/>
      <c r="BK45" s="103"/>
      <c r="BL45" s="103"/>
      <c r="BM45" s="103"/>
      <c r="BN45" s="103"/>
      <c r="BO45" s="103"/>
      <c r="BQ45" s="103"/>
      <c r="BR45" s="103"/>
      <c r="BS45" s="103"/>
      <c r="BT45" s="103"/>
      <c r="BU45" s="103"/>
      <c r="BW45" s="103"/>
      <c r="BX45" s="103"/>
      <c r="BY45" s="103"/>
      <c r="BZ45" s="103"/>
      <c r="CA45" s="103"/>
      <c r="CC45" s="103"/>
      <c r="CD45" s="103"/>
      <c r="CE45" s="103"/>
      <c r="CF45" s="103"/>
      <c r="CG45" s="103"/>
      <c r="CI45" s="103"/>
      <c r="CJ45" s="103"/>
      <c r="CK45" s="103"/>
      <c r="CL45" s="103"/>
      <c r="CM45" s="103"/>
      <c r="CO45" s="103"/>
      <c r="CP45" s="103"/>
      <c r="CQ45" s="103"/>
      <c r="CR45" s="103"/>
      <c r="CS45" s="103"/>
      <c r="CU45" s="103"/>
      <c r="CV45" s="103"/>
      <c r="CW45" s="103"/>
      <c r="CX45" s="103"/>
      <c r="CY45" s="103"/>
      <c r="DA45" s="103"/>
      <c r="DB45" s="103"/>
      <c r="DC45" s="103"/>
      <c r="DD45" s="103"/>
      <c r="DE45" s="103"/>
      <c r="DG45" s="103"/>
      <c r="DH45" s="103"/>
      <c r="DI45" s="103"/>
      <c r="DJ45" s="103"/>
      <c r="DK45" s="103"/>
    </row>
    <row r="46" spans="2:115" ht="15" x14ac:dyDescent="0.3">
      <c r="B46" s="42" t="s">
        <v>61</v>
      </c>
      <c r="C46" s="198">
        <v>700</v>
      </c>
      <c r="D46" s="199">
        <v>741</v>
      </c>
      <c r="E46" s="199">
        <v>777</v>
      </c>
      <c r="F46" s="200">
        <v>720</v>
      </c>
      <c r="G46" s="201">
        <f>C46+D46+E46+F46</f>
        <v>2938</v>
      </c>
      <c r="H46" s="197"/>
      <c r="I46" s="198">
        <v>692</v>
      </c>
      <c r="J46" s="199">
        <v>773</v>
      </c>
      <c r="K46" s="199">
        <v>772</v>
      </c>
      <c r="L46" s="199">
        <v>766</v>
      </c>
      <c r="M46" s="201">
        <f>I46+J46+K46+L46</f>
        <v>3003</v>
      </c>
      <c r="N46" s="197"/>
      <c r="O46" s="198">
        <v>761</v>
      </c>
      <c r="P46" s="199">
        <v>798</v>
      </c>
      <c r="Q46" s="199">
        <v>920</v>
      </c>
      <c r="R46" s="199">
        <v>894</v>
      </c>
      <c r="S46" s="201">
        <f>O46+P46+Q46+R46</f>
        <v>3373</v>
      </c>
      <c r="T46" s="197"/>
      <c r="U46" s="198">
        <v>828</v>
      </c>
      <c r="V46" s="199">
        <v>912</v>
      </c>
      <c r="W46" s="199">
        <v>928</v>
      </c>
      <c r="X46" s="200">
        <v>891</v>
      </c>
      <c r="Y46" s="200">
        <f>U46+V46+W46+X46</f>
        <v>3559</v>
      </c>
      <c r="AA46" s="198">
        <f>AA32-AA37-AA40</f>
        <v>831.46563967213126</v>
      </c>
      <c r="AB46" s="199">
        <f>AB32-AB37-AB40</f>
        <v>891.92045747068153</v>
      </c>
      <c r="AC46" s="199">
        <f>AC32-AC37-AC40</f>
        <v>902.84817622077912</v>
      </c>
      <c r="AD46" s="200">
        <f>AD32-AD37-AD40</f>
        <v>879.76907945454559</v>
      </c>
      <c r="AE46" s="200">
        <f>AA46+AB46+AC46+AD46</f>
        <v>3506.0033528181375</v>
      </c>
      <c r="AG46" s="198">
        <f>AG32-AG37-AG40</f>
        <v>820.34814858743164</v>
      </c>
      <c r="AH46" s="199">
        <f>AH32-AH37-AH40</f>
        <v>876.88460237717914</v>
      </c>
      <c r="AI46" s="199">
        <f>AI32-AI37-AI40</f>
        <v>873.41381120879112</v>
      </c>
      <c r="AJ46" s="200">
        <f>AJ32-AJ37-AJ40</f>
        <v>696.0536441818183</v>
      </c>
      <c r="AK46" s="200">
        <f>AG46+AH46+AI46+AJ46</f>
        <v>3266.70020635522</v>
      </c>
      <c r="AM46" s="198">
        <f>AM32-AM37-AM40</f>
        <v>762.88982840983601</v>
      </c>
      <c r="AN46" s="199">
        <f>AN32-AN37-AN40</f>
        <v>853.40533631537244</v>
      </c>
      <c r="AO46" s="199">
        <f>AO32-AO37-AO40</f>
        <v>872.98381679920067</v>
      </c>
      <c r="AP46" s="200">
        <f>AP32-AP37-AP40</f>
        <v>780.48696504545478</v>
      </c>
      <c r="AQ46" s="200">
        <f>AM46+AN46+AO46+AP46</f>
        <v>3269.7659465698639</v>
      </c>
      <c r="AS46" s="198">
        <f>AS32-AS37-AS40</f>
        <v>769.43484931694002</v>
      </c>
      <c r="AT46" s="199">
        <f>AT32-AT37-AT40</f>
        <v>848.69711125673541</v>
      </c>
      <c r="AU46" s="199">
        <f>AU32-AU37-AU40</f>
        <v>885.95214979920081</v>
      </c>
      <c r="AV46" s="200">
        <f>AV32-AV37-AV40</f>
        <v>798.47958863636381</v>
      </c>
      <c r="AW46" s="200">
        <f>AS46+AT46+AU46+AV46</f>
        <v>3302.5636990092398</v>
      </c>
      <c r="AY46" s="198">
        <f>AY32-AY37-AY40</f>
        <v>803.80193863934414</v>
      </c>
      <c r="AZ46" s="199">
        <f>AZ32-AZ37-AZ40</f>
        <v>855.14975070522974</v>
      </c>
      <c r="BA46" s="199">
        <f>BA32-BA37-BA40</f>
        <v>884.25277078921067</v>
      </c>
      <c r="BB46" s="200">
        <f>BB32-BB37-BB40</f>
        <v>831.60566981818192</v>
      </c>
      <c r="BC46" s="200">
        <f>AY46+AZ46+BA46+BB46</f>
        <v>3374.8101299519667</v>
      </c>
      <c r="BE46" s="198">
        <f>BE32-BE37-BE40</f>
        <v>787.30873954098354</v>
      </c>
      <c r="BF46" s="199">
        <f>BF32-BF37-BF40</f>
        <v>847.96641312836778</v>
      </c>
      <c r="BG46" s="199">
        <f>BG32-BG37-BG40</f>
        <v>853.72495838961049</v>
      </c>
      <c r="BH46" s="200">
        <f>BH32-BH37-BH40</f>
        <v>839.95326481818188</v>
      </c>
      <c r="BI46" s="200">
        <f>BE46+BF46+BG46+BH46</f>
        <v>3328.953375877144</v>
      </c>
      <c r="BK46" s="198">
        <f>BK32-BK37-BK40</f>
        <v>803.79036118306033</v>
      </c>
      <c r="BL46" s="199">
        <f>BL32-BL37-BL40</f>
        <v>877.94084578050729</v>
      </c>
      <c r="BM46" s="199">
        <f>BM32-BM37-BM40</f>
        <v>883.32010218981031</v>
      </c>
      <c r="BN46" s="200">
        <f>BN32-BN37-BN40</f>
        <v>887.60083245454575</v>
      </c>
      <c r="BO46" s="200">
        <f>BK46+BL46+BM46+BN46</f>
        <v>3452.652141607924</v>
      </c>
      <c r="BQ46" s="198">
        <f>BQ32-BQ37-BQ40</f>
        <v>831.93643007016965</v>
      </c>
      <c r="BR46" s="199">
        <f>BR32-BR37-BR40</f>
        <v>907.94479513867816</v>
      </c>
      <c r="BS46" s="199">
        <f>BS32-BS37-BS40</f>
        <v>909.37481733297966</v>
      </c>
      <c r="BT46" s="200">
        <f>BT32-BT37-BT40</f>
        <v>937.04296423330743</v>
      </c>
      <c r="BU46" s="200">
        <f>BQ46+BR46+BS46+BT46</f>
        <v>3586.2990067751348</v>
      </c>
      <c r="BW46" s="198">
        <f>BW32-BW37-BW40</f>
        <v>856.94242166793174</v>
      </c>
      <c r="BX46" s="199">
        <f>BX32-BX37-BX40</f>
        <v>933.19395843972075</v>
      </c>
      <c r="BY46" s="199">
        <f>BY32-BY37-BY40</f>
        <v>934.05722807651762</v>
      </c>
      <c r="BZ46" s="200">
        <f>BZ32-BZ37-BZ40</f>
        <v>967.90483310964373</v>
      </c>
      <c r="CA46" s="200">
        <f>BW46+BX46+BY46+BZ46</f>
        <v>3692.0984412938137</v>
      </c>
      <c r="CC46" s="198">
        <f>CC32-CC37-CC40</f>
        <v>876.22304310143068</v>
      </c>
      <c r="CD46" s="199">
        <f>CD32-CD37-CD40</f>
        <v>954.11904866046791</v>
      </c>
      <c r="CE46" s="199">
        <f>CE32-CE37-CE40</f>
        <v>956.76606174984317</v>
      </c>
      <c r="CF46" s="200">
        <f>CF32-CF37-CF40</f>
        <v>999.10645657320424</v>
      </c>
      <c r="CG46" s="200">
        <f>CC46+CD46+CE46+CF46</f>
        <v>3786.2146100849459</v>
      </c>
      <c r="CI46" s="198">
        <f>CI32-CI37-CI40</f>
        <v>898.6401025905584</v>
      </c>
      <c r="CJ46" s="199">
        <f>CJ32-CJ37-CJ40</f>
        <v>974.99666193305677</v>
      </c>
      <c r="CK46" s="199">
        <f>CK32-CK37-CK40</f>
        <v>978.85358822875651</v>
      </c>
      <c r="CL46" s="200">
        <f>CL32-CL37-CL40</f>
        <v>1026.4416677812835</v>
      </c>
      <c r="CM46" s="200">
        <f>CI46+CJ46+CK46+CL46</f>
        <v>3878.9320205336553</v>
      </c>
      <c r="CO46" s="198">
        <f>CO32-CO37-CO40</f>
        <v>916.67319645554971</v>
      </c>
      <c r="CP46" s="199">
        <f>CP32-CP37-CP40</f>
        <v>995.58254162569233</v>
      </c>
      <c r="CQ46" s="199">
        <f>CQ32-CQ37-CQ40</f>
        <v>1003.3105054321943</v>
      </c>
      <c r="CR46" s="200">
        <f>CR32-CR37-CR40</f>
        <v>1054.4585936058656</v>
      </c>
      <c r="CS46" s="200">
        <f>CO46+CP46+CQ46+CR46</f>
        <v>3970.024837119302</v>
      </c>
      <c r="CU46" s="198">
        <f>CU32-CU37-CU40</f>
        <v>931.54830086759398</v>
      </c>
      <c r="CV46" s="199">
        <f>CV32-CV37-CV40</f>
        <v>1012.6004226008088</v>
      </c>
      <c r="CW46" s="199">
        <f>CW32-CW37-CW40</f>
        <v>1023.6825905977194</v>
      </c>
      <c r="CX46" s="200">
        <f>CX32-CX37-CX40</f>
        <v>1075.8815085298152</v>
      </c>
      <c r="CY46" s="200">
        <f>CU46+CV46+CW46+CX46</f>
        <v>4043.7128225959373</v>
      </c>
      <c r="DA46" s="198">
        <f>DA32-DA37-DA40</f>
        <v>946.38577004621629</v>
      </c>
      <c r="DB46" s="199">
        <f>DB32-DB37-DB40</f>
        <v>1029.0863892958864</v>
      </c>
      <c r="DC46" s="199">
        <f>DC32-DC37-DC40</f>
        <v>1042.7998362381816</v>
      </c>
      <c r="DD46" s="200">
        <f>DD32-DD37-DD40</f>
        <v>1097.1243095151551</v>
      </c>
      <c r="DE46" s="200">
        <f>DA46+DB46+DC46+DD46</f>
        <v>4115.3963050954389</v>
      </c>
      <c r="DG46" s="198">
        <f>DG32-DG37-DG40</f>
        <v>960.39502765948214</v>
      </c>
      <c r="DH46" s="199">
        <f>DH32-DH37-DH40</f>
        <v>1044.9963847114154</v>
      </c>
      <c r="DI46" s="199">
        <f>DI32-DI37-DI40</f>
        <v>1061.4520345145354</v>
      </c>
      <c r="DJ46" s="200">
        <f>DJ32-DJ37-DJ40</f>
        <v>1116.1428487743372</v>
      </c>
      <c r="DK46" s="200">
        <f>DG46+DH46+DI46+DJ46</f>
        <v>4182.9862956597699</v>
      </c>
    </row>
    <row r="47" spans="2:115" ht="15.75" thickBot="1" x14ac:dyDescent="0.35">
      <c r="B47" s="41" t="s">
        <v>23</v>
      </c>
      <c r="C47" s="155" t="s">
        <v>35</v>
      </c>
      <c r="D47" s="106" t="s">
        <v>35</v>
      </c>
      <c r="E47" s="106" t="s">
        <v>35</v>
      </c>
      <c r="F47" s="154" t="s">
        <v>35</v>
      </c>
      <c r="G47" s="108" t="s">
        <v>35</v>
      </c>
      <c r="I47" s="109">
        <f>I46/C46-1</f>
        <v>-1.1428571428571455E-2</v>
      </c>
      <c r="J47" s="110">
        <f>J46/D46-1</f>
        <v>4.3184885290148411E-2</v>
      </c>
      <c r="K47" s="110">
        <f>K46/E46-1</f>
        <v>-6.4350064350063851E-3</v>
      </c>
      <c r="L47" s="110">
        <f>L46/F46-1</f>
        <v>6.3888888888888884E-2</v>
      </c>
      <c r="M47" s="122">
        <f>M46/G46-1</f>
        <v>2.2123893805309658E-2</v>
      </c>
      <c r="O47" s="109">
        <f>O46/I46-1</f>
        <v>9.9710982658959502E-2</v>
      </c>
      <c r="P47" s="110">
        <f>P46/J46-1</f>
        <v>3.2341526520051733E-2</v>
      </c>
      <c r="Q47" s="110">
        <f>Q46/K46-1</f>
        <v>0.19170984455958551</v>
      </c>
      <c r="R47" s="110">
        <f>R46/L46-1</f>
        <v>0.16710182767624016</v>
      </c>
      <c r="S47" s="122">
        <f>S46/M46-1</f>
        <v>0.12321012321012326</v>
      </c>
      <c r="U47" s="109">
        <f>U46/O46-1</f>
        <v>8.8042049934296873E-2</v>
      </c>
      <c r="V47" s="110">
        <f>V46/P46-1</f>
        <v>0.14285714285714279</v>
      </c>
      <c r="W47" s="110">
        <f>W46/Q46-1</f>
        <v>8.6956521739129933E-3</v>
      </c>
      <c r="X47" s="120">
        <f>X46/R46-1</f>
        <v>-3.3557046979866278E-3</v>
      </c>
      <c r="Y47" s="120">
        <f>Y46/S46-1</f>
        <v>5.5143788911947711E-2</v>
      </c>
      <c r="AA47" s="109">
        <f>AA46/U46-1</f>
        <v>4.1855551595788576E-3</v>
      </c>
      <c r="AB47" s="110">
        <f>AB46/V46-1</f>
        <v>-2.2017042247059693E-2</v>
      </c>
      <c r="AC47" s="110">
        <f>AC46/W46-1</f>
        <v>-2.7103258382781159E-2</v>
      </c>
      <c r="AD47" s="120">
        <f>AD46/X46-1</f>
        <v>-1.2604849097030746E-2</v>
      </c>
      <c r="AE47" s="120">
        <f>AE46/Y46-1</f>
        <v>-1.4890881478466511E-2</v>
      </c>
      <c r="AG47" s="109">
        <f>AG46/AA46-1</f>
        <v>-1.3370956722978389E-2</v>
      </c>
      <c r="AH47" s="110">
        <f>AH46/AB46-1</f>
        <v>-1.6857843059392641E-2</v>
      </c>
      <c r="AI47" s="110">
        <f>AI46/AC46-1</f>
        <v>-3.2601677432851361E-2</v>
      </c>
      <c r="AJ47" s="120">
        <f>AJ46/AD46-1</f>
        <v>-0.20882233709171771</v>
      </c>
      <c r="AK47" s="120">
        <f>AK46/AE46-1</f>
        <v>-6.8255253170412589E-2</v>
      </c>
      <c r="AM47" s="109">
        <f>AM46/AG46-1</f>
        <v>-7.0041384595715739E-2</v>
      </c>
      <c r="AN47" s="110">
        <f>AN46/AH46-1</f>
        <v>-2.677577642275375E-2</v>
      </c>
      <c r="AO47" s="110">
        <f>AO46/AI46-1</f>
        <v>-4.923146440692916E-4</v>
      </c>
      <c r="AP47" s="120">
        <f>AP46/AJ46-1</f>
        <v>0.1213028932028426</v>
      </c>
      <c r="AQ47" s="120">
        <f>AQ46/AK46-1</f>
        <v>9.3848226680837143E-4</v>
      </c>
      <c r="AS47" s="109">
        <f>AS46/AM46-1</f>
        <v>8.5792478328705624E-3</v>
      </c>
      <c r="AT47" s="110">
        <f>AT46/AN46-1</f>
        <v>-5.5169857256400778E-3</v>
      </c>
      <c r="AU47" s="110">
        <f>AU46/AO46-1</f>
        <v>1.485518144832132E-2</v>
      </c>
      <c r="AV47" s="120">
        <f>AV46/AP46-1</f>
        <v>2.3053073781778233E-2</v>
      </c>
      <c r="AW47" s="120">
        <f>AW46/AQ46-1</f>
        <v>1.0030611663132127E-2</v>
      </c>
      <c r="AY47" s="109">
        <f>AY46/AS46-1</f>
        <v>4.4665366213803903E-2</v>
      </c>
      <c r="AZ47" s="110">
        <f>AZ46/AT46-1</f>
        <v>7.6029944757787238E-3</v>
      </c>
      <c r="BA47" s="110">
        <f>BA46/AU46-1</f>
        <v>-1.918138592897245E-3</v>
      </c>
      <c r="BB47" s="120">
        <f>BB46/AV46-1</f>
        <v>4.1486447059204679E-2</v>
      </c>
      <c r="BC47" s="120">
        <f>BC46/AW46-1</f>
        <v>2.1875862974089166E-2</v>
      </c>
      <c r="BE47" s="109">
        <f>BE46/AY46-1</f>
        <v>-2.0518983975430394E-2</v>
      </c>
      <c r="BF47" s="110">
        <f>BF46/AZ46-1</f>
        <v>-8.4000931660659361E-3</v>
      </c>
      <c r="BG47" s="110">
        <f>BG46/BA46-1</f>
        <v>-3.4523852690168666E-2</v>
      </c>
      <c r="BH47" s="120">
        <f>BH46/BB46-1</f>
        <v>1.0037924587292801E-2</v>
      </c>
      <c r="BI47" s="120">
        <f>BI46/BC46-1</f>
        <v>-1.3587950820651118E-2</v>
      </c>
      <c r="BK47" s="109">
        <f>BK46/BE46-1</f>
        <v>2.0934127635476196E-2</v>
      </c>
      <c r="BL47" s="110">
        <f>BL46/BF46-1</f>
        <v>3.5348608374187851E-2</v>
      </c>
      <c r="BM47" s="110">
        <f>BM46/BG46-1</f>
        <v>3.4665899724924731E-2</v>
      </c>
      <c r="BN47" s="120">
        <f>BN46/BH46-1</f>
        <v>5.6726450901619874E-2</v>
      </c>
      <c r="BO47" s="120">
        <f>BO46/BI46-1</f>
        <v>3.7158455455443828E-2</v>
      </c>
      <c r="BQ47" s="109">
        <f>BQ46/BK46-1</f>
        <v>3.5016678783859057E-2</v>
      </c>
      <c r="BR47" s="110">
        <f>BR46/BL46-1</f>
        <v>3.4175365575452643E-2</v>
      </c>
      <c r="BS47" s="110">
        <f>BS46/BM46-1</f>
        <v>2.9496345751192532E-2</v>
      </c>
      <c r="BT47" s="120">
        <f>BT46/BN46-1</f>
        <v>5.5703115602129261E-2</v>
      </c>
      <c r="BU47" s="120">
        <f>BU46/BO46-1</f>
        <v>3.8708465169899897E-2</v>
      </c>
      <c r="BW47" s="109">
        <f>BW46/BQ46-1</f>
        <v>3.0057574946745547E-2</v>
      </c>
      <c r="BX47" s="110">
        <f>BX46/BR46-1</f>
        <v>2.7809139317975795E-2</v>
      </c>
      <c r="BY47" s="110">
        <f>BY46/BS46-1</f>
        <v>2.7142175341875685E-2</v>
      </c>
      <c r="BZ47" s="120">
        <f>BZ46/BT46-1</f>
        <v>3.2935382959294213E-2</v>
      </c>
      <c r="CA47" s="120">
        <f>CA46/BU46-1</f>
        <v>2.950100767359487E-2</v>
      </c>
      <c r="CC47" s="109">
        <f>CC46/BW46-1</f>
        <v>2.2499319611195778E-2</v>
      </c>
      <c r="CD47" s="110">
        <f>CD46/BX46-1</f>
        <v>2.2423087967407662E-2</v>
      </c>
      <c r="CE47" s="110">
        <f>CE46/BY46-1</f>
        <v>2.431203676897753E-2</v>
      </c>
      <c r="CF47" s="120">
        <f>CF46/BZ46-1</f>
        <v>3.2236251329913479E-2</v>
      </c>
      <c r="CG47" s="120">
        <f>CG46/CA46-1</f>
        <v>2.5491240357651712E-2</v>
      </c>
      <c r="CI47" s="109">
        <f>CI46/CC46-1</f>
        <v>2.5583736544728897E-2</v>
      </c>
      <c r="CJ47" s="110">
        <f>CJ46/CD46-1</f>
        <v>2.1881560065172057E-2</v>
      </c>
      <c r="CK47" s="110">
        <f>CK46/CE46-1</f>
        <v>2.3085608240030142E-2</v>
      </c>
      <c r="CL47" s="120">
        <f>CL46/CF46-1</f>
        <v>2.7359658250868613E-2</v>
      </c>
      <c r="CM47" s="120">
        <f>CM46/CG46-1</f>
        <v>2.4488155056437533E-2</v>
      </c>
      <c r="CO47" s="109">
        <f>CO46/CI46-1</f>
        <v>2.0067092279775212E-2</v>
      </c>
      <c r="CP47" s="110">
        <f>CP46/CJ46-1</f>
        <v>2.1113795048099293E-2</v>
      </c>
      <c r="CQ47" s="110">
        <f>CQ46/CK46-1</f>
        <v>2.4985265924899691E-2</v>
      </c>
      <c r="CR47" s="120">
        <f>CR46/CL46-1</f>
        <v>2.7295195337444289E-2</v>
      </c>
      <c r="CS47" s="120">
        <f>CS46/CM46-1</f>
        <v>2.348399407451196E-2</v>
      </c>
      <c r="CU47" s="109">
        <f>CU46/CO46-1</f>
        <v>1.6227271037880353E-2</v>
      </c>
      <c r="CV47" s="110">
        <f>CV46/CP46-1</f>
        <v>1.7093390315310097E-2</v>
      </c>
      <c r="CW47" s="110">
        <f>CW46/CQ46-1</f>
        <v>2.030486579700419E-2</v>
      </c>
      <c r="CX47" s="120">
        <f>CX46/CR46-1</f>
        <v>2.0316506550239088E-2</v>
      </c>
      <c r="CY47" s="120">
        <f>CY46/CS46-1</f>
        <v>1.8561089287820298E-2</v>
      </c>
      <c r="DA47" s="109">
        <f>DA46/CU46-1</f>
        <v>1.5927750783081729E-2</v>
      </c>
      <c r="DB47" s="110">
        <f>DB46/CV46-1</f>
        <v>1.6280821464338624E-2</v>
      </c>
      <c r="DC47" s="110">
        <f>DC46/CW46-1</f>
        <v>1.867497387964745E-2</v>
      </c>
      <c r="DD47" s="120">
        <f>DD46/CX46-1</f>
        <v>1.9744554411357251E-2</v>
      </c>
      <c r="DE47" s="120">
        <f>DE46/CY46-1</f>
        <v>1.7727144741570333E-2</v>
      </c>
      <c r="DG47" s="109">
        <f>DG46/DA46-1</f>
        <v>1.4802903907337628E-2</v>
      </c>
      <c r="DH47" s="110">
        <f>DH46/DB46-1</f>
        <v>1.5460310797050569E-2</v>
      </c>
      <c r="DI47" s="110">
        <f>DI46/DC46-1</f>
        <v>1.7886652479386811E-2</v>
      </c>
      <c r="DJ47" s="120">
        <f>DJ46/DD46-1</f>
        <v>1.7334899148836458E-2</v>
      </c>
      <c r="DK47" s="120">
        <f>DK46/DE46-1</f>
        <v>1.6423689373644246E-2</v>
      </c>
    </row>
    <row r="48" spans="2:115" ht="15.75" thickBot="1" x14ac:dyDescent="0.35">
      <c r="B48" s="1"/>
      <c r="AA48" s="103"/>
      <c r="AB48" s="103"/>
      <c r="AC48" s="103"/>
      <c r="AD48" s="103"/>
      <c r="AE48" s="103"/>
      <c r="AG48" s="103"/>
      <c r="AH48" s="103"/>
      <c r="AI48" s="103"/>
      <c r="AJ48" s="103"/>
      <c r="AK48" s="103"/>
      <c r="AM48" s="103"/>
      <c r="AN48" s="103"/>
      <c r="AO48" s="103"/>
      <c r="AP48" s="103"/>
      <c r="AQ48" s="103"/>
      <c r="AS48" s="103"/>
      <c r="AT48" s="103"/>
      <c r="AU48" s="103"/>
      <c r="AV48" s="103"/>
      <c r="AW48" s="103"/>
      <c r="AY48" s="103"/>
      <c r="AZ48" s="103"/>
      <c r="BA48" s="103"/>
      <c r="BB48" s="103"/>
      <c r="BC48" s="103"/>
      <c r="BE48" s="103"/>
      <c r="BF48" s="103"/>
      <c r="BG48" s="103"/>
      <c r="BH48" s="103"/>
      <c r="BI48" s="103"/>
      <c r="BK48" s="103"/>
      <c r="BL48" s="103"/>
      <c r="BM48" s="103"/>
      <c r="BN48" s="103"/>
      <c r="BO48" s="103"/>
      <c r="BQ48" s="103"/>
      <c r="BR48" s="103"/>
      <c r="BS48" s="103"/>
      <c r="BT48" s="103"/>
      <c r="BU48" s="103"/>
      <c r="BW48" s="103"/>
      <c r="BX48" s="103"/>
      <c r="BY48" s="103"/>
      <c r="BZ48" s="103"/>
      <c r="CA48" s="103"/>
      <c r="CC48" s="103"/>
      <c r="CD48" s="103"/>
      <c r="CE48" s="103"/>
      <c r="CF48" s="103"/>
      <c r="CG48" s="103"/>
      <c r="CI48" s="103"/>
      <c r="CJ48" s="103"/>
      <c r="CK48" s="103"/>
      <c r="CL48" s="103"/>
      <c r="CM48" s="103"/>
      <c r="CO48" s="103"/>
      <c r="CP48" s="103"/>
      <c r="CQ48" s="103"/>
      <c r="CR48" s="103"/>
      <c r="CS48" s="103"/>
      <c r="CU48" s="103"/>
      <c r="CV48" s="103"/>
      <c r="CW48" s="103"/>
      <c r="CX48" s="103"/>
      <c r="CY48" s="103"/>
      <c r="DA48" s="103"/>
      <c r="DB48" s="103"/>
      <c r="DC48" s="103"/>
      <c r="DD48" s="103"/>
      <c r="DE48" s="103"/>
      <c r="DG48" s="103"/>
      <c r="DH48" s="103"/>
      <c r="DI48" s="103"/>
      <c r="DJ48" s="103"/>
      <c r="DK48" s="103"/>
    </row>
    <row r="49" spans="2:115" ht="15" x14ac:dyDescent="0.3">
      <c r="B49" s="42" t="s">
        <v>36</v>
      </c>
      <c r="C49" s="209">
        <f>C46/C32</f>
        <v>0.35879036391594055</v>
      </c>
      <c r="D49" s="206">
        <f>D46/D32</f>
        <v>0.36884021901443503</v>
      </c>
      <c r="E49" s="206">
        <f>E46/E32</f>
        <v>0.37736765420106849</v>
      </c>
      <c r="F49" s="206">
        <f>F46/F32</f>
        <v>0.36474164133738601</v>
      </c>
      <c r="G49" s="208">
        <f>G46/G32</f>
        <v>0.36757162517202552</v>
      </c>
      <c r="H49" s="129"/>
      <c r="I49" s="209">
        <f>I46/I32</f>
        <v>0.36730360934182588</v>
      </c>
      <c r="J49" s="206">
        <f>J46/J32</f>
        <v>0.39580133128520223</v>
      </c>
      <c r="K49" s="206">
        <f>K46/K32</f>
        <v>0.3856143856143856</v>
      </c>
      <c r="L49" s="206">
        <f>L46/L32</f>
        <v>0.3816641753861485</v>
      </c>
      <c r="M49" s="208">
        <f>M46/M32</f>
        <v>0.3827427988784094</v>
      </c>
      <c r="N49" s="129"/>
      <c r="O49" s="209">
        <f>O46/O32</f>
        <v>0.38985655737704916</v>
      </c>
      <c r="P49" s="206">
        <f>P46/P32</f>
        <v>0.40986132511556239</v>
      </c>
      <c r="Q49" s="206">
        <f>Q46/Q32</f>
        <v>0.43622569938359412</v>
      </c>
      <c r="R49" s="206">
        <f>R46/R32</f>
        <v>0.42551166111375538</v>
      </c>
      <c r="S49" s="208">
        <f>S46/S32</f>
        <v>0.41595757799975336</v>
      </c>
      <c r="U49" s="209">
        <f>U46/U32</f>
        <v>0.4524590163934426</v>
      </c>
      <c r="V49" s="206">
        <f>V46/V32</f>
        <v>0.48177496038034867</v>
      </c>
      <c r="W49" s="206">
        <f>W46/W32</f>
        <v>0.46353646353646355</v>
      </c>
      <c r="X49" s="207">
        <f>X46/X32</f>
        <v>0.45</v>
      </c>
      <c r="Y49" s="207">
        <f>Y46/Y32</f>
        <v>0.46190785204412721</v>
      </c>
      <c r="AA49" s="209">
        <f>AA46/AA32</f>
        <v>0.44774670957034535</v>
      </c>
      <c r="AB49" s="206">
        <f>AB46/AB32</f>
        <v>0.47670788747764914</v>
      </c>
      <c r="AC49" s="206">
        <f>AC46/AC32</f>
        <v>0.47568397061158013</v>
      </c>
      <c r="AD49" s="207">
        <f>AD46/AD32</f>
        <v>0.4567856071934297</v>
      </c>
      <c r="AE49" s="207">
        <f>AE46/AE32</f>
        <v>0.46424832532019827</v>
      </c>
      <c r="AG49" s="209">
        <f>AG46/AG32</f>
        <v>0.44705621176426791</v>
      </c>
      <c r="AH49" s="206">
        <f>AH46/AH32</f>
        <v>0.47347980689912478</v>
      </c>
      <c r="AI49" s="206">
        <f>AI46/AI32</f>
        <v>0.44607446946312113</v>
      </c>
      <c r="AJ49" s="207">
        <f>AJ46/AJ32</f>
        <v>0.35030379676991358</v>
      </c>
      <c r="AK49" s="207">
        <f>AK46/AK32</f>
        <v>0.42802675659790618</v>
      </c>
      <c r="AM49" s="209">
        <f>AM46/AM32</f>
        <v>0.41416385907157222</v>
      </c>
      <c r="AN49" s="206">
        <f>AN46/AN32</f>
        <v>0.44332744743655711</v>
      </c>
      <c r="AO49" s="206">
        <f>AO46/AO32</f>
        <v>0.43518634935154571</v>
      </c>
      <c r="AP49" s="207">
        <f>AP46/AP32</f>
        <v>0.39881807105030903</v>
      </c>
      <c r="AQ49" s="207">
        <f>AQ46/AQ32</f>
        <v>0.42299688830140542</v>
      </c>
      <c r="AS49" s="209">
        <f>AS46/AS32</f>
        <v>0.41124257045266704</v>
      </c>
      <c r="AT49" s="206">
        <f>AT46/AT32</f>
        <v>0.45119463650012515</v>
      </c>
      <c r="AU49" s="206">
        <f>AU46/AU32</f>
        <v>0.44165112153499542</v>
      </c>
      <c r="AV49" s="207">
        <f>AV46/AV32</f>
        <v>0.3805908430106596</v>
      </c>
      <c r="AW49" s="207">
        <f>AW46/AW32</f>
        <v>0.42038743622826374</v>
      </c>
      <c r="AY49" s="209">
        <f>AY46/AY32</f>
        <v>0.39000579264402918</v>
      </c>
      <c r="AZ49" s="206">
        <f>AZ46/AZ32</f>
        <v>0.41775757240118699</v>
      </c>
      <c r="BA49" s="206">
        <f>BA46/BA32</f>
        <v>0.43008403248502464</v>
      </c>
      <c r="BB49" s="207">
        <f>BB46/BB32</f>
        <v>0.4013540877500878</v>
      </c>
      <c r="BC49" s="207">
        <f>BC46/BC32</f>
        <v>0.40976325035842237</v>
      </c>
      <c r="BE49" s="209">
        <f>BE46/BE32</f>
        <v>0.40562016462698791</v>
      </c>
      <c r="BF49" s="206">
        <f>BF46/BF32</f>
        <v>0.44937276795356002</v>
      </c>
      <c r="BG49" s="206">
        <f>BG46/BG32</f>
        <v>0.41564019395794083</v>
      </c>
      <c r="BH49" s="207">
        <f>BH46/BH32</f>
        <v>0.40538284981572487</v>
      </c>
      <c r="BI49" s="207">
        <f>BI46/BI32</f>
        <v>0.41852569472933671</v>
      </c>
      <c r="BK49" s="209">
        <f>BK46/BK32</f>
        <v>0.40760160303400628</v>
      </c>
      <c r="BL49" s="206">
        <f>BL46/BL32</f>
        <v>0.45022607475923448</v>
      </c>
      <c r="BM49" s="206">
        <f>BM46/BM32</f>
        <v>0.43025820856785696</v>
      </c>
      <c r="BN49" s="207">
        <f>BN46/BN32</f>
        <v>0.40940997806943991</v>
      </c>
      <c r="BO49" s="207">
        <f>BO46/BO32</f>
        <v>0.42400247348740316</v>
      </c>
      <c r="BQ49" s="209">
        <f>BQ46/BQ32</f>
        <v>0.41051858622292253</v>
      </c>
      <c r="BR49" s="206">
        <f>BR46/BR32</f>
        <v>0.45400141875973654</v>
      </c>
      <c r="BS49" s="206">
        <f>BS46/BS32</f>
        <v>0.43206906718443938</v>
      </c>
      <c r="BT49" s="207">
        <f>BT46/BT32</f>
        <v>0.42352691048524888</v>
      </c>
      <c r="BU49" s="207">
        <f>BU46/BU32</f>
        <v>0.42982656384530665</v>
      </c>
      <c r="BW49" s="209">
        <f>BW46/BW32</f>
        <v>0.41467387483325141</v>
      </c>
      <c r="BX49" s="206">
        <f>BX46/BX32</f>
        <v>0.45736849078152608</v>
      </c>
      <c r="BY49" s="206">
        <f>BY46/BY32</f>
        <v>0.43488515641117481</v>
      </c>
      <c r="BZ49" s="207">
        <f>BZ46/BZ32</f>
        <v>0.42769874217351184</v>
      </c>
      <c r="CA49" s="207">
        <f>CA46/CA32</f>
        <v>0.433457930909664</v>
      </c>
      <c r="CC49" s="209">
        <f>CC46/CC32</f>
        <v>0.41643853464301639</v>
      </c>
      <c r="CD49" s="206">
        <f>CD46/CD32</f>
        <v>0.4592169555038994</v>
      </c>
      <c r="CE49" s="206">
        <f>CE46/CE32</f>
        <v>0.4368183813603404</v>
      </c>
      <c r="CF49" s="207">
        <f>CF46/CF32</f>
        <v>0.43206827667513065</v>
      </c>
      <c r="CG49" s="207">
        <f>CG46/CG32</f>
        <v>0.43597465618234305</v>
      </c>
      <c r="CI49" s="209">
        <f>CI46/CI32</f>
        <v>0.41952283990492134</v>
      </c>
      <c r="CJ49" s="206">
        <f>CJ46/CJ32</f>
        <v>0.46129120651215066</v>
      </c>
      <c r="CK49" s="206">
        <f>CK46/CK32</f>
        <v>0.43798207729338734</v>
      </c>
      <c r="CL49" s="207">
        <f>CL46/CL32</f>
        <v>0.4345263850991497</v>
      </c>
      <c r="CM49" s="207">
        <f>CM46/CM32</f>
        <v>0.43815863540770755</v>
      </c>
      <c r="CO49" s="209">
        <f>CO46/CO32</f>
        <v>0.42062203232964374</v>
      </c>
      <c r="CP49" s="206">
        <f>CP46/CP32</f>
        <v>0.46251625146238268</v>
      </c>
      <c r="CQ49" s="206">
        <f>CQ46/CQ32</f>
        <v>0.44030606975765307</v>
      </c>
      <c r="CR49" s="207">
        <f>CR46/CR32</f>
        <v>0.43796896454034251</v>
      </c>
      <c r="CS49" s="207">
        <f>CS46/CS32</f>
        <v>0.44022660714032241</v>
      </c>
      <c r="CU49" s="209">
        <f>CU46/CU32</f>
        <v>0.42154559407648901</v>
      </c>
      <c r="CV49" s="206">
        <f>CV46/CV32</f>
        <v>0.46355661423049982</v>
      </c>
      <c r="CW49" s="206">
        <f>CW46/CW32</f>
        <v>0.4414071042156269</v>
      </c>
      <c r="CX49" s="207">
        <f>CX46/CX32</f>
        <v>0.440068724105878</v>
      </c>
      <c r="CY49" s="207">
        <f>CY46/CY32</f>
        <v>0.44154041717865267</v>
      </c>
      <c r="DA49" s="209">
        <f>DA46/DA32</f>
        <v>0.42336343329809278</v>
      </c>
      <c r="DB49" s="206">
        <f>DB46/DB32</f>
        <v>0.46548462275795194</v>
      </c>
      <c r="DC49" s="206">
        <f>DC46/DC32</f>
        <v>0.4434822703000732</v>
      </c>
      <c r="DD49" s="207">
        <f>DD46/DD32</f>
        <v>0.44044460559450621</v>
      </c>
      <c r="DE49" s="207">
        <f>DE46/DE32</f>
        <v>0.44306263388337236</v>
      </c>
      <c r="DG49" s="209">
        <f>DG46/DG32</f>
        <v>0.4242688734953709</v>
      </c>
      <c r="DH49" s="206">
        <f>DH46/DH32</f>
        <v>0.46649505273833253</v>
      </c>
      <c r="DI49" s="206">
        <f>DI46/DI32</f>
        <v>0.44449722235372235</v>
      </c>
      <c r="DJ49" s="207">
        <f>DJ46/DJ32</f>
        <v>0.4433565413057996</v>
      </c>
      <c r="DK49" s="207">
        <f>DK46/DK32</f>
        <v>0.44456267819644424</v>
      </c>
    </row>
    <row r="50" spans="2:115" ht="15.75" thickBot="1" x14ac:dyDescent="0.35">
      <c r="B50" s="41" t="s">
        <v>37</v>
      </c>
      <c r="C50" s="155" t="s">
        <v>35</v>
      </c>
      <c r="D50" s="106" t="s">
        <v>35</v>
      </c>
      <c r="E50" s="106" t="s">
        <v>35</v>
      </c>
      <c r="F50" s="154" t="s">
        <v>35</v>
      </c>
      <c r="G50" s="108" t="s">
        <v>35</v>
      </c>
      <c r="I50" s="174">
        <f>I49-C49</f>
        <v>8.5132454258853296E-3</v>
      </c>
      <c r="J50" s="175">
        <f>J49-D49</f>
        <v>2.6961112270767196E-2</v>
      </c>
      <c r="K50" s="175">
        <f>K49-E49</f>
        <v>8.2467314133171099E-3</v>
      </c>
      <c r="L50" s="175">
        <f>L49-F49</f>
        <v>1.6922534048762483E-2</v>
      </c>
      <c r="M50" s="177">
        <f>M49-G49</f>
        <v>1.5171173706383878E-2</v>
      </c>
      <c r="O50" s="174">
        <f>O49-I49</f>
        <v>2.2552948035223286E-2</v>
      </c>
      <c r="P50" s="175">
        <f>P49-J49</f>
        <v>1.4059993830360162E-2</v>
      </c>
      <c r="Q50" s="175">
        <f>Q49-K49</f>
        <v>5.0611313769208521E-2</v>
      </c>
      <c r="R50" s="175">
        <f>R49-L49</f>
        <v>4.3847485727606883E-2</v>
      </c>
      <c r="S50" s="177">
        <f>S49-M49</f>
        <v>3.3214779121343962E-2</v>
      </c>
      <c r="U50" s="174">
        <f>U49-O49</f>
        <v>6.2602459016393441E-2</v>
      </c>
      <c r="V50" s="175">
        <f>V49-P49</f>
        <v>7.191363526478628E-2</v>
      </c>
      <c r="W50" s="175">
        <f>W49-Q49</f>
        <v>2.7310764152869427E-2</v>
      </c>
      <c r="X50" s="176">
        <f>X49-R49</f>
        <v>2.4488338886244632E-2</v>
      </c>
      <c r="Y50" s="176">
        <f>Y49-S49</f>
        <v>4.5950274044373851E-2</v>
      </c>
      <c r="AA50" s="174">
        <f>AA49-U49</f>
        <v>-4.7123068230972565E-3</v>
      </c>
      <c r="AB50" s="175">
        <f>AB49-V49</f>
        <v>-5.067072902699532E-3</v>
      </c>
      <c r="AC50" s="175">
        <f>AC49-W49</f>
        <v>1.2147507075116581E-2</v>
      </c>
      <c r="AD50" s="176">
        <f>AD49-X49</f>
        <v>6.785607193429688E-3</v>
      </c>
      <c r="AE50" s="176">
        <f>AE49-Y49</f>
        <v>2.3404732760710645E-3</v>
      </c>
      <c r="AG50" s="174">
        <f>AG49-AA49</f>
        <v>-6.9049780607743916E-4</v>
      </c>
      <c r="AH50" s="175">
        <f>AH49-AB49</f>
        <v>-3.2280805785243616E-3</v>
      </c>
      <c r="AI50" s="175">
        <f>AI49-AC49</f>
        <v>-2.9609501148459005E-2</v>
      </c>
      <c r="AJ50" s="176">
        <f>AJ49-AD49</f>
        <v>-0.10648181042351612</v>
      </c>
      <c r="AK50" s="176">
        <f>AK49-AE49</f>
        <v>-3.6221568722292097E-2</v>
      </c>
      <c r="AM50" s="174">
        <f>AM49-AG49</f>
        <v>-3.2892352692695692E-2</v>
      </c>
      <c r="AN50" s="175">
        <f>AN49-AH49</f>
        <v>-3.0152359462567668E-2</v>
      </c>
      <c r="AO50" s="175">
        <f>AO49-AI49</f>
        <v>-1.0888120111575417E-2</v>
      </c>
      <c r="AP50" s="176">
        <f>AP49-AJ49</f>
        <v>4.8514274280395453E-2</v>
      </c>
      <c r="AQ50" s="176">
        <f>AQ49-AK49</f>
        <v>-5.0298682965007613E-3</v>
      </c>
      <c r="AS50" s="174">
        <f>AS49-AM49</f>
        <v>-2.9212886189051712E-3</v>
      </c>
      <c r="AT50" s="175">
        <f>AT49-AN49</f>
        <v>7.8671890635680364E-3</v>
      </c>
      <c r="AU50" s="175">
        <f>AU49-AO49</f>
        <v>6.4647721834497074E-3</v>
      </c>
      <c r="AV50" s="176">
        <f>AV49-AP49</f>
        <v>-1.8227228039649435E-2</v>
      </c>
      <c r="AW50" s="176">
        <f>AW49-AQ49</f>
        <v>-2.6094520731416715E-3</v>
      </c>
      <c r="AY50" s="174">
        <f>AY49-AS49</f>
        <v>-2.1236777808637863E-2</v>
      </c>
      <c r="AZ50" s="175">
        <f>AZ49-AT49</f>
        <v>-3.3437064098938152E-2</v>
      </c>
      <c r="BA50" s="175">
        <f>BA49-AU49</f>
        <v>-1.156708904997078E-2</v>
      </c>
      <c r="BB50" s="176">
        <f>BB49-AV49</f>
        <v>2.0763244739428199E-2</v>
      </c>
      <c r="BC50" s="176">
        <f>BC49-AW49</f>
        <v>-1.0624185869841374E-2</v>
      </c>
      <c r="BE50" s="174">
        <f>BE49-AY49</f>
        <v>1.561437198295873E-2</v>
      </c>
      <c r="BF50" s="175">
        <f>BF49-AZ49</f>
        <v>3.1615195552373021E-2</v>
      </c>
      <c r="BG50" s="175">
        <f>BG49-BA49</f>
        <v>-1.4443838527083808E-2</v>
      </c>
      <c r="BH50" s="176">
        <f>BH49-BB49</f>
        <v>4.0287620656370704E-3</v>
      </c>
      <c r="BI50" s="176">
        <f>BI49-BC49</f>
        <v>8.7624443709143351E-3</v>
      </c>
      <c r="BK50" s="174">
        <f>BK49-BE49</f>
        <v>1.9814384070183655E-3</v>
      </c>
      <c r="BL50" s="175">
        <f>BL49-BF49</f>
        <v>8.533068056744697E-4</v>
      </c>
      <c r="BM50" s="175">
        <f>BM49-BG49</f>
        <v>1.461801460991613E-2</v>
      </c>
      <c r="BN50" s="176">
        <f>BN49-BH49</f>
        <v>4.0271282537150399E-3</v>
      </c>
      <c r="BO50" s="176">
        <f>BO49-BI49</f>
        <v>5.4767787580664584E-3</v>
      </c>
      <c r="BQ50" s="174">
        <f>BQ49-BK49</f>
        <v>2.9169831889162556E-3</v>
      </c>
      <c r="BR50" s="175">
        <f>BR49-BL49</f>
        <v>3.7753440005020567E-3</v>
      </c>
      <c r="BS50" s="175">
        <f>BS49-BM49</f>
        <v>1.8108586165824225E-3</v>
      </c>
      <c r="BT50" s="176">
        <f>BT49-BN49</f>
        <v>1.4116932415808969E-2</v>
      </c>
      <c r="BU50" s="176">
        <f>BU49-BO49</f>
        <v>5.8240903579034886E-3</v>
      </c>
      <c r="BW50" s="174">
        <f>BW49-BQ49</f>
        <v>4.1552886103288778E-3</v>
      </c>
      <c r="BX50" s="175">
        <f>BX49-BR49</f>
        <v>3.3670720217895411E-3</v>
      </c>
      <c r="BY50" s="175">
        <f>BY49-BS49</f>
        <v>2.8160892267354298E-3</v>
      </c>
      <c r="BZ50" s="176">
        <f>BZ49-BT49</f>
        <v>4.1718316882629614E-3</v>
      </c>
      <c r="CA50" s="176">
        <f>CA49-BU49</f>
        <v>3.6313670643573492E-3</v>
      </c>
      <c r="CC50" s="174">
        <f>CC49-BW49</f>
        <v>1.764659809764979E-3</v>
      </c>
      <c r="CD50" s="175">
        <f>CD49-BX49</f>
        <v>1.8484647223733219E-3</v>
      </c>
      <c r="CE50" s="175">
        <f>CE49-BY49</f>
        <v>1.9332249491655906E-3</v>
      </c>
      <c r="CF50" s="176">
        <f>CF49-BZ49</f>
        <v>4.3695345016188103E-3</v>
      </c>
      <c r="CG50" s="176">
        <f>CG49-CA49</f>
        <v>2.5167252726790434E-3</v>
      </c>
      <c r="CI50" s="174">
        <f>CI49-CC49</f>
        <v>3.0843052619049516E-3</v>
      </c>
      <c r="CJ50" s="175">
        <f>CJ49-CD49</f>
        <v>2.07425100825126E-3</v>
      </c>
      <c r="CK50" s="175">
        <f>CK49-CE49</f>
        <v>1.1636959330469376E-3</v>
      </c>
      <c r="CL50" s="176">
        <f>CL49-CF49</f>
        <v>2.4581084240190565E-3</v>
      </c>
      <c r="CM50" s="176">
        <f>CM49-CG49</f>
        <v>2.1839792253645074E-3</v>
      </c>
      <c r="CO50" s="174">
        <f>CO49-CI49</f>
        <v>1.099192424722395E-3</v>
      </c>
      <c r="CP50" s="175">
        <f>CP49-CJ49</f>
        <v>1.2250449502320127E-3</v>
      </c>
      <c r="CQ50" s="175">
        <f>CQ49-CK49</f>
        <v>2.3239924642657339E-3</v>
      </c>
      <c r="CR50" s="176">
        <f>CR49-CL49</f>
        <v>3.4425794411928057E-3</v>
      </c>
      <c r="CS50" s="176">
        <f>CS49-CM49</f>
        <v>2.0679717326148594E-3</v>
      </c>
      <c r="CU50" s="174">
        <f>CU49-CO49</f>
        <v>9.2356174684526948E-4</v>
      </c>
      <c r="CV50" s="175">
        <f>CV49-CP49</f>
        <v>1.0403627681171423E-3</v>
      </c>
      <c r="CW50" s="175">
        <f>CW49-CQ49</f>
        <v>1.1010344579738263E-3</v>
      </c>
      <c r="CX50" s="176">
        <f>CX49-CR49</f>
        <v>2.0997595655354861E-3</v>
      </c>
      <c r="CY50" s="176">
        <f>CY49-CS49</f>
        <v>1.3138100383302542E-3</v>
      </c>
      <c r="DA50" s="174">
        <f>DA49-CU49</f>
        <v>1.8178392216037786E-3</v>
      </c>
      <c r="DB50" s="175">
        <f>DB49-CV49</f>
        <v>1.9280085274521186E-3</v>
      </c>
      <c r="DC50" s="175">
        <f>DC49-CW49</f>
        <v>2.0751660844463005E-3</v>
      </c>
      <c r="DD50" s="176">
        <f>DD49-CX49</f>
        <v>3.758814886282158E-4</v>
      </c>
      <c r="DE50" s="176">
        <f>DE49-CY49</f>
        <v>1.5222167047196922E-3</v>
      </c>
      <c r="DG50" s="174">
        <f>DG49-DA49</f>
        <v>9.0544019727811786E-4</v>
      </c>
      <c r="DH50" s="175">
        <f>DH49-DB49</f>
        <v>1.0104299803805894E-3</v>
      </c>
      <c r="DI50" s="175">
        <f>DI49-DC49</f>
        <v>1.0149520536491541E-3</v>
      </c>
      <c r="DJ50" s="176">
        <f>DJ49-DD49</f>
        <v>2.9119357112933897E-3</v>
      </c>
      <c r="DK50" s="176">
        <f>DK49-DE49</f>
        <v>1.5000443130718799E-3</v>
      </c>
    </row>
    <row r="51" spans="2:115" ht="15.75" thickBot="1" x14ac:dyDescent="0.35">
      <c r="B51" s="1"/>
      <c r="AA51" s="103"/>
      <c r="AB51" s="103"/>
      <c r="AC51" s="103"/>
      <c r="AD51" s="103"/>
      <c r="AE51" s="103"/>
      <c r="AG51" s="103"/>
      <c r="AH51" s="103"/>
      <c r="AI51" s="103"/>
      <c r="AJ51" s="103"/>
      <c r="AK51" s="103"/>
      <c r="AM51" s="103"/>
      <c r="AN51" s="103"/>
      <c r="AO51" s="103"/>
      <c r="AP51" s="103"/>
      <c r="AQ51" s="103"/>
      <c r="AS51" s="103"/>
      <c r="AT51" s="103"/>
      <c r="AU51" s="103"/>
      <c r="AV51" s="103"/>
      <c r="AW51" s="103"/>
      <c r="AY51" s="103"/>
      <c r="AZ51" s="103"/>
      <c r="BA51" s="103"/>
      <c r="BB51" s="103"/>
      <c r="BC51" s="103"/>
      <c r="BE51" s="103"/>
      <c r="BF51" s="103"/>
      <c r="BG51" s="103"/>
      <c r="BH51" s="103"/>
      <c r="BI51" s="103"/>
      <c r="BK51" s="103"/>
      <c r="BL51" s="103"/>
      <c r="BM51" s="103"/>
      <c r="BN51" s="103"/>
      <c r="BO51" s="103"/>
      <c r="BQ51" s="103"/>
      <c r="BR51" s="103"/>
      <c r="BS51" s="103"/>
      <c r="BT51" s="103"/>
      <c r="BU51" s="103"/>
      <c r="BW51" s="103"/>
      <c r="BX51" s="103"/>
      <c r="BY51" s="103"/>
      <c r="BZ51" s="103"/>
      <c r="CA51" s="103"/>
      <c r="CC51" s="103"/>
      <c r="CD51" s="103"/>
      <c r="CE51" s="103"/>
      <c r="CF51" s="103"/>
      <c r="CG51" s="103"/>
      <c r="CI51" s="103"/>
      <c r="CJ51" s="103"/>
      <c r="CK51" s="103"/>
      <c r="CL51" s="103"/>
      <c r="CM51" s="103"/>
      <c r="CO51" s="103"/>
      <c r="CP51" s="103"/>
      <c r="CQ51" s="103"/>
      <c r="CR51" s="103"/>
      <c r="CS51" s="103"/>
      <c r="CU51" s="103"/>
      <c r="CV51" s="103"/>
      <c r="CW51" s="103"/>
      <c r="CX51" s="103"/>
      <c r="CY51" s="103"/>
      <c r="DA51" s="103"/>
      <c r="DB51" s="103"/>
      <c r="DC51" s="103"/>
      <c r="DD51" s="103"/>
      <c r="DE51" s="103"/>
      <c r="DG51" s="103"/>
      <c r="DH51" s="103"/>
      <c r="DI51" s="103"/>
      <c r="DJ51" s="103"/>
      <c r="DK51" s="103"/>
    </row>
    <row r="52" spans="2:115" ht="15" x14ac:dyDescent="0.3">
      <c r="B52" s="139" t="s">
        <v>62</v>
      </c>
      <c r="C52" s="126">
        <v>122</v>
      </c>
      <c r="D52" s="127">
        <v>60</v>
      </c>
      <c r="E52" s="127">
        <v>87</v>
      </c>
      <c r="F52" s="128">
        <v>163</v>
      </c>
      <c r="G52" s="167">
        <f>C52+D52+E52+F52</f>
        <v>432</v>
      </c>
      <c r="H52" s="129"/>
      <c r="I52" s="126">
        <v>79</v>
      </c>
      <c r="J52" s="127">
        <v>73</v>
      </c>
      <c r="K52" s="127">
        <v>90</v>
      </c>
      <c r="L52" s="128">
        <v>159</v>
      </c>
      <c r="M52" s="167">
        <f>I52+J52+K52+L52</f>
        <v>401</v>
      </c>
      <c r="N52" s="129"/>
      <c r="O52" s="126">
        <v>115</v>
      </c>
      <c r="P52" s="127">
        <v>96</v>
      </c>
      <c r="Q52" s="127">
        <v>107</v>
      </c>
      <c r="R52" s="128">
        <v>136</v>
      </c>
      <c r="S52" s="167">
        <f>O52+P52+Q52+R52</f>
        <v>454</v>
      </c>
      <c r="T52" s="129"/>
      <c r="U52" s="126">
        <v>96</v>
      </c>
      <c r="V52" s="127">
        <v>86</v>
      </c>
      <c r="W52" s="127">
        <v>166</v>
      </c>
      <c r="X52" s="128">
        <v>233</v>
      </c>
      <c r="Y52" s="167">
        <f>U52+V52+W52+X52</f>
        <v>581</v>
      </c>
      <c r="AA52" s="251">
        <f>AA55*AA32</f>
        <v>165.273</v>
      </c>
      <c r="AB52" s="252">
        <f>AB55*AB32</f>
        <v>159.03500000000003</v>
      </c>
      <c r="AC52" s="252">
        <f>AC55*AC32</f>
        <v>199.29</v>
      </c>
      <c r="AD52" s="252">
        <f>AD55*AD32</f>
        <v>207.04499999999999</v>
      </c>
      <c r="AE52" s="253">
        <f>AA52+AB52+AC52+AD52</f>
        <v>730.64299999999992</v>
      </c>
      <c r="AF52" s="254"/>
      <c r="AG52" s="251">
        <f>AG55*AG32</f>
        <v>166.98499999999999</v>
      </c>
      <c r="AH52" s="252">
        <f>AH55*AH32</f>
        <v>144.45599999999999</v>
      </c>
      <c r="AI52" s="252">
        <f>AI55*AI32</f>
        <v>146.85</v>
      </c>
      <c r="AJ52" s="252">
        <f>AJ55*AJ32</f>
        <v>258.31</v>
      </c>
      <c r="AK52" s="253">
        <f>AG52+AH52+AI52+AJ52</f>
        <v>716.60099999999989</v>
      </c>
      <c r="AL52" s="254"/>
      <c r="AM52" s="251">
        <f>AM55*AM32</f>
        <v>100.389</v>
      </c>
      <c r="AN52" s="252">
        <f>AN55*AN32</f>
        <v>134.75</v>
      </c>
      <c r="AO52" s="252">
        <f>AO55*AO32</f>
        <v>220.66</v>
      </c>
      <c r="AP52" s="252">
        <f>AP55*AP32</f>
        <v>273.98</v>
      </c>
      <c r="AQ52" s="253">
        <f>AM52+AN52+AO52+AP52</f>
        <v>729.779</v>
      </c>
      <c r="AR52" s="254"/>
      <c r="AS52" s="251">
        <f>AS55*AS32</f>
        <v>112.25999999999999</v>
      </c>
      <c r="AT52" s="252">
        <f>AT55*AT32</f>
        <v>169.29</v>
      </c>
      <c r="AU52" s="252">
        <f>AU55*AU32</f>
        <v>240.72</v>
      </c>
      <c r="AV52" s="252">
        <f>AV55*AV32</f>
        <v>262.25</v>
      </c>
      <c r="AW52" s="253">
        <f>AS52+AT52+AU52+AV52</f>
        <v>784.52</v>
      </c>
      <c r="AX52" s="254"/>
      <c r="AY52" s="251">
        <f>AY55*AY32</f>
        <v>154.57499999999999</v>
      </c>
      <c r="AZ52" s="252">
        <f>AZ55*AZ32</f>
        <v>145.33699999999999</v>
      </c>
      <c r="BA52" s="252">
        <f>BA55*BA32</f>
        <v>251.85999999999999</v>
      </c>
      <c r="BB52" s="252">
        <f>BB55*BB32</f>
        <v>238.28</v>
      </c>
      <c r="BC52" s="253">
        <f>AY52+AZ52+BA52+BB52</f>
        <v>790.05199999999991</v>
      </c>
      <c r="BD52" s="254"/>
      <c r="BE52" s="251">
        <f>BE55*BE32</f>
        <v>145.57499999999999</v>
      </c>
      <c r="BF52" s="252">
        <f>BF55*BF32</f>
        <v>141.52500000000001</v>
      </c>
      <c r="BG52" s="252">
        <f>BG55*BG32</f>
        <v>256.75</v>
      </c>
      <c r="BH52" s="252">
        <f>BH55*BH32</f>
        <v>269.36</v>
      </c>
      <c r="BI52" s="253">
        <f>BE52+BF52+BG52+BH52</f>
        <v>813.21</v>
      </c>
      <c r="BJ52" s="254"/>
      <c r="BK52" s="251">
        <f>BK55*BK32</f>
        <v>152.83000000000001</v>
      </c>
      <c r="BL52" s="252">
        <f>BL55*BL32</f>
        <v>156</v>
      </c>
      <c r="BM52" s="252">
        <f>BM55*BM32</f>
        <v>261.75749999999999</v>
      </c>
      <c r="BN52" s="252">
        <f>BN55*BN32</f>
        <v>238.48</v>
      </c>
      <c r="BO52" s="253">
        <f>BK52+BL52+BM52+BN52</f>
        <v>809.06750000000011</v>
      </c>
      <c r="BP52" s="254"/>
      <c r="BQ52" s="251">
        <f>BQ55*BQ32</f>
        <v>162.12399788757062</v>
      </c>
      <c r="BR52" s="252">
        <f>BR55*BR32</f>
        <v>164.98945268402758</v>
      </c>
      <c r="BS52" s="252">
        <f>BS55*BS32</f>
        <v>273.61071465646666</v>
      </c>
      <c r="BT52" s="252">
        <f>BT55*BT32</f>
        <v>287.62183071380707</v>
      </c>
      <c r="BU52" s="253">
        <f>BQ52+BR52+BS52+BT52</f>
        <v>888.34599594187193</v>
      </c>
      <c r="BV52" s="254"/>
      <c r="BW52" s="251">
        <f>BW55*BW32</f>
        <v>165.32363839174104</v>
      </c>
      <c r="BX52" s="252">
        <f>BX55*BX32</f>
        <v>163.2283775115562</v>
      </c>
      <c r="BY52" s="252">
        <f>BY55*BY32</f>
        <v>257.73900469301446</v>
      </c>
      <c r="BZ52" s="252">
        <f>BZ55*BZ32</f>
        <v>294.19686311166902</v>
      </c>
      <c r="CA52" s="253">
        <f>BW52+BX52+BY52+BZ52</f>
        <v>880.4878837079807</v>
      </c>
      <c r="CB52" s="254"/>
      <c r="CC52" s="251">
        <f>CC55*CC32</f>
        <v>157.80654950421831</v>
      </c>
      <c r="CD52" s="252">
        <f>CD55*CD32</f>
        <v>166.21669339077636</v>
      </c>
      <c r="CE52" s="252">
        <f>CE55*CE32</f>
        <v>240.93369529169289</v>
      </c>
      <c r="CF52" s="252">
        <f>CF55*CF32</f>
        <v>300.60952485103502</v>
      </c>
      <c r="CG52" s="253">
        <f>CC52+CD52+CE52+CF52</f>
        <v>865.56646303772254</v>
      </c>
      <c r="CH52" s="254"/>
      <c r="CI52" s="251">
        <f>CI55*CI32</f>
        <v>160.65396513230755</v>
      </c>
      <c r="CJ52" s="252">
        <f>CJ55*CJ32</f>
        <v>163.80594347579773</v>
      </c>
      <c r="CK52" s="252">
        <f>CK55*CK32</f>
        <v>223.49169954118011</v>
      </c>
      <c r="CL52" s="252">
        <f>CL55*CL32</f>
        <v>295.2759898420988</v>
      </c>
      <c r="CM52" s="253">
        <f>CI52+CJ52+CK52+CL52</f>
        <v>843.22759799138407</v>
      </c>
      <c r="CN52" s="254"/>
      <c r="CO52" s="251">
        <f>CO55*CO32</f>
        <v>163.44956861481307</v>
      </c>
      <c r="CP52" s="252">
        <f>CP55*CP32</f>
        <v>161.44014482915932</v>
      </c>
      <c r="CQ52" s="252">
        <f>CQ55*CQ32</f>
        <v>205.0799470890737</v>
      </c>
      <c r="CR52" s="252">
        <f>CR55*CR32</f>
        <v>288.9132369584795</v>
      </c>
      <c r="CS52" s="253">
        <f>CO52+CP52+CQ52+CR52</f>
        <v>818.88289749152557</v>
      </c>
      <c r="CT52" s="254"/>
      <c r="CU52" s="251">
        <f>CU55*CU32</f>
        <v>160.21339746382449</v>
      </c>
      <c r="CV52" s="252">
        <f>CV55*CV32</f>
        <v>169.29222956258121</v>
      </c>
      <c r="CW52" s="252">
        <f>CW55*CW32</f>
        <v>185.53078658156829</v>
      </c>
      <c r="CX52" s="252">
        <f>CX55*CX32</f>
        <v>281.15238985072909</v>
      </c>
      <c r="CY52" s="253">
        <f>CU52+CV52+CW52+CX52</f>
        <v>796.18880345870321</v>
      </c>
      <c r="CZ52" s="254"/>
      <c r="DA52" s="251">
        <f>DA55*DA32</f>
        <v>162.06635465382735</v>
      </c>
      <c r="DB52" s="252">
        <f>DB55*DB32</f>
        <v>171.33583210095151</v>
      </c>
      <c r="DC52" s="252">
        <f>DC55*DC32</f>
        <v>182.23273560355841</v>
      </c>
      <c r="DD52" s="252">
        <f>DD55*DD32</f>
        <v>274.00420510036639</v>
      </c>
      <c r="DE52" s="253">
        <f>DA52+DB52+DC52+DD52</f>
        <v>789.63912745870357</v>
      </c>
      <c r="DF52" s="254"/>
      <c r="DG52" s="251">
        <f>DG55*DG32</f>
        <v>164.11441860363615</v>
      </c>
      <c r="DH52" s="252">
        <f>DH55*DH32</f>
        <v>173.60788574227865</v>
      </c>
      <c r="DI52" s="252">
        <f>DI55*DI32</f>
        <v>185.06872155303043</v>
      </c>
      <c r="DJ52" s="252">
        <f>DJ55*DJ32</f>
        <v>258.04207526163549</v>
      </c>
      <c r="DK52" s="253">
        <f>DG52+DH52+DI52+DJ52</f>
        <v>780.83310116058078</v>
      </c>
    </row>
    <row r="53" spans="2:115" ht="15" x14ac:dyDescent="0.3">
      <c r="B53" s="5" t="s">
        <v>40</v>
      </c>
      <c r="C53" s="144" t="s">
        <v>35</v>
      </c>
      <c r="D53" s="107" t="s">
        <v>35</v>
      </c>
      <c r="E53" s="107" t="s">
        <v>35</v>
      </c>
      <c r="F53" s="145" t="s">
        <v>35</v>
      </c>
      <c r="G53" s="138" t="s">
        <v>35</v>
      </c>
      <c r="H53" s="107"/>
      <c r="I53" s="151">
        <f>I52/C52-1</f>
        <v>-0.35245901639344257</v>
      </c>
      <c r="J53" s="133">
        <f>J52/D52-1</f>
        <v>0.21666666666666656</v>
      </c>
      <c r="K53" s="133">
        <f>K52/E52-1</f>
        <v>3.4482758620689724E-2</v>
      </c>
      <c r="L53" s="152">
        <f>L52/F52-1</f>
        <v>-2.4539877300613466E-2</v>
      </c>
      <c r="M53" s="153">
        <f>M52/G52-1</f>
        <v>-7.17592592592593E-2</v>
      </c>
      <c r="N53" s="107"/>
      <c r="O53" s="151">
        <f>O52/I52-1</f>
        <v>0.45569620253164556</v>
      </c>
      <c r="P53" s="133">
        <f>P52/J52-1</f>
        <v>0.31506849315068486</v>
      </c>
      <c r="Q53" s="133">
        <f>Q52/K52-1</f>
        <v>0.18888888888888888</v>
      </c>
      <c r="R53" s="152">
        <f>R52/L52-1</f>
        <v>-0.14465408805031443</v>
      </c>
      <c r="S53" s="153">
        <f>S52/M52-1</f>
        <v>0.13216957605985047</v>
      </c>
      <c r="T53" s="107"/>
      <c r="U53" s="151">
        <f>U52/O52-1</f>
        <v>-0.16521739130434787</v>
      </c>
      <c r="V53" s="133">
        <f>V52/P52-1</f>
        <v>-0.10416666666666663</v>
      </c>
      <c r="W53" s="133">
        <f>W52/Q52-1</f>
        <v>0.55140186915887845</v>
      </c>
      <c r="X53" s="152">
        <f>X52/R52-1</f>
        <v>0.71323529411764697</v>
      </c>
      <c r="Y53" s="153">
        <f>Y52/S52-1</f>
        <v>0.27973568281938332</v>
      </c>
      <c r="AA53" s="151">
        <f>AA52/U52-1</f>
        <v>0.72159375000000003</v>
      </c>
      <c r="AB53" s="133">
        <f>AB52/V52-1</f>
        <v>0.84924418604651186</v>
      </c>
      <c r="AC53" s="133">
        <f>AC52/W52-1</f>
        <v>0.20054216867469865</v>
      </c>
      <c r="AD53" s="152">
        <f>AD52/X52-1</f>
        <v>-0.11139484978540781</v>
      </c>
      <c r="AE53" s="153">
        <f>AE52/Y52-1</f>
        <v>0.25756110154905332</v>
      </c>
      <c r="AG53" s="151">
        <f>AG52/AA52-1</f>
        <v>1.035861877015587E-2</v>
      </c>
      <c r="AH53" s="133">
        <f>AH52/AB52-1</f>
        <v>-9.167164460653332E-2</v>
      </c>
      <c r="AI53" s="133">
        <f>AI52/AC52-1</f>
        <v>-0.26313412614782483</v>
      </c>
      <c r="AJ53" s="152">
        <f>AJ52/AD52-1</f>
        <v>0.2476031780530803</v>
      </c>
      <c r="AK53" s="153">
        <f>AK52/AE52-1</f>
        <v>-1.921868819656114E-2</v>
      </c>
      <c r="AM53" s="151">
        <f>AM52/AG52-1</f>
        <v>-0.39881426475431925</v>
      </c>
      <c r="AN53" s="133">
        <f>AN52/AH52-1</f>
        <v>-6.719000941463138E-2</v>
      </c>
      <c r="AO53" s="133">
        <f>AO52/AI52-1</f>
        <v>0.50262172284644202</v>
      </c>
      <c r="AP53" s="152">
        <f>AP52/AJ52-1</f>
        <v>6.0663543803956443E-2</v>
      </c>
      <c r="AQ53" s="153">
        <f>AQ52/AK52-1</f>
        <v>1.838959197656731E-2</v>
      </c>
      <c r="AS53" s="151">
        <f>AS52/AM52-1</f>
        <v>0.11825000747093806</v>
      </c>
      <c r="AT53" s="133">
        <f>AT52/AN52-1</f>
        <v>0.25632653061224486</v>
      </c>
      <c r="AU53" s="133">
        <f>AU52/AO52-1</f>
        <v>9.0909090909090828E-2</v>
      </c>
      <c r="AV53" s="152">
        <f>AV52/AP52-1</f>
        <v>-4.2813344039711043E-2</v>
      </c>
      <c r="AW53" s="153">
        <f>AW52/AQ52-1</f>
        <v>7.501037985472303E-2</v>
      </c>
      <c r="AY53" s="151">
        <f>AY52/AS52-1</f>
        <v>0.3769374665954035</v>
      </c>
      <c r="AZ53" s="133">
        <f>AZ52/AT52-1</f>
        <v>-0.14149093271900293</v>
      </c>
      <c r="BA53" s="133">
        <f>BA52/AU52-1</f>
        <v>4.6277833167165161E-2</v>
      </c>
      <c r="BB53" s="152">
        <f>BB52/AV52-1</f>
        <v>-9.1401334604385154E-2</v>
      </c>
      <c r="BC53" s="153">
        <f>BC52/AW52-1</f>
        <v>7.0514454698413775E-3</v>
      </c>
      <c r="BE53" s="151">
        <f>BE52/AY52-1</f>
        <v>-5.8224163027656428E-2</v>
      </c>
      <c r="BF53" s="133">
        <f>BF52/AZ52-1</f>
        <v>-2.622869606500744E-2</v>
      </c>
      <c r="BG53" s="133">
        <f>BG52/BA52-1</f>
        <v>1.9415548320495635E-2</v>
      </c>
      <c r="BH53" s="152">
        <f>BH52/BB52-1</f>
        <v>0.13043478260869579</v>
      </c>
      <c r="BI53" s="153">
        <f>BI52/BC52-1</f>
        <v>2.9311994653516749E-2</v>
      </c>
      <c r="BK53" s="151">
        <f>BK52/BE52-1</f>
        <v>4.9836853855401264E-2</v>
      </c>
      <c r="BL53" s="133">
        <f>BL52/BF52-1</f>
        <v>0.10227874933757275</v>
      </c>
      <c r="BM53" s="133">
        <f>BM52/BG52-1</f>
        <v>1.9503407984420518E-2</v>
      </c>
      <c r="BN53" s="152">
        <f>BN52/BH52-1</f>
        <v>-0.11464211464211471</v>
      </c>
      <c r="BO53" s="153">
        <f>BO52/BI52-1</f>
        <v>-5.0940101572778396E-3</v>
      </c>
      <c r="BQ53" s="151">
        <f>BQ52/BK52-1</f>
        <v>6.0812653847874154E-2</v>
      </c>
      <c r="BR53" s="133">
        <f>BR52/BL52-1</f>
        <v>5.7624696692484489E-2</v>
      </c>
      <c r="BS53" s="133">
        <f>BS52/BM52-1</f>
        <v>4.528319019117566E-2</v>
      </c>
      <c r="BT53" s="152">
        <f>BT52/BN52-1</f>
        <v>0.20606269168822156</v>
      </c>
      <c r="BU53" s="153">
        <f>BU52/BO52-1</f>
        <v>9.7987492937080978E-2</v>
      </c>
      <c r="BW53" s="151">
        <f>BW52/BQ52-1</f>
        <v>1.9735761181939981E-2</v>
      </c>
      <c r="BX53" s="133">
        <f>BX52/BR52-1</f>
        <v>-1.0673865170302888E-2</v>
      </c>
      <c r="BY53" s="133">
        <f>BY52/BS52-1</f>
        <v>-5.8008364121924116E-2</v>
      </c>
      <c r="BZ53" s="152">
        <f>BZ52/BT52-1</f>
        <v>2.2859990778670403E-2</v>
      </c>
      <c r="CA53" s="153">
        <f>CA52/BU52-1</f>
        <v>-8.8457788629526801E-3</v>
      </c>
      <c r="CC53" s="151">
        <f>CC52/BW52-1</f>
        <v>-4.5468929674234992E-2</v>
      </c>
      <c r="CD53" s="133">
        <f>CD52/BX52-1</f>
        <v>1.8307575709429535E-2</v>
      </c>
      <c r="CE53" s="133">
        <f>CE52/BY52-1</f>
        <v>-6.5202817948870062E-2</v>
      </c>
      <c r="CF53" s="152">
        <f>CF52/BZ52-1</f>
        <v>2.1797179179751991E-2</v>
      </c>
      <c r="CG53" s="153">
        <f>CG52/CA52-1</f>
        <v>-1.6946764340946885E-2</v>
      </c>
      <c r="CI53" s="151">
        <f>CI52/CC52-1</f>
        <v>1.8043710080696718E-2</v>
      </c>
      <c r="CJ53" s="133">
        <f>CJ52/CD52-1</f>
        <v>-1.4503657038291151E-2</v>
      </c>
      <c r="CK53" s="133">
        <f>CK52/CE52-1</f>
        <v>-7.2393343444121183E-2</v>
      </c>
      <c r="CL53" s="152">
        <f>CL52/CF52-1</f>
        <v>-1.774240191350962E-2</v>
      </c>
      <c r="CM53" s="153">
        <f>CM52/CG52-1</f>
        <v>-2.5808376364236385E-2</v>
      </c>
      <c r="CO53" s="151">
        <f>CO52/CI52-1</f>
        <v>1.7401397346173075E-2</v>
      </c>
      <c r="CP53" s="133">
        <f>CP52/CJ52-1</f>
        <v>-1.4442691128530138E-2</v>
      </c>
      <c r="CQ53" s="133">
        <f>CQ52/CK52-1</f>
        <v>-8.2382265157520562E-2</v>
      </c>
      <c r="CR53" s="152">
        <f>CR52/CL52-1</f>
        <v>-2.1548493959911319E-2</v>
      </c>
      <c r="CS53" s="153">
        <f>CS52/CM52-1</f>
        <v>-2.8870853560591381E-2</v>
      </c>
      <c r="CU53" s="151">
        <f>CU52/CO52-1</f>
        <v>-1.9799202765808266E-2</v>
      </c>
      <c r="CV53" s="133">
        <f>CV52/CP52-1</f>
        <v>4.8637745845255598E-2</v>
      </c>
      <c r="CW53" s="133">
        <f>CW52/CQ52-1</f>
        <v>-9.5324583339269631E-2</v>
      </c>
      <c r="CX53" s="152">
        <f>CX52/CR52-1</f>
        <v>-2.6862206763014207E-2</v>
      </c>
      <c r="CY53" s="153">
        <f>CY52/CS52-1</f>
        <v>-2.7713479060731294E-2</v>
      </c>
      <c r="DA53" s="151">
        <f>DA52/CU52-1</f>
        <v>1.1565557059117104E-2</v>
      </c>
      <c r="DB53" s="133">
        <f>DB52/CV52-1</f>
        <v>1.2071449136505485E-2</v>
      </c>
      <c r="DC53" s="133">
        <f>DC52/CW52-1</f>
        <v>-1.7776300304531367E-2</v>
      </c>
      <c r="DD53" s="152">
        <f>DD52/CX52-1</f>
        <v>-2.5424591817120423E-2</v>
      </c>
      <c r="DE53" s="153">
        <f>DE52/CY52-1</f>
        <v>-8.2262849861080012E-3</v>
      </c>
      <c r="DG53" s="151">
        <f>DG52/DA52-1</f>
        <v>1.2637193908528799E-2</v>
      </c>
      <c r="DH53" s="133">
        <f>DH52/DB52-1</f>
        <v>1.3260820071708368E-2</v>
      </c>
      <c r="DI53" s="133">
        <f>DI52/DC52-1</f>
        <v>1.5562439646637394E-2</v>
      </c>
      <c r="DJ53" s="152">
        <f>DJ52/DD52-1</f>
        <v>-5.8255054271462936E-2</v>
      </c>
      <c r="DK53" s="153">
        <f>DK52/DE52-1</f>
        <v>-1.1151962956120531E-2</v>
      </c>
    </row>
    <row r="54" spans="2:115" ht="15" x14ac:dyDescent="0.3">
      <c r="B54" s="105"/>
      <c r="C54" s="144"/>
      <c r="D54" s="107"/>
      <c r="E54" s="107"/>
      <c r="F54" s="145"/>
      <c r="G54" s="138"/>
      <c r="H54" s="107"/>
      <c r="I54" s="144"/>
      <c r="J54" s="107"/>
      <c r="K54" s="107"/>
      <c r="L54" s="145"/>
      <c r="M54" s="138"/>
      <c r="N54" s="107"/>
      <c r="O54" s="144"/>
      <c r="P54" s="107"/>
      <c r="Q54" s="107"/>
      <c r="R54" s="145"/>
      <c r="S54" s="138"/>
      <c r="T54" s="107"/>
      <c r="U54" s="144"/>
      <c r="V54" s="107"/>
      <c r="W54" s="107"/>
      <c r="X54" s="145"/>
      <c r="Y54" s="138"/>
      <c r="AA54" s="144"/>
      <c r="AB54" s="107"/>
      <c r="AC54" s="107"/>
      <c r="AD54" s="145"/>
      <c r="AE54" s="138"/>
      <c r="AG54" s="144"/>
      <c r="AH54" s="107"/>
      <c r="AI54" s="107"/>
      <c r="AJ54" s="145"/>
      <c r="AK54" s="138"/>
      <c r="AM54" s="144"/>
      <c r="AN54" s="107"/>
      <c r="AO54" s="107"/>
      <c r="AP54" s="145"/>
      <c r="AQ54" s="138"/>
      <c r="AS54" s="144"/>
      <c r="AT54" s="107"/>
      <c r="AU54" s="107"/>
      <c r="AV54" s="145"/>
      <c r="AW54" s="138"/>
      <c r="AY54" s="144"/>
      <c r="AZ54" s="107"/>
      <c r="BA54" s="107"/>
      <c r="BB54" s="145"/>
      <c r="BC54" s="138"/>
      <c r="BE54" s="144"/>
      <c r="BF54" s="107"/>
      <c r="BG54" s="107"/>
      <c r="BH54" s="145"/>
      <c r="BI54" s="138"/>
      <c r="BK54" s="144"/>
      <c r="BL54" s="107"/>
      <c r="BM54" s="107"/>
      <c r="BN54" s="145"/>
      <c r="BO54" s="138"/>
      <c r="BQ54" s="144"/>
      <c r="BR54" s="107"/>
      <c r="BS54" s="107"/>
      <c r="BT54" s="145"/>
      <c r="BU54" s="138"/>
      <c r="BW54" s="144"/>
      <c r="BX54" s="107"/>
      <c r="BY54" s="107"/>
      <c r="BZ54" s="145"/>
      <c r="CA54" s="138"/>
      <c r="CC54" s="144"/>
      <c r="CD54" s="107"/>
      <c r="CE54" s="107"/>
      <c r="CF54" s="145"/>
      <c r="CG54" s="138"/>
      <c r="CI54" s="144"/>
      <c r="CJ54" s="107"/>
      <c r="CK54" s="107"/>
      <c r="CL54" s="145"/>
      <c r="CM54" s="138"/>
      <c r="CO54" s="144"/>
      <c r="CP54" s="107"/>
      <c r="CQ54" s="107"/>
      <c r="CR54" s="145"/>
      <c r="CS54" s="138"/>
      <c r="CU54" s="144"/>
      <c r="CV54" s="107"/>
      <c r="CW54" s="107"/>
      <c r="CX54" s="145"/>
      <c r="CY54" s="138"/>
      <c r="DA54" s="144"/>
      <c r="DB54" s="107"/>
      <c r="DC54" s="107"/>
      <c r="DD54" s="145"/>
      <c r="DE54" s="138"/>
      <c r="DG54" s="144"/>
      <c r="DH54" s="107"/>
      <c r="DI54" s="107"/>
      <c r="DJ54" s="145"/>
      <c r="DK54" s="138"/>
    </row>
    <row r="55" spans="2:115" ht="15" x14ac:dyDescent="0.3">
      <c r="B55" s="105" t="s">
        <v>24</v>
      </c>
      <c r="C55" s="171">
        <f>C52/C32</f>
        <v>6.2532034853921073E-2</v>
      </c>
      <c r="D55" s="165">
        <f>D52/D32</f>
        <v>2.9865604778496764E-2</v>
      </c>
      <c r="E55" s="165">
        <f>E52/E32</f>
        <v>4.2253521126760563E-2</v>
      </c>
      <c r="F55" s="172">
        <f>F52/F32</f>
        <v>8.2573454913880448E-2</v>
      </c>
      <c r="G55" s="173">
        <f>G52/G32</f>
        <v>5.4047291379957466E-2</v>
      </c>
      <c r="H55" s="166"/>
      <c r="I55" s="171">
        <f>I52/I32</f>
        <v>4.1932059447983012E-2</v>
      </c>
      <c r="J55" s="165">
        <f>J52/J32</f>
        <v>3.7378392217101895E-2</v>
      </c>
      <c r="K55" s="165">
        <f>K52/K32</f>
        <v>4.4955044955044952E-2</v>
      </c>
      <c r="L55" s="172">
        <f>L52/L32</f>
        <v>7.9222720478325862E-2</v>
      </c>
      <c r="M55" s="173">
        <f>M52/M32</f>
        <v>5.1108845271475911E-2</v>
      </c>
      <c r="N55" s="166"/>
      <c r="O55" s="171">
        <f>O52/O32</f>
        <v>5.8913934426229511E-2</v>
      </c>
      <c r="P55" s="165">
        <f>P52/P32</f>
        <v>4.930662557781202E-2</v>
      </c>
      <c r="Q55" s="165">
        <f>Q52/Q32</f>
        <v>5.0734945471787578E-2</v>
      </c>
      <c r="R55" s="172">
        <f>R52/R32</f>
        <v>6.4731080437886723E-2</v>
      </c>
      <c r="S55" s="173">
        <f>S52/S32</f>
        <v>5.5987174744111481E-2</v>
      </c>
      <c r="T55" s="166"/>
      <c r="U55" s="171">
        <f>U52/U32</f>
        <v>5.2459016393442623E-2</v>
      </c>
      <c r="V55" s="165">
        <f>V52/V32</f>
        <v>4.5430533544638142E-2</v>
      </c>
      <c r="W55" s="165">
        <f>W52/W32</f>
        <v>8.2917082917082913E-2</v>
      </c>
      <c r="X55" s="172">
        <f>X52/X32</f>
        <v>0.11767676767676767</v>
      </c>
      <c r="Y55" s="173">
        <f>Y52/Y32</f>
        <v>7.540558079169371E-2</v>
      </c>
      <c r="AA55" s="171">
        <v>8.8999999999999996E-2</v>
      </c>
      <c r="AB55" s="165">
        <v>8.5000000000000006E-2</v>
      </c>
      <c r="AC55" s="165">
        <v>0.105</v>
      </c>
      <c r="AD55" s="172">
        <v>0.1075</v>
      </c>
      <c r="AE55" s="173">
        <f>AE52/AE32</f>
        <v>9.6748278601694909E-2</v>
      </c>
      <c r="AG55" s="171">
        <v>9.0999999999999998E-2</v>
      </c>
      <c r="AH55" s="165">
        <v>7.8E-2</v>
      </c>
      <c r="AI55" s="165">
        <v>7.4999999999999997E-2</v>
      </c>
      <c r="AJ55" s="172">
        <v>0.13</v>
      </c>
      <c r="AK55" s="173">
        <f>AK52/AK32</f>
        <v>9.3894261006289295E-2</v>
      </c>
      <c r="AM55" s="171">
        <v>5.45E-2</v>
      </c>
      <c r="AN55" s="165">
        <v>7.0000000000000007E-2</v>
      </c>
      <c r="AO55" s="165">
        <v>0.11</v>
      </c>
      <c r="AP55" s="172">
        <v>0.14000000000000001</v>
      </c>
      <c r="AQ55" s="173">
        <f>AQ52/AQ32</f>
        <v>9.4408667529107371E-2</v>
      </c>
      <c r="AS55" s="171">
        <v>0.06</v>
      </c>
      <c r="AT55" s="165">
        <v>0.09</v>
      </c>
      <c r="AU55" s="165">
        <v>0.12</v>
      </c>
      <c r="AV55" s="172">
        <v>0.125</v>
      </c>
      <c r="AW55" s="173">
        <f>AW52/AW32</f>
        <v>9.9862525458248474E-2</v>
      </c>
      <c r="AY55" s="171">
        <v>7.4999999999999997E-2</v>
      </c>
      <c r="AZ55" s="165">
        <v>7.0999999999999994E-2</v>
      </c>
      <c r="BA55" s="165">
        <v>0.1225</v>
      </c>
      <c r="BB55" s="172">
        <v>0.115</v>
      </c>
      <c r="BC55" s="173">
        <f>BC52/BC32</f>
        <v>9.5926663428848938E-2</v>
      </c>
      <c r="BE55" s="171">
        <v>7.4999999999999997E-2</v>
      </c>
      <c r="BF55" s="165">
        <v>7.4999999999999997E-2</v>
      </c>
      <c r="BG55" s="165">
        <v>0.125</v>
      </c>
      <c r="BH55" s="172">
        <v>0.13</v>
      </c>
      <c r="BI55" s="173">
        <f>BI52/BI32</f>
        <v>0.10223912496856928</v>
      </c>
      <c r="BK55" s="171">
        <v>7.7499999999999999E-2</v>
      </c>
      <c r="BL55" s="165">
        <v>0.08</v>
      </c>
      <c r="BM55" s="165">
        <v>0.1275</v>
      </c>
      <c r="BN55" s="172">
        <v>0.11</v>
      </c>
      <c r="BO55" s="173">
        <f>BO52/BO32</f>
        <v>9.9357423553972757E-2</v>
      </c>
      <c r="BQ55" s="171">
        <v>0.08</v>
      </c>
      <c r="BR55" s="165">
        <v>8.2500000000000004E-2</v>
      </c>
      <c r="BS55" s="165">
        <v>0.13</v>
      </c>
      <c r="BT55" s="172">
        <v>0.13</v>
      </c>
      <c r="BU55" s="173">
        <f>BU52/BU32</f>
        <v>0.1064704047877994</v>
      </c>
      <c r="BW55" s="171">
        <v>0.08</v>
      </c>
      <c r="BX55" s="165">
        <v>0.08</v>
      </c>
      <c r="BY55" s="165">
        <v>0.12</v>
      </c>
      <c r="BZ55" s="172">
        <v>0.13</v>
      </c>
      <c r="CA55" s="173">
        <f>CA52/CA32</f>
        <v>0.1033706068057459</v>
      </c>
      <c r="CC55" s="171">
        <v>7.4999999999999997E-2</v>
      </c>
      <c r="CD55" s="165">
        <v>0.08</v>
      </c>
      <c r="CE55" s="165">
        <v>0.11</v>
      </c>
      <c r="CF55" s="172">
        <v>0.13</v>
      </c>
      <c r="CG55" s="173">
        <f>CG52/CG32</f>
        <v>9.9668159359136657E-2</v>
      </c>
      <c r="CI55" s="171">
        <v>7.4999999999999997E-2</v>
      </c>
      <c r="CJ55" s="165">
        <v>7.7499999999999999E-2</v>
      </c>
      <c r="CK55" s="165">
        <v>0.1</v>
      </c>
      <c r="CL55" s="172">
        <v>0.125</v>
      </c>
      <c r="CM55" s="173">
        <f>CM52/CM32</f>
        <v>9.5249788271152339E-2</v>
      </c>
      <c r="CO55" s="171">
        <v>7.4999999999999997E-2</v>
      </c>
      <c r="CP55" s="165">
        <v>7.4999999999999997E-2</v>
      </c>
      <c r="CQ55" s="165">
        <v>0.09</v>
      </c>
      <c r="CR55" s="172">
        <v>0.12</v>
      </c>
      <c r="CS55" s="173">
        <f>CS52/CS32</f>
        <v>9.0803975893891276E-2</v>
      </c>
      <c r="CU55" s="171">
        <v>7.2499999999999995E-2</v>
      </c>
      <c r="CV55" s="165">
        <v>7.7499999999999999E-2</v>
      </c>
      <c r="CW55" s="165">
        <v>0.08</v>
      </c>
      <c r="CX55" s="172">
        <v>0.115</v>
      </c>
      <c r="CY55" s="173">
        <f>CY52/CY32</f>
        <v>8.6937315248426641E-2</v>
      </c>
      <c r="DA55" s="171">
        <v>7.2499999999999995E-2</v>
      </c>
      <c r="DB55" s="165">
        <v>7.7499999999999999E-2</v>
      </c>
      <c r="DC55" s="165">
        <v>7.7499999999999999E-2</v>
      </c>
      <c r="DD55" s="172">
        <v>0.11</v>
      </c>
      <c r="DE55" s="173">
        <f>DE52/DE32</f>
        <v>8.5012369573264635E-2</v>
      </c>
      <c r="DG55" s="171">
        <v>7.2499999999999995E-2</v>
      </c>
      <c r="DH55" s="165">
        <v>7.7499999999999999E-2</v>
      </c>
      <c r="DI55" s="165">
        <v>7.7499999999999999E-2</v>
      </c>
      <c r="DJ55" s="172">
        <v>0.10249999999999999</v>
      </c>
      <c r="DK55" s="173">
        <f>DK52/DK32</f>
        <v>8.29859889898662E-2</v>
      </c>
    </row>
    <row r="56" spans="2:115" ht="15.75" thickBot="1" x14ac:dyDescent="0.35">
      <c r="B56" s="140" t="s">
        <v>40</v>
      </c>
      <c r="C56" s="155" t="s">
        <v>35</v>
      </c>
      <c r="D56" s="106" t="s">
        <v>35</v>
      </c>
      <c r="E56" s="106" t="s">
        <v>35</v>
      </c>
      <c r="F56" s="154" t="s">
        <v>35</v>
      </c>
      <c r="G56" s="108" t="s">
        <v>35</v>
      </c>
      <c r="I56" s="174">
        <f>I55-C55</f>
        <v>-2.059997540593806E-2</v>
      </c>
      <c r="J56" s="175">
        <f>J55-D55</f>
        <v>7.5127874386051313E-3</v>
      </c>
      <c r="K56" s="175">
        <f>K55-E55</f>
        <v>2.7015238282843898E-3</v>
      </c>
      <c r="L56" s="176">
        <f>L55-F55</f>
        <v>-3.3507344355545865E-3</v>
      </c>
      <c r="M56" s="177">
        <f>M55-G55</f>
        <v>-2.9384461084815544E-3</v>
      </c>
      <c r="O56" s="174">
        <f>O55-I55</f>
        <v>1.6981874978246499E-2</v>
      </c>
      <c r="P56" s="175">
        <f>P55-J55</f>
        <v>1.1928233360710125E-2</v>
      </c>
      <c r="Q56" s="175">
        <f>Q55-K55</f>
        <v>5.7799005167426254E-3</v>
      </c>
      <c r="R56" s="176">
        <f>R55-L55</f>
        <v>-1.4491640040439138E-2</v>
      </c>
      <c r="S56" s="177">
        <f>S55-M55</f>
        <v>4.8783294726355703E-3</v>
      </c>
      <c r="U56" s="174">
        <f>U55-O55</f>
        <v>-6.4549180327868882E-3</v>
      </c>
      <c r="V56" s="175">
        <f>V55-P55</f>
        <v>-3.876092033173878E-3</v>
      </c>
      <c r="W56" s="175">
        <f>W55-Q55</f>
        <v>3.2182137445295335E-2</v>
      </c>
      <c r="X56" s="176">
        <f>X55-R55</f>
        <v>5.2945687238880948E-2</v>
      </c>
      <c r="Y56" s="177">
        <f>Y55-S55</f>
        <v>1.9418406047582229E-2</v>
      </c>
      <c r="AA56" s="174">
        <f>AA55-U55</f>
        <v>3.6540983606557373E-2</v>
      </c>
      <c r="AB56" s="175">
        <f>AB55-V55</f>
        <v>3.9569466455361864E-2</v>
      </c>
      <c r="AC56" s="175">
        <f>AC55-W55</f>
        <v>2.2082917082917083E-2</v>
      </c>
      <c r="AD56" s="176">
        <f>AD55-X55</f>
        <v>-1.0176767676767673E-2</v>
      </c>
      <c r="AE56" s="177">
        <f>AE55-Y55</f>
        <v>2.1342697810001199E-2</v>
      </c>
      <c r="AG56" s="174">
        <f>AG55-AA55</f>
        <v>2.0000000000000018E-3</v>
      </c>
      <c r="AH56" s="175">
        <f>AH55-AB55</f>
        <v>-7.0000000000000062E-3</v>
      </c>
      <c r="AI56" s="175">
        <f>AI55-AC55</f>
        <v>-0.03</v>
      </c>
      <c r="AJ56" s="176">
        <f>AJ55-AD55</f>
        <v>2.2500000000000006E-2</v>
      </c>
      <c r="AK56" s="177">
        <f>AK55-AE55</f>
        <v>-2.8540175954056141E-3</v>
      </c>
      <c r="AM56" s="174">
        <f>AM55-AG55</f>
        <v>-3.6499999999999998E-2</v>
      </c>
      <c r="AN56" s="175">
        <f>AN55-AH55</f>
        <v>-7.9999999999999932E-3</v>
      </c>
      <c r="AO56" s="175">
        <f>AO55-AI55</f>
        <v>3.5000000000000003E-2</v>
      </c>
      <c r="AP56" s="176">
        <f>AP55-AJ55</f>
        <v>1.0000000000000009E-2</v>
      </c>
      <c r="AQ56" s="177">
        <f>AQ55-AK55</f>
        <v>5.1440652281807553E-4</v>
      </c>
      <c r="AS56" s="174">
        <f>AS55-AM55</f>
        <v>5.4999999999999979E-3</v>
      </c>
      <c r="AT56" s="175">
        <f>AT55-AN55</f>
        <v>1.999999999999999E-2</v>
      </c>
      <c r="AU56" s="175">
        <f>AU55-AO55</f>
        <v>9.999999999999995E-3</v>
      </c>
      <c r="AV56" s="176">
        <f>AV55-AP55</f>
        <v>-1.5000000000000013E-2</v>
      </c>
      <c r="AW56" s="177">
        <f>AW55-AQ55</f>
        <v>5.4538579291411038E-3</v>
      </c>
      <c r="AY56" s="174">
        <f>AY55-AS55</f>
        <v>1.4999999999999999E-2</v>
      </c>
      <c r="AZ56" s="175">
        <f>AZ55-AT55</f>
        <v>-1.9000000000000003E-2</v>
      </c>
      <c r="BA56" s="175">
        <f>BA55-AU55</f>
        <v>2.5000000000000022E-3</v>
      </c>
      <c r="BB56" s="176">
        <f>BB55-AV55</f>
        <v>-9.999999999999995E-3</v>
      </c>
      <c r="BC56" s="177">
        <f>BC55-AW55</f>
        <v>-3.9358620293995367E-3</v>
      </c>
      <c r="BE56" s="174">
        <f>BE55-AY55</f>
        <v>0</v>
      </c>
      <c r="BF56" s="175">
        <f>BF55-AZ55</f>
        <v>4.0000000000000036E-3</v>
      </c>
      <c r="BG56" s="175">
        <f>BG55-BA55</f>
        <v>2.5000000000000022E-3</v>
      </c>
      <c r="BH56" s="176">
        <f>BH55-BB55</f>
        <v>1.4999999999999999E-2</v>
      </c>
      <c r="BI56" s="177">
        <f>BI55-BC55</f>
        <v>6.3124615397203432E-3</v>
      </c>
      <c r="BK56" s="174">
        <f>BK55-BE55</f>
        <v>2.5000000000000022E-3</v>
      </c>
      <c r="BL56" s="175">
        <f>BL55-BF55</f>
        <v>5.0000000000000044E-3</v>
      </c>
      <c r="BM56" s="175">
        <f>BM55-BG55</f>
        <v>2.5000000000000022E-3</v>
      </c>
      <c r="BN56" s="176">
        <f>BN55-BH55</f>
        <v>-2.0000000000000004E-2</v>
      </c>
      <c r="BO56" s="177">
        <f>BO55-BI55</f>
        <v>-2.8817014145965242E-3</v>
      </c>
      <c r="BQ56" s="174">
        <f>BQ55-BK55</f>
        <v>2.5000000000000022E-3</v>
      </c>
      <c r="BR56" s="175">
        <f>BR55-BL55</f>
        <v>2.5000000000000022E-3</v>
      </c>
      <c r="BS56" s="175">
        <f>BS55-BM55</f>
        <v>2.5000000000000022E-3</v>
      </c>
      <c r="BT56" s="176">
        <f>BT55-BN55</f>
        <v>2.0000000000000004E-2</v>
      </c>
      <c r="BU56" s="177">
        <f>BU55-BO55</f>
        <v>7.1129812338266429E-3</v>
      </c>
      <c r="BW56" s="174">
        <f>BW55-BQ55</f>
        <v>0</v>
      </c>
      <c r="BX56" s="175">
        <f>BX55-BR55</f>
        <v>-2.5000000000000022E-3</v>
      </c>
      <c r="BY56" s="175">
        <f>BY55-BS55</f>
        <v>-1.0000000000000009E-2</v>
      </c>
      <c r="BZ56" s="176">
        <f>BZ55-BT55</f>
        <v>0</v>
      </c>
      <c r="CA56" s="177">
        <f>CA55-BU55</f>
        <v>-3.0997979820534954E-3</v>
      </c>
      <c r="CC56" s="174">
        <f>CC55-BW55</f>
        <v>-5.0000000000000044E-3</v>
      </c>
      <c r="CD56" s="175">
        <f>CD55-BX55</f>
        <v>0</v>
      </c>
      <c r="CE56" s="175">
        <f>CE55-BY55</f>
        <v>-9.999999999999995E-3</v>
      </c>
      <c r="CF56" s="176">
        <f>CF55-BZ55</f>
        <v>0</v>
      </c>
      <c r="CG56" s="177">
        <f>CG55-CA55</f>
        <v>-3.7024474466092472E-3</v>
      </c>
      <c r="CI56" s="174">
        <f>CI55-CC55</f>
        <v>0</v>
      </c>
      <c r="CJ56" s="175">
        <f>CJ55-CD55</f>
        <v>-2.5000000000000022E-3</v>
      </c>
      <c r="CK56" s="175">
        <f>CK55-CE55</f>
        <v>-9.999999999999995E-3</v>
      </c>
      <c r="CL56" s="176">
        <f>CL55-CF55</f>
        <v>-5.0000000000000044E-3</v>
      </c>
      <c r="CM56" s="177">
        <f>CM55-CG55</f>
        <v>-4.4183710879843185E-3</v>
      </c>
      <c r="CO56" s="174">
        <f>CO55-CI55</f>
        <v>0</v>
      </c>
      <c r="CP56" s="175">
        <f>CP55-CJ55</f>
        <v>-2.5000000000000022E-3</v>
      </c>
      <c r="CQ56" s="175">
        <f>CQ55-CK55</f>
        <v>-1.0000000000000009E-2</v>
      </c>
      <c r="CR56" s="176">
        <f>CR55-CL55</f>
        <v>-5.0000000000000044E-3</v>
      </c>
      <c r="CS56" s="177">
        <f>CS55-CM55</f>
        <v>-4.445812377261063E-3</v>
      </c>
      <c r="CU56" s="174">
        <f>CU55-CO55</f>
        <v>-2.5000000000000022E-3</v>
      </c>
      <c r="CV56" s="175">
        <f>CV55-CP55</f>
        <v>2.5000000000000022E-3</v>
      </c>
      <c r="CW56" s="175">
        <f>CW55-CQ55</f>
        <v>-9.999999999999995E-3</v>
      </c>
      <c r="CX56" s="176">
        <f>CX55-CR55</f>
        <v>-4.9999999999999906E-3</v>
      </c>
      <c r="CY56" s="177">
        <f>CY55-CS55</f>
        <v>-3.8666606454646341E-3</v>
      </c>
      <c r="DA56" s="174">
        <f>DA55-CU55</f>
        <v>0</v>
      </c>
      <c r="DB56" s="175">
        <f>DB55-CV55</f>
        <v>0</v>
      </c>
      <c r="DC56" s="175">
        <f>DC55-CW55</f>
        <v>-2.5000000000000022E-3</v>
      </c>
      <c r="DD56" s="176">
        <f>DD55-CX55</f>
        <v>-5.0000000000000044E-3</v>
      </c>
      <c r="DE56" s="177">
        <f>DE55-CY55</f>
        <v>-1.924945675162007E-3</v>
      </c>
      <c r="DG56" s="174">
        <f>DG55-DA55</f>
        <v>0</v>
      </c>
      <c r="DH56" s="175">
        <f>DH55-DB55</f>
        <v>0</v>
      </c>
      <c r="DI56" s="175">
        <f>DI55-DC55</f>
        <v>0</v>
      </c>
      <c r="DJ56" s="176">
        <f>DJ55-DD55</f>
        <v>-7.5000000000000067E-3</v>
      </c>
      <c r="DK56" s="177">
        <f>DK55-DE55</f>
        <v>-2.026380583398435E-3</v>
      </c>
    </row>
    <row r="57" spans="2:115" ht="15.75" thickBot="1" x14ac:dyDescent="0.35">
      <c r="B57" s="1"/>
      <c r="AA57" s="103"/>
      <c r="AB57" s="103"/>
      <c r="AC57" s="103"/>
      <c r="AD57" s="103"/>
      <c r="AE57" s="103"/>
      <c r="AG57" s="103"/>
      <c r="AH57" s="103"/>
      <c r="AI57" s="103"/>
      <c r="AJ57" s="103"/>
      <c r="AK57" s="103"/>
      <c r="AM57" s="103"/>
      <c r="AN57" s="103"/>
      <c r="AO57" s="103"/>
      <c r="AP57" s="103"/>
      <c r="AQ57" s="103"/>
      <c r="AS57" s="103"/>
      <c r="AT57" s="103"/>
      <c r="AU57" s="103"/>
      <c r="AV57" s="103"/>
      <c r="AW57" s="103"/>
      <c r="AY57" s="103"/>
      <c r="AZ57" s="103"/>
      <c r="BA57" s="103"/>
      <c r="BB57" s="103"/>
      <c r="BC57" s="103"/>
      <c r="BE57" s="103"/>
      <c r="BF57" s="103"/>
      <c r="BG57" s="103"/>
      <c r="BH57" s="103"/>
      <c r="BI57" s="103"/>
      <c r="BK57" s="103"/>
      <c r="BL57" s="103"/>
      <c r="BM57" s="103"/>
      <c r="BN57" s="103"/>
      <c r="BO57" s="103"/>
      <c r="BQ57" s="103"/>
      <c r="BR57" s="103"/>
      <c r="BS57" s="103"/>
      <c r="BT57" s="103"/>
      <c r="BU57" s="103"/>
      <c r="BW57" s="103"/>
      <c r="BX57" s="103"/>
      <c r="BY57" s="103"/>
      <c r="BZ57" s="103"/>
      <c r="CA57" s="103"/>
      <c r="CC57" s="103"/>
      <c r="CD57" s="103"/>
      <c r="CE57" s="103"/>
      <c r="CF57" s="103"/>
      <c r="CG57" s="103"/>
      <c r="CI57" s="103"/>
      <c r="CJ57" s="103"/>
      <c r="CK57" s="103"/>
      <c r="CL57" s="103"/>
      <c r="CM57" s="103"/>
      <c r="CO57" s="103"/>
      <c r="CP57" s="103"/>
      <c r="CQ57" s="103"/>
      <c r="CR57" s="103"/>
      <c r="CS57" s="103"/>
      <c r="CU57" s="103"/>
      <c r="CV57" s="103"/>
      <c r="CW57" s="103"/>
      <c r="CX57" s="103"/>
      <c r="CY57" s="103"/>
      <c r="DA57" s="103"/>
      <c r="DB57" s="103"/>
      <c r="DC57" s="103"/>
      <c r="DD57" s="103"/>
      <c r="DE57" s="103"/>
      <c r="DG57" s="103"/>
      <c r="DH57" s="103"/>
      <c r="DI57" s="103"/>
      <c r="DJ57" s="103"/>
      <c r="DK57" s="103"/>
    </row>
    <row r="58" spans="2:115" ht="15" x14ac:dyDescent="0.3">
      <c r="B58" s="42" t="s">
        <v>38</v>
      </c>
      <c r="C58" s="198">
        <f>C46-C52</f>
        <v>578</v>
      </c>
      <c r="D58" s="199">
        <f>D46-D52</f>
        <v>681</v>
      </c>
      <c r="E58" s="199">
        <f>E46-E52</f>
        <v>690</v>
      </c>
      <c r="F58" s="199">
        <f>F46-F52</f>
        <v>557</v>
      </c>
      <c r="G58" s="201">
        <f>C58+D58+E58+F58</f>
        <v>2506</v>
      </c>
      <c r="H58" s="197"/>
      <c r="I58" s="198">
        <f>I46-I52</f>
        <v>613</v>
      </c>
      <c r="J58" s="199">
        <f>J46-J52</f>
        <v>700</v>
      </c>
      <c r="K58" s="199">
        <f>K46-K52</f>
        <v>682</v>
      </c>
      <c r="L58" s="199">
        <f>L46-L52</f>
        <v>607</v>
      </c>
      <c r="M58" s="201">
        <f>I58+J58+K58+L58</f>
        <v>2602</v>
      </c>
      <c r="N58" s="197"/>
      <c r="O58" s="198">
        <f>O46-O52</f>
        <v>646</v>
      </c>
      <c r="P58" s="199">
        <f>P46-P52</f>
        <v>702</v>
      </c>
      <c r="Q58" s="199">
        <f>Q46-Q52</f>
        <v>813</v>
      </c>
      <c r="R58" s="200">
        <f>R46-R52</f>
        <v>758</v>
      </c>
      <c r="S58" s="201">
        <f>O58+P58+Q58+R58</f>
        <v>2919</v>
      </c>
      <c r="T58" s="197"/>
      <c r="U58" s="198">
        <f>U46-U52</f>
        <v>732</v>
      </c>
      <c r="V58" s="199">
        <f>V46-V52</f>
        <v>826</v>
      </c>
      <c r="W58" s="199">
        <f>W46-W52</f>
        <v>762</v>
      </c>
      <c r="X58" s="200">
        <f>X46-X52</f>
        <v>658</v>
      </c>
      <c r="Y58" s="201">
        <f>U58+V58+W58+X58</f>
        <v>2978</v>
      </c>
      <c r="AA58" s="198">
        <f>AA46-AA52</f>
        <v>666.19263967213124</v>
      </c>
      <c r="AB58" s="199">
        <f>AB46-AB52</f>
        <v>732.88545747068156</v>
      </c>
      <c r="AC58" s="199">
        <f>AC46-AC52</f>
        <v>703.55817622077916</v>
      </c>
      <c r="AD58" s="200">
        <f>AD46-AD52</f>
        <v>672.72407945454563</v>
      </c>
      <c r="AE58" s="201">
        <f>AA58+AB58+AC58+AD58</f>
        <v>2775.3603528181375</v>
      </c>
      <c r="AG58" s="198">
        <f>AG46-AG52</f>
        <v>653.36314858743162</v>
      </c>
      <c r="AH58" s="199">
        <f>AH46-AH52</f>
        <v>732.42860237717912</v>
      </c>
      <c r="AI58" s="199">
        <f>AI46-AI52</f>
        <v>726.56381120879109</v>
      </c>
      <c r="AJ58" s="200">
        <f>AJ46-AJ52</f>
        <v>437.7436441818183</v>
      </c>
      <c r="AK58" s="201">
        <f>AG58+AH58+AI58+AJ58</f>
        <v>2550.0992063552203</v>
      </c>
      <c r="AM58" s="198">
        <f>AM46-AM52</f>
        <v>662.500828409836</v>
      </c>
      <c r="AN58" s="199">
        <f>AN46-AN52</f>
        <v>718.65533631537244</v>
      </c>
      <c r="AO58" s="199">
        <f>AO46-AO52</f>
        <v>652.3238167992007</v>
      </c>
      <c r="AP58" s="200">
        <f>AP46-AP52</f>
        <v>506.50696504545476</v>
      </c>
      <c r="AQ58" s="201">
        <f>AM58+AN58+AO58+AP58</f>
        <v>2539.9869465698639</v>
      </c>
      <c r="AS58" s="198">
        <f>AS46-AS52</f>
        <v>657.17484931694003</v>
      </c>
      <c r="AT58" s="199">
        <f>AT46-AT52</f>
        <v>679.40711125673545</v>
      </c>
      <c r="AU58" s="199">
        <f>AU46-AU52</f>
        <v>645.23214979920078</v>
      </c>
      <c r="AV58" s="200">
        <f>AV46-AV52</f>
        <v>536.22958863636381</v>
      </c>
      <c r="AW58" s="201">
        <f>AS58+AT58+AU58+AV58</f>
        <v>2518.0436990092403</v>
      </c>
      <c r="AY58" s="198">
        <f>AY46-AY52</f>
        <v>649.2269386393441</v>
      </c>
      <c r="AZ58" s="199">
        <f>AZ46-AZ52</f>
        <v>709.81275070522975</v>
      </c>
      <c r="BA58" s="199">
        <f>BA46-BA52</f>
        <v>632.39277078921066</v>
      </c>
      <c r="BB58" s="200">
        <f>BB46-BB52</f>
        <v>593.32566981818195</v>
      </c>
      <c r="BC58" s="201">
        <f>AY58+AZ58+BA58+BB58</f>
        <v>2584.7581299519661</v>
      </c>
      <c r="BE58" s="198">
        <f>BE46-BE52</f>
        <v>641.73373954098361</v>
      </c>
      <c r="BF58" s="199">
        <f>BF46-BF52</f>
        <v>706.4414131283678</v>
      </c>
      <c r="BG58" s="199">
        <f>BG46-BG52</f>
        <v>596.97495838961049</v>
      </c>
      <c r="BH58" s="200">
        <f>BH46-BH52</f>
        <v>570.59326481818186</v>
      </c>
      <c r="BI58" s="201">
        <f>BE58+BF58+BG58+BH58</f>
        <v>2515.743375877144</v>
      </c>
      <c r="BK58" s="198">
        <f>BK46-BK52</f>
        <v>650.96036118306029</v>
      </c>
      <c r="BL58" s="199">
        <f>BL46-BL52</f>
        <v>721.94084578050729</v>
      </c>
      <c r="BM58" s="199">
        <f>BM46-BM52</f>
        <v>621.56260218981038</v>
      </c>
      <c r="BN58" s="200">
        <f>BN46-BN52</f>
        <v>649.12083245454573</v>
      </c>
      <c r="BO58" s="201">
        <f>BK58+BL58+BM58+BN58</f>
        <v>2643.5846416079239</v>
      </c>
      <c r="BQ58" s="198">
        <f>BQ46-BQ52</f>
        <v>669.81243218259897</v>
      </c>
      <c r="BR58" s="199">
        <f>BR46-BR52</f>
        <v>742.95534245465058</v>
      </c>
      <c r="BS58" s="199">
        <f>BS46-BS52</f>
        <v>635.76410267651295</v>
      </c>
      <c r="BT58" s="200">
        <f>BT46-BT52</f>
        <v>649.42113351950036</v>
      </c>
      <c r="BU58" s="201">
        <f>BQ58+BR58+BS58+BT58</f>
        <v>2697.9530108332629</v>
      </c>
      <c r="BW58" s="198">
        <f>BW46-BW52</f>
        <v>691.6187832761907</v>
      </c>
      <c r="BX58" s="199">
        <f>BX46-BX52</f>
        <v>769.96558092816451</v>
      </c>
      <c r="BY58" s="199">
        <f>BY46-BY52</f>
        <v>676.31822338350321</v>
      </c>
      <c r="BZ58" s="200">
        <f>BZ46-BZ52</f>
        <v>673.70796999797471</v>
      </c>
      <c r="CA58" s="201">
        <f>BW58+BX58+BY58+BZ58</f>
        <v>2811.6105575858328</v>
      </c>
      <c r="CC58" s="198">
        <f>CC46-CC52</f>
        <v>718.41649359721237</v>
      </c>
      <c r="CD58" s="199">
        <f>CD46-CD52</f>
        <v>787.9023552696915</v>
      </c>
      <c r="CE58" s="199">
        <f>CE46-CE52</f>
        <v>715.83236645815032</v>
      </c>
      <c r="CF58" s="200">
        <f>CF46-CF52</f>
        <v>698.49693172216917</v>
      </c>
      <c r="CG58" s="201">
        <f>CC58+CD58+CE58+CF58</f>
        <v>2920.6481470472236</v>
      </c>
      <c r="CI58" s="198">
        <f>CI46-CI52</f>
        <v>737.98613745825082</v>
      </c>
      <c r="CJ58" s="199">
        <f>CJ46-CJ52</f>
        <v>811.19071845725898</v>
      </c>
      <c r="CK58" s="199">
        <f>CK46-CK52</f>
        <v>755.36188868757642</v>
      </c>
      <c r="CL58" s="200">
        <f>CL46-CL52</f>
        <v>731.16567793918466</v>
      </c>
      <c r="CM58" s="201">
        <f>CI58+CJ58+CK58+CL58</f>
        <v>3035.704422542271</v>
      </c>
      <c r="CO58" s="198">
        <f>CO46-CO52</f>
        <v>753.22362784073664</v>
      </c>
      <c r="CP58" s="199">
        <f>CP46-CP52</f>
        <v>834.14239679653303</v>
      </c>
      <c r="CQ58" s="199">
        <f>CQ46-CQ52</f>
        <v>798.23055834312061</v>
      </c>
      <c r="CR58" s="200">
        <f>CR46-CR52</f>
        <v>765.54535664738614</v>
      </c>
      <c r="CS58" s="201">
        <f>CO58+CP58+CQ58+CR58</f>
        <v>3151.1419396277765</v>
      </c>
      <c r="CU58" s="198">
        <f>CU46-CU52</f>
        <v>771.33490340376943</v>
      </c>
      <c r="CV58" s="199">
        <f>CV46-CV52</f>
        <v>843.3081930382275</v>
      </c>
      <c r="CW58" s="199">
        <f>CW46-CW52</f>
        <v>838.15180401615112</v>
      </c>
      <c r="CX58" s="200">
        <f>CX46-CX52</f>
        <v>794.72911867908601</v>
      </c>
      <c r="CY58" s="201">
        <f>CU58+CV58+CW58+CX58</f>
        <v>3247.5240191372341</v>
      </c>
      <c r="DA58" s="198">
        <f>DA46-DA52</f>
        <v>784.31941539238892</v>
      </c>
      <c r="DB58" s="199">
        <f>DB46-DB52</f>
        <v>857.75055719493491</v>
      </c>
      <c r="DC58" s="199">
        <f>DC46-DC52</f>
        <v>860.5671006346231</v>
      </c>
      <c r="DD58" s="200">
        <f>DD46-DD52</f>
        <v>823.12010441478878</v>
      </c>
      <c r="DE58" s="201">
        <f>DA58+DB58+DC58+DD58</f>
        <v>3325.7571776367354</v>
      </c>
      <c r="DG58" s="198">
        <f>DG46-DG52</f>
        <v>796.28060905584596</v>
      </c>
      <c r="DH58" s="199">
        <f>DH46-DH52</f>
        <v>871.38849896913678</v>
      </c>
      <c r="DI58" s="199">
        <f>DI46-DI52</f>
        <v>876.383312961505</v>
      </c>
      <c r="DJ58" s="200">
        <f>DJ46-DJ52</f>
        <v>858.10077351270161</v>
      </c>
      <c r="DK58" s="201">
        <f>DG58+DH58+DI58+DJ58</f>
        <v>3402.1531944991893</v>
      </c>
    </row>
    <row r="59" spans="2:115" ht="15.75" thickBot="1" x14ac:dyDescent="0.35">
      <c r="B59" s="41" t="s">
        <v>23</v>
      </c>
      <c r="C59" s="155" t="s">
        <v>35</v>
      </c>
      <c r="D59" s="106" t="s">
        <v>35</v>
      </c>
      <c r="E59" s="106" t="s">
        <v>35</v>
      </c>
      <c r="F59" s="106" t="s">
        <v>35</v>
      </c>
      <c r="G59" s="108" t="s">
        <v>35</v>
      </c>
      <c r="I59" s="109">
        <f>I58/C58-1</f>
        <v>6.0553633217993008E-2</v>
      </c>
      <c r="J59" s="110">
        <f>J58/D58-1</f>
        <v>2.7900146842878115E-2</v>
      </c>
      <c r="K59" s="110">
        <f>K58/E58-1</f>
        <v>-1.1594202898550732E-2</v>
      </c>
      <c r="L59" s="110">
        <f>L58/F58-1</f>
        <v>8.9766606822262229E-2</v>
      </c>
      <c r="M59" s="122">
        <f>M58/G58-1</f>
        <v>3.8308060654429266E-2</v>
      </c>
      <c r="O59" s="109">
        <f>O58/I58-1</f>
        <v>5.3833605220228398E-2</v>
      </c>
      <c r="P59" s="110">
        <f>P58/J58-1</f>
        <v>2.8571428571428914E-3</v>
      </c>
      <c r="Q59" s="110">
        <f>Q58/K58-1</f>
        <v>0.1920821114369502</v>
      </c>
      <c r="R59" s="120">
        <f>R58/L58-1</f>
        <v>0.24876441515650738</v>
      </c>
      <c r="S59" s="122">
        <f>S58/M58-1</f>
        <v>0.12182936202920835</v>
      </c>
      <c r="U59" s="109">
        <f>U58/O58-1</f>
        <v>0.13312693498452011</v>
      </c>
      <c r="V59" s="110">
        <f>V58/P58-1</f>
        <v>0.1766381766381766</v>
      </c>
      <c r="W59" s="110">
        <f>W58/Q58-1</f>
        <v>-6.2730627306273101E-2</v>
      </c>
      <c r="X59" s="120">
        <f>X58/R58-1</f>
        <v>-0.13192612137203164</v>
      </c>
      <c r="Y59" s="122">
        <f>Y58/S58-1</f>
        <v>2.0212401507365474E-2</v>
      </c>
      <c r="AA59" s="109">
        <f>AA58/U58-1</f>
        <v>-8.9900765475230515E-2</v>
      </c>
      <c r="AB59" s="110">
        <f>AB58/V58-1</f>
        <v>-0.11272947037447756</v>
      </c>
      <c r="AC59" s="110">
        <f>AC58/W58-1</f>
        <v>-7.6695306796877749E-2</v>
      </c>
      <c r="AD59" s="120">
        <f>AD58/X58-1</f>
        <v>2.2377020447637674E-2</v>
      </c>
      <c r="AE59" s="122">
        <f>AE58/Y58-1</f>
        <v>-6.8045549758852464E-2</v>
      </c>
      <c r="AG59" s="109">
        <f>AG58/AA58-1</f>
        <v>-1.9257929794921913E-2</v>
      </c>
      <c r="AH59" s="110">
        <f>AH58/AB58-1</f>
        <v>-6.2336493219439237E-4</v>
      </c>
      <c r="AI59" s="110">
        <f>AI58/AC58-1</f>
        <v>3.2698980362346974E-2</v>
      </c>
      <c r="AJ59" s="120">
        <f>AJ58/AD58-1</f>
        <v>-0.34929689964904009</v>
      </c>
      <c r="AK59" s="122">
        <f>AK58/AE58-1</f>
        <v>-8.1164648127290628E-2</v>
      </c>
      <c r="AM59" s="109">
        <f>AM58/AG58-1</f>
        <v>1.3985606384688154E-2</v>
      </c>
      <c r="AN59" s="110">
        <f>AN58/AH58-1</f>
        <v>-1.8804926537691169E-2</v>
      </c>
      <c r="AO59" s="110">
        <f>AO58/AI58-1</f>
        <v>-0.10217959285100731</v>
      </c>
      <c r="AP59" s="120">
        <f>AP58/AJ58-1</f>
        <v>0.15708582358097112</v>
      </c>
      <c r="AQ59" s="122">
        <f>AQ58/AK58-1</f>
        <v>-3.9654377995002044E-3</v>
      </c>
      <c r="AS59" s="109">
        <f>AS58/AM58-1</f>
        <v>-8.039203672664974E-3</v>
      </c>
      <c r="AT59" s="110">
        <f>AT58/AN58-1</f>
        <v>-5.4613419083293979E-2</v>
      </c>
      <c r="AU59" s="110">
        <f>AU58/AO58-1</f>
        <v>-1.0871390584506146E-2</v>
      </c>
      <c r="AV59" s="120">
        <f>AV58/AP58-1</f>
        <v>5.8681569340792272E-2</v>
      </c>
      <c r="AW59" s="122">
        <f>AW58/AQ58-1</f>
        <v>-8.6391182404527145E-3</v>
      </c>
      <c r="AY59" s="109">
        <f>AY58/AS58-1</f>
        <v>-1.2094057899289523E-2</v>
      </c>
      <c r="AZ59" s="110">
        <f>AZ58/AT58-1</f>
        <v>4.4753195756593422E-2</v>
      </c>
      <c r="BA59" s="110">
        <f>BA58/AU58-1</f>
        <v>-1.9898851931023254E-2</v>
      </c>
      <c r="BB59" s="120">
        <f>BB58/AV58-1</f>
        <v>0.10647693150803916</v>
      </c>
      <c r="BC59" s="122">
        <f>BC58/AW58-1</f>
        <v>2.6494548513584348E-2</v>
      </c>
      <c r="BE59" s="109">
        <f>BE58/AY58-1</f>
        <v>-1.1541725477480669E-2</v>
      </c>
      <c r="BF59" s="110">
        <f>BF58/AZ58-1</f>
        <v>-4.7496154070385543E-3</v>
      </c>
      <c r="BG59" s="110">
        <f>BG58/BA58-1</f>
        <v>-5.6006036178116947E-2</v>
      </c>
      <c r="BH59" s="120">
        <f>BH58/BB58-1</f>
        <v>-3.831353699388429E-2</v>
      </c>
      <c r="BI59" s="122">
        <f>BI58/BC58-1</f>
        <v>-2.6700662346346715E-2</v>
      </c>
      <c r="BK59" s="109">
        <f>BK58/BE58-1</f>
        <v>1.4377647727663811E-2</v>
      </c>
      <c r="BL59" s="110">
        <f>BL58/BF58-1</f>
        <v>2.1940152947011793E-2</v>
      </c>
      <c r="BM59" s="110">
        <f>BM58/BG58-1</f>
        <v>4.1187060620645033E-2</v>
      </c>
      <c r="BN59" s="120">
        <f>BN58/BH58-1</f>
        <v>0.13762442089355287</v>
      </c>
      <c r="BO59" s="122">
        <f>BO58/BI58-1</f>
        <v>5.0816497007055261E-2</v>
      </c>
      <c r="BQ59" s="109">
        <f>BQ58/BK58-1</f>
        <v>2.896039778102133E-2</v>
      </c>
      <c r="BR59" s="110">
        <f>BR58/BL58-1</f>
        <v>2.9108335948804909E-2</v>
      </c>
      <c r="BS59" s="110">
        <f>BS58/BM58-1</f>
        <v>2.2848061380574824E-2</v>
      </c>
      <c r="BT59" s="120">
        <f>BT58/BN58-1</f>
        <v>4.6262737219371353E-4</v>
      </c>
      <c r="BU59" s="122">
        <f>BU58/BO58-1</f>
        <v>2.0566154141473003E-2</v>
      </c>
      <c r="BW59" s="109">
        <f>BW58/BQ58-1</f>
        <v>3.2555906767115728E-2</v>
      </c>
      <c r="BX59" s="110">
        <f>BX58/BR58-1</f>
        <v>3.6355130557746307E-2</v>
      </c>
      <c r="BY59" s="110">
        <f>BY58/BS58-1</f>
        <v>6.3788000197338768E-2</v>
      </c>
      <c r="BZ59" s="120">
        <f>BZ58/BT58-1</f>
        <v>3.7397668823700325E-2</v>
      </c>
      <c r="CA59" s="122">
        <f>CA58/BU58-1</f>
        <v>4.2127326271507837E-2</v>
      </c>
      <c r="CC59" s="109">
        <f>CC58/BW58-1</f>
        <v>3.8746359944247244E-2</v>
      </c>
      <c r="CD59" s="110">
        <f>CD58/BX58-1</f>
        <v>2.329555344526546E-2</v>
      </c>
      <c r="CE59" s="110">
        <f>CE58/BY58-1</f>
        <v>5.8425370939976462E-2</v>
      </c>
      <c r="CF59" s="120">
        <f>CF58/BZ58-1</f>
        <v>3.6794817380992217E-2</v>
      </c>
      <c r="CG59" s="122">
        <f>CG58/CA58-1</f>
        <v>3.8781185099480808E-2</v>
      </c>
      <c r="CI59" s="109">
        <f>CI58/CC58-1</f>
        <v>2.7239970178093431E-2</v>
      </c>
      <c r="CJ59" s="110">
        <f>CJ58/CD58-1</f>
        <v>2.9557422987517512E-2</v>
      </c>
      <c r="CK59" s="110">
        <f>CK58/CE58-1</f>
        <v>5.5221758726855752E-2</v>
      </c>
      <c r="CL59" s="120">
        <f>CL58/CF58-1</f>
        <v>4.6770064023716751E-2</v>
      </c>
      <c r="CM59" s="122">
        <f>CM58/CG58-1</f>
        <v>3.9394089839739577E-2</v>
      </c>
      <c r="CO59" s="109">
        <f>CO58/CI58-1</f>
        <v>2.0647393777566414E-2</v>
      </c>
      <c r="CP59" s="110">
        <f>CP58/CJ58-1</f>
        <v>2.829381280757759E-2</v>
      </c>
      <c r="CQ59" s="110">
        <f>CQ58/CK58-1</f>
        <v>5.6752492146549205E-2</v>
      </c>
      <c r="CR59" s="120">
        <f>CR58/CL58-1</f>
        <v>4.7020367264915652E-2</v>
      </c>
      <c r="CS59" s="122">
        <f>CS58/CM58-1</f>
        <v>3.8026599766531888E-2</v>
      </c>
      <c r="CU59" s="109">
        <f>CU58/CO58-1</f>
        <v>2.40450178321574E-2</v>
      </c>
      <c r="CV59" s="110">
        <f>CV58/CP58-1</f>
        <v>1.0988287223974158E-2</v>
      </c>
      <c r="CW59" s="110">
        <f>CW58/CQ58-1</f>
        <v>5.0012174121590425E-2</v>
      </c>
      <c r="CX59" s="120">
        <f>CX58/CR58-1</f>
        <v>3.8121532288441617E-2</v>
      </c>
      <c r="CY59" s="122">
        <f>CY58/CS58-1</f>
        <v>3.0586397361980655E-2</v>
      </c>
      <c r="DA59" s="109">
        <f>DA58/CU58-1</f>
        <v>1.6833818787819643E-2</v>
      </c>
      <c r="DB59" s="110">
        <f>DB58/CV58-1</f>
        <v>1.7125843524269824E-2</v>
      </c>
      <c r="DC59" s="110">
        <f>DC58/CW58-1</f>
        <v>2.6743719349007211E-2</v>
      </c>
      <c r="DD59" s="120">
        <f>DD58/CX58-1</f>
        <v>3.5724104060627981E-2</v>
      </c>
      <c r="DE59" s="122">
        <f>DE58/CY58-1</f>
        <v>2.40900938802866E-2</v>
      </c>
      <c r="DG59" s="109">
        <f>DG58/DA58-1</f>
        <v>1.5250411284888354E-2</v>
      </c>
      <c r="DH59" s="110">
        <f>DH58/DB58-1</f>
        <v>1.5899659475362427E-2</v>
      </c>
      <c r="DI59" s="110">
        <f>DI58/DC58-1</f>
        <v>1.8378825213302141E-2</v>
      </c>
      <c r="DJ59" s="120">
        <f>DJ58/DD58-1</f>
        <v>4.2497648776034902E-2</v>
      </c>
      <c r="DK59" s="122">
        <f>DK58/DE58-1</f>
        <v>2.2971014653794031E-2</v>
      </c>
    </row>
    <row r="60" spans="2:115" ht="15.75" thickBot="1" x14ac:dyDescent="0.35">
      <c r="B60" s="1"/>
      <c r="AA60" s="103"/>
      <c r="AB60" s="103"/>
      <c r="AC60" s="103"/>
      <c r="AD60" s="103"/>
      <c r="AE60" s="103"/>
      <c r="AG60" s="103"/>
      <c r="AH60" s="103"/>
      <c r="AI60" s="103"/>
      <c r="AJ60" s="103"/>
      <c r="AK60" s="103"/>
      <c r="AM60" s="103"/>
      <c r="AN60" s="103"/>
      <c r="AO60" s="103"/>
      <c r="AP60" s="103"/>
      <c r="AQ60" s="103"/>
      <c r="AS60" s="103"/>
      <c r="AT60" s="103"/>
      <c r="AU60" s="103"/>
      <c r="AV60" s="103"/>
      <c r="AW60" s="103"/>
      <c r="AY60" s="103"/>
      <c r="AZ60" s="103"/>
      <c r="BA60" s="103"/>
      <c r="BB60" s="103"/>
      <c r="BC60" s="103"/>
      <c r="BE60" s="103"/>
      <c r="BF60" s="103"/>
      <c r="BG60" s="103"/>
      <c r="BH60" s="103"/>
      <c r="BI60" s="103"/>
      <c r="BK60" s="103"/>
      <c r="BL60" s="103"/>
      <c r="BM60" s="103"/>
      <c r="BN60" s="103"/>
      <c r="BO60" s="103"/>
      <c r="BQ60" s="103"/>
      <c r="BR60" s="103"/>
      <c r="BS60" s="103"/>
      <c r="BT60" s="103"/>
      <c r="BU60" s="103"/>
      <c r="BW60" s="103"/>
      <c r="BX60" s="103"/>
      <c r="BY60" s="103"/>
      <c r="BZ60" s="103"/>
      <c r="CA60" s="103"/>
      <c r="CC60" s="103"/>
      <c r="CD60" s="103"/>
      <c r="CE60" s="103"/>
      <c r="CF60" s="103"/>
      <c r="CG60" s="103"/>
      <c r="CI60" s="103"/>
      <c r="CJ60" s="103"/>
      <c r="CK60" s="103"/>
      <c r="CL60" s="103"/>
      <c r="CM60" s="103"/>
      <c r="CO60" s="103"/>
      <c r="CP60" s="103"/>
      <c r="CQ60" s="103"/>
      <c r="CR60" s="103"/>
      <c r="CS60" s="103"/>
      <c r="CU60" s="103"/>
      <c r="CV60" s="103"/>
      <c r="CW60" s="103"/>
      <c r="CX60" s="103"/>
      <c r="CY60" s="103"/>
      <c r="DA60" s="103"/>
      <c r="DB60" s="103"/>
      <c r="DC60" s="103"/>
      <c r="DD60" s="103"/>
      <c r="DE60" s="103"/>
      <c r="DG60" s="103"/>
      <c r="DH60" s="103"/>
      <c r="DI60" s="103"/>
      <c r="DJ60" s="103"/>
      <c r="DK60" s="103"/>
    </row>
    <row r="61" spans="2:115" ht="15" x14ac:dyDescent="0.3">
      <c r="B61" s="42" t="s">
        <v>50</v>
      </c>
      <c r="C61" s="111">
        <f>C67-C64</f>
        <v>1400</v>
      </c>
      <c r="D61" s="112">
        <f>D67-D64</f>
        <v>1448.8</v>
      </c>
      <c r="E61" s="112">
        <f>E67-E64</f>
        <v>1481.6</v>
      </c>
      <c r="F61" s="112">
        <f>F67-F64</f>
        <v>1376.97</v>
      </c>
      <c r="G61" s="113">
        <f>C61+D61+E61+F61</f>
        <v>5707.37</v>
      </c>
      <c r="I61" s="111">
        <f>I67-I64</f>
        <v>1352.48</v>
      </c>
      <c r="J61" s="112">
        <f>J67-J64</f>
        <v>1385.28</v>
      </c>
      <c r="K61" s="112">
        <f>K67-K64</f>
        <v>1390.62</v>
      </c>
      <c r="L61" s="115">
        <f>L67-L64</f>
        <v>1330.76</v>
      </c>
      <c r="M61" s="113">
        <f>I61+J61+K61+L61</f>
        <v>5459.14</v>
      </c>
      <c r="O61" s="111">
        <f>O67-O64</f>
        <v>1289.25</v>
      </c>
      <c r="P61" s="112">
        <f>P67-P64</f>
        <v>1298.25</v>
      </c>
      <c r="Q61" s="112">
        <f>Q67-Q64</f>
        <v>1308.8899999999999</v>
      </c>
      <c r="R61" s="115">
        <f>R67-R64</f>
        <v>1261.44</v>
      </c>
      <c r="S61" s="113">
        <f>O61+P61+Q61+R61</f>
        <v>5157.83</v>
      </c>
      <c r="U61" s="111">
        <f>U67-U64</f>
        <v>1215.52</v>
      </c>
      <c r="V61" s="112">
        <f>V67-V64</f>
        <v>1236.2</v>
      </c>
      <c r="W61" s="112">
        <f>W67-W64</f>
        <v>1269.0999999999999</v>
      </c>
      <c r="X61" s="115">
        <f>X67-X64</f>
        <v>1194.08</v>
      </c>
      <c r="Y61" s="113">
        <f>U61+V61+W61+X61</f>
        <v>4914.8999999999996</v>
      </c>
      <c r="AA61" s="111">
        <f>AA67-AA64</f>
        <v>1093.43</v>
      </c>
      <c r="AB61" s="112">
        <f>AB67-AB64</f>
        <v>1083.31</v>
      </c>
      <c r="AC61" s="112">
        <f>AC67-AC64</f>
        <v>1117.452</v>
      </c>
      <c r="AD61" s="115">
        <f>AD67-AD64</f>
        <v>1066.1759999999999</v>
      </c>
      <c r="AE61" s="113">
        <f>AA61+AB61+AC61+AD61</f>
        <v>4360.3680000000004</v>
      </c>
      <c r="AG61" s="111">
        <f>AG67-AG64</f>
        <v>989.36</v>
      </c>
      <c r="AH61" s="112">
        <f>AH67-AH64</f>
        <v>997.1</v>
      </c>
      <c r="AI61" s="112">
        <f>AI67-AI64</f>
        <v>1031.9100000000001</v>
      </c>
      <c r="AJ61" s="115">
        <f>AJ67-AJ64</f>
        <v>957.6</v>
      </c>
      <c r="AK61" s="113">
        <f>AG61+AH61+AI61+AJ61</f>
        <v>3975.97</v>
      </c>
      <c r="AM61" s="111">
        <f>AM67-AM64</f>
        <v>911.68</v>
      </c>
      <c r="AN61" s="112">
        <f>AN67-AN64</f>
        <v>920.15</v>
      </c>
      <c r="AO61" s="112">
        <f>AO67-AO64</f>
        <v>884</v>
      </c>
      <c r="AP61" s="115">
        <f>AP67-AP64</f>
        <v>808.5</v>
      </c>
      <c r="AQ61" s="113">
        <f>AM61+AN61+AO61+AP61</f>
        <v>3524.33</v>
      </c>
      <c r="AS61" s="111">
        <f>AS67-AS64</f>
        <v>815.5</v>
      </c>
      <c r="AT61" s="112">
        <f>AT67-AT64</f>
        <v>834</v>
      </c>
      <c r="AU61" s="112">
        <f>AU67-AU64</f>
        <v>849.5</v>
      </c>
      <c r="AV61" s="115">
        <f>AV67-AV64</f>
        <v>840</v>
      </c>
      <c r="AW61" s="113">
        <f>AS61+AT61+AU61+AV61</f>
        <v>3339</v>
      </c>
      <c r="AY61" s="111">
        <f>AY67-AY64</f>
        <v>821.73</v>
      </c>
      <c r="AZ61" s="112">
        <f>AZ67-AZ64</f>
        <v>801.6</v>
      </c>
      <c r="BA61" s="112">
        <f>BA67-BA64</f>
        <v>812.16</v>
      </c>
      <c r="BB61" s="115">
        <f>BB67-BB64</f>
        <v>803.04</v>
      </c>
      <c r="BC61" s="113">
        <f>AY61+AZ61+BA61+BB61</f>
        <v>3238.5299999999997</v>
      </c>
      <c r="BE61" s="111">
        <f>BE67-BE64</f>
        <v>791.52</v>
      </c>
      <c r="BF61" s="112">
        <f>BF67-BF64</f>
        <v>794.88</v>
      </c>
      <c r="BG61" s="112">
        <f>BG67-BG64</f>
        <v>790.80199999999991</v>
      </c>
      <c r="BH61" s="115">
        <f>BH67-BH64</f>
        <v>783.49</v>
      </c>
      <c r="BI61" s="113">
        <f>BE61+BF61+BG61+BH61</f>
        <v>3160.692</v>
      </c>
      <c r="BK61" s="111">
        <f>BK67-BK64</f>
        <v>752.09999999999991</v>
      </c>
      <c r="BL61" s="112">
        <f>BL67-BL64</f>
        <v>759.39499999999998</v>
      </c>
      <c r="BM61" s="112">
        <f>BM67-BM64</f>
        <v>745.15500000000009</v>
      </c>
      <c r="BN61" s="115">
        <f>BN67-BN64</f>
        <v>711.90000000000009</v>
      </c>
      <c r="BO61" s="113">
        <f>BK61+BL61+BM61+BN61</f>
        <v>2968.55</v>
      </c>
      <c r="BQ61" s="111">
        <f>BQ67-BQ64</f>
        <v>685.52213519645545</v>
      </c>
      <c r="BR61" s="112">
        <f>BR67-BR64</f>
        <v>685.79687388558682</v>
      </c>
      <c r="BS61" s="112">
        <f>BS67-BS64</f>
        <v>656.54968496806418</v>
      </c>
      <c r="BT61" s="115">
        <f>BT67-BT64</f>
        <v>637.20925778377045</v>
      </c>
      <c r="BU61" s="113">
        <f>BQ61+BR61+BS61+BT61</f>
        <v>2665.0779518338768</v>
      </c>
      <c r="BW61" s="111">
        <f>BW67-BW64</f>
        <v>614.59566461417512</v>
      </c>
      <c r="BX61" s="112">
        <f>BX67-BX64</f>
        <v>617.76515261422719</v>
      </c>
      <c r="BY61" s="112">
        <f>BY67-BY64</f>
        <v>591.05014071518895</v>
      </c>
      <c r="BZ61" s="115">
        <f>BZ67-BZ64</f>
        <v>572.7793117185588</v>
      </c>
      <c r="CA61" s="113">
        <f>BW61+BX61+BY61+BZ61</f>
        <v>2396.1902696621501</v>
      </c>
      <c r="CC61" s="111">
        <f>CC67-CC64</f>
        <v>558.02373819271588</v>
      </c>
      <c r="CD61" s="112">
        <f>CD67-CD64</f>
        <v>560.56376937414552</v>
      </c>
      <c r="CE61" s="112">
        <f>CE67-CE64</f>
        <v>533.00885016913185</v>
      </c>
      <c r="CF61" s="115">
        <f>CF67-CF64</f>
        <v>515.93096503049151</v>
      </c>
      <c r="CG61" s="113">
        <f>CC61+CD61+CE61+CF61</f>
        <v>2167.5273227664848</v>
      </c>
      <c r="CI61" s="111">
        <f>CI67-CI64</f>
        <v>501.92010960009816</v>
      </c>
      <c r="CJ61" s="112">
        <f>CJ67-CJ64</f>
        <v>498.11346194230737</v>
      </c>
      <c r="CK61" s="112">
        <f>CK67-CK64</f>
        <v>473.48755006338502</v>
      </c>
      <c r="CL61" s="115">
        <f>CL67-CL64</f>
        <v>458.17762702990922</v>
      </c>
      <c r="CM61" s="113">
        <f>CI61+CJ61+CK61+CL61</f>
        <v>1931.6987486356998</v>
      </c>
      <c r="CO61" s="111">
        <f>CO67-CO64</f>
        <v>450.66535608862409</v>
      </c>
      <c r="CP61" s="112">
        <f>CP67-CP64</f>
        <v>447.24092348734825</v>
      </c>
      <c r="CQ61" s="112">
        <f>CQ67-CQ64</f>
        <v>420.23130008604062</v>
      </c>
      <c r="CR61" s="115">
        <f>CR67-CR64</f>
        <v>406.30123387928415</v>
      </c>
      <c r="CS61" s="113">
        <f>CO61+CP61+CQ61+CR61</f>
        <v>1724.4388135412971</v>
      </c>
      <c r="CU61" s="111">
        <f>CU67-CU64</f>
        <v>403.95318100389341</v>
      </c>
      <c r="CV61" s="112">
        <f>CV67-CV64</f>
        <v>400.87903022187129</v>
      </c>
      <c r="CW61" s="112">
        <f>CW67-CW64</f>
        <v>376.66490883593929</v>
      </c>
      <c r="CX61" s="115">
        <f>CX67-CX64</f>
        <v>364.0754023157217</v>
      </c>
      <c r="CY61" s="113">
        <f>CU61+CV61+CW61+CX61</f>
        <v>1545.5725223774257</v>
      </c>
      <c r="DA61" s="111">
        <f>DA67-DA64</f>
        <v>361.7708294904005</v>
      </c>
      <c r="DB61" s="112">
        <f>DB67-DB64</f>
        <v>358.81998418461444</v>
      </c>
      <c r="DC61" s="112">
        <f>DC67-DC64</f>
        <v>336.96117521978704</v>
      </c>
      <c r="DD61" s="115">
        <f>DD67-DD64</f>
        <v>325.69599259695315</v>
      </c>
      <c r="DE61" s="113">
        <f>DA61+DB61+DC61+DD61</f>
        <v>1383.2479814917551</v>
      </c>
      <c r="DG61" s="111">
        <f>DG67-DG64</f>
        <v>323.71927613625849</v>
      </c>
      <c r="DH61" s="112">
        <f>DH67-DH64</f>
        <v>321.07693457722348</v>
      </c>
      <c r="DI61" s="112">
        <f>DI67-DI64</f>
        <v>301.5156266368349</v>
      </c>
      <c r="DJ61" s="115">
        <f>DJ67-DJ64</f>
        <v>291.27656658318756</v>
      </c>
      <c r="DK61" s="113">
        <f>DG61+DH61+DI61+DJ61</f>
        <v>1237.5884039335044</v>
      </c>
    </row>
    <row r="62" spans="2:115" ht="15" x14ac:dyDescent="0.3">
      <c r="B62" s="40" t="s">
        <v>23</v>
      </c>
      <c r="C62" s="144" t="s">
        <v>35</v>
      </c>
      <c r="D62" s="107" t="s">
        <v>35</v>
      </c>
      <c r="E62" s="107" t="s">
        <v>35</v>
      </c>
      <c r="F62" s="107" t="s">
        <v>35</v>
      </c>
      <c r="G62" s="138" t="s">
        <v>35</v>
      </c>
      <c r="I62" s="151">
        <f>I61/C61-1</f>
        <v>-3.3942857142857163E-2</v>
      </c>
      <c r="J62" s="133">
        <f>J61/D61-1</f>
        <v>-4.3843180563224782E-2</v>
      </c>
      <c r="K62" s="133">
        <f>K61/E61-1</f>
        <v>-6.1406587473002205E-2</v>
      </c>
      <c r="L62" s="152">
        <f>L61/F61-1</f>
        <v>-3.355919155827658E-2</v>
      </c>
      <c r="M62" s="153">
        <f>M61/G61-1</f>
        <v>-4.3492887266814551E-2</v>
      </c>
      <c r="O62" s="151">
        <f>O61/I61-1</f>
        <v>-4.6751153436649706E-2</v>
      </c>
      <c r="P62" s="133">
        <f>P61/J61-1</f>
        <v>-6.2824844074844011E-2</v>
      </c>
      <c r="Q62" s="133">
        <f>Q61/K61-1</f>
        <v>-5.8772346147761501E-2</v>
      </c>
      <c r="R62" s="152">
        <f>R61/L61-1</f>
        <v>-5.2090534732032734E-2</v>
      </c>
      <c r="S62" s="153">
        <f>S61/M61-1</f>
        <v>-5.5193675194261438E-2</v>
      </c>
      <c r="U62" s="151">
        <v>-2.1999999999999999E-2</v>
      </c>
      <c r="V62" s="133">
        <v>5.0000000000000001E-3</v>
      </c>
      <c r="W62" s="133">
        <v>2.1000000000000001E-2</v>
      </c>
      <c r="X62" s="152">
        <v>-8.9999999999999993E-3</v>
      </c>
      <c r="Y62" s="153">
        <v>-1E-3</v>
      </c>
      <c r="AA62" s="151">
        <f>AA61/U61-1</f>
        <v>-0.10044260892457546</v>
      </c>
      <c r="AB62" s="133">
        <f>AB61/V61-1</f>
        <v>-0.12367739847921055</v>
      </c>
      <c r="AC62" s="133">
        <f>AC61/W61-1</f>
        <v>-0.11949255377826795</v>
      </c>
      <c r="AD62" s="152">
        <f>AD61/X61-1</f>
        <v>-0.10711510116575107</v>
      </c>
      <c r="AE62" s="153">
        <f>AE61/Y61-1</f>
        <v>-0.11282671061466143</v>
      </c>
      <c r="AG62" s="151">
        <f>AG61/AA61-1</f>
        <v>-9.5177560520563809E-2</v>
      </c>
      <c r="AH62" s="133">
        <f>AH61/AB61-1</f>
        <v>-7.9580175573012224E-2</v>
      </c>
      <c r="AI62" s="133">
        <f>AI61/AC61-1</f>
        <v>-7.6550939100739845E-2</v>
      </c>
      <c r="AJ62" s="152">
        <f>AJ61/AD61-1</f>
        <v>-0.10183684494867629</v>
      </c>
      <c r="AK62" s="153">
        <f>AK61/AE61-1</f>
        <v>-8.8157238104673907E-2</v>
      </c>
      <c r="AM62" s="151">
        <f>AM61/AG61-1</f>
        <v>-7.8515403897469138E-2</v>
      </c>
      <c r="AN62" s="133">
        <f>AN61/AH61-1</f>
        <v>-7.7173804031691939E-2</v>
      </c>
      <c r="AO62" s="133">
        <f>AO61/AI61-1</f>
        <v>-0.14333614365593905</v>
      </c>
      <c r="AP62" s="152">
        <f>AP61/AJ61-1</f>
        <v>-0.1557017543859649</v>
      </c>
      <c r="AQ62" s="153">
        <f>AQ61/AK61-1</f>
        <v>-0.11359240638133583</v>
      </c>
      <c r="AS62" s="151">
        <f>AS61/AM61-1</f>
        <v>-0.10549754299754299</v>
      </c>
      <c r="AT62" s="133">
        <f>AT61/AN61-1</f>
        <v>-9.3626039232733826E-2</v>
      </c>
      <c r="AU62" s="133">
        <f>AU61/AO61-1</f>
        <v>-3.9027149321266941E-2</v>
      </c>
      <c r="AV62" s="152">
        <f>AV61/AP61-1</f>
        <v>3.8961038961038863E-2</v>
      </c>
      <c r="AW62" s="153">
        <f>AW61/AQ61-1</f>
        <v>-5.2585881571816429E-2</v>
      </c>
      <c r="AY62" s="151">
        <f>AY61/AS61-1</f>
        <v>7.6394849785408336E-3</v>
      </c>
      <c r="AZ62" s="133">
        <f>AZ61/AT61-1</f>
        <v>-3.8848920863309377E-2</v>
      </c>
      <c r="BA62" s="133">
        <f>BA61/AU61-1</f>
        <v>-4.3955267804591025E-2</v>
      </c>
      <c r="BB62" s="152">
        <f>BB61/AV61-1</f>
        <v>-4.4000000000000039E-2</v>
      </c>
      <c r="BC62" s="153">
        <f>BC61/AW61-1</f>
        <v>-3.0089847259658686E-2</v>
      </c>
      <c r="BE62" s="151">
        <f>BE61/AY61-1</f>
        <v>-3.6763900551275985E-2</v>
      </c>
      <c r="BF62" s="133">
        <f>BF61/AZ61-1</f>
        <v>-8.3832335329341312E-3</v>
      </c>
      <c r="BG62" s="133">
        <f>BG61/BA61-1</f>
        <v>-2.6297773837667515E-2</v>
      </c>
      <c r="BH62" s="152">
        <f>BH61/BB61-1</f>
        <v>-2.4344989041641729E-2</v>
      </c>
      <c r="BI62" s="153">
        <f>BI61/BC61-1</f>
        <v>-2.4034978832988996E-2</v>
      </c>
      <c r="BK62" s="151">
        <f>BK61/BE61-1</f>
        <v>-4.980291085506372E-2</v>
      </c>
      <c r="BL62" s="133">
        <f>BL61/BF61-1</f>
        <v>-4.4641958534621606E-2</v>
      </c>
      <c r="BM62" s="133">
        <f>BM61/BG61-1</f>
        <v>-5.7722413448625387E-2</v>
      </c>
      <c r="BN62" s="152">
        <f>BN61/BH61-1</f>
        <v>-9.1373214718758256E-2</v>
      </c>
      <c r="BO62" s="153">
        <f>BO61/BI61-1</f>
        <v>-6.0791117894435698E-2</v>
      </c>
      <c r="BQ62" s="151">
        <f>BQ61/BK61-1</f>
        <v>-8.8522623060157568E-2</v>
      </c>
      <c r="BR62" s="133">
        <f>BR61/BL61-1</f>
        <v>-9.6916790490341853E-2</v>
      </c>
      <c r="BS62" s="133">
        <f>BS61/BM61-1</f>
        <v>-0.1189085694009111</v>
      </c>
      <c r="BT62" s="152">
        <f>BT61/BN61-1</f>
        <v>-0.10491746343057962</v>
      </c>
      <c r="BU62" s="153">
        <f>BU61/BO61-1</f>
        <v>-0.1022290506025243</v>
      </c>
      <c r="BW62" s="151">
        <f>BW61/BQ61-1</f>
        <v>-0.10346342873662917</v>
      </c>
      <c r="BX62" s="133">
        <f>BX61/BR61-1</f>
        <v>-9.9200978980708454E-2</v>
      </c>
      <c r="BY62" s="133">
        <f>BY61/BS61-1</f>
        <v>-9.9763271162122691E-2</v>
      </c>
      <c r="BZ62" s="152">
        <f>BZ61/BT61-1</f>
        <v>-0.10111269614835883</v>
      </c>
      <c r="CA62" s="153">
        <f>CA61/BU61-1</f>
        <v>-0.10089298963533189</v>
      </c>
      <c r="CC62" s="151">
        <f>CC61/BW61-1</f>
        <v>-9.2047389330306095E-2</v>
      </c>
      <c r="CD62" s="133">
        <f>CD61/BX61-1</f>
        <v>-9.2594059405940565E-2</v>
      </c>
      <c r="CE62" s="133">
        <f>CE61/BY61-1</f>
        <v>-9.8200282087447466E-2</v>
      </c>
      <c r="CF62" s="152">
        <f>CF61/BZ61-1</f>
        <v>-9.9250000000000616E-2</v>
      </c>
      <c r="CG62" s="153">
        <f>CG61/CA61-1</f>
        <v>-9.5427708638473718E-2</v>
      </c>
      <c r="CI62" s="151">
        <f>CI61/CC61-1</f>
        <v>-0.10053986013986038</v>
      </c>
      <c r="CJ62" s="133">
        <f>CJ61/CD61-1</f>
        <v>-0.1114062499999996</v>
      </c>
      <c r="CK62" s="133">
        <f>CK61/CE61-1</f>
        <v>-0.11167037861915396</v>
      </c>
      <c r="CL62" s="152">
        <f>CL61/CF61-1</f>
        <v>-0.11194004995836815</v>
      </c>
      <c r="CM62" s="153">
        <f>CM61/CG61-1</f>
        <v>-0.10880073882057895</v>
      </c>
      <c r="CO62" s="151">
        <f>CO61/CI61-1</f>
        <v>-0.10211735399944621</v>
      </c>
      <c r="CP62" s="133">
        <f>CP61/CJ61-1</f>
        <v>-0.10213042276872109</v>
      </c>
      <c r="CQ62" s="133">
        <f>CQ61/CK61-1</f>
        <v>-0.11247655819084379</v>
      </c>
      <c r="CR62" s="152">
        <f>CR61/CL61-1</f>
        <v>-0.11322332233223309</v>
      </c>
      <c r="CS62" s="153">
        <f>CS61/CM61-1</f>
        <v>-0.10729412919109882</v>
      </c>
      <c r="CU62" s="151">
        <f>CU61/CO61-1</f>
        <v>-0.10365157750342957</v>
      </c>
      <c r="CV62" s="133">
        <f>CV61/CP61-1</f>
        <v>-0.10366201040810719</v>
      </c>
      <c r="CW62" s="133">
        <f>CW61/CQ61-1</f>
        <v>-0.10367240907847963</v>
      </c>
      <c r="CX62" s="152">
        <f>CX61/CR61-1</f>
        <v>-0.10392740174672499</v>
      </c>
      <c r="CY62" s="153">
        <f>CY61/CS61-1</f>
        <v>-0.10372434774682016</v>
      </c>
      <c r="DA62" s="151">
        <f>DA61/CU61-1</f>
        <v>-0.10442386270770909</v>
      </c>
      <c r="DB62" s="133">
        <f>DB61/CV61-1</f>
        <v>-0.10491705194451995</v>
      </c>
      <c r="DC62" s="133">
        <f>DC61/CW61-1</f>
        <v>-0.1054086342655447</v>
      </c>
      <c r="DD62" s="152">
        <f>DD61/CX61-1</f>
        <v>-0.10541610192464035</v>
      </c>
      <c r="DE62" s="153">
        <f>DE61/CY61-1</f>
        <v>-0.10502550901718943</v>
      </c>
      <c r="DG62" s="151">
        <f>DG61/DA61-1</f>
        <v>-0.10518137520303228</v>
      </c>
      <c r="DH62" s="133">
        <f>DH61/DB61-1</f>
        <v>-0.10518658734451092</v>
      </c>
      <c r="DI62" s="133">
        <f>DI61/DC61-1</f>
        <v>-0.10519178822258191</v>
      </c>
      <c r="DJ62" s="152">
        <f>DJ61/DD61-1</f>
        <v>-0.10567961165048601</v>
      </c>
      <c r="DK62" s="153">
        <f>DK61/DE61-1</f>
        <v>-0.10530257734492776</v>
      </c>
    </row>
    <row r="63" spans="2:115" ht="15" x14ac:dyDescent="0.3">
      <c r="B63" s="40"/>
      <c r="C63" s="144"/>
      <c r="D63" s="107"/>
      <c r="E63" s="107"/>
      <c r="F63" s="107"/>
      <c r="G63" s="138"/>
      <c r="I63" s="144"/>
      <c r="J63" s="107"/>
      <c r="K63" s="107"/>
      <c r="L63" s="145"/>
      <c r="M63" s="138"/>
      <c r="O63" s="144"/>
      <c r="P63" s="107"/>
      <c r="Q63" s="107"/>
      <c r="R63" s="145"/>
      <c r="S63" s="138"/>
      <c r="U63" s="151"/>
      <c r="V63" s="133"/>
      <c r="W63" s="133"/>
      <c r="X63" s="152"/>
      <c r="Y63" s="153"/>
      <c r="AA63" s="144"/>
      <c r="AB63" s="107"/>
      <c r="AC63" s="107"/>
      <c r="AD63" s="145"/>
      <c r="AE63" s="138"/>
      <c r="AG63" s="144"/>
      <c r="AH63" s="107"/>
      <c r="AI63" s="107"/>
      <c r="AJ63" s="145"/>
      <c r="AK63" s="138"/>
      <c r="AM63" s="144"/>
      <c r="AN63" s="107"/>
      <c r="AO63" s="107"/>
      <c r="AP63" s="145"/>
      <c r="AQ63" s="138"/>
      <c r="AS63" s="144"/>
      <c r="AT63" s="107"/>
      <c r="AU63" s="107"/>
      <c r="AV63" s="145"/>
      <c r="AW63" s="138"/>
      <c r="AY63" s="144"/>
      <c r="AZ63" s="107"/>
      <c r="BA63" s="107"/>
      <c r="BB63" s="145"/>
      <c r="BC63" s="138"/>
      <c r="BE63" s="144"/>
      <c r="BF63" s="107"/>
      <c r="BG63" s="107"/>
      <c r="BH63" s="145"/>
      <c r="BI63" s="138"/>
      <c r="BK63" s="144"/>
      <c r="BL63" s="107"/>
      <c r="BM63" s="107"/>
      <c r="BN63" s="145"/>
      <c r="BO63" s="138"/>
      <c r="BQ63" s="144"/>
      <c r="BR63" s="107"/>
      <c r="BS63" s="107"/>
      <c r="BT63" s="145"/>
      <c r="BU63" s="138"/>
      <c r="BW63" s="144"/>
      <c r="BX63" s="107"/>
      <c r="BY63" s="107"/>
      <c r="BZ63" s="145"/>
      <c r="CA63" s="138"/>
      <c r="CC63" s="144"/>
      <c r="CD63" s="107"/>
      <c r="CE63" s="107"/>
      <c r="CF63" s="145"/>
      <c r="CG63" s="138"/>
      <c r="CI63" s="144"/>
      <c r="CJ63" s="107"/>
      <c r="CK63" s="107"/>
      <c r="CL63" s="145"/>
      <c r="CM63" s="138"/>
      <c r="CO63" s="144"/>
      <c r="CP63" s="107"/>
      <c r="CQ63" s="107"/>
      <c r="CR63" s="145"/>
      <c r="CS63" s="138"/>
      <c r="CU63" s="144"/>
      <c r="CV63" s="107"/>
      <c r="CW63" s="107"/>
      <c r="CX63" s="145"/>
      <c r="CY63" s="138"/>
      <c r="DA63" s="144"/>
      <c r="DB63" s="107"/>
      <c r="DC63" s="107"/>
      <c r="DD63" s="145"/>
      <c r="DE63" s="138"/>
      <c r="DG63" s="144"/>
      <c r="DH63" s="107"/>
      <c r="DI63" s="107"/>
      <c r="DJ63" s="145"/>
      <c r="DK63" s="138"/>
    </row>
    <row r="64" spans="2:115" ht="15" x14ac:dyDescent="0.3">
      <c r="B64" s="39" t="s">
        <v>49</v>
      </c>
      <c r="C64" s="116">
        <f>C67*C15</f>
        <v>350</v>
      </c>
      <c r="D64" s="117">
        <f>D67*D15</f>
        <v>362.20000000000005</v>
      </c>
      <c r="E64" s="117">
        <f>E67*E15</f>
        <v>370.40000000000003</v>
      </c>
      <c r="F64" s="117">
        <f>F67*F15</f>
        <v>366.03</v>
      </c>
      <c r="G64" s="118">
        <f>C64+D64+E64+F64</f>
        <v>1448.63</v>
      </c>
      <c r="I64" s="116">
        <f>I67*I15</f>
        <v>359.52</v>
      </c>
      <c r="J64" s="117">
        <f>J67*J15</f>
        <v>390.72</v>
      </c>
      <c r="K64" s="117">
        <f>K67*K15</f>
        <v>415.38</v>
      </c>
      <c r="L64" s="119">
        <f>L67*L15</f>
        <v>420.24</v>
      </c>
      <c r="M64" s="118">
        <f>I64+J64+K64+L64</f>
        <v>1585.86</v>
      </c>
      <c r="O64" s="116">
        <f>O67*O15</f>
        <v>429.75</v>
      </c>
      <c r="P64" s="117">
        <f>P67*P15</f>
        <v>432.75</v>
      </c>
      <c r="Q64" s="117">
        <f>Q67*Q15</f>
        <v>484.11</v>
      </c>
      <c r="R64" s="119">
        <f>R67*R15</f>
        <v>490.56000000000006</v>
      </c>
      <c r="S64" s="118">
        <f>O64+P64+Q64+R64</f>
        <v>1837.17</v>
      </c>
      <c r="U64" s="116">
        <f>U67*U15</f>
        <v>496.47999999999996</v>
      </c>
      <c r="V64" s="117">
        <f>V67*V15</f>
        <v>529.79999999999995</v>
      </c>
      <c r="W64" s="117">
        <f>W67*W15</f>
        <v>543.9</v>
      </c>
      <c r="X64" s="119">
        <f>X67*X15</f>
        <v>561.91999999999996</v>
      </c>
      <c r="Y64" s="118">
        <f>U64+V64+W64+X64</f>
        <v>2132.1</v>
      </c>
      <c r="AA64" s="116">
        <f>AA67*AA15</f>
        <v>596.56999999999994</v>
      </c>
      <c r="AB64" s="117">
        <f>AB67*AB15</f>
        <v>622.68999999999994</v>
      </c>
      <c r="AC64" s="117">
        <f>AC67*AC15</f>
        <v>639.548</v>
      </c>
      <c r="AD64" s="119">
        <f>AD67*AD15</f>
        <v>661.82400000000007</v>
      </c>
      <c r="AE64" s="118">
        <f>AA64+AB64+AC64+AD64</f>
        <v>2520.6319999999996</v>
      </c>
      <c r="AG64" s="116">
        <f>AG67*AG15</f>
        <v>670.64</v>
      </c>
      <c r="AH64" s="117">
        <f>AH67*AH15</f>
        <v>692.9</v>
      </c>
      <c r="AI64" s="117">
        <f>AI67*AI15</f>
        <v>717.08999999999992</v>
      </c>
      <c r="AJ64" s="119">
        <f>AJ67*AJ15</f>
        <v>722.4</v>
      </c>
      <c r="AK64" s="118">
        <f>AG64+AH64+AI64+AJ64</f>
        <v>2803.03</v>
      </c>
      <c r="AM64" s="116">
        <f>AM67*AM15</f>
        <v>716.32</v>
      </c>
      <c r="AN64" s="117">
        <f>AN67*AN15</f>
        <v>752.85</v>
      </c>
      <c r="AO64" s="117">
        <f>AO67*AO15</f>
        <v>816</v>
      </c>
      <c r="AP64" s="119">
        <f>AP67*AP15</f>
        <v>841.5</v>
      </c>
      <c r="AQ64" s="118">
        <f>AM64+AN64+AO64+AP64</f>
        <v>3126.67</v>
      </c>
      <c r="AS64" s="116">
        <f>AS67*AS15</f>
        <v>815.5</v>
      </c>
      <c r="AT64" s="117">
        <f>AT67*AT15</f>
        <v>834</v>
      </c>
      <c r="AU64" s="117">
        <f>AU67*AU15</f>
        <v>849.5</v>
      </c>
      <c r="AV64" s="119">
        <f>AV67*AV15</f>
        <v>840</v>
      </c>
      <c r="AW64" s="118">
        <f>AS64+AT64+AU64+AV64</f>
        <v>3339</v>
      </c>
      <c r="AY64" s="116">
        <f>AY67*AY15</f>
        <v>855.27</v>
      </c>
      <c r="AZ64" s="117">
        <f>AZ67*AZ15</f>
        <v>868.4</v>
      </c>
      <c r="BA64" s="117">
        <f>BA67*BA15</f>
        <v>879.84</v>
      </c>
      <c r="BB64" s="119">
        <f>BB67*BB15</f>
        <v>869.96</v>
      </c>
      <c r="BC64" s="118">
        <f>AY64+AZ64+BA64+BB64</f>
        <v>3473.4700000000003</v>
      </c>
      <c r="BE64" s="116">
        <f>BE67*BE15</f>
        <v>857.48</v>
      </c>
      <c r="BF64" s="117">
        <f>BF67*BF15</f>
        <v>861.12</v>
      </c>
      <c r="BG64" s="117">
        <f>BG67*BG15</f>
        <v>906.19800000000009</v>
      </c>
      <c r="BH64" s="119">
        <f>BH67*BH15</f>
        <v>883.51</v>
      </c>
      <c r="BI64" s="118">
        <f>BE64+BF64+BG64+BH64</f>
        <v>3508.308</v>
      </c>
      <c r="BK64" s="116">
        <f>BK67*BK15</f>
        <v>882.90000000000009</v>
      </c>
      <c r="BL64" s="117">
        <f>BL67*BL15</f>
        <v>909.60500000000002</v>
      </c>
      <c r="BM64" s="117">
        <f>BM67*BM15</f>
        <v>967.84499999999991</v>
      </c>
      <c r="BN64" s="119">
        <f>BN67*BN15</f>
        <v>983.09999999999991</v>
      </c>
      <c r="BO64" s="118">
        <f>BK64+BL64+BM64+BN64</f>
        <v>3743.45</v>
      </c>
      <c r="BQ64" s="116">
        <f>BQ67*BQ15</f>
        <v>986.60628595333662</v>
      </c>
      <c r="BR64" s="117">
        <f>BR67*BR15</f>
        <v>1023.2907577563151</v>
      </c>
      <c r="BS64" s="117">
        <f>BS67*BS15</f>
        <v>1097.1180458631495</v>
      </c>
      <c r="BT64" s="119">
        <f>BT67*BT15</f>
        <v>1096.1733136623122</v>
      </c>
      <c r="BU64" s="118">
        <f>BQ64+BR64+BS64+BT64</f>
        <v>4203.1884032351136</v>
      </c>
      <c r="BW64" s="116">
        <f>BW67*BW15</f>
        <v>1090.5835786626249</v>
      </c>
      <c r="BX64" s="117">
        <f>BX67*BX15</f>
        <v>1124.8832291857357</v>
      </c>
      <c r="BY64" s="117">
        <f>BY67*BY15</f>
        <v>1199.7072404673545</v>
      </c>
      <c r="BZ64" s="119">
        <f>BZ67*BZ15</f>
        <v>1196.8773955451265</v>
      </c>
      <c r="CA64" s="118">
        <f>BW64+BX64+BY64+BZ64</f>
        <v>4612.0514438608416</v>
      </c>
      <c r="CC64" s="116">
        <f>CC67*CC15</f>
        <v>1178.2805484706616</v>
      </c>
      <c r="CD64" s="117">
        <f>CD67*CD15</f>
        <v>1214.6065885354412</v>
      </c>
      <c r="CE64" s="117">
        <f>CE67*CE15</f>
        <v>1294.6279419641905</v>
      </c>
      <c r="CF64" s="119">
        <f>CF67*CF15</f>
        <v>1290.0707746625794</v>
      </c>
      <c r="CG64" s="118">
        <f>CC64+CD64+CE64+CF64</f>
        <v>4977.5858536328724</v>
      </c>
      <c r="CI64" s="116">
        <f>CI67*CI15</f>
        <v>1268.2072495189072</v>
      </c>
      <c r="CJ64" s="117">
        <f>CJ67*CJ15</f>
        <v>1306.1883997667123</v>
      </c>
      <c r="CK64" s="117">
        <f>CK67*CK15</f>
        <v>1391.8295593551488</v>
      </c>
      <c r="CL64" s="119">
        <f>CL67*CL15</f>
        <v>1386.5092044287794</v>
      </c>
      <c r="CM64" s="118">
        <f>CI64+CJ64+CK64+CL64</f>
        <v>5352.7344130695474</v>
      </c>
      <c r="CO64" s="116">
        <f>CO67*CO15</f>
        <v>1349.8088217115196</v>
      </c>
      <c r="CP64" s="117">
        <f>CP67*CP15</f>
        <v>1390.2135974477537</v>
      </c>
      <c r="CQ64" s="117">
        <f>CQ67*CQ15</f>
        <v>1480.9339042974839</v>
      </c>
      <c r="CR64" s="119">
        <f>CR67*CR15</f>
        <v>1474.0316446379361</v>
      </c>
      <c r="CS64" s="118">
        <f>CO64+CP64+CQ64+CR64</f>
        <v>5694.9879680946942</v>
      </c>
      <c r="CU64" s="116">
        <f>CU67*CU15</f>
        <v>1420.6117565996221</v>
      </c>
      <c r="CV64" s="117">
        <f>CV67*CV15</f>
        <v>1463.1188963892309</v>
      </c>
      <c r="CW64" s="117">
        <f>CW67*CW15</f>
        <v>1558.5786574121894</v>
      </c>
      <c r="CX64" s="119">
        <f>CX67*CX15</f>
        <v>1550.8731878377364</v>
      </c>
      <c r="CY64" s="118">
        <f>CU64+CV64+CW64+CX64</f>
        <v>5993.1824982387789</v>
      </c>
      <c r="DA64" s="116">
        <f>DA67*DA15</f>
        <v>1486.6928417418042</v>
      </c>
      <c r="DB64" s="117">
        <f>DB67*DB15</f>
        <v>1530.334029372116</v>
      </c>
      <c r="DC64" s="117">
        <f>DC67*DC15</f>
        <v>1629.2838765488791</v>
      </c>
      <c r="DD64" s="119">
        <f>DD67*DD15</f>
        <v>1621.2153135598858</v>
      </c>
      <c r="DE64" s="118">
        <f>DA64+DB64+DC64+DD64</f>
        <v>6267.5260612226848</v>
      </c>
      <c r="DG64" s="116">
        <f>DG67*DG15</f>
        <v>1547.058044593145</v>
      </c>
      <c r="DH64" s="117">
        <f>DH67*DH15</f>
        <v>1592.4619492827801</v>
      </c>
      <c r="DI64" s="117">
        <f>DI67*DI15</f>
        <v>1695.419070532942</v>
      </c>
      <c r="DJ64" s="119">
        <f>DJ67*DJ15</f>
        <v>1686.7549101048571</v>
      </c>
      <c r="DK64" s="118">
        <f>DG64+DH64+DI64+DJ64</f>
        <v>6521.6939745137242</v>
      </c>
    </row>
    <row r="65" spans="2:115" ht="15" x14ac:dyDescent="0.3">
      <c r="B65" s="40" t="s">
        <v>23</v>
      </c>
      <c r="C65" s="144" t="s">
        <v>35</v>
      </c>
      <c r="D65" s="107" t="s">
        <v>35</v>
      </c>
      <c r="E65" s="107" t="s">
        <v>35</v>
      </c>
      <c r="F65" s="107" t="s">
        <v>35</v>
      </c>
      <c r="G65" s="138" t="s">
        <v>35</v>
      </c>
      <c r="I65" s="151">
        <f>I64/C64-1</f>
        <v>2.7199999999999891E-2</v>
      </c>
      <c r="J65" s="133">
        <f>J64/D64-1</f>
        <v>7.8741027056874691E-2</v>
      </c>
      <c r="K65" s="133">
        <f>K64/E64-1</f>
        <v>0.12143628509719218</v>
      </c>
      <c r="L65" s="152">
        <f>L64/F64-1</f>
        <v>0.1481026145397919</v>
      </c>
      <c r="M65" s="153">
        <f>M64/G64-1</f>
        <v>9.4730883662494714E-2</v>
      </c>
      <c r="O65" s="151">
        <f>O64/I64-1</f>
        <v>0.19534379172229643</v>
      </c>
      <c r="P65" s="133">
        <f>P64/J64-1</f>
        <v>0.10757063882063878</v>
      </c>
      <c r="Q65" s="133">
        <f>Q64/K64-1</f>
        <v>0.16546294958832886</v>
      </c>
      <c r="R65" s="152">
        <f>R64/L64-1</f>
        <v>0.16733295259851522</v>
      </c>
      <c r="S65" s="153">
        <f>S64/M64-1</f>
        <v>0.15846922174719102</v>
      </c>
      <c r="U65" s="151">
        <v>0.19800000000000001</v>
      </c>
      <c r="V65" s="133">
        <v>0.23100000000000001</v>
      </c>
      <c r="W65" s="133">
        <v>0.127</v>
      </c>
      <c r="X65" s="152">
        <v>0.14399999999999999</v>
      </c>
      <c r="Y65" s="153">
        <v>0.17299999999999999</v>
      </c>
      <c r="AA65" s="151">
        <f>AA64/U64-1</f>
        <v>0.20159925878182405</v>
      </c>
      <c r="AB65" s="133">
        <f>AB64/V64-1</f>
        <v>0.1753303133257833</v>
      </c>
      <c r="AC65" s="133">
        <f>AC64/W64-1</f>
        <v>0.17585585585585584</v>
      </c>
      <c r="AD65" s="152">
        <f>AD64/X64-1</f>
        <v>0.1777904328018225</v>
      </c>
      <c r="AE65" s="153">
        <f>AE64/Y64-1</f>
        <v>0.18222972656066783</v>
      </c>
      <c r="AG65" s="151">
        <f>AG64/AA64-1</f>
        <v>0.12415978007610184</v>
      </c>
      <c r="AH65" s="133">
        <f>AH64/AB64-1</f>
        <v>0.11275273410525299</v>
      </c>
      <c r="AI65" s="133">
        <f>AI64/AC64-1</f>
        <v>0.12124500428427565</v>
      </c>
      <c r="AJ65" s="152">
        <f>AJ64/AD64-1</f>
        <v>9.1528865680301497E-2</v>
      </c>
      <c r="AK65" s="153">
        <f>AK64/AE64-1</f>
        <v>0.11203460084613726</v>
      </c>
      <c r="AM65" s="151">
        <f>AM64/AG64-1</f>
        <v>6.8114040319694702E-2</v>
      </c>
      <c r="AN65" s="133">
        <f>AN64/AH64-1</f>
        <v>8.652042141723193E-2</v>
      </c>
      <c r="AO65" s="133">
        <f>AO64/AI64-1</f>
        <v>0.13793247709492551</v>
      </c>
      <c r="AP65" s="152">
        <f>AP64/AJ64-1</f>
        <v>0.16486710963455153</v>
      </c>
      <c r="AQ65" s="153">
        <f>AQ64/AK64-1</f>
        <v>0.11546076923900195</v>
      </c>
      <c r="AS65" s="151">
        <f>AS64/AM64-1</f>
        <v>0.13845767254858155</v>
      </c>
      <c r="AT65" s="133">
        <f>AT64/AN64-1</f>
        <v>0.10779039649332534</v>
      </c>
      <c r="AU65" s="133">
        <f>AU64/AO64-1</f>
        <v>4.1053921568627416E-2</v>
      </c>
      <c r="AV65" s="152">
        <f>AV64/AP64-1</f>
        <v>-1.7825311942959443E-3</v>
      </c>
      <c r="AW65" s="153">
        <f>AW64/AQ64-1</f>
        <v>6.7909309265128615E-2</v>
      </c>
      <c r="AY65" s="151">
        <f>AY64/AS64-1</f>
        <v>4.8767627222562782E-2</v>
      </c>
      <c r="AZ65" s="133">
        <f>AZ64/AT64-1</f>
        <v>4.1247002398081545E-2</v>
      </c>
      <c r="BA65" s="133">
        <f>BA64/AU64-1</f>
        <v>3.5715126545026621E-2</v>
      </c>
      <c r="BB65" s="152">
        <f>BB64/AV64-1</f>
        <v>3.5666666666666735E-2</v>
      </c>
      <c r="BC65" s="153">
        <f>BC64/AW64-1</f>
        <v>4.0272536687631089E-2</v>
      </c>
      <c r="BE65" s="151">
        <f>BE64/AY64-1</f>
        <v>2.5839793281654533E-3</v>
      </c>
      <c r="BF65" s="133">
        <f>BF64/AZ64-1</f>
        <v>-8.3832335329341312E-3</v>
      </c>
      <c r="BG65" s="133">
        <f>BG64/BA64-1</f>
        <v>2.9957719585379294E-2</v>
      </c>
      <c r="BH65" s="152">
        <f>BH64/BB64-1</f>
        <v>1.5575428755345122E-2</v>
      </c>
      <c r="BI65" s="153">
        <f>BI64/BC64-1</f>
        <v>1.0029739712736685E-2</v>
      </c>
      <c r="BK65" s="151">
        <f>BK64/BE64-1</f>
        <v>2.9645006297523091E-2</v>
      </c>
      <c r="BL65" s="133">
        <f>BL64/BF64-1</f>
        <v>5.6304580081754096E-2</v>
      </c>
      <c r="BM65" s="133">
        <f>BM64/BG64-1</f>
        <v>6.8028179272079381E-2</v>
      </c>
      <c r="BN65" s="152">
        <f>BN64/BH64-1</f>
        <v>0.11272085205600391</v>
      </c>
      <c r="BO65" s="153">
        <f>BO64/BI64-1</f>
        <v>6.7024331957171279E-2</v>
      </c>
      <c r="BQ65" s="151">
        <f>BQ64/BK64-1</f>
        <v>0.1174609649488465</v>
      </c>
      <c r="BR65" s="133">
        <f>BR64/BL64-1</f>
        <v>0.12498365527488864</v>
      </c>
      <c r="BS65" s="133">
        <f>BS64/BM64-1</f>
        <v>0.13356792240818471</v>
      </c>
      <c r="BT65" s="152">
        <f>BT64/BN64-1</f>
        <v>0.11501710269790699</v>
      </c>
      <c r="BU65" s="153">
        <f>BU64/BO64-1</f>
        <v>0.12281141813971441</v>
      </c>
      <c r="BW65" s="151">
        <f>BW64/BQ64-1</f>
        <v>0.10538884070540577</v>
      </c>
      <c r="BX65" s="133">
        <f>BX64/BR64-1</f>
        <v>9.9280161243881393E-2</v>
      </c>
      <c r="BY65" s="133">
        <f>BY64/BS64-1</f>
        <v>9.3507890961262774E-2</v>
      </c>
      <c r="BZ65" s="152">
        <f>BZ64/BT64-1</f>
        <v>9.1868758915834459E-2</v>
      </c>
      <c r="CA65" s="153">
        <f>CA64/BU64-1</f>
        <v>9.7274497691094197E-2</v>
      </c>
      <c r="CC65" s="151">
        <f>CC64/BW64-1</f>
        <v>8.0412883087400688E-2</v>
      </c>
      <c r="CD65" s="133">
        <f>CD64/BX64-1</f>
        <v>7.9762376237623611E-2</v>
      </c>
      <c r="CE65" s="133">
        <f>CE64/BY64-1</f>
        <v>7.9119887165021163E-2</v>
      </c>
      <c r="CF65" s="152">
        <f>CF64/BZ64-1</f>
        <v>7.7863764044943995E-2</v>
      </c>
      <c r="CG65" s="153">
        <f>CG64/CA64-1</f>
        <v>7.9256360043120866E-2</v>
      </c>
      <c r="CI65" s="151">
        <f>CI64/CC64-1</f>
        <v>7.6320279720279771E-2</v>
      </c>
      <c r="CJ65" s="133">
        <f>CJ64/CD64-1</f>
        <v>7.5400390625000258E-2</v>
      </c>
      <c r="CK65" s="133">
        <f>CK64/CE64-1</f>
        <v>7.5080734966592289E-2</v>
      </c>
      <c r="CL65" s="152">
        <f>CL64/CF64-1</f>
        <v>7.4754371357202309E-2</v>
      </c>
      <c r="CM65" s="153">
        <f>CM64/CG64-1</f>
        <v>7.5367571844667358E-2</v>
      </c>
      <c r="CO65" s="151">
        <f>CO64/CI64-1</f>
        <v>6.434403542762257E-2</v>
      </c>
      <c r="CP65" s="133">
        <f>CP64/CJ64-1</f>
        <v>6.4328543796628779E-2</v>
      </c>
      <c r="CQ65" s="133">
        <f>CQ64/CK64-1</f>
        <v>6.4019580805295018E-2</v>
      </c>
      <c r="CR65" s="152">
        <f>CR64/CL64-1</f>
        <v>6.3124312431243279E-2</v>
      </c>
      <c r="CS65" s="153">
        <f>CS64/CM64-1</f>
        <v>6.3939947065088987E-2</v>
      </c>
      <c r="CU65" s="151">
        <f>CU64/CO64-1</f>
        <v>5.2454046639231811E-2</v>
      </c>
      <c r="CV65" s="133">
        <f>CV64/CP64-1</f>
        <v>5.2441796768008642E-2</v>
      </c>
      <c r="CW65" s="133">
        <f>CW64/CQ64-1</f>
        <v>5.2429587093245855E-2</v>
      </c>
      <c r="CX65" s="152">
        <f>CX64/CR64-1</f>
        <v>5.213018558951954E-2</v>
      </c>
      <c r="CY65" s="153">
        <f>CY64/CS64-1</f>
        <v>5.2360870964903494E-2</v>
      </c>
      <c r="DA65" s="151">
        <f>DA64/CU64-1</f>
        <v>4.6515935712339695E-2</v>
      </c>
      <c r="DB65" s="133">
        <f>DB64/CV64-1</f>
        <v>4.5939624694044001E-2</v>
      </c>
      <c r="DC65" s="133">
        <f>DC64/CW64-1</f>
        <v>4.536519142003792E-2</v>
      </c>
      <c r="DD65" s="152">
        <f>DD64/CX64-1</f>
        <v>4.5356465166711768E-2</v>
      </c>
      <c r="DE65" s="153">
        <f>DE64/CY64-1</f>
        <v>4.5775940089347822E-2</v>
      </c>
      <c r="DG65" s="151">
        <f>DG64/DA64-1</f>
        <v>4.0603681645912326E-2</v>
      </c>
      <c r="DH65" s="133">
        <f>DH64/DB64-1</f>
        <v>4.0597620335316442E-2</v>
      </c>
      <c r="DI65" s="133">
        <f>DI64/DC64-1</f>
        <v>4.0591572123176878E-2</v>
      </c>
      <c r="DJ65" s="152">
        <f>DJ64/DD64-1</f>
        <v>4.0426213592233307E-2</v>
      </c>
      <c r="DK65" s="153">
        <f>DK64/DE64-1</f>
        <v>4.0553148213229084E-2</v>
      </c>
    </row>
    <row r="66" spans="2:115" ht="15" x14ac:dyDescent="0.3">
      <c r="B66" s="40"/>
      <c r="C66" s="144"/>
      <c r="D66" s="107"/>
      <c r="E66" s="107"/>
      <c r="F66" s="107"/>
      <c r="G66" s="138"/>
      <c r="I66" s="144"/>
      <c r="J66" s="107"/>
      <c r="K66" s="107"/>
      <c r="L66" s="145"/>
      <c r="M66" s="138"/>
      <c r="O66" s="144"/>
      <c r="P66" s="107"/>
      <c r="Q66" s="107"/>
      <c r="R66" s="145"/>
      <c r="S66" s="138"/>
      <c r="U66" s="151"/>
      <c r="V66" s="133"/>
      <c r="W66" s="133"/>
      <c r="X66" s="152"/>
      <c r="Y66" s="153"/>
      <c r="AA66" s="144"/>
      <c r="AB66" s="107"/>
      <c r="AC66" s="107"/>
      <c r="AD66" s="145"/>
      <c r="AE66" s="138"/>
      <c r="AG66" s="144"/>
      <c r="AH66" s="107"/>
      <c r="AI66" s="107"/>
      <c r="AJ66" s="145"/>
      <c r="AK66" s="138"/>
      <c r="AM66" s="144"/>
      <c r="AN66" s="107"/>
      <c r="AO66" s="107"/>
      <c r="AP66" s="145"/>
      <c r="AQ66" s="138"/>
      <c r="AS66" s="144"/>
      <c r="AT66" s="107"/>
      <c r="AU66" s="107"/>
      <c r="AV66" s="145"/>
      <c r="AW66" s="138"/>
      <c r="AY66" s="144"/>
      <c r="AZ66" s="107"/>
      <c r="BA66" s="107"/>
      <c r="BB66" s="145"/>
      <c r="BC66" s="138"/>
      <c r="BE66" s="144"/>
      <c r="BF66" s="107"/>
      <c r="BG66" s="107"/>
      <c r="BH66" s="145"/>
      <c r="BI66" s="138"/>
      <c r="BK66" s="144"/>
      <c r="BL66" s="107"/>
      <c r="BM66" s="107"/>
      <c r="BN66" s="145"/>
      <c r="BO66" s="138"/>
      <c r="BQ66" s="144"/>
      <c r="BR66" s="107"/>
      <c r="BS66" s="107"/>
      <c r="BT66" s="145"/>
      <c r="BU66" s="138"/>
      <c r="BW66" s="144"/>
      <c r="BX66" s="107"/>
      <c r="BY66" s="107"/>
      <c r="BZ66" s="145"/>
      <c r="CA66" s="138"/>
      <c r="CC66" s="144"/>
      <c r="CD66" s="107"/>
      <c r="CE66" s="107"/>
      <c r="CF66" s="145"/>
      <c r="CG66" s="138"/>
      <c r="CI66" s="144"/>
      <c r="CJ66" s="107"/>
      <c r="CK66" s="107"/>
      <c r="CL66" s="145"/>
      <c r="CM66" s="138"/>
      <c r="CO66" s="144"/>
      <c r="CP66" s="107"/>
      <c r="CQ66" s="107"/>
      <c r="CR66" s="145"/>
      <c r="CS66" s="138"/>
      <c r="CU66" s="144"/>
      <c r="CV66" s="107"/>
      <c r="CW66" s="107"/>
      <c r="CX66" s="145"/>
      <c r="CY66" s="138"/>
      <c r="DA66" s="144"/>
      <c r="DB66" s="107"/>
      <c r="DC66" s="107"/>
      <c r="DD66" s="145"/>
      <c r="DE66" s="138"/>
      <c r="DG66" s="144"/>
      <c r="DH66" s="107"/>
      <c r="DI66" s="107"/>
      <c r="DJ66" s="145"/>
      <c r="DK66" s="138"/>
    </row>
    <row r="67" spans="2:115" ht="15.75" thickBot="1" x14ac:dyDescent="0.35">
      <c r="B67" s="76" t="s">
        <v>51</v>
      </c>
      <c r="C67" s="123">
        <f>C20</f>
        <v>1750</v>
      </c>
      <c r="D67" s="124">
        <f>D20</f>
        <v>1811</v>
      </c>
      <c r="E67" s="124">
        <f>E20</f>
        <v>1852</v>
      </c>
      <c r="F67" s="124">
        <f>F20</f>
        <v>1743</v>
      </c>
      <c r="G67" s="121">
        <f>G20</f>
        <v>7156</v>
      </c>
      <c r="I67" s="123">
        <f>I20</f>
        <v>1712</v>
      </c>
      <c r="J67" s="124">
        <f>J20</f>
        <v>1776</v>
      </c>
      <c r="K67" s="124">
        <f>K20</f>
        <v>1806</v>
      </c>
      <c r="L67" s="125">
        <f>L20</f>
        <v>1751</v>
      </c>
      <c r="M67" s="121">
        <f>M20</f>
        <v>7045</v>
      </c>
      <c r="O67" s="123">
        <f>O20</f>
        <v>1719</v>
      </c>
      <c r="P67" s="124">
        <f>P20</f>
        <v>1731</v>
      </c>
      <c r="Q67" s="124">
        <f>Q20</f>
        <v>1793</v>
      </c>
      <c r="R67" s="125">
        <f>R20</f>
        <v>1752</v>
      </c>
      <c r="S67" s="121">
        <f>S20</f>
        <v>6995</v>
      </c>
      <c r="U67" s="123">
        <f>U20</f>
        <v>1712</v>
      </c>
      <c r="V67" s="124">
        <f>V20</f>
        <v>1766</v>
      </c>
      <c r="W67" s="124">
        <f>W20</f>
        <v>1813</v>
      </c>
      <c r="X67" s="125">
        <f>X20</f>
        <v>1756</v>
      </c>
      <c r="Y67" s="121">
        <f>Y20</f>
        <v>7047</v>
      </c>
      <c r="AA67" s="123">
        <f>AA20</f>
        <v>1690</v>
      </c>
      <c r="AB67" s="124">
        <f>AB20</f>
        <v>1706</v>
      </c>
      <c r="AC67" s="124">
        <f>AC20</f>
        <v>1757</v>
      </c>
      <c r="AD67" s="125">
        <f>AD20</f>
        <v>1728</v>
      </c>
      <c r="AE67" s="121">
        <f>AE20</f>
        <v>6881</v>
      </c>
      <c r="AG67" s="123">
        <f>AG20</f>
        <v>1660</v>
      </c>
      <c r="AH67" s="124">
        <f>AH20</f>
        <v>1690</v>
      </c>
      <c r="AI67" s="124">
        <f>AI20</f>
        <v>1749</v>
      </c>
      <c r="AJ67" s="125">
        <f>AJ20</f>
        <v>1680</v>
      </c>
      <c r="AK67" s="121">
        <f>AK20</f>
        <v>6779</v>
      </c>
      <c r="AM67" s="123">
        <f>AM20</f>
        <v>1628</v>
      </c>
      <c r="AN67" s="124">
        <f>AN20</f>
        <v>1673</v>
      </c>
      <c r="AO67" s="124">
        <f>AO20</f>
        <v>1700</v>
      </c>
      <c r="AP67" s="125">
        <f>AP20</f>
        <v>1650</v>
      </c>
      <c r="AQ67" s="121">
        <f>AQ20</f>
        <v>6651</v>
      </c>
      <c r="AS67" s="123">
        <f>AS20</f>
        <v>1631</v>
      </c>
      <c r="AT67" s="124">
        <f>AT20</f>
        <v>1668</v>
      </c>
      <c r="AU67" s="124">
        <f>AU20</f>
        <v>1699</v>
      </c>
      <c r="AV67" s="125">
        <f>AV20</f>
        <v>1680</v>
      </c>
      <c r="AW67" s="121">
        <f>AW20</f>
        <v>6678</v>
      </c>
      <c r="AY67" s="123">
        <f>AY20</f>
        <v>1677</v>
      </c>
      <c r="AZ67" s="124">
        <f>AZ20</f>
        <v>1670</v>
      </c>
      <c r="BA67" s="124">
        <f>BA20</f>
        <v>1692</v>
      </c>
      <c r="BB67" s="125">
        <f>BB20</f>
        <v>1673</v>
      </c>
      <c r="BC67" s="121">
        <f>BC20</f>
        <v>6712</v>
      </c>
      <c r="BE67" s="123">
        <f>BE20</f>
        <v>1649</v>
      </c>
      <c r="BF67" s="124">
        <f>BF20</f>
        <v>1656</v>
      </c>
      <c r="BG67" s="124">
        <f>BG20</f>
        <v>1697</v>
      </c>
      <c r="BH67" s="125">
        <f>BH20</f>
        <v>1667</v>
      </c>
      <c r="BI67" s="121">
        <f>BI20</f>
        <v>6669</v>
      </c>
      <c r="BK67" s="123">
        <f>BK20</f>
        <v>1635</v>
      </c>
      <c r="BL67" s="124">
        <f>BL20</f>
        <v>1669</v>
      </c>
      <c r="BM67" s="124">
        <f>BM20</f>
        <v>1713</v>
      </c>
      <c r="BN67" s="125">
        <f>BN20</f>
        <v>1695</v>
      </c>
      <c r="BO67" s="121">
        <f>BO20</f>
        <v>6712</v>
      </c>
      <c r="BQ67" s="123">
        <f>BQ20</f>
        <v>1672.1284211497921</v>
      </c>
      <c r="BR67" s="124">
        <f>BR20</f>
        <v>1709.0876316419019</v>
      </c>
      <c r="BS67" s="124">
        <f>BS20</f>
        <v>1753.6677308312137</v>
      </c>
      <c r="BT67" s="125">
        <f>BT20</f>
        <v>1733.3825714460827</v>
      </c>
      <c r="BU67" s="121">
        <f>BU20</f>
        <v>6868.2663550689904</v>
      </c>
      <c r="BW67" s="123">
        <f>BW20</f>
        <v>1705.1792432768</v>
      </c>
      <c r="BX67" s="124">
        <f>BX20</f>
        <v>1742.6483817999629</v>
      </c>
      <c r="BY67" s="124">
        <f>BY20</f>
        <v>1790.7573811825434</v>
      </c>
      <c r="BZ67" s="125">
        <f>BZ20</f>
        <v>1769.6567072636853</v>
      </c>
      <c r="CA67" s="121">
        <f>CA20</f>
        <v>7008.2417135229916</v>
      </c>
      <c r="CC67" s="123">
        <f>CC20</f>
        <v>1736.3042866633775</v>
      </c>
      <c r="CD67" s="124">
        <f>CD20</f>
        <v>1775.1703579095868</v>
      </c>
      <c r="CE67" s="124">
        <f>CE20</f>
        <v>1827.6367921333224</v>
      </c>
      <c r="CF67" s="125">
        <f>CF20</f>
        <v>1806.0017396930709</v>
      </c>
      <c r="CG67" s="121">
        <f>CG20</f>
        <v>7145.1131763993571</v>
      </c>
      <c r="CI67" s="123">
        <f>CI20</f>
        <v>1770.1273591190054</v>
      </c>
      <c r="CJ67" s="124">
        <f>CJ20</f>
        <v>1804.3018617090197</v>
      </c>
      <c r="CK67" s="124">
        <f>CK20</f>
        <v>1865.3171094185338</v>
      </c>
      <c r="CL67" s="125">
        <f>CL20</f>
        <v>1844.6868314586886</v>
      </c>
      <c r="CM67" s="121">
        <f>CM20</f>
        <v>7284.4331617052467</v>
      </c>
      <c r="CO67" s="123">
        <f>CO20</f>
        <v>1800.4741778001437</v>
      </c>
      <c r="CP67" s="124">
        <f>CP20</f>
        <v>1837.454520935102</v>
      </c>
      <c r="CQ67" s="124">
        <f>CQ20</f>
        <v>1901.1652043835245</v>
      </c>
      <c r="CR67" s="125">
        <f>CR20</f>
        <v>1880.3328785172203</v>
      </c>
      <c r="CS67" s="121">
        <f>CS20</f>
        <v>7419.4267816359898</v>
      </c>
      <c r="CU67" s="123">
        <f>CU20</f>
        <v>1824.5649376035155</v>
      </c>
      <c r="CV67" s="124">
        <f>CV20</f>
        <v>1863.9979266111022</v>
      </c>
      <c r="CW67" s="124">
        <f>CW20</f>
        <v>1935.2435662481287</v>
      </c>
      <c r="CX67" s="125">
        <f>CX20</f>
        <v>1914.9485901534581</v>
      </c>
      <c r="CY67" s="121">
        <f>CY20</f>
        <v>7538.7550206162041</v>
      </c>
      <c r="DA67" s="123">
        <f>DA20</f>
        <v>1848.4636712322047</v>
      </c>
      <c r="DB67" s="124">
        <f>DB20</f>
        <v>1889.1540135567304</v>
      </c>
      <c r="DC67" s="124">
        <f>DC20</f>
        <v>1966.2450517686661</v>
      </c>
      <c r="DD67" s="125">
        <f>DD20</f>
        <v>1946.9113061568389</v>
      </c>
      <c r="DE67" s="121">
        <f>DE20</f>
        <v>7650.7740427144399</v>
      </c>
      <c r="DG67" s="123">
        <f>DG20</f>
        <v>1870.7773207294035</v>
      </c>
      <c r="DH67" s="124">
        <f>DH20</f>
        <v>1913.5388838600036</v>
      </c>
      <c r="DI67" s="124">
        <f>DI20</f>
        <v>1996.9346971697769</v>
      </c>
      <c r="DJ67" s="125">
        <f>DJ20</f>
        <v>1978.0314766880447</v>
      </c>
      <c r="DK67" s="121">
        <f>DK20</f>
        <v>7759.2823784472284</v>
      </c>
    </row>
    <row r="71" spans="2:115" ht="15" x14ac:dyDescent="0.3">
      <c r="G71" s="2" t="s">
        <v>63</v>
      </c>
      <c r="H71" s="2"/>
      <c r="I71" s="2"/>
      <c r="J71" s="2"/>
      <c r="K71" s="1">
        <v>66</v>
      </c>
      <c r="L71" s="1">
        <v>67</v>
      </c>
      <c r="M71" s="1"/>
      <c r="N71" s="1"/>
      <c r="O71" s="1">
        <v>67</v>
      </c>
      <c r="P71" s="1">
        <v>69</v>
      </c>
      <c r="Q71" s="1">
        <v>71</v>
      </c>
      <c r="R71" s="1">
        <v>73</v>
      </c>
      <c r="U71" s="1">
        <v>74</v>
      </c>
      <c r="V71" s="103">
        <v>78</v>
      </c>
      <c r="W71" s="103">
        <v>85</v>
      </c>
      <c r="X71" s="103">
        <v>90</v>
      </c>
      <c r="Y71" s="430" t="s">
        <v>4</v>
      </c>
      <c r="Z71" s="431">
        <v>3.5000000000000003E-2</v>
      </c>
      <c r="AA71" s="103">
        <v>86</v>
      </c>
      <c r="AB71" s="103">
        <v>87</v>
      </c>
      <c r="AC71" s="103">
        <v>89</v>
      </c>
      <c r="AD71" s="103">
        <v>87</v>
      </c>
      <c r="AG71" s="103">
        <v>85</v>
      </c>
      <c r="AY71" s="479" t="s">
        <v>80</v>
      </c>
      <c r="AZ71">
        <v>2622</v>
      </c>
    </row>
    <row r="72" spans="2:115" ht="15" x14ac:dyDescent="0.3">
      <c r="G72" s="2" t="s">
        <v>64</v>
      </c>
      <c r="H72" s="2"/>
      <c r="I72" s="2"/>
      <c r="J72" s="2"/>
      <c r="K72" s="1">
        <f>K71*1.4</f>
        <v>92.399999999999991</v>
      </c>
      <c r="L72" s="1">
        <f>L71*1.4</f>
        <v>93.8</v>
      </c>
      <c r="M72" s="1"/>
      <c r="N72" s="1"/>
      <c r="O72" s="1">
        <f>O71*1.4</f>
        <v>93.8</v>
      </c>
      <c r="P72" s="1">
        <f>P71*1.4</f>
        <v>96.6</v>
      </c>
      <c r="Q72" s="1">
        <f>Q71*1.4</f>
        <v>99.399999999999991</v>
      </c>
      <c r="R72" s="1">
        <f>R71*1.4</f>
        <v>102.19999999999999</v>
      </c>
      <c r="U72" s="1">
        <f>U71*1.4</f>
        <v>103.6</v>
      </c>
      <c r="V72" s="1">
        <f>V71*1.4</f>
        <v>109.19999999999999</v>
      </c>
      <c r="W72" s="1">
        <f>W71*1.4</f>
        <v>118.99999999999999</v>
      </c>
      <c r="X72" s="1">
        <f>X71*1.4</f>
        <v>125.99999999999999</v>
      </c>
      <c r="Y72" s="430" t="s">
        <v>5</v>
      </c>
      <c r="Z72" s="431">
        <v>0.04</v>
      </c>
      <c r="AA72" s="1">
        <f>AA71*1.4</f>
        <v>120.39999999999999</v>
      </c>
      <c r="AB72" s="1">
        <f>AB71*1.4</f>
        <v>121.8</v>
      </c>
      <c r="AC72" s="1">
        <f>AC71*1.4</f>
        <v>124.6</v>
      </c>
      <c r="AD72" s="1">
        <f>AD71*1.4</f>
        <v>121.8</v>
      </c>
      <c r="AG72" s="1">
        <f>AG71*1.4</f>
        <v>118.99999999999999</v>
      </c>
      <c r="AY72" s="479" t="s">
        <v>341</v>
      </c>
      <c r="AZ72">
        <v>1749</v>
      </c>
    </row>
    <row r="73" spans="2:115" ht="15" x14ac:dyDescent="0.3">
      <c r="G73" s="2"/>
      <c r="H73" s="2"/>
      <c r="I73" s="2"/>
      <c r="J73" s="2"/>
      <c r="K73" s="2"/>
      <c r="L73" s="1"/>
      <c r="M73" s="1"/>
      <c r="N73" s="1"/>
      <c r="O73" s="1"/>
      <c r="P73" s="1"/>
      <c r="Q73" s="1"/>
      <c r="R73" s="1"/>
      <c r="S73" s="1"/>
      <c r="U73" s="1"/>
      <c r="Y73" s="430" t="s">
        <v>80</v>
      </c>
      <c r="Z73" s="431">
        <f>Z71+Z72</f>
        <v>7.5000000000000011E-2</v>
      </c>
      <c r="AB73" s="429"/>
      <c r="AY73">
        <v>1018</v>
      </c>
      <c r="AZ73">
        <f>AZ71-AZ72</f>
        <v>873</v>
      </c>
    </row>
    <row r="74" spans="2:115" ht="15" x14ac:dyDescent="0.3">
      <c r="G74" s="2" t="s">
        <v>65</v>
      </c>
      <c r="H74" s="2"/>
      <c r="I74" s="2"/>
      <c r="J74" s="2"/>
      <c r="K74" s="1">
        <f>K72*K7*3/1000</f>
        <v>10699.781399999998</v>
      </c>
      <c r="L74" s="1">
        <f>L72*L7*3/1000</f>
        <v>10960.670699999999</v>
      </c>
      <c r="M74" s="1"/>
      <c r="N74" s="1"/>
      <c r="O74" s="1">
        <f>O72*O7*3/1000</f>
        <v>10986.559499999999</v>
      </c>
      <c r="P74" s="1">
        <f>P72*P7*3/1000</f>
        <v>11314.806299999998</v>
      </c>
      <c r="Q74" s="1">
        <f>Q72*Q7*3/1000</f>
        <v>11694.360299999998</v>
      </c>
      <c r="R74" s="1">
        <f>R72*R7*3/1000</f>
        <v>12028.837799999999</v>
      </c>
      <c r="S74" s="1"/>
      <c r="U74" s="1">
        <f>U72*U7*3/1000</f>
        <v>12071.472</v>
      </c>
      <c r="V74" s="1">
        <f>V72*V7*3/1000</f>
        <v>12370.175999999998</v>
      </c>
      <c r="W74" s="1">
        <f>W72*W7*3/1000</f>
        <v>12826.652999999997</v>
      </c>
      <c r="X74" s="1">
        <f>X72*X7*3/1000</f>
        <v>13149.863999999996</v>
      </c>
      <c r="AA74" s="1">
        <f>AA72*AA7*3/1000</f>
        <v>12509.800799999999</v>
      </c>
      <c r="AB74" s="1">
        <f>AB72*AB7*3/1000</f>
        <v>12622.9257</v>
      </c>
      <c r="AC74" s="1">
        <f>AC72*AC7*3/1000</f>
        <v>12974.971799999999</v>
      </c>
      <c r="AD74" s="1">
        <f>AD72*AD7*3/1000</f>
        <v>12845.271600000002</v>
      </c>
      <c r="AG74" s="1">
        <f>AG72*AG7*3/1000</f>
        <v>12584.785499999996</v>
      </c>
      <c r="AZ74">
        <f>AZ73/AY73-1</f>
        <v>-0.14243614931237725</v>
      </c>
    </row>
    <row r="75" spans="2:115" ht="15" x14ac:dyDescent="0.3">
      <c r="G75" s="2" t="s">
        <v>66</v>
      </c>
      <c r="H75" s="2"/>
      <c r="I75" s="2"/>
      <c r="J75" s="2"/>
      <c r="K75" s="2"/>
      <c r="L75" s="1"/>
      <c r="M75" s="1"/>
      <c r="N75" s="1"/>
      <c r="O75" s="97"/>
      <c r="P75" s="97"/>
      <c r="Q75" s="97">
        <f>Q74/K74-1</f>
        <v>9.2953198090570455E-2</v>
      </c>
      <c r="R75" s="97">
        <f>R74/L74-1</f>
        <v>9.7454538069463359E-2</v>
      </c>
      <c r="S75" s="97"/>
      <c r="U75" s="97">
        <f>U74/O74-1</f>
        <v>9.8749066984982869E-2</v>
      </c>
      <c r="V75" s="97">
        <f>V74/P74-1</f>
        <v>9.3273333366740818E-2</v>
      </c>
      <c r="W75" s="97">
        <f>W74/Q74-1</f>
        <v>9.6823825412664766E-2</v>
      </c>
      <c r="X75" s="97">
        <f>X74/R74-1</f>
        <v>9.3194888703212575E-2</v>
      </c>
      <c r="AA75" s="97">
        <f>AA74/U74-1</f>
        <v>3.6311130904333799E-2</v>
      </c>
      <c r="AB75" s="97">
        <f>AB74/V74-1</f>
        <v>2.0432183018253003E-2</v>
      </c>
      <c r="AC75" s="97">
        <f>AC74/W74-1</f>
        <v>1.1563328328910272E-2</v>
      </c>
      <c r="AD75" s="97">
        <f>AD74/X74-1</f>
        <v>-2.3163159710244519E-2</v>
      </c>
      <c r="AG75" s="97">
        <f>AG74/AA74-1</f>
        <v>5.994076260590564E-3</v>
      </c>
    </row>
    <row r="76" spans="2:115" ht="15" x14ac:dyDescent="0.3">
      <c r="G76" s="2"/>
      <c r="H76" s="2"/>
      <c r="I76" s="2"/>
      <c r="J76" s="2"/>
      <c r="K76" s="2"/>
      <c r="L76" s="1"/>
      <c r="M76" s="1"/>
      <c r="N76" s="1"/>
      <c r="O76" s="1"/>
      <c r="P76" s="1"/>
      <c r="Q76" s="1"/>
      <c r="R76" s="1"/>
      <c r="S76" s="1"/>
      <c r="U76" s="1"/>
    </row>
    <row r="77" spans="2:115" ht="15" x14ac:dyDescent="0.3">
      <c r="G77" s="2" t="s">
        <v>67</v>
      </c>
      <c r="H77" s="2"/>
      <c r="I77" s="2"/>
      <c r="J77" s="2"/>
      <c r="K77" s="1">
        <f>100*K10/K72</f>
        <v>12.996714119785663</v>
      </c>
      <c r="L77" s="1">
        <f>100*L10/L72</f>
        <v>12.141227817381651</v>
      </c>
      <c r="M77" s="1"/>
      <c r="N77" s="1"/>
      <c r="O77" s="1">
        <f>100*O10/O72</f>
        <v>11.734792862133045</v>
      </c>
      <c r="P77" s="1">
        <f>100*P10/P72</f>
        <v>11.47390388821769</v>
      </c>
      <c r="Q77" s="1">
        <f>100*Q10/Q72</f>
        <v>11.19248908381932</v>
      </c>
      <c r="R77" s="1">
        <f>100*R10/R72</f>
        <v>10.486798649824676</v>
      </c>
      <c r="S77" s="1"/>
      <c r="U77" s="1">
        <f>100*U10/U72</f>
        <v>10.069360223840144</v>
      </c>
      <c r="V77" s="1">
        <f>100*V10/V72</f>
        <v>9.9933905548312332</v>
      </c>
      <c r="W77" s="1">
        <f>100*W10/W72</f>
        <v>9.8942413114317507</v>
      </c>
      <c r="X77" s="1">
        <f>100*X10/X72</f>
        <v>9.0805501866787388</v>
      </c>
      <c r="AA77" s="1">
        <f>100*AA10/AA72</f>
        <v>8.7405868205351442</v>
      </c>
      <c r="AB77" s="1">
        <f>100*AB10/AB72</f>
        <v>8.5820833121120259</v>
      </c>
      <c r="AC77" s="1">
        <f>100*AC10/AC72</f>
        <v>8.6123655390141209</v>
      </c>
      <c r="AD77" s="1">
        <f>100*AD10/AD72</f>
        <v>8.3001436886706212</v>
      </c>
      <c r="AG77" s="1">
        <f>100*AG10/AG72</f>
        <v>7.8615563213214879</v>
      </c>
    </row>
    <row r="78" spans="2:115" ht="15" x14ac:dyDescent="0.3">
      <c r="G78" s="2" t="s">
        <v>68</v>
      </c>
      <c r="H78" s="2"/>
      <c r="I78" s="2"/>
      <c r="J78" s="2"/>
      <c r="K78" s="2"/>
      <c r="L78" s="1"/>
      <c r="M78" s="1"/>
      <c r="N78" s="1"/>
      <c r="O78" s="1"/>
      <c r="P78" s="1"/>
      <c r="Q78" s="97">
        <f>Q77/K77-1</f>
        <v>-0.13882162978561374</v>
      </c>
      <c r="R78" s="97">
        <f>R77/L77-1</f>
        <v>-0.13626539197200938</v>
      </c>
      <c r="S78" s="1"/>
      <c r="U78" s="97">
        <f>U77/O77-1</f>
        <v>-0.14192262768157404</v>
      </c>
      <c r="V78" s="97">
        <f>V77/P77-1</f>
        <v>-0.1290330952577321</v>
      </c>
      <c r="W78" s="97">
        <f>W77/Q77-1</f>
        <v>-0.11599276645839318</v>
      </c>
      <c r="X78" s="97">
        <f>X77/R77-1</f>
        <v>-0.13409702141744162</v>
      </c>
      <c r="AA78" s="97">
        <f>AA77/U77-1</f>
        <v>-0.13196204860751781</v>
      </c>
      <c r="AB78" s="97">
        <f>AB77/V77-1</f>
        <v>-0.14122406554369282</v>
      </c>
      <c r="AC78" s="97">
        <f>AC77/W77-1</f>
        <v>-0.12955776315426604</v>
      </c>
      <c r="AD78" s="97">
        <f>AD77/X77-1</f>
        <v>-8.594264465967949E-2</v>
      </c>
      <c r="AG78" s="97">
        <f>AG77/AA77-1</f>
        <v>-0.1005688196069926</v>
      </c>
    </row>
    <row r="79" spans="2:115" x14ac:dyDescent="0.2">
      <c r="AA79" s="103"/>
      <c r="AB79" s="103"/>
      <c r="AG79" s="103"/>
    </row>
    <row r="80" spans="2:115" x14ac:dyDescent="0.2">
      <c r="G80" s="474" t="s">
        <v>395</v>
      </c>
      <c r="Q80" s="245">
        <f>-Q75/Q78</f>
        <v>0.66958728430231484</v>
      </c>
      <c r="R80" s="245">
        <f>-R75/R78</f>
        <v>0.71518187163386093</v>
      </c>
      <c r="U80" s="245">
        <f>-U75/U78</f>
        <v>0.69579508636594645</v>
      </c>
      <c r="V80" s="245">
        <f>-V75/V78</f>
        <v>0.72286364347406884</v>
      </c>
      <c r="W80" s="245">
        <f>-W75/W78</f>
        <v>0.83474020293666895</v>
      </c>
      <c r="X80" s="245">
        <f>-X75/X78</f>
        <v>0.6949810496767006</v>
      </c>
      <c r="AA80" s="245">
        <f>-AA75/AA78</f>
        <v>0.27516343742381982</v>
      </c>
      <c r="AB80" s="245">
        <f>-AB75/AB78</f>
        <v>0.14467918721637113</v>
      </c>
      <c r="AC80" s="245">
        <f>-AC75/AC78</f>
        <v>8.9252299880646077E-2</v>
      </c>
      <c r="AD80" s="245">
        <f>-AD75/AD78</f>
        <v>-0.26951881457648064</v>
      </c>
      <c r="AG80" s="245">
        <f>-AG75/AG78</f>
        <v>5.9601736244041519E-2</v>
      </c>
    </row>
  </sheetData>
  <mergeCells count="19">
    <mergeCell ref="CI2:CM2"/>
    <mergeCell ref="CO2:CS2"/>
    <mergeCell ref="CU2:CY2"/>
    <mergeCell ref="DA2:DE2"/>
    <mergeCell ref="DG2:DK2"/>
    <mergeCell ref="BW2:CA2"/>
    <mergeCell ref="CC2:CG2"/>
    <mergeCell ref="BQ2:BU2"/>
    <mergeCell ref="C2:G2"/>
    <mergeCell ref="I2:M2"/>
    <mergeCell ref="O2:S2"/>
    <mergeCell ref="U2:Y2"/>
    <mergeCell ref="AA2:AE2"/>
    <mergeCell ref="AG2:AK2"/>
    <mergeCell ref="AM2:AQ2"/>
    <mergeCell ref="AS2:AW2"/>
    <mergeCell ref="AY2:BC2"/>
    <mergeCell ref="BE2:BI2"/>
    <mergeCell ref="BK2:BO2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T316"/>
  <sheetViews>
    <sheetView zoomScale="70" zoomScaleNormal="70" workbookViewId="0">
      <pane xSplit="2" ySplit="3" topLeftCell="AP243" activePane="bottomRight" state="frozen"/>
      <selection pane="topRight" activeCell="C1" sqref="C1"/>
      <selection pane="bottomLeft" activeCell="A4" sqref="A4"/>
      <selection pane="bottomRight" sqref="A1:XFD1048576"/>
    </sheetView>
  </sheetViews>
  <sheetFormatPr defaultRowHeight="12.75" x14ac:dyDescent="0.2"/>
  <cols>
    <col min="2" max="2" width="34" customWidth="1"/>
    <col min="4" max="8" width="9.42578125" bestFit="1" customWidth="1"/>
    <col min="10" max="14" width="9.42578125" bestFit="1" customWidth="1"/>
    <col min="16" max="20" width="9.42578125" bestFit="1" customWidth="1"/>
    <col min="21" max="24" width="9.5703125" bestFit="1" customWidth="1"/>
    <col min="25" max="25" width="9.42578125" bestFit="1" customWidth="1"/>
    <col min="26" max="26" width="9.5703125" bestFit="1" customWidth="1"/>
    <col min="28" max="28" width="9.5703125" bestFit="1" customWidth="1"/>
    <col min="29" max="32" width="9.28515625" bestFit="1" customWidth="1"/>
    <col min="34" max="37" width="9.28515625" bestFit="1" customWidth="1"/>
    <col min="38" max="38" width="9.42578125" bestFit="1" customWidth="1"/>
    <col min="40" max="44" width="9.28515625" bestFit="1" customWidth="1"/>
    <col min="46" max="49" width="9.28515625" bestFit="1" customWidth="1"/>
    <col min="50" max="50" width="9.42578125" bestFit="1" customWidth="1"/>
    <col min="52" max="56" width="9.28515625" bestFit="1" customWidth="1"/>
    <col min="57" max="57" width="9.42578125" bestFit="1" customWidth="1"/>
  </cols>
  <sheetData>
    <row r="1" spans="2:98" s="1" customFormat="1" ht="15.75" thickBot="1" x14ac:dyDescent="0.35"/>
    <row r="2" spans="2:98" s="392" customFormat="1" ht="15.75" thickBot="1" x14ac:dyDescent="0.35">
      <c r="B2" s="459" t="s">
        <v>379</v>
      </c>
      <c r="D2" s="715">
        <v>2010</v>
      </c>
      <c r="E2" s="716"/>
      <c r="F2" s="716"/>
      <c r="G2" s="717"/>
      <c r="J2" s="715">
        <v>2011</v>
      </c>
      <c r="K2" s="716"/>
      <c r="L2" s="716"/>
      <c r="M2" s="717"/>
      <c r="P2" s="715">
        <v>2012</v>
      </c>
      <c r="Q2" s="716"/>
      <c r="R2" s="716"/>
      <c r="S2" s="717"/>
      <c r="V2" s="715">
        <v>2013</v>
      </c>
      <c r="W2" s="716"/>
      <c r="X2" s="716"/>
      <c r="Y2" s="717"/>
      <c r="AB2" s="715">
        <v>2014</v>
      </c>
      <c r="AC2" s="716"/>
      <c r="AD2" s="716"/>
      <c r="AE2" s="717"/>
      <c r="AH2" s="715">
        <v>2015</v>
      </c>
      <c r="AI2" s="716"/>
      <c r="AJ2" s="716"/>
      <c r="AK2" s="717"/>
      <c r="AN2" s="715">
        <v>2016</v>
      </c>
      <c r="AO2" s="716"/>
      <c r="AP2" s="716"/>
      <c r="AQ2" s="717"/>
      <c r="AT2" s="715">
        <v>2017</v>
      </c>
      <c r="AU2" s="716"/>
      <c r="AV2" s="716"/>
      <c r="AW2" s="717"/>
      <c r="AZ2" s="715">
        <v>2018</v>
      </c>
      <c r="BA2" s="716"/>
      <c r="BB2" s="716"/>
      <c r="BC2" s="717"/>
      <c r="BF2" s="715">
        <v>2019</v>
      </c>
      <c r="BG2" s="716"/>
      <c r="BH2" s="716"/>
      <c r="BI2" s="717"/>
      <c r="BL2" s="715">
        <v>2020</v>
      </c>
      <c r="BM2" s="716"/>
      <c r="BN2" s="716"/>
      <c r="BO2" s="717"/>
      <c r="BR2" s="715">
        <v>2021</v>
      </c>
      <c r="BS2" s="716"/>
      <c r="BT2" s="716"/>
      <c r="BU2" s="717"/>
      <c r="BX2" s="715">
        <v>2022</v>
      </c>
      <c r="BY2" s="716"/>
      <c r="BZ2" s="716"/>
      <c r="CA2" s="717"/>
      <c r="CD2" s="715">
        <v>2023</v>
      </c>
      <c r="CE2" s="716"/>
      <c r="CF2" s="716"/>
      <c r="CG2" s="717"/>
      <c r="CJ2" s="715">
        <v>2024</v>
      </c>
      <c r="CK2" s="716"/>
      <c r="CL2" s="716"/>
      <c r="CM2" s="717"/>
      <c r="CP2" s="715">
        <v>2025</v>
      </c>
      <c r="CQ2" s="716"/>
      <c r="CR2" s="716"/>
      <c r="CS2" s="717"/>
    </row>
    <row r="3" spans="2:98" s="392" customFormat="1" ht="15.75" thickBot="1" x14ac:dyDescent="0.35">
      <c r="D3" s="393" t="s">
        <v>20</v>
      </c>
      <c r="E3" s="394" t="s">
        <v>19</v>
      </c>
      <c r="F3" s="394" t="s">
        <v>22</v>
      </c>
      <c r="G3" s="395" t="s">
        <v>21</v>
      </c>
      <c r="H3" s="396" t="s">
        <v>39</v>
      </c>
      <c r="J3" s="393" t="s">
        <v>20</v>
      </c>
      <c r="K3" s="394" t="s">
        <v>19</v>
      </c>
      <c r="L3" s="394" t="s">
        <v>22</v>
      </c>
      <c r="M3" s="395" t="s">
        <v>21</v>
      </c>
      <c r="N3" s="396" t="s">
        <v>39</v>
      </c>
      <c r="P3" s="393" t="s">
        <v>20</v>
      </c>
      <c r="Q3" s="394" t="s">
        <v>19</v>
      </c>
      <c r="R3" s="394" t="s">
        <v>22</v>
      </c>
      <c r="S3" s="395" t="s">
        <v>21</v>
      </c>
      <c r="T3" s="396" t="s">
        <v>39</v>
      </c>
      <c r="V3" s="393" t="s">
        <v>20</v>
      </c>
      <c r="W3" s="394" t="s">
        <v>19</v>
      </c>
      <c r="X3" s="394" t="s">
        <v>22</v>
      </c>
      <c r="Y3" s="395" t="s">
        <v>21</v>
      </c>
      <c r="Z3" s="396" t="s">
        <v>39</v>
      </c>
      <c r="AB3" s="393" t="s">
        <v>20</v>
      </c>
      <c r="AC3" s="394" t="s">
        <v>19</v>
      </c>
      <c r="AD3" s="394" t="s">
        <v>22</v>
      </c>
      <c r="AE3" s="395" t="s">
        <v>21</v>
      </c>
      <c r="AF3" s="396" t="s">
        <v>39</v>
      </c>
      <c r="AH3" s="393" t="s">
        <v>20</v>
      </c>
      <c r="AI3" s="394" t="s">
        <v>19</v>
      </c>
      <c r="AJ3" s="394" t="s">
        <v>22</v>
      </c>
      <c r="AK3" s="395" t="s">
        <v>21</v>
      </c>
      <c r="AL3" s="396" t="s">
        <v>39</v>
      </c>
      <c r="AN3" s="393" t="s">
        <v>20</v>
      </c>
      <c r="AO3" s="394" t="s">
        <v>19</v>
      </c>
      <c r="AP3" s="394" t="s">
        <v>22</v>
      </c>
      <c r="AQ3" s="395" t="s">
        <v>21</v>
      </c>
      <c r="AR3" s="396" t="s">
        <v>39</v>
      </c>
      <c r="AT3" s="393" t="s">
        <v>20</v>
      </c>
      <c r="AU3" s="394" t="s">
        <v>19</v>
      </c>
      <c r="AV3" s="394" t="s">
        <v>22</v>
      </c>
      <c r="AW3" s="395" t="s">
        <v>21</v>
      </c>
      <c r="AX3" s="396" t="s">
        <v>39</v>
      </c>
      <c r="AZ3" s="393" t="s">
        <v>20</v>
      </c>
      <c r="BA3" s="394" t="s">
        <v>19</v>
      </c>
      <c r="BB3" s="394" t="s">
        <v>22</v>
      </c>
      <c r="BC3" s="395" t="s">
        <v>21</v>
      </c>
      <c r="BD3" s="396" t="s">
        <v>39</v>
      </c>
      <c r="BF3" s="393" t="s">
        <v>20</v>
      </c>
      <c r="BG3" s="394" t="s">
        <v>19</v>
      </c>
      <c r="BH3" s="394" t="s">
        <v>22</v>
      </c>
      <c r="BI3" s="395" t="s">
        <v>21</v>
      </c>
      <c r="BJ3" s="396" t="s">
        <v>39</v>
      </c>
      <c r="BL3" s="393" t="s">
        <v>20</v>
      </c>
      <c r="BM3" s="394" t="s">
        <v>19</v>
      </c>
      <c r="BN3" s="394" t="s">
        <v>22</v>
      </c>
      <c r="BO3" s="395" t="s">
        <v>21</v>
      </c>
      <c r="BP3" s="396" t="s">
        <v>39</v>
      </c>
      <c r="BR3" s="393" t="s">
        <v>20</v>
      </c>
      <c r="BS3" s="394" t="s">
        <v>19</v>
      </c>
      <c r="BT3" s="394" t="s">
        <v>22</v>
      </c>
      <c r="BU3" s="395" t="s">
        <v>21</v>
      </c>
      <c r="BV3" s="396" t="s">
        <v>39</v>
      </c>
      <c r="BX3" s="393" t="s">
        <v>20</v>
      </c>
      <c r="BY3" s="394" t="s">
        <v>19</v>
      </c>
      <c r="BZ3" s="394" t="s">
        <v>22</v>
      </c>
      <c r="CA3" s="395" t="s">
        <v>21</v>
      </c>
      <c r="CB3" s="396" t="s">
        <v>39</v>
      </c>
      <c r="CD3" s="393" t="s">
        <v>20</v>
      </c>
      <c r="CE3" s="394" t="s">
        <v>19</v>
      </c>
      <c r="CF3" s="394" t="s">
        <v>22</v>
      </c>
      <c r="CG3" s="395" t="s">
        <v>21</v>
      </c>
      <c r="CH3" s="396" t="s">
        <v>39</v>
      </c>
      <c r="CJ3" s="393" t="s">
        <v>20</v>
      </c>
      <c r="CK3" s="394" t="s">
        <v>19</v>
      </c>
      <c r="CL3" s="394" t="s">
        <v>22</v>
      </c>
      <c r="CM3" s="395" t="s">
        <v>21</v>
      </c>
      <c r="CN3" s="396" t="s">
        <v>39</v>
      </c>
      <c r="CP3" s="393" t="s">
        <v>20</v>
      </c>
      <c r="CQ3" s="394" t="s">
        <v>19</v>
      </c>
      <c r="CR3" s="394" t="s">
        <v>22</v>
      </c>
      <c r="CS3" s="395" t="s">
        <v>21</v>
      </c>
      <c r="CT3" s="396" t="s">
        <v>39</v>
      </c>
    </row>
    <row r="4" spans="2:98" s="1" customFormat="1" ht="15.75" thickBot="1" x14ac:dyDescent="0.35"/>
    <row r="5" spans="2:98" s="1" customFormat="1" ht="15" x14ac:dyDescent="0.3">
      <c r="B5" s="38" t="s">
        <v>25</v>
      </c>
      <c r="D5" s="30">
        <v>33790</v>
      </c>
      <c r="E5" s="4">
        <f>D7</f>
        <v>33713</v>
      </c>
      <c r="F5" s="4">
        <f>E7</f>
        <v>33620</v>
      </c>
      <c r="G5" s="4">
        <f>F7</f>
        <v>33757</v>
      </c>
      <c r="H5" s="53">
        <f>D5</f>
        <v>33790</v>
      </c>
      <c r="J5" s="30">
        <f>G7</f>
        <v>33734</v>
      </c>
      <c r="K5" s="4">
        <f>J7</f>
        <v>33635</v>
      </c>
      <c r="L5" s="4">
        <f>K7</f>
        <v>33585</v>
      </c>
      <c r="M5" s="4">
        <f>L7</f>
        <v>33711</v>
      </c>
      <c r="N5" s="53">
        <f>J5</f>
        <v>33734</v>
      </c>
      <c r="P5" s="30">
        <f>M7</f>
        <v>33185</v>
      </c>
      <c r="Q5" s="4">
        <f>P7</f>
        <v>33373</v>
      </c>
      <c r="R5" s="4">
        <f>Q7</f>
        <v>33168</v>
      </c>
      <c r="S5" s="4">
        <f>R7</f>
        <v>33327</v>
      </c>
      <c r="T5" s="53">
        <f>P5</f>
        <v>33185</v>
      </c>
      <c r="V5" s="30">
        <f>S7</f>
        <v>33389</v>
      </c>
      <c r="W5" s="4">
        <f>V7</f>
        <v>33968</v>
      </c>
      <c r="X5" s="4">
        <f>W7</f>
        <v>35020</v>
      </c>
      <c r="Y5" s="4">
        <f>X7</f>
        <v>35943</v>
      </c>
      <c r="Z5" s="53">
        <f>V5</f>
        <v>33389</v>
      </c>
      <c r="AB5" s="30">
        <f>Y7</f>
        <v>37488</v>
      </c>
      <c r="AC5" s="4">
        <f>AB7</f>
        <v>37888</v>
      </c>
      <c r="AD5" s="4">
        <f>AC7</f>
        <v>38388</v>
      </c>
      <c r="AE5" s="4">
        <f>AD7</f>
        <v>38738</v>
      </c>
      <c r="AF5" s="53">
        <f>AB5</f>
        <v>37488</v>
      </c>
      <c r="AH5" s="30">
        <f>AE7</f>
        <v>39338</v>
      </c>
      <c r="AI5" s="4">
        <f>AH7</f>
        <v>39538</v>
      </c>
      <c r="AJ5" s="4">
        <f>AI7</f>
        <v>39788</v>
      </c>
      <c r="AK5" s="4">
        <f>AJ7</f>
        <v>39988</v>
      </c>
      <c r="AL5" s="53">
        <f>AH5</f>
        <v>39338</v>
      </c>
      <c r="AN5" s="30">
        <f>AK7</f>
        <v>40288</v>
      </c>
      <c r="AO5" s="4">
        <f>AN7</f>
        <v>40388</v>
      </c>
      <c r="AP5" s="4">
        <f>AO7</f>
        <v>40488</v>
      </c>
      <c r="AQ5" s="4">
        <f>AP7</f>
        <v>40588</v>
      </c>
      <c r="AR5" s="53">
        <f>AN5</f>
        <v>40288</v>
      </c>
      <c r="AT5" s="30">
        <f>AQ7</f>
        <v>40763</v>
      </c>
      <c r="AU5" s="4">
        <f>AT7</f>
        <v>40838</v>
      </c>
      <c r="AV5" s="4">
        <f>AU7</f>
        <v>40913</v>
      </c>
      <c r="AW5" s="4">
        <f>AV7</f>
        <v>41013</v>
      </c>
      <c r="AX5" s="53">
        <f>AT5</f>
        <v>40763</v>
      </c>
      <c r="AZ5" s="30">
        <f>AW7</f>
        <v>41213</v>
      </c>
      <c r="BA5" s="4">
        <f>AZ7</f>
        <v>41288</v>
      </c>
      <c r="BB5" s="4">
        <f>BA7</f>
        <v>41363</v>
      </c>
      <c r="BC5" s="4">
        <f>BB7</f>
        <v>41438</v>
      </c>
      <c r="BD5" s="53">
        <f>AZ5</f>
        <v>41213</v>
      </c>
    </row>
    <row r="6" spans="2:98" s="13" customFormat="1" ht="15" x14ac:dyDescent="0.3">
      <c r="B6" s="39" t="s">
        <v>26</v>
      </c>
      <c r="D6" s="31">
        <v>-77</v>
      </c>
      <c r="E6" s="90">
        <v>-93</v>
      </c>
      <c r="F6" s="90">
        <v>137</v>
      </c>
      <c r="G6" s="90">
        <v>-23</v>
      </c>
      <c r="H6" s="54">
        <f>D6+E6+F6+G6</f>
        <v>-56</v>
      </c>
      <c r="J6" s="31">
        <v>-99</v>
      </c>
      <c r="K6" s="90">
        <v>-50</v>
      </c>
      <c r="L6" s="90">
        <v>126</v>
      </c>
      <c r="M6" s="90">
        <v>-526</v>
      </c>
      <c r="N6" s="54">
        <f>J6+K6+L6+M6</f>
        <v>-549</v>
      </c>
      <c r="P6" s="31">
        <v>188</v>
      </c>
      <c r="Q6" s="90">
        <v>-205</v>
      </c>
      <c r="R6" s="90">
        <v>159</v>
      </c>
      <c r="S6" s="90">
        <v>62</v>
      </c>
      <c r="T6" s="54">
        <f>P6+Q6+R6+S6</f>
        <v>204</v>
      </c>
      <c r="V6" s="31">
        <v>579</v>
      </c>
      <c r="W6" s="90">
        <v>1052</v>
      </c>
      <c r="X6" s="90">
        <v>923</v>
      </c>
      <c r="Y6" s="90">
        <v>1545</v>
      </c>
      <c r="Z6" s="54">
        <f>V6+W6+X6+Y6</f>
        <v>4099</v>
      </c>
      <c r="AB6" s="31">
        <v>400</v>
      </c>
      <c r="AC6" s="90">
        <v>500</v>
      </c>
      <c r="AD6" s="90">
        <v>350</v>
      </c>
      <c r="AE6" s="90">
        <v>600</v>
      </c>
      <c r="AF6" s="54">
        <f>AB6+AC6+AD6+AE6</f>
        <v>1850</v>
      </c>
      <c r="AH6" s="31">
        <v>200</v>
      </c>
      <c r="AI6" s="90">
        <v>250</v>
      </c>
      <c r="AJ6" s="90">
        <v>200</v>
      </c>
      <c r="AK6" s="90">
        <v>300</v>
      </c>
      <c r="AL6" s="54">
        <f>AH6+AI6+AJ6+AK6</f>
        <v>950</v>
      </c>
      <c r="AN6" s="31">
        <v>100</v>
      </c>
      <c r="AO6" s="90">
        <v>100</v>
      </c>
      <c r="AP6" s="90">
        <v>100</v>
      </c>
      <c r="AQ6" s="90">
        <v>175</v>
      </c>
      <c r="AR6" s="54">
        <f>AN6+AO6+AP6+AQ6</f>
        <v>475</v>
      </c>
      <c r="AT6" s="31">
        <v>75</v>
      </c>
      <c r="AU6" s="90">
        <v>75</v>
      </c>
      <c r="AV6" s="90">
        <v>100</v>
      </c>
      <c r="AW6" s="90">
        <v>200</v>
      </c>
      <c r="AX6" s="54">
        <f>AT6+AU6+AV6+AW6</f>
        <v>450</v>
      </c>
      <c r="AZ6" s="31">
        <v>75</v>
      </c>
      <c r="BA6" s="90">
        <v>75</v>
      </c>
      <c r="BB6" s="90">
        <v>75</v>
      </c>
      <c r="BC6" s="90">
        <v>175</v>
      </c>
      <c r="BD6" s="54">
        <f>AZ6+BA6+BB6+BC6</f>
        <v>400</v>
      </c>
    </row>
    <row r="7" spans="2:98" s="1" customFormat="1" ht="15" x14ac:dyDescent="0.3">
      <c r="B7" s="40" t="s">
        <v>27</v>
      </c>
      <c r="D7" s="33">
        <f>D5+D6</f>
        <v>33713</v>
      </c>
      <c r="E7" s="91">
        <f>E5+E6</f>
        <v>33620</v>
      </c>
      <c r="F7" s="91">
        <f>F5+F6</f>
        <v>33757</v>
      </c>
      <c r="G7" s="91">
        <f>G5+G6</f>
        <v>33734</v>
      </c>
      <c r="H7" s="55">
        <f>G7</f>
        <v>33734</v>
      </c>
      <c r="J7" s="33">
        <f>J5+J6</f>
        <v>33635</v>
      </c>
      <c r="K7" s="91">
        <f>K5+K6</f>
        <v>33585</v>
      </c>
      <c r="L7" s="91">
        <f>L5+L6</f>
        <v>33711</v>
      </c>
      <c r="M7" s="91">
        <f>M5+M6</f>
        <v>33185</v>
      </c>
      <c r="N7" s="55">
        <f>M7</f>
        <v>33185</v>
      </c>
      <c r="P7" s="33">
        <f>P5+P6</f>
        <v>33373</v>
      </c>
      <c r="Q7" s="91">
        <f>Q5+Q6</f>
        <v>33168</v>
      </c>
      <c r="R7" s="91">
        <f>R5+R6</f>
        <v>33327</v>
      </c>
      <c r="S7" s="91">
        <f>S5+S6</f>
        <v>33389</v>
      </c>
      <c r="T7" s="55">
        <f>S7</f>
        <v>33389</v>
      </c>
      <c r="V7" s="33">
        <f>V5+V6</f>
        <v>33968</v>
      </c>
      <c r="W7" s="91">
        <f>W5+W6</f>
        <v>35020</v>
      </c>
      <c r="X7" s="91">
        <f>X5+X6</f>
        <v>35943</v>
      </c>
      <c r="Y7" s="91">
        <f>Y5+Y6</f>
        <v>37488</v>
      </c>
      <c r="Z7" s="55">
        <f>Y7</f>
        <v>37488</v>
      </c>
      <c r="AB7" s="33">
        <f>AB5+AB6</f>
        <v>37888</v>
      </c>
      <c r="AC7" s="91">
        <f>AC5+AC6</f>
        <v>38388</v>
      </c>
      <c r="AD7" s="91">
        <f>AD5+AD6</f>
        <v>38738</v>
      </c>
      <c r="AE7" s="91">
        <f>AE5+AE6</f>
        <v>39338</v>
      </c>
      <c r="AF7" s="55">
        <f>AE7</f>
        <v>39338</v>
      </c>
      <c r="AH7" s="33">
        <f>AH5+AH6</f>
        <v>39538</v>
      </c>
      <c r="AI7" s="91">
        <f>AI5+AI6</f>
        <v>39788</v>
      </c>
      <c r="AJ7" s="91">
        <f>AJ5+AJ6</f>
        <v>39988</v>
      </c>
      <c r="AK7" s="91">
        <f>AK5+AK6</f>
        <v>40288</v>
      </c>
      <c r="AL7" s="55">
        <f>AK7</f>
        <v>40288</v>
      </c>
      <c r="AN7" s="33">
        <f>AN5+AN6</f>
        <v>40388</v>
      </c>
      <c r="AO7" s="91">
        <f>AO5+AO6</f>
        <v>40488</v>
      </c>
      <c r="AP7" s="91">
        <f>AP5+AP6</f>
        <v>40588</v>
      </c>
      <c r="AQ7" s="91">
        <f>AQ5+AQ6</f>
        <v>40763</v>
      </c>
      <c r="AR7" s="55">
        <f>AQ7</f>
        <v>40763</v>
      </c>
      <c r="AT7" s="33">
        <f>AT5+AT6</f>
        <v>40838</v>
      </c>
      <c r="AU7" s="91">
        <f>AU5+AU6</f>
        <v>40913</v>
      </c>
      <c r="AV7" s="91">
        <f>AV5+AV6</f>
        <v>41013</v>
      </c>
      <c r="AW7" s="91">
        <f>AW5+AW6</f>
        <v>41213</v>
      </c>
      <c r="AX7" s="55">
        <f>AW7</f>
        <v>41213</v>
      </c>
      <c r="AZ7" s="33">
        <f>AZ5+AZ6</f>
        <v>41288</v>
      </c>
      <c r="BA7" s="91">
        <f>BA5+BA6</f>
        <v>41363</v>
      </c>
      <c r="BB7" s="91">
        <f>BB5+BB6</f>
        <v>41438</v>
      </c>
      <c r="BC7" s="91">
        <f>BC5+BC6</f>
        <v>41613</v>
      </c>
      <c r="BD7" s="55">
        <f>BC7</f>
        <v>41613</v>
      </c>
    </row>
    <row r="8" spans="2:98" s="1" customFormat="1" ht="15.75" thickBot="1" x14ac:dyDescent="0.35">
      <c r="B8" s="41" t="s">
        <v>28</v>
      </c>
      <c r="D8" s="77">
        <f>D7-D6/2</f>
        <v>33751.5</v>
      </c>
      <c r="E8" s="92">
        <f>E7-E6/2</f>
        <v>33666.5</v>
      </c>
      <c r="F8" s="92">
        <f>F7-F6/2</f>
        <v>33688.5</v>
      </c>
      <c r="G8" s="92">
        <f>G7-G6/2</f>
        <v>33745.5</v>
      </c>
      <c r="H8" s="74">
        <f>(D8+E8+F8+G8)/4</f>
        <v>33713</v>
      </c>
      <c r="J8" s="77">
        <f>J7-J6/2</f>
        <v>33684.5</v>
      </c>
      <c r="K8" s="92">
        <f>K7-K6/2</f>
        <v>33610</v>
      </c>
      <c r="L8" s="92">
        <f>L7-L6/2</f>
        <v>33648</v>
      </c>
      <c r="M8" s="92">
        <f>M7-M6/2</f>
        <v>33448</v>
      </c>
      <c r="N8" s="74">
        <f>(J8+K8+L8+M8)/4</f>
        <v>33597.625</v>
      </c>
      <c r="P8" s="77">
        <f>P7-P6/2</f>
        <v>33279</v>
      </c>
      <c r="Q8" s="92">
        <f>Q7-Q6/2</f>
        <v>33270.5</v>
      </c>
      <c r="R8" s="92">
        <f>R7-R6/2</f>
        <v>33247.5</v>
      </c>
      <c r="S8" s="92">
        <f>S7-S6/2</f>
        <v>33358</v>
      </c>
      <c r="T8" s="74">
        <f>(P8+Q8+R8+S8)/4</f>
        <v>33288.75</v>
      </c>
      <c r="V8" s="77">
        <f>V7-V6/2</f>
        <v>33678.5</v>
      </c>
      <c r="W8" s="92">
        <f>W7-W6/2</f>
        <v>34494</v>
      </c>
      <c r="X8" s="92">
        <f>X7-X6/2</f>
        <v>35481.5</v>
      </c>
      <c r="Y8" s="92">
        <f>Y7-Y6/2</f>
        <v>36715.5</v>
      </c>
      <c r="Z8" s="74">
        <f>(V8+W8+X8+Y8)/4</f>
        <v>35092.375</v>
      </c>
      <c r="AB8" s="77">
        <f>AB7-AB6/2</f>
        <v>37688</v>
      </c>
      <c r="AC8" s="92">
        <f>AC7-AC6/2</f>
        <v>38138</v>
      </c>
      <c r="AD8" s="92">
        <f>AD7-AD6/2</f>
        <v>38563</v>
      </c>
      <c r="AE8" s="92">
        <f>AE7-AE6/2</f>
        <v>39038</v>
      </c>
      <c r="AF8" s="74">
        <f>(AB8+AC8+AD8+AE8)/4</f>
        <v>38356.75</v>
      </c>
      <c r="AH8" s="77">
        <f>AH7-AH6/2</f>
        <v>39438</v>
      </c>
      <c r="AI8" s="92">
        <f>AI7-AI6/2</f>
        <v>39663</v>
      </c>
      <c r="AJ8" s="92">
        <f>AJ7-AJ6/2</f>
        <v>39888</v>
      </c>
      <c r="AK8" s="92">
        <f>AK7-AK6/2</f>
        <v>40138</v>
      </c>
      <c r="AL8" s="74">
        <f>(AH8+AI8+AJ8+AK8)/4</f>
        <v>39781.75</v>
      </c>
      <c r="AN8" s="77">
        <f>AN7-AN6/2</f>
        <v>40338</v>
      </c>
      <c r="AO8" s="92">
        <f>AO7-AO6/2</f>
        <v>40438</v>
      </c>
      <c r="AP8" s="92">
        <f>AP7-AP6/2</f>
        <v>40538</v>
      </c>
      <c r="AQ8" s="92">
        <f>AQ7-AQ6/2</f>
        <v>40675.5</v>
      </c>
      <c r="AR8" s="74">
        <f>(AN8+AO8+AP8+AQ8)/4</f>
        <v>40497.375</v>
      </c>
      <c r="AT8" s="77">
        <f>AT7-AT6/2</f>
        <v>40800.5</v>
      </c>
      <c r="AU8" s="92">
        <f>AU7-AU6/2</f>
        <v>40875.5</v>
      </c>
      <c r="AV8" s="92">
        <f>AV7-AV6/2</f>
        <v>40963</v>
      </c>
      <c r="AW8" s="92">
        <f>AW7-AW6/2</f>
        <v>41113</v>
      </c>
      <c r="AX8" s="74">
        <f>(AT8+AU8+AV8+AW8)/4</f>
        <v>40938</v>
      </c>
      <c r="AZ8" s="77">
        <f>AZ7-AZ6/2</f>
        <v>41250.5</v>
      </c>
      <c r="BA8" s="92">
        <f>BA7-BA6/2</f>
        <v>41325.5</v>
      </c>
      <c r="BB8" s="92">
        <f>BB7-BB6/2</f>
        <v>41400.5</v>
      </c>
      <c r="BC8" s="92">
        <f>BC7-BC6/2</f>
        <v>41525.5</v>
      </c>
      <c r="BD8" s="74">
        <f>(AZ8+BA8+BB8+BC8)/4</f>
        <v>41375.5</v>
      </c>
    </row>
    <row r="9" spans="2:98" s="1" customFormat="1" ht="15" x14ac:dyDescent="0.3">
      <c r="B9" s="6" t="s">
        <v>56</v>
      </c>
      <c r="D9" s="36" t="s">
        <v>35</v>
      </c>
      <c r="E9" s="36" t="s">
        <v>35</v>
      </c>
      <c r="F9" s="36" t="s">
        <v>35</v>
      </c>
      <c r="G9" s="36" t="s">
        <v>35</v>
      </c>
      <c r="H9" s="36" t="s">
        <v>35</v>
      </c>
      <c r="J9" s="36">
        <f>J8/D8-1</f>
        <v>-1.985096958653676E-3</v>
      </c>
      <c r="K9" s="36">
        <f>K8/E8-1</f>
        <v>-1.678226129832372E-3</v>
      </c>
      <c r="L9" s="36">
        <f>L8/F8-1</f>
        <v>-1.2021906585333308E-3</v>
      </c>
      <c r="M9" s="36">
        <f>M8/G8-1</f>
        <v>-8.8159902801855372E-3</v>
      </c>
      <c r="N9" s="36">
        <f>N8/H8-1</f>
        <v>-3.422270340818101E-3</v>
      </c>
      <c r="P9" s="36">
        <f>P8/J8-1</f>
        <v>-1.2038177796909522E-2</v>
      </c>
      <c r="Q9" s="36">
        <f>Q8/K8-1</f>
        <v>-1.0101160368937823E-2</v>
      </c>
      <c r="R9" s="36">
        <f>R8/L8-1</f>
        <v>-1.1902639087018496E-2</v>
      </c>
      <c r="S9" s="36">
        <f>S8/M8-1</f>
        <v>-2.6907438411862827E-3</v>
      </c>
      <c r="T9" s="36">
        <f>T8/N8-1</f>
        <v>-9.1933581614771498E-3</v>
      </c>
      <c r="V9" s="36">
        <f>V8/P8-1</f>
        <v>1.2004567444935166E-2</v>
      </c>
      <c r="W9" s="36">
        <f>W8/Q8-1</f>
        <v>3.6774319592431715E-2</v>
      </c>
      <c r="X9" s="36">
        <f>X8/R8-1</f>
        <v>6.7193022031731608E-2</v>
      </c>
      <c r="Y9" s="36">
        <f>Y8/S8-1</f>
        <v>0.10065051861622409</v>
      </c>
      <c r="Z9" s="36">
        <f>Z8/T8-1</f>
        <v>5.418121737824344E-2</v>
      </c>
      <c r="AB9" s="36">
        <f>AB8/V8-1</f>
        <v>0.11905221432070912</v>
      </c>
      <c r="AC9" s="36">
        <f>AC8/W8-1</f>
        <v>0.1056415608511625</v>
      </c>
      <c r="AD9" s="36">
        <f>AD8/X8-1</f>
        <v>8.6848075757789189E-2</v>
      </c>
      <c r="AE9" s="36">
        <f>AE8/Y8-1</f>
        <v>6.3256662717380951E-2</v>
      </c>
      <c r="AF9" s="36">
        <f>AF8/Z8-1</f>
        <v>9.3022344597651241E-2</v>
      </c>
      <c r="AH9" s="36">
        <f>AH8/AB8-1</f>
        <v>4.6433878157503772E-2</v>
      </c>
      <c r="AI9" s="36">
        <f>AI8/AC8-1</f>
        <v>3.9986365304945259E-2</v>
      </c>
      <c r="AJ9" s="36">
        <f>AJ8/AD8-1</f>
        <v>3.435936000829809E-2</v>
      </c>
      <c r="AK9" s="36">
        <f>AK8/AE8-1</f>
        <v>2.8177673036528406E-2</v>
      </c>
      <c r="AL9" s="36">
        <f>AL8/AF8-1</f>
        <v>3.7151218494789084E-2</v>
      </c>
      <c r="AN9" s="36">
        <f>AN8/AH8-1</f>
        <v>2.2820629849383822E-2</v>
      </c>
      <c r="AO9" s="36">
        <f>AO8/AI8-1</f>
        <v>1.9539621309532906E-2</v>
      </c>
      <c r="AP9" s="36">
        <f>AP8/AJ8-1</f>
        <v>1.6295627757721531E-2</v>
      </c>
      <c r="AQ9" s="36">
        <f>AQ8/AK8-1</f>
        <v>1.3391300014948371E-2</v>
      </c>
      <c r="AR9" s="36">
        <f>AR8/AL8-1</f>
        <v>1.7988776260471129E-2</v>
      </c>
      <c r="AT9" s="36">
        <f>AT8/AN8-1</f>
        <v>1.1465615548614139E-2</v>
      </c>
      <c r="AU9" s="36">
        <f>AU8/AO8-1</f>
        <v>1.0819031603936935E-2</v>
      </c>
      <c r="AV9" s="36">
        <f>AV8/AP8-1</f>
        <v>1.0483990330060644E-2</v>
      </c>
      <c r="AW9" s="36">
        <f>AW8/AQ8-1</f>
        <v>1.0755860407370532E-2</v>
      </c>
      <c r="AX9" s="36">
        <f>AX8/AR8-1</f>
        <v>1.088033483651718E-2</v>
      </c>
      <c r="AZ9" s="36">
        <f>AZ8/AT8-1</f>
        <v>1.1029276602002369E-2</v>
      </c>
      <c r="BA9" s="36">
        <f>BA8/AU8-1</f>
        <v>1.1009039644775065E-2</v>
      </c>
      <c r="BB9" s="36">
        <f>BB8/AV8-1</f>
        <v>1.068037009008127E-2</v>
      </c>
      <c r="BC9" s="36">
        <f>BC8/AW8-1</f>
        <v>1.0033322793276955E-2</v>
      </c>
      <c r="BD9" s="36">
        <f>BD8/AX8-1</f>
        <v>1.068689237383369E-2</v>
      </c>
    </row>
    <row r="10" spans="2:98" s="1" customFormat="1" ht="15.75" thickBot="1" x14ac:dyDescent="0.35"/>
    <row r="11" spans="2:98" s="1" customFormat="1" ht="15" x14ac:dyDescent="0.3">
      <c r="B11" s="42" t="s">
        <v>46</v>
      </c>
      <c r="D11" s="45">
        <f>D18-D14</f>
        <v>34.858539620461315</v>
      </c>
      <c r="E11" s="19">
        <f>E18-E14</f>
        <v>34.912347090827183</v>
      </c>
      <c r="F11" s="19">
        <f>F18-F14</f>
        <v>34.16865119650128</v>
      </c>
      <c r="G11" s="19">
        <f>G18-G14</f>
        <v>33.523106784608316</v>
      </c>
      <c r="H11" s="57">
        <f>H62*1000/(H8*12)</f>
        <v>34.365446112528296</v>
      </c>
      <c r="J11" s="45">
        <f>J18-J14</f>
        <v>32.707314590786069</v>
      </c>
      <c r="K11" s="19">
        <f>K18-K14</f>
        <v>32.220410592085692</v>
      </c>
      <c r="L11" s="19">
        <f>L18-L14</f>
        <v>32.223648755745756</v>
      </c>
      <c r="M11" s="19">
        <f>M18-M14</f>
        <v>31.29043091764331</v>
      </c>
      <c r="N11" s="57">
        <f>N62*1000/(N8*12)</f>
        <v>32.111802582771844</v>
      </c>
      <c r="P11" s="45">
        <f>P18-P14</f>
        <v>30.112555465408619</v>
      </c>
      <c r="Q11" s="19">
        <f>Q18-Q14</f>
        <v>29.385350425552161</v>
      </c>
      <c r="R11" s="19">
        <f>R18-R14</f>
        <v>28.190004010326589</v>
      </c>
      <c r="S11" s="19">
        <f>S18-S14</f>
        <v>26.519482782740774</v>
      </c>
      <c r="T11" s="57">
        <f>T62*1000/(T8*12)</f>
        <v>28.550674775011576</v>
      </c>
      <c r="V11" s="45">
        <f>V18-V14</f>
        <v>24.663532639517797</v>
      </c>
      <c r="W11" s="19">
        <f>W18-W14</f>
        <v>23.455866720782357</v>
      </c>
      <c r="X11" s="19">
        <f>R11*(1+X12)</f>
        <v>22.278560169361104</v>
      </c>
      <c r="Y11" s="46">
        <f>S11*(1+Y12)</f>
        <v>21.082988812278916</v>
      </c>
      <c r="Z11" s="57">
        <f>Z62*1000/(Z8*12)</f>
        <v>22.827371038958457</v>
      </c>
      <c r="AB11" s="45">
        <f>V11*(1+AB12)</f>
        <v>20.470732090799771</v>
      </c>
      <c r="AC11" s="19">
        <f>W11*(1+AC12)</f>
        <v>19.937486712665002</v>
      </c>
      <c r="AD11" s="19">
        <f>X11*(1+AD12)</f>
        <v>19.382347347344162</v>
      </c>
      <c r="AE11" s="46">
        <f>Y11*(1+AE12)</f>
        <v>18.763860042928236</v>
      </c>
      <c r="AF11" s="57">
        <f>AF62*1000/(AF8*12)</f>
        <v>19.630324834593296</v>
      </c>
      <c r="AH11" s="45">
        <f>AB11*(1+AH12)</f>
        <v>18.628366202627792</v>
      </c>
      <c r="AI11" s="19">
        <f>AC11*(1+AI12)</f>
        <v>18.541862642778451</v>
      </c>
      <c r="AJ11" s="19">
        <f>AD11*(1+AJ12)</f>
        <v>18.122494769766792</v>
      </c>
      <c r="AK11" s="46">
        <f>AE11*(1+AK12)</f>
        <v>17.638028440352542</v>
      </c>
      <c r="AL11" s="57">
        <f>AL62*1000/(AL8*12)</f>
        <v>18.230197648513979</v>
      </c>
      <c r="AN11" s="45">
        <f>AH11*(1+AN12)</f>
        <v>17.603806061483262</v>
      </c>
      <c r="AO11" s="19">
        <f>AI11*(1+AO12)</f>
        <v>17.522060197425635</v>
      </c>
      <c r="AP11" s="19">
        <f>AJ11*(1+AP12)</f>
        <v>17.125757557429619</v>
      </c>
      <c r="AQ11" s="46">
        <f>AK11*(1+AQ12)</f>
        <v>16.667936876133151</v>
      </c>
      <c r="AR11" s="57">
        <f>AR62*1000/(AR8*12)</f>
        <v>17.228771157635805</v>
      </c>
      <c r="AT11" s="45">
        <f>AN11*(1+AT12)</f>
        <v>16.723615758409096</v>
      </c>
      <c r="AU11" s="19">
        <f>AO11*(1+AU12)</f>
        <v>16.645957187554352</v>
      </c>
      <c r="AV11" s="19">
        <f>AP11*(1+AV12)</f>
        <v>16.269469679558139</v>
      </c>
      <c r="AW11" s="46">
        <f>AQ11*(1+AW12)</f>
        <v>15.834540032326492</v>
      </c>
      <c r="AX11" s="57">
        <f>AX62*1000/(AX8*12)</f>
        <v>16.367405824683832</v>
      </c>
      <c r="AZ11" s="45">
        <f>AT11*(1+AZ12)</f>
        <v>15.887434970488641</v>
      </c>
      <c r="BA11" s="19">
        <f>AU11*(1+BA12)</f>
        <v>15.813659328176634</v>
      </c>
      <c r="BB11" s="19">
        <f>AV11*(1+BB12)</f>
        <v>15.45599619558023</v>
      </c>
      <c r="BC11" s="46">
        <f>AW11*(1+BC12)</f>
        <v>15.042813030710168</v>
      </c>
      <c r="BD11" s="57">
        <f>BD62*1000/(BD8*12)</f>
        <v>15.549167489326896</v>
      </c>
    </row>
    <row r="12" spans="2:98" s="1" customFormat="1" ht="15" x14ac:dyDescent="0.3">
      <c r="B12" s="40" t="s">
        <v>23</v>
      </c>
      <c r="D12" s="62" t="s">
        <v>35</v>
      </c>
      <c r="E12" s="9" t="s">
        <v>35</v>
      </c>
      <c r="F12" s="9" t="s">
        <v>35</v>
      </c>
      <c r="G12" s="9" t="s">
        <v>35</v>
      </c>
      <c r="H12" s="66" t="s">
        <v>35</v>
      </c>
      <c r="J12" s="62">
        <f>J11/D11-1</f>
        <v>-6.1712999256357759E-2</v>
      </c>
      <c r="K12" s="9">
        <f>(K11-D11)/D11</f>
        <v>-7.5680996883388946E-2</v>
      </c>
      <c r="L12" s="9">
        <f>(L11-E11)/E11</f>
        <v>-7.701282093943923E-2</v>
      </c>
      <c r="M12" s="9">
        <f>(M11-F11)/F11</f>
        <v>-8.423570079794919E-2</v>
      </c>
      <c r="N12" s="66">
        <f>N11/H11-1</f>
        <v>-6.5578765437148245E-2</v>
      </c>
      <c r="P12" s="62">
        <f>P11/J11-1</f>
        <v>-7.9332686215346393E-2</v>
      </c>
      <c r="Q12" s="9">
        <f>(Q11-J11)/J11</f>
        <v>-0.10156639903936759</v>
      </c>
      <c r="R12" s="9">
        <f>(R11-K11)/K11</f>
        <v>-0.12508861642964575</v>
      </c>
      <c r="S12" s="9">
        <f>(S11-L11)/L11</f>
        <v>-0.17701800364826409</v>
      </c>
      <c r="T12" s="66">
        <f>T11/N11-1</f>
        <v>-0.11089778590227239</v>
      </c>
      <c r="V12" s="62">
        <f>V11/P11-1</f>
        <v>-0.18095517772147607</v>
      </c>
      <c r="W12" s="9">
        <f>(W11-P11)/P11</f>
        <v>-0.22106024021352291</v>
      </c>
      <c r="X12" s="9">
        <v>-0.2097</v>
      </c>
      <c r="Y12" s="100">
        <v>-0.20499999999999999</v>
      </c>
      <c r="Z12" s="66">
        <f>Z11/T11-1</f>
        <v>-0.20046124237534058</v>
      </c>
      <c r="AB12" s="62">
        <v>-0.17</v>
      </c>
      <c r="AC12" s="9">
        <v>-0.15</v>
      </c>
      <c r="AD12" s="9">
        <v>-0.13</v>
      </c>
      <c r="AE12" s="100">
        <v>-0.11</v>
      </c>
      <c r="AF12" s="66">
        <f>AF11/Z11-1</f>
        <v>-0.1400531931122907</v>
      </c>
      <c r="AH12" s="62">
        <v>-0.09</v>
      </c>
      <c r="AI12" s="9">
        <v>-7.0000000000000007E-2</v>
      </c>
      <c r="AJ12" s="9">
        <v>-6.5000000000000002E-2</v>
      </c>
      <c r="AK12" s="100">
        <v>-0.06</v>
      </c>
      <c r="AL12" s="66">
        <f>AL11/AF11-1</f>
        <v>-7.1324707964687373E-2</v>
      </c>
      <c r="AN12" s="62">
        <v>-5.5E-2</v>
      </c>
      <c r="AO12" s="9">
        <v>-5.5E-2</v>
      </c>
      <c r="AP12" s="9">
        <v>-5.5E-2</v>
      </c>
      <c r="AQ12" s="9">
        <v>-5.5E-2</v>
      </c>
      <c r="AR12" s="66">
        <f>AR11/AL11-1</f>
        <v>-5.4932289281010904E-2</v>
      </c>
      <c r="AT12" s="62">
        <v>-0.05</v>
      </c>
      <c r="AU12" s="9">
        <v>-0.05</v>
      </c>
      <c r="AV12" s="9">
        <v>-0.05</v>
      </c>
      <c r="AW12" s="9">
        <v>-0.05</v>
      </c>
      <c r="AX12" s="66">
        <f>AX11/AR11-1</f>
        <v>-4.9995749846048376E-2</v>
      </c>
      <c r="AZ12" s="62">
        <v>-0.05</v>
      </c>
      <c r="BA12" s="9">
        <v>-0.05</v>
      </c>
      <c r="BB12" s="9">
        <v>-0.05</v>
      </c>
      <c r="BC12" s="9">
        <v>-0.05</v>
      </c>
      <c r="BD12" s="66">
        <f>BD11/AX11-1</f>
        <v>-4.9991937886879056E-2</v>
      </c>
    </row>
    <row r="13" spans="2:98" s="1" customFormat="1" ht="15" x14ac:dyDescent="0.3">
      <c r="B13" s="40"/>
      <c r="D13" s="47"/>
      <c r="E13" s="8"/>
      <c r="F13" s="8"/>
      <c r="G13" s="8"/>
      <c r="H13" s="58"/>
      <c r="J13" s="47"/>
      <c r="K13" s="8"/>
      <c r="L13" s="8"/>
      <c r="M13" s="48"/>
      <c r="N13" s="58"/>
      <c r="P13" s="47"/>
      <c r="Q13" s="8"/>
      <c r="R13" s="8"/>
      <c r="S13" s="48"/>
      <c r="T13" s="58"/>
      <c r="V13" s="47"/>
      <c r="W13" s="8"/>
      <c r="X13" s="8"/>
      <c r="Y13" s="48"/>
      <c r="Z13" s="58"/>
      <c r="AB13" s="47"/>
      <c r="AC13" s="8"/>
      <c r="AD13" s="8"/>
      <c r="AE13" s="48"/>
      <c r="AF13" s="58"/>
      <c r="AH13" s="47"/>
      <c r="AI13" s="8"/>
      <c r="AJ13" s="8"/>
      <c r="AK13" s="48"/>
      <c r="AL13" s="58"/>
      <c r="AN13" s="47"/>
      <c r="AO13" s="8"/>
      <c r="AP13" s="8"/>
      <c r="AQ13" s="48"/>
      <c r="AR13" s="58"/>
      <c r="AT13" s="47"/>
      <c r="AU13" s="8"/>
      <c r="AV13" s="8"/>
      <c r="AW13" s="48"/>
      <c r="AX13" s="58"/>
      <c r="AZ13" s="47"/>
      <c r="BA13" s="8"/>
      <c r="BB13" s="8"/>
      <c r="BC13" s="48"/>
      <c r="BD13" s="58"/>
    </row>
    <row r="14" spans="2:98" s="1" customFormat="1" ht="15" x14ac:dyDescent="0.3">
      <c r="B14" s="39" t="s">
        <v>47</v>
      </c>
      <c r="D14" s="81">
        <f>D16*D18</f>
        <v>10.887575367020725</v>
      </c>
      <c r="E14" s="79">
        <f>E16*E18</f>
        <v>11.612635706117358</v>
      </c>
      <c r="F14" s="79">
        <v>12.414999999999999</v>
      </c>
      <c r="G14" s="79">
        <f>G16*G18</f>
        <v>12.843569266025595</v>
      </c>
      <c r="H14" s="80">
        <f>H65*1000/(H8*12)</f>
        <v>11.939638968399926</v>
      </c>
      <c r="J14" s="81">
        <v>13.11</v>
      </c>
      <c r="K14" s="79">
        <f>K16*K18</f>
        <v>13.599285926807498</v>
      </c>
      <c r="L14" s="79">
        <v>14</v>
      </c>
      <c r="M14" s="82">
        <f>M18*M16</f>
        <v>14.203071434266125</v>
      </c>
      <c r="N14" s="80">
        <f>N65*1000/(N8*12)</f>
        <v>13.727251020967506</v>
      </c>
      <c r="P14" s="81">
        <v>14.4</v>
      </c>
      <c r="Q14" s="79">
        <f>Q16*Q18</f>
        <v>14.507387385221142</v>
      </c>
      <c r="R14" s="79">
        <v>14.53</v>
      </c>
      <c r="S14" s="82">
        <v>14.72</v>
      </c>
      <c r="T14" s="80">
        <f>T65*1000/(T8*12)</f>
        <v>14.539458277946755</v>
      </c>
      <c r="V14" s="81">
        <f>P14*(1+V15)</f>
        <v>14.976000000000001</v>
      </c>
      <c r="W14" s="79">
        <f>W16*W18</f>
        <v>15.314160916874432</v>
      </c>
      <c r="X14" s="79">
        <f>R14*(1+X15)</f>
        <v>15.619749999999998</v>
      </c>
      <c r="Y14" s="82">
        <f>S14*(1+Y15)</f>
        <v>15.536960000000002</v>
      </c>
      <c r="Z14" s="80">
        <f>Z65*1000/(Z8*12)</f>
        <v>15.368547278231144</v>
      </c>
      <c r="AB14" s="81">
        <f>V14*(1+AB15)</f>
        <v>16.848000000000003</v>
      </c>
      <c r="AC14" s="79">
        <f>W14*(1+AC15)</f>
        <v>17.228431031483737</v>
      </c>
      <c r="AD14" s="79">
        <f>X14*(1+AD15)</f>
        <v>17.572218749999998</v>
      </c>
      <c r="AE14" s="82">
        <f>Y14*(1+AE15)</f>
        <v>17.479080000000003</v>
      </c>
      <c r="AF14" s="80">
        <f>AF65*1000/(AF8*12)</f>
        <v>17.285165735985043</v>
      </c>
      <c r="AH14" s="81">
        <f>AB14*(1+AH15)</f>
        <v>18.532800000000005</v>
      </c>
      <c r="AI14" s="79">
        <f>AC14*(1+AI15)</f>
        <v>18.951274134632111</v>
      </c>
      <c r="AJ14" s="79">
        <f>AD14*(1+AJ15)</f>
        <v>19.329440625</v>
      </c>
      <c r="AK14" s="82">
        <f>AE14*(1+AK15)</f>
        <v>19.226988000000006</v>
      </c>
      <c r="AL14" s="80">
        <f>AL65*1000/(AL8*12)</f>
        <v>19.011899453869635</v>
      </c>
      <c r="AN14" s="81">
        <f>AH14*(1+AN15)</f>
        <v>19.922760000000004</v>
      </c>
      <c r="AO14" s="79">
        <f>AI14*(1+AO15)</f>
        <v>20.372619694729519</v>
      </c>
      <c r="AP14" s="79">
        <f>AJ14*(1+AP15)</f>
        <v>20.779148671874999</v>
      </c>
      <c r="AQ14" s="82">
        <f>AK14*(1+AQ15)</f>
        <v>20.669012100000007</v>
      </c>
      <c r="AR14" s="80">
        <f>AR65*1000/(AR8*12)</f>
        <v>20.436755583722967</v>
      </c>
      <c r="AT14" s="81">
        <f>AN14*(1+AT15)</f>
        <v>21.118125600000006</v>
      </c>
      <c r="AU14" s="79">
        <f>AO14*(1+AU15)</f>
        <v>21.594976876413291</v>
      </c>
      <c r="AV14" s="79">
        <f>AP14*(1+AV15)</f>
        <v>22.025897592187501</v>
      </c>
      <c r="AW14" s="82">
        <f>AQ14*(1+AW15)</f>
        <v>21.909152826000007</v>
      </c>
      <c r="AX14" s="80">
        <f>AX65*1000/(AX8*12)</f>
        <v>21.662840173303209</v>
      </c>
      <c r="AZ14" s="81">
        <f>AT14*(1+AZ15)</f>
        <v>22.174031880000008</v>
      </c>
      <c r="BA14" s="79">
        <f>AU14*(1+BA15)</f>
        <v>22.674725720233958</v>
      </c>
      <c r="BB14" s="79">
        <f>AV14*(1+BB15)</f>
        <v>23.127192471796878</v>
      </c>
      <c r="BC14" s="82">
        <f>AW14*(1+BC15)</f>
        <v>23.004610467300008</v>
      </c>
      <c r="BD14" s="80">
        <f>BD65*1000/(BD8*12)</f>
        <v>22.745885631025377</v>
      </c>
    </row>
    <row r="15" spans="2:98" s="1" customFormat="1" ht="15" x14ac:dyDescent="0.3">
      <c r="B15" s="40" t="s">
        <v>23</v>
      </c>
      <c r="D15" s="62" t="s">
        <v>35</v>
      </c>
      <c r="E15" s="9" t="s">
        <v>35</v>
      </c>
      <c r="F15" s="9" t="s">
        <v>35</v>
      </c>
      <c r="G15" s="9" t="s">
        <v>35</v>
      </c>
      <c r="H15" s="66" t="s">
        <v>35</v>
      </c>
      <c r="J15" s="62">
        <f>J14/D14-1</f>
        <v>0.20412484488614102</v>
      </c>
      <c r="K15" s="9">
        <f>K14/D14-1</f>
        <v>0.24906468780925706</v>
      </c>
      <c r="L15" s="9">
        <f>L14/E14-1</f>
        <v>0.2055833278766348</v>
      </c>
      <c r="M15" s="9">
        <f>M14/F14-1</f>
        <v>0.14402508532147618</v>
      </c>
      <c r="N15" s="66">
        <f>N14/H14-1</f>
        <v>0.14972077943887308</v>
      </c>
      <c r="P15" s="62">
        <f>P14/J14-1</f>
        <v>9.8398169336384456E-2</v>
      </c>
      <c r="Q15" s="9">
        <f>Q14/J14-1</f>
        <v>0.10658942679032357</v>
      </c>
      <c r="R15" s="9">
        <f>R14/K14-1</f>
        <v>6.8438451710014947E-2</v>
      </c>
      <c r="S15" s="9">
        <f>S14/L14-1</f>
        <v>5.1428571428571379E-2</v>
      </c>
      <c r="T15" s="66">
        <f>T14/N14-1</f>
        <v>5.9167509630198678E-2</v>
      </c>
      <c r="V15" s="62">
        <v>0.04</v>
      </c>
      <c r="W15" s="9">
        <f>W14/P14-1</f>
        <v>6.3483397005168918E-2</v>
      </c>
      <c r="X15" s="9">
        <v>7.4999999999999997E-2</v>
      </c>
      <c r="Y15" s="9">
        <v>5.5500000000000001E-2</v>
      </c>
      <c r="Z15" s="66">
        <f>Z14/T14-1</f>
        <v>5.7023376279564664E-2</v>
      </c>
      <c r="AB15" s="62">
        <v>0.125</v>
      </c>
      <c r="AC15" s="9">
        <v>0.125</v>
      </c>
      <c r="AD15" s="9">
        <v>0.125</v>
      </c>
      <c r="AE15" s="9">
        <v>0.125</v>
      </c>
      <c r="AF15" s="66">
        <f>AF14/Z14-1</f>
        <v>0.12471045070529874</v>
      </c>
      <c r="AH15" s="62">
        <v>0.1</v>
      </c>
      <c r="AI15" s="9">
        <v>0.1</v>
      </c>
      <c r="AJ15" s="9">
        <v>0.1</v>
      </c>
      <c r="AK15" s="9">
        <v>0.1</v>
      </c>
      <c r="AL15" s="66">
        <f>AL14/AF14-1</f>
        <v>9.9896856313607563E-2</v>
      </c>
      <c r="AN15" s="62">
        <v>7.4999999999999997E-2</v>
      </c>
      <c r="AO15" s="9">
        <v>7.4999999999999997E-2</v>
      </c>
      <c r="AP15" s="9">
        <v>7.4999999999999997E-2</v>
      </c>
      <c r="AQ15" s="9">
        <v>7.4999999999999997E-2</v>
      </c>
      <c r="AR15" s="66">
        <f>AR14/AL14-1</f>
        <v>7.4945490497180245E-2</v>
      </c>
      <c r="AT15" s="62">
        <v>0.06</v>
      </c>
      <c r="AU15" s="9">
        <v>0.06</v>
      </c>
      <c r="AV15" s="9">
        <v>0.06</v>
      </c>
      <c r="AW15" s="100">
        <v>0.06</v>
      </c>
      <c r="AX15" s="66">
        <f>AX14/AR14-1</f>
        <v>5.9994091750882772E-2</v>
      </c>
      <c r="AZ15" s="62">
        <v>0.05</v>
      </c>
      <c r="BA15" s="9">
        <v>0.05</v>
      </c>
      <c r="BB15" s="9">
        <v>0.05</v>
      </c>
      <c r="BC15" s="100">
        <v>0.05</v>
      </c>
      <c r="BD15" s="66">
        <f>BD14/AX14-1</f>
        <v>4.9995543015494803E-2</v>
      </c>
    </row>
    <row r="16" spans="2:98" s="1" customFormat="1" ht="15.75" thickBot="1" x14ac:dyDescent="0.35">
      <c r="B16" s="41" t="s">
        <v>48</v>
      </c>
      <c r="D16" s="52">
        <v>0.23799999999999999</v>
      </c>
      <c r="E16" s="10">
        <v>0.24959999999999999</v>
      </c>
      <c r="F16" s="10">
        <f>F14/F18</f>
        <v>0.26650980936703483</v>
      </c>
      <c r="G16" s="10">
        <v>0.27700000000000002</v>
      </c>
      <c r="H16" s="61">
        <f>H14/H18</f>
        <v>0.2578472525756686</v>
      </c>
      <c r="J16" s="52">
        <f>J14/J18</f>
        <v>0.28613636825053995</v>
      </c>
      <c r="K16" s="10">
        <v>0.29680000000000001</v>
      </c>
      <c r="L16" s="10">
        <f>L14/L18</f>
        <v>0.30287526789541364</v>
      </c>
      <c r="M16" s="83">
        <v>0.31219999999999998</v>
      </c>
      <c r="N16" s="61">
        <f>N14/N18</f>
        <v>0.29946628348033122</v>
      </c>
      <c r="P16" s="52">
        <f>P14/P18</f>
        <v>0.32350423042304233</v>
      </c>
      <c r="Q16" s="10">
        <f>Q65/Q21</f>
        <v>0.33051908148824471</v>
      </c>
      <c r="R16" s="10">
        <f>R14/R18</f>
        <v>0.34012169091762495</v>
      </c>
      <c r="S16" s="10">
        <f>S14/S18</f>
        <v>0.35693949115580326</v>
      </c>
      <c r="T16" s="61">
        <f>T14/T18</f>
        <v>0.3374196654272934</v>
      </c>
      <c r="V16" s="52">
        <f>V14/V18</f>
        <v>0.37780465617977527</v>
      </c>
      <c r="W16" s="10">
        <v>0.39500000000000002</v>
      </c>
      <c r="X16" s="10">
        <f>X14/X18</f>
        <v>0.4121489831656871</v>
      </c>
      <c r="Y16" s="83">
        <f>Y14/Y18</f>
        <v>0.42427585247717092</v>
      </c>
      <c r="Z16" s="61">
        <f>Z14/Z18</f>
        <v>0.40236098398280212</v>
      </c>
      <c r="AB16" s="52">
        <f>AB14/AB18</f>
        <v>0.45146228331143007</v>
      </c>
      <c r="AC16" s="10">
        <f>AC14/AC18</f>
        <v>0.46355457034815489</v>
      </c>
      <c r="AD16" s="10">
        <f>AD14/AD18</f>
        <v>0.47550872884590234</v>
      </c>
      <c r="AE16" s="83">
        <f>AE14/AE18</f>
        <v>0.48227544397051586</v>
      </c>
      <c r="AF16" s="61">
        <f>AF14/AF18</f>
        <v>0.46823611087973266</v>
      </c>
      <c r="AH16" s="52">
        <f>AH14/AH18</f>
        <v>0.49871416572199734</v>
      </c>
      <c r="AI16" s="10">
        <f>AI14/AI18</f>
        <v>0.50545981914349092</v>
      </c>
      <c r="AJ16" s="10">
        <f>AJ14/AJ18</f>
        <v>0.51611326414124192</v>
      </c>
      <c r="AK16" s="83">
        <f>AK14/AK18</f>
        <v>0.52155104911208161</v>
      </c>
      <c r="AL16" s="61">
        <f>AL14/AL18</f>
        <v>0.51049486825629942</v>
      </c>
      <c r="AN16" s="52">
        <f>AN14/AN18</f>
        <v>0.53089749718529244</v>
      </c>
      <c r="AO16" s="10">
        <f>AO14/AO18</f>
        <v>0.53761160544720688</v>
      </c>
      <c r="AP16" s="10">
        <f>AP14/AP18</f>
        <v>0.54819153346989302</v>
      </c>
      <c r="AQ16" s="83">
        <f>AQ14/AQ18</f>
        <v>0.55358063973604887</v>
      </c>
      <c r="AR16" s="61">
        <f>AR14/AR18</f>
        <v>0.54258515283903652</v>
      </c>
      <c r="AT16" s="52">
        <f>AT14/AT18</f>
        <v>0.55806431844625426</v>
      </c>
      <c r="AU16" s="10">
        <f>AU14/AU18</f>
        <v>0.56470840488075491</v>
      </c>
      <c r="AV16" s="10">
        <f>AV14/AV18</f>
        <v>0.57515828052753082</v>
      </c>
      <c r="AW16" s="83">
        <f>AW14/AW18</f>
        <v>0.58047189256858078</v>
      </c>
      <c r="AX16" s="61">
        <f>AX14/AX18</f>
        <v>0.56962135281611992</v>
      </c>
      <c r="AZ16" s="52">
        <f>AZ14/AZ18</f>
        <v>0.58258479546001329</v>
      </c>
      <c r="BA16" s="10">
        <f>BA14/BA18</f>
        <v>0.5891316482027954</v>
      </c>
      <c r="BB16" s="10">
        <f>BB14/BB18</f>
        <v>0.59941112361590276</v>
      </c>
      <c r="BC16" s="83">
        <f>BC14/BC18</f>
        <v>0.60462991583393588</v>
      </c>
      <c r="BD16" s="61">
        <f>BD14/BD18</f>
        <v>0.59396407049078759</v>
      </c>
    </row>
    <row r="17" spans="2:56" s="1" customFormat="1" ht="15.75" thickBot="1" x14ac:dyDescent="0.35">
      <c r="D17" s="36"/>
      <c r="E17" s="36"/>
      <c r="F17" s="36"/>
      <c r="G17" s="36"/>
      <c r="H17" s="36"/>
      <c r="J17" s="36"/>
      <c r="K17" s="36"/>
      <c r="L17" s="36"/>
      <c r="M17" s="36"/>
      <c r="N17" s="36"/>
      <c r="P17" s="36"/>
      <c r="Q17" s="36"/>
      <c r="R17" s="36"/>
      <c r="S17" s="36"/>
      <c r="T17" s="36"/>
      <c r="V17" s="36"/>
      <c r="W17" s="36"/>
      <c r="X17" s="36"/>
      <c r="Y17" s="36"/>
      <c r="Z17" s="36"/>
      <c r="AB17" s="36"/>
      <c r="AC17" s="36"/>
      <c r="AD17" s="36"/>
      <c r="AE17" s="36"/>
      <c r="AF17" s="36"/>
      <c r="AH17" s="36"/>
      <c r="AI17" s="36"/>
      <c r="AJ17" s="36"/>
      <c r="AK17" s="36"/>
      <c r="AL17" s="36"/>
      <c r="AN17" s="36"/>
      <c r="AO17" s="36"/>
      <c r="AP17" s="36"/>
      <c r="AQ17" s="36"/>
      <c r="AR17" s="36"/>
      <c r="AT17" s="36"/>
      <c r="AU17" s="36"/>
      <c r="AV17" s="36"/>
      <c r="AW17" s="36"/>
      <c r="AX17" s="36"/>
      <c r="AZ17" s="36"/>
      <c r="BA17" s="36"/>
      <c r="BB17" s="36"/>
      <c r="BC17" s="36"/>
      <c r="BD17" s="36"/>
    </row>
    <row r="18" spans="2:56" s="13" customFormat="1" ht="15" x14ac:dyDescent="0.3">
      <c r="B18" s="42" t="s">
        <v>29</v>
      </c>
      <c r="D18" s="45">
        <f>D21*1000/(D8*3)</f>
        <v>45.746114987482038</v>
      </c>
      <c r="E18" s="19">
        <f>E21*1000/(E8*3)</f>
        <v>46.524982796944542</v>
      </c>
      <c r="F18" s="19">
        <f>F21*1000/(F8*3)</f>
        <v>46.583651196501279</v>
      </c>
      <c r="G18" s="19">
        <f>G21*1000/(G8*3)</f>
        <v>46.366676050633913</v>
      </c>
      <c r="H18" s="57">
        <f>H21*1000/(H8*12)</f>
        <v>46.30508508092823</v>
      </c>
      <c r="J18" s="45">
        <f>J21*1000/(J8*3)</f>
        <v>45.817314590786069</v>
      </c>
      <c r="K18" s="19">
        <f>K21*1000/(K8*3)</f>
        <v>45.819696518893188</v>
      </c>
      <c r="L18" s="19">
        <f>L21*1000/(L8*3)</f>
        <v>46.223648755745756</v>
      </c>
      <c r="M18" s="19">
        <f>M21*1000/(M8*3)</f>
        <v>45.493502351909434</v>
      </c>
      <c r="N18" s="57">
        <f>N21*1000/(N8*12)</f>
        <v>45.839053603739352</v>
      </c>
      <c r="P18" s="45">
        <f>P21*1000/(P8*3)</f>
        <v>44.512555465408617</v>
      </c>
      <c r="Q18" s="19">
        <f>Q21*1000/(Q8*3)</f>
        <v>43.892737810773305</v>
      </c>
      <c r="R18" s="19">
        <f>R21*1000/(R8*3)</f>
        <v>42.720004010326591</v>
      </c>
      <c r="S18" s="19">
        <f>S21*1000/(S8*3)</f>
        <v>41.239482782740772</v>
      </c>
      <c r="T18" s="57">
        <f>T21*1000/(T8*12)</f>
        <v>43.090133052958329</v>
      </c>
      <c r="V18" s="45">
        <f>V21*1000/(V8*3)</f>
        <v>39.639532639517796</v>
      </c>
      <c r="W18" s="19">
        <f>W21*1000/(W8*3)</f>
        <v>38.770027637656788</v>
      </c>
      <c r="X18" s="19">
        <f>X11+X14</f>
        <v>37.898310169361103</v>
      </c>
      <c r="Y18" s="46">
        <f>Y11+Y14</f>
        <v>36.619948812278921</v>
      </c>
      <c r="Z18" s="57">
        <f>Z21*1000/(Z8*12)</f>
        <v>38.195918317189602</v>
      </c>
      <c r="AB18" s="45">
        <f>AB11+AB14</f>
        <v>37.31873209079977</v>
      </c>
      <c r="AC18" s="19">
        <f>AC11+AC14</f>
        <v>37.165917744148743</v>
      </c>
      <c r="AD18" s="19">
        <f>AD11+AD14</f>
        <v>36.954566097344156</v>
      </c>
      <c r="AE18" s="46">
        <f>AE11+AE14</f>
        <v>36.24294004292824</v>
      </c>
      <c r="AF18" s="57">
        <f>AF21*1000/(AF8*12)</f>
        <v>36.915490570578335</v>
      </c>
      <c r="AH18" s="45">
        <f>AH11+AH14</f>
        <v>37.161166202627797</v>
      </c>
      <c r="AI18" s="19">
        <f>AI11+AI14</f>
        <v>37.493136777410562</v>
      </c>
      <c r="AJ18" s="19">
        <f>AJ11+AJ14</f>
        <v>37.451935394766792</v>
      </c>
      <c r="AK18" s="46">
        <f>AK11+AK14</f>
        <v>36.865016440352548</v>
      </c>
      <c r="AL18" s="57">
        <f>AL21*1000/(AL8*12)</f>
        <v>37.242097102383617</v>
      </c>
      <c r="AN18" s="45">
        <f>AN11+AN14</f>
        <v>37.526566061483265</v>
      </c>
      <c r="AO18" s="19">
        <f>AO11+AO14</f>
        <v>37.894679892155153</v>
      </c>
      <c r="AP18" s="19">
        <f>AP11+AP14</f>
        <v>37.904906229304615</v>
      </c>
      <c r="AQ18" s="46">
        <f>AQ11+AQ14</f>
        <v>37.336948976133158</v>
      </c>
      <c r="AR18" s="57">
        <f>AR21*1000/(AR8*12)</f>
        <v>37.665526741358775</v>
      </c>
      <c r="AT18" s="45">
        <f>AT11+AT14</f>
        <v>37.841741358409102</v>
      </c>
      <c r="AU18" s="19">
        <f>AU11+AU14</f>
        <v>38.240934063967643</v>
      </c>
      <c r="AV18" s="19">
        <f>AV11+AV14</f>
        <v>38.29536727174564</v>
      </c>
      <c r="AW18" s="46">
        <f>AW11+AW14</f>
        <v>37.743692858326497</v>
      </c>
      <c r="AX18" s="57">
        <f>AX21*1000/(AX8*12)</f>
        <v>38.030245997987045</v>
      </c>
      <c r="AZ18" s="45">
        <f>AZ11+AZ14</f>
        <v>38.06146685048865</v>
      </c>
      <c r="BA18" s="19">
        <f>BA11+BA14</f>
        <v>38.488385048410592</v>
      </c>
      <c r="BB18" s="19">
        <f>BB11+BB14</f>
        <v>38.583188667377108</v>
      </c>
      <c r="BC18" s="46">
        <f>BC11+BC14</f>
        <v>38.047423498010176</v>
      </c>
      <c r="BD18" s="57">
        <f>BD21*1000/(BD8*12)</f>
        <v>38.295053120352279</v>
      </c>
    </row>
    <row r="19" spans="2:56" s="1" customFormat="1" ht="15.75" thickBot="1" x14ac:dyDescent="0.35">
      <c r="B19" s="41" t="s">
        <v>23</v>
      </c>
      <c r="D19" s="52" t="s">
        <v>35</v>
      </c>
      <c r="E19" s="10" t="s">
        <v>35</v>
      </c>
      <c r="F19" s="10" t="s">
        <v>35</v>
      </c>
      <c r="G19" s="10" t="s">
        <v>35</v>
      </c>
      <c r="H19" s="61" t="s">
        <v>35</v>
      </c>
      <c r="J19" s="52">
        <f>(J18-D18)/D18</f>
        <v>1.5564076495569908E-3</v>
      </c>
      <c r="K19" s="10">
        <f>(K18-E18)/E18</f>
        <v>-1.5159302285602826E-2</v>
      </c>
      <c r="L19" s="10">
        <f>(L18-F18)/F18</f>
        <v>-7.7280855301990773E-3</v>
      </c>
      <c r="M19" s="10">
        <f>(M18-G18)/G18</f>
        <v>-1.8831923551538281E-2</v>
      </c>
      <c r="N19" s="61">
        <f>(N18-H18)/H18</f>
        <v>-1.0064369310074395E-2</v>
      </c>
      <c r="P19" s="52">
        <f>(P18-J18)/J18</f>
        <v>-2.8477424681712802E-2</v>
      </c>
      <c r="Q19" s="10">
        <f>(Q18-K18)/K18</f>
        <v>-4.2055248168772263E-2</v>
      </c>
      <c r="R19" s="10">
        <f>(R18-L18)/L18</f>
        <v>-7.5797667205656297E-2</v>
      </c>
      <c r="S19" s="10">
        <f>(S18-M18)/M18</f>
        <v>-9.3508289079662688E-2</v>
      </c>
      <c r="T19" s="61">
        <f>(T18-N18)/N18</f>
        <v>-5.9968963900179161E-2</v>
      </c>
      <c r="V19" s="52">
        <f>(V18-P18)/P18</f>
        <v>-0.1094752429947034</v>
      </c>
      <c r="W19" s="10">
        <f>(W18-Q18)/Q18</f>
        <v>-0.11670974353892244</v>
      </c>
      <c r="X19" s="10">
        <f>(X18-R18)/R18</f>
        <v>-0.1128673545957522</v>
      </c>
      <c r="Y19" s="83">
        <f>(Y18-S18)/S18</f>
        <v>-0.1120172625539131</v>
      </c>
      <c r="Z19" s="61">
        <f>(Z18-T18)/T18</f>
        <v>-0.11358086849612821</v>
      </c>
      <c r="AB19" s="52">
        <f>(AB18-V18)/V18</f>
        <v>-5.8547626426966315E-2</v>
      </c>
      <c r="AC19" s="10">
        <f>(AC18-W18)/W18</f>
        <v>-4.1374999999999898E-2</v>
      </c>
      <c r="AD19" s="10">
        <f>(AD18-X18)/X18</f>
        <v>-2.4902009292749886E-2</v>
      </c>
      <c r="AE19" s="83">
        <f>(AE18-Y18)/Y18</f>
        <v>-1.0295174667864837E-2</v>
      </c>
      <c r="AF19" s="61">
        <f>(AF18-Z18)/Z18</f>
        <v>-3.352263286297337E-2</v>
      </c>
      <c r="AH19" s="52">
        <f>(AH18-AB18)/AB18</f>
        <v>-4.2221661708281392E-3</v>
      </c>
      <c r="AI19" s="10">
        <f>(AI18-AC18)/AC18</f>
        <v>8.8042769591862302E-3</v>
      </c>
      <c r="AJ19" s="10">
        <f>(AJ18-AD18)/AD18</f>
        <v>1.3458940259574082E-2</v>
      </c>
      <c r="AK19" s="83">
        <f>(AK18-AE18)/AE18</f>
        <v>1.7164071035282599E-2</v>
      </c>
      <c r="AL19" s="61">
        <f>(AL18-AF18)/AF18</f>
        <v>8.8474113917258353E-3</v>
      </c>
      <c r="AN19" s="52">
        <f>(AN18-AH18)/AH18</f>
        <v>9.8328415438595634E-3</v>
      </c>
      <c r="AO19" s="10">
        <f>(AO18-AI18)/AI18</f>
        <v>1.0709776488653752E-2</v>
      </c>
      <c r="AP19" s="10">
        <f>(AP18-AJ18)/AJ18</f>
        <v>1.2094724338361342E-2</v>
      </c>
      <c r="AQ19" s="83">
        <f>(AQ18-AK18)/AK18</f>
        <v>1.2801636384570584E-2</v>
      </c>
      <c r="AR19" s="61">
        <f>(AR18-AL18)/AL18</f>
        <v>1.1369650796277442E-2</v>
      </c>
      <c r="AT19" s="52">
        <f>(AT18-AN18)/AN18</f>
        <v>8.3987246903821627E-3</v>
      </c>
      <c r="AU19" s="10">
        <f>(AU18-AO18)/AO18</f>
        <v>9.1372765991927576E-3</v>
      </c>
      <c r="AV19" s="10">
        <f>(AV18-AP18)/AP18</f>
        <v>1.0301068681688393E-2</v>
      </c>
      <c r="AW19" s="83">
        <f>(AW18-AQ18)/AQ18</f>
        <v>1.0893870370965278E-2</v>
      </c>
      <c r="AX19" s="61">
        <f>(AX18-AR18)/AR18</f>
        <v>9.6831051675639618E-3</v>
      </c>
      <c r="AZ19" s="52">
        <f>(AZ18-AT18)/AT18</f>
        <v>5.8064318446254693E-3</v>
      </c>
      <c r="BA19" s="10">
        <f>(BA18-AU18)/AU18</f>
        <v>6.4708404880755447E-3</v>
      </c>
      <c r="BB19" s="10">
        <f>(BB18-AV18)/AV18</f>
        <v>7.5158280527530819E-3</v>
      </c>
      <c r="BC19" s="83">
        <f>(BC18-AW18)/AW18</f>
        <v>8.0471892568581404E-3</v>
      </c>
      <c r="BD19" s="61">
        <f>(BD18-AX18)/AX18</f>
        <v>6.9630662494071186E-3</v>
      </c>
    </row>
    <row r="20" spans="2:56" s="1" customFormat="1" ht="15.75" thickBot="1" x14ac:dyDescent="0.35">
      <c r="B20" s="6"/>
      <c r="D20" s="8"/>
      <c r="E20" s="8"/>
      <c r="F20" s="37"/>
      <c r="G20" s="12"/>
      <c r="H20" s="8"/>
      <c r="J20" s="8"/>
      <c r="K20" s="8"/>
      <c r="L20" s="12"/>
      <c r="M20" s="12"/>
      <c r="N20" s="8"/>
      <c r="P20" s="8"/>
      <c r="Q20" s="8"/>
      <c r="R20" s="12"/>
      <c r="S20" s="12"/>
      <c r="T20" s="8"/>
      <c r="V20" s="8"/>
      <c r="W20" s="8"/>
      <c r="X20" s="12"/>
      <c r="Y20" s="12"/>
      <c r="Z20" s="8"/>
      <c r="AB20" s="8"/>
      <c r="AC20" s="8"/>
      <c r="AD20" s="12"/>
      <c r="AE20" s="12"/>
      <c r="AF20" s="8"/>
      <c r="AH20" s="8"/>
      <c r="AI20" s="8"/>
      <c r="AJ20" s="12"/>
      <c r="AK20" s="12"/>
      <c r="AL20" s="8"/>
      <c r="AN20" s="8"/>
      <c r="AO20" s="8"/>
      <c r="AP20" s="12"/>
      <c r="AQ20" s="12"/>
      <c r="AR20" s="8"/>
      <c r="AT20" s="8"/>
      <c r="AU20" s="8"/>
      <c r="AV20" s="12"/>
      <c r="AW20" s="12"/>
      <c r="AX20" s="8"/>
      <c r="AZ20" s="8"/>
      <c r="BA20" s="8"/>
      <c r="BB20" s="12"/>
      <c r="BC20" s="12"/>
      <c r="BD20" s="8"/>
    </row>
    <row r="21" spans="2:56" s="13" customFormat="1" ht="15" x14ac:dyDescent="0.3">
      <c r="B21" s="42" t="s">
        <v>30</v>
      </c>
      <c r="D21" s="49">
        <v>4632</v>
      </c>
      <c r="E21" s="14">
        <v>4699</v>
      </c>
      <c r="F21" s="14">
        <v>4708</v>
      </c>
      <c r="G21" s="35">
        <v>4694</v>
      </c>
      <c r="H21" s="35">
        <f>(D21+E21+F21+G21)</f>
        <v>18733</v>
      </c>
      <c r="J21" s="49">
        <v>4630</v>
      </c>
      <c r="K21" s="14">
        <v>4620</v>
      </c>
      <c r="L21" s="14">
        <v>4666</v>
      </c>
      <c r="M21" s="35">
        <v>4565</v>
      </c>
      <c r="N21" s="35">
        <f>(J21+K21+L21+M21)</f>
        <v>18481</v>
      </c>
      <c r="P21" s="49">
        <v>4444</v>
      </c>
      <c r="Q21" s="14">
        <v>4381</v>
      </c>
      <c r="R21" s="14">
        <v>4261</v>
      </c>
      <c r="S21" s="35">
        <v>4127</v>
      </c>
      <c r="T21" s="35">
        <f>(P21+Q21+R21+S21)</f>
        <v>17213</v>
      </c>
      <c r="V21" s="49">
        <v>4005</v>
      </c>
      <c r="W21" s="14">
        <v>4012</v>
      </c>
      <c r="X21" s="14">
        <f>X18*3/1000*X8</f>
        <v>4034.0666768225574</v>
      </c>
      <c r="Y21" s="35">
        <f>Y18*3/1000*Y8</f>
        <v>4033.5591918516802</v>
      </c>
      <c r="Z21" s="35">
        <f>(V21+W21+X21+Y21)</f>
        <v>16084.625868674237</v>
      </c>
      <c r="AB21" s="49">
        <f>AB18*3/1000*AB8</f>
        <v>4219.4051251141855</v>
      </c>
      <c r="AC21" s="14">
        <f>AC18*3/1000*AC8</f>
        <v>4252.3013127790346</v>
      </c>
      <c r="AD21" s="14">
        <f>AD18*3/1000*AD8</f>
        <v>4275.2367972356478</v>
      </c>
      <c r="AE21" s="35">
        <f>AE18*3/1000*AE8</f>
        <v>4244.5556801874982</v>
      </c>
      <c r="AF21" s="35">
        <f>(AB21+AC21+AD21+AE21)</f>
        <v>16991.498915316366</v>
      </c>
      <c r="AH21" s="49">
        <f>AH18*3/1000*AH8</f>
        <v>4396.686218097705</v>
      </c>
      <c r="AI21" s="14">
        <f>AI18*3/1000*AI8</f>
        <v>4461.2708520073047</v>
      </c>
      <c r="AJ21" s="14">
        <f>AJ18*3/1000*AJ8</f>
        <v>4481.6483970793734</v>
      </c>
      <c r="AK21" s="35">
        <f>AK18*3/1000*AK8</f>
        <v>4439.0640896486111</v>
      </c>
      <c r="AL21" s="35">
        <f>(AH21+AI21+AJ21+AK21)</f>
        <v>17778.669556832996</v>
      </c>
      <c r="AN21" s="49">
        <f>AN18*3/1000*AN8</f>
        <v>4541.2398653643359</v>
      </c>
      <c r="AO21" s="14">
        <f>AO18*3/1000*AO8</f>
        <v>4597.15519643691</v>
      </c>
      <c r="AP21" s="14">
        <f>AP18*3/1000*AP8</f>
        <v>4609.7672661706511</v>
      </c>
      <c r="AQ21" s="35">
        <f>AQ18*3/1000*AQ8</f>
        <v>4556.0972042361127</v>
      </c>
      <c r="AR21" s="35">
        <f>(AN21+AO21+AP21+AQ21)</f>
        <v>18304.259532208009</v>
      </c>
      <c r="AT21" s="49">
        <f>AT18*3/1000*AT8</f>
        <v>4631.8859048813119</v>
      </c>
      <c r="AU21" s="14">
        <f>AU18*3/1000*AU8</f>
        <v>4689.3519009951278</v>
      </c>
      <c r="AV21" s="14">
        <f>AV18*3/1000*AV8</f>
        <v>4706.0793886575493</v>
      </c>
      <c r="AW21" s="35">
        <f>AW18*3/1000*AW8</f>
        <v>4655.2693334531323</v>
      </c>
      <c r="AX21" s="35">
        <f>(AT21+AU21+AV21+AW21)</f>
        <v>18682.586527987121</v>
      </c>
      <c r="AZ21" s="49">
        <f>AZ18*3/1000*AZ8</f>
        <v>4710.1636149482465</v>
      </c>
      <c r="BA21" s="14">
        <f>BA18*3/1000*BA8</f>
        <v>4771.6552689542759</v>
      </c>
      <c r="BB21" s="14">
        <f>BB18*3/1000*BB8</f>
        <v>4792.0899072712382</v>
      </c>
      <c r="BC21" s="35">
        <f>BC18*3/1000*BC8</f>
        <v>4739.8148533998647</v>
      </c>
      <c r="BD21" s="35">
        <f>(AZ21+BA21+BB21+BC21)</f>
        <v>19013.723644573627</v>
      </c>
    </row>
    <row r="22" spans="2:56" s="1" customFormat="1" ht="15.75" thickBot="1" x14ac:dyDescent="0.35">
      <c r="B22" s="41" t="s">
        <v>23</v>
      </c>
      <c r="D22" s="52" t="s">
        <v>35</v>
      </c>
      <c r="E22" s="10" t="s">
        <v>35</v>
      </c>
      <c r="F22" s="10" t="s">
        <v>35</v>
      </c>
      <c r="G22" s="10" t="s">
        <v>35</v>
      </c>
      <c r="H22" s="61" t="s">
        <v>35</v>
      </c>
      <c r="J22" s="52">
        <f>(J21-D21)/D21</f>
        <v>-4.3177892918825559E-4</v>
      </c>
      <c r="K22" s="10">
        <f>(K21-E21)/E21</f>
        <v>-1.681208767822941E-2</v>
      </c>
      <c r="L22" s="10">
        <f>(L21-F21)/F21</f>
        <v>-8.9209855564995749E-3</v>
      </c>
      <c r="M22" s="83">
        <f>(M21-G21)/G21</f>
        <v>-2.748189177673626E-2</v>
      </c>
      <c r="N22" s="83">
        <f>(N21-H21)/H21</f>
        <v>-1.3452196658303529E-2</v>
      </c>
      <c r="P22" s="52">
        <f>(P21-J21)/J21</f>
        <v>-4.0172786177105832E-2</v>
      </c>
      <c r="Q22" s="10">
        <f>(Q21-K21)/K21</f>
        <v>-5.1731601731601733E-2</v>
      </c>
      <c r="R22" s="10">
        <f>(R21-L21)/L21</f>
        <v>-8.6798114016288036E-2</v>
      </c>
      <c r="S22" s="83">
        <f>(S21-M21)/M21</f>
        <v>-9.5947426067908001E-2</v>
      </c>
      <c r="T22" s="83">
        <f>(T21-N21)/N21</f>
        <v>-6.8611005897949245E-2</v>
      </c>
      <c r="V22" s="52">
        <f>(V21-P21)/P21</f>
        <v>-9.8784878487848782E-2</v>
      </c>
      <c r="W22" s="10">
        <f>(W21-Q21)/Q21</f>
        <v>-8.4227345354941793E-2</v>
      </c>
      <c r="X22" s="10">
        <f>(X21-R21)/R21</f>
        <v>-5.3258231208036286E-2</v>
      </c>
      <c r="Y22" s="83">
        <f>(Y21-S21)/S21</f>
        <v>-2.2641339507710148E-2</v>
      </c>
      <c r="Z22" s="83">
        <f>(Z21-T21)/T21</f>
        <v>-6.55536008438833E-2</v>
      </c>
      <c r="AB22" s="52">
        <f>(AB21-V21)/V21</f>
        <v>5.3534363324390877E-2</v>
      </c>
      <c r="AC22" s="10">
        <f>(AC21-W21)/W21</f>
        <v>5.98956412709458E-2</v>
      </c>
      <c r="AD22" s="10">
        <f>(AD21-X21)/X21</f>
        <v>5.9783374875461572E-2</v>
      </c>
      <c r="AE22" s="83">
        <f>(AE21-Y21)/Y21</f>
        <v>5.2310249657934509E-2</v>
      </c>
      <c r="AF22" s="83">
        <f>(AF21-Z21)/Z21</f>
        <v>5.6381357828677779E-2</v>
      </c>
      <c r="AH22" s="52">
        <f>(AH21-AB21)/AB21</f>
        <v>4.2015660437138509E-2</v>
      </c>
      <c r="AI22" s="10">
        <f>(AI21-AC21)/AC21</f>
        <v>4.9142693298867127E-2</v>
      </c>
      <c r="AJ22" s="10">
        <f>(AJ21-AD21)/AD21</f>
        <v>4.8280740841581099E-2</v>
      </c>
      <c r="AK22" s="83">
        <f>(AK21-AE21)/AE21</f>
        <v>4.5825387653418828E-2</v>
      </c>
      <c r="AL22" s="83">
        <f>(AL21-AF21)/AF21</f>
        <v>4.6327322000242352E-2</v>
      </c>
      <c r="AN22" s="52">
        <f>(AN21-AH21)/AH21</f>
        <v>3.2877863030483498E-2</v>
      </c>
      <c r="AO22" s="10">
        <f>(AO21-AI21)/AI21</f>
        <v>3.0458662775084709E-2</v>
      </c>
      <c r="AP22" s="10">
        <f>(AP21-AJ21)/AJ21</f>
        <v>2.8587443221733091E-2</v>
      </c>
      <c r="AQ22" s="83">
        <f>(AQ21-AK21)/AK21</f>
        <v>2.6364366953027192E-2</v>
      </c>
      <c r="AR22" s="83">
        <f>(AR21-AL21)/AL21</f>
        <v>2.9562953161082248E-2</v>
      </c>
      <c r="AT22" s="52">
        <f>(AT21-AN21)/AN21</f>
        <v>1.9960636787395004E-2</v>
      </c>
      <c r="AU22" s="10">
        <f>(AU21-AO21)/AO21</f>
        <v>2.0055164687430207E-2</v>
      </c>
      <c r="AV22" s="10">
        <f>(AV21-AP21)/AP21</f>
        <v>2.0893055316197135E-2</v>
      </c>
      <c r="AW22" s="83">
        <f>(AW21-AQ21)/AQ21</f>
        <v>2.1766903727342014E-2</v>
      </c>
      <c r="AX22" s="83">
        <f>(AX21-AR21)/AR21</f>
        <v>2.0668795430561496E-2</v>
      </c>
      <c r="AZ22" s="52">
        <f>(AZ21-AT21)/AT21</f>
        <v>1.6899749189512984E-2</v>
      </c>
      <c r="BA22" s="10">
        <f>(BA21-AU21)/AU21</f>
        <v>1.7551117872318878E-2</v>
      </c>
      <c r="BB22" s="10">
        <f>(BB21-AV21)/AV21</f>
        <v>1.8276469967971394E-2</v>
      </c>
      <c r="BC22" s="83">
        <f>(BC21-AW21)/AW21</f>
        <v>1.8161252097527766E-2</v>
      </c>
      <c r="BD22" s="83">
        <f>(BD21-AX21)/AX21</f>
        <v>1.7724372162840063E-2</v>
      </c>
    </row>
    <row r="23" spans="2:56" s="1" customFormat="1" ht="15.75" thickBot="1" x14ac:dyDescent="0.35">
      <c r="D23" s="2"/>
      <c r="E23" s="2"/>
      <c r="F23" s="11"/>
      <c r="G23" s="11"/>
      <c r="H23" s="2"/>
      <c r="J23" s="2"/>
      <c r="K23" s="2"/>
      <c r="L23" s="11"/>
      <c r="M23" s="11"/>
      <c r="N23" s="2"/>
      <c r="P23" s="2"/>
      <c r="Q23" s="2"/>
      <c r="R23" s="11"/>
      <c r="S23" s="11"/>
      <c r="T23" s="2"/>
      <c r="V23" s="2"/>
      <c r="W23" s="2"/>
      <c r="X23" s="11"/>
      <c r="Y23" s="11"/>
      <c r="Z23" s="2"/>
      <c r="AB23" s="2"/>
      <c r="AC23" s="2"/>
      <c r="AD23" s="11"/>
      <c r="AE23" s="11"/>
      <c r="AF23" s="2"/>
      <c r="AH23" s="2"/>
      <c r="AI23" s="2"/>
      <c r="AJ23" s="11"/>
      <c r="AK23" s="11"/>
      <c r="AL23" s="2"/>
      <c r="AN23" s="2"/>
      <c r="AO23" s="2"/>
      <c r="AP23" s="11"/>
      <c r="AQ23" s="11"/>
      <c r="AR23" s="2"/>
      <c r="AT23" s="2"/>
      <c r="AU23" s="2"/>
      <c r="AV23" s="11"/>
      <c r="AW23" s="11"/>
      <c r="AX23" s="2"/>
      <c r="AZ23" s="2"/>
      <c r="BA23" s="2"/>
      <c r="BB23" s="11"/>
      <c r="BC23" s="11"/>
      <c r="BD23" s="2"/>
    </row>
    <row r="24" spans="2:56" s="1" customFormat="1" ht="15" x14ac:dyDescent="0.3">
      <c r="B24" s="38" t="s">
        <v>41</v>
      </c>
      <c r="D24" s="69">
        <v>3.1E-2</v>
      </c>
      <c r="E24" s="70">
        <v>3.4000000000000002E-2</v>
      </c>
      <c r="F24" s="70">
        <v>3.4000000000000002E-2</v>
      </c>
      <c r="G24" s="70">
        <v>3.5999999999999997E-2</v>
      </c>
      <c r="H24" s="67">
        <f>(D24+E24+F24+G24)/4</f>
        <v>3.3750000000000002E-2</v>
      </c>
      <c r="J24" s="69">
        <v>3.4000000000000002E-2</v>
      </c>
      <c r="K24" s="70">
        <v>3.3000000000000002E-2</v>
      </c>
      <c r="L24" s="70">
        <v>3.5000000000000003E-2</v>
      </c>
      <c r="M24" s="70">
        <v>0.04</v>
      </c>
      <c r="N24" s="67">
        <f>(J24+K24+L24+M24)/4</f>
        <v>3.5500000000000004E-2</v>
      </c>
      <c r="P24" s="69">
        <v>3.3000000000000002E-2</v>
      </c>
      <c r="Q24" s="70">
        <v>3.1E-2</v>
      </c>
      <c r="R24" s="70">
        <v>3.4000000000000002E-2</v>
      </c>
      <c r="S24" s="70">
        <v>3.6999999999999998E-2</v>
      </c>
      <c r="T24" s="67">
        <f>(P24+Q24+R24+S24)/4</f>
        <v>3.3750000000000002E-2</v>
      </c>
      <c r="V24" s="69">
        <v>3.3000000000000002E-2</v>
      </c>
      <c r="W24" s="70">
        <v>3.3000000000000002E-2</v>
      </c>
      <c r="X24" s="70">
        <v>3.2000000000000001E-2</v>
      </c>
      <c r="Y24" s="70">
        <v>3.4000000000000002E-2</v>
      </c>
      <c r="Z24" s="67">
        <f>(V24+W24+X24+Y24)/4</f>
        <v>3.3000000000000002E-2</v>
      </c>
      <c r="AB24" s="69">
        <v>3.3000000000000002E-2</v>
      </c>
      <c r="AC24" s="70">
        <v>3.2000000000000001E-2</v>
      </c>
      <c r="AD24" s="70">
        <v>3.3000000000000002E-2</v>
      </c>
      <c r="AE24" s="101">
        <v>3.5000000000000003E-2</v>
      </c>
      <c r="AF24" s="240">
        <f>(AB24+AC24+AD24+AE24)/4</f>
        <v>3.3250000000000002E-2</v>
      </c>
      <c r="AH24" s="69">
        <v>3.2000000000000001E-2</v>
      </c>
      <c r="AI24" s="70">
        <v>3.2000000000000001E-2</v>
      </c>
      <c r="AJ24" s="70">
        <v>3.2099999999999997E-2</v>
      </c>
      <c r="AK24" s="101">
        <v>3.3000000000000002E-2</v>
      </c>
      <c r="AL24" s="240">
        <f>(AH24+AI24+AJ24+AK24)/4</f>
        <v>3.2274999999999998E-2</v>
      </c>
      <c r="AN24" s="69">
        <v>3.1E-2</v>
      </c>
      <c r="AO24" s="70">
        <v>3.1E-2</v>
      </c>
      <c r="AP24" s="70">
        <v>3.1E-2</v>
      </c>
      <c r="AQ24" s="101">
        <v>3.2000000000000001E-2</v>
      </c>
      <c r="AR24" s="435">
        <f>(AN24+AO24+AP24+AQ24)/4</f>
        <v>3.125E-2</v>
      </c>
      <c r="AT24" s="69">
        <v>0.03</v>
      </c>
      <c r="AU24" s="70">
        <v>0.03</v>
      </c>
      <c r="AV24" s="70">
        <v>0.03</v>
      </c>
      <c r="AW24" s="101">
        <v>0.03</v>
      </c>
      <c r="AX24" s="435">
        <f>(AT24+AU24+AV24+AW24)/4</f>
        <v>0.03</v>
      </c>
      <c r="AZ24" s="69">
        <v>0.03</v>
      </c>
      <c r="BA24" s="70">
        <v>0.03</v>
      </c>
      <c r="BB24" s="70">
        <v>0.03</v>
      </c>
      <c r="BC24" s="101">
        <v>0.03</v>
      </c>
      <c r="BD24" s="435">
        <f>(AZ24+BA24+BB24+BC24)/4</f>
        <v>0.03</v>
      </c>
    </row>
    <row r="25" spans="2:56" s="1" customFormat="1" ht="15" x14ac:dyDescent="0.3">
      <c r="B25" s="40" t="s">
        <v>45</v>
      </c>
      <c r="D25" s="33">
        <f>D24*3*D8</f>
        <v>3138.8894999999998</v>
      </c>
      <c r="E25" s="7">
        <f>E24*3*E8</f>
        <v>3433.9830000000002</v>
      </c>
      <c r="F25" s="7">
        <f>F24*3*F8</f>
        <v>3436.2270000000003</v>
      </c>
      <c r="G25" s="7">
        <f>G24*3*G8</f>
        <v>3644.5139999999997</v>
      </c>
      <c r="H25" s="55">
        <f>D25+E25+F25+G25</f>
        <v>13653.613499999999</v>
      </c>
      <c r="J25" s="33">
        <f>J24*3*J8</f>
        <v>3435.8190000000004</v>
      </c>
      <c r="K25" s="7">
        <f>K24*3*K8</f>
        <v>3327.3900000000003</v>
      </c>
      <c r="L25" s="7">
        <f>L24*3*L8</f>
        <v>3533.0400000000004</v>
      </c>
      <c r="M25" s="7">
        <f>M24*3*M8</f>
        <v>4013.7599999999998</v>
      </c>
      <c r="N25" s="55">
        <f>J25+K25+L25+M25</f>
        <v>14310.009000000002</v>
      </c>
      <c r="P25" s="33">
        <f>P24*3*P8</f>
        <v>3294.6210000000001</v>
      </c>
      <c r="Q25" s="7">
        <f>Q24*3*Q8</f>
        <v>3094.1565000000001</v>
      </c>
      <c r="R25" s="7">
        <f>R24*3*R8</f>
        <v>3391.2450000000003</v>
      </c>
      <c r="S25" s="7">
        <f>S24*3*S8</f>
        <v>3702.7379999999994</v>
      </c>
      <c r="T25" s="55">
        <f>P25+Q25+R25+S25</f>
        <v>13482.7605</v>
      </c>
      <c r="V25" s="33">
        <f>V24*3*V8</f>
        <v>3334.1715000000004</v>
      </c>
      <c r="W25" s="7">
        <f>W24*3*W8</f>
        <v>3414.9059999999999</v>
      </c>
      <c r="X25" s="7">
        <f>X24*3*X8</f>
        <v>3406.2240000000002</v>
      </c>
      <c r="Y25" s="7">
        <f>Y24*3*Y8</f>
        <v>3744.9810000000002</v>
      </c>
      <c r="Z25" s="55">
        <f>V25+W25+X25+Y25</f>
        <v>13900.282500000001</v>
      </c>
      <c r="AB25" s="33">
        <f>AB24*3*AB8</f>
        <v>3731.1120000000001</v>
      </c>
      <c r="AC25" s="7">
        <f>AC24*3*AC8</f>
        <v>3661.248</v>
      </c>
      <c r="AD25" s="7">
        <f>AD24*3*AD8</f>
        <v>3817.7370000000001</v>
      </c>
      <c r="AE25" s="34">
        <f>AE24*3*AE8</f>
        <v>4098.9900000000007</v>
      </c>
      <c r="AF25" s="34">
        <f>AB25+AC25+AD25+AE25</f>
        <v>15309.087000000003</v>
      </c>
      <c r="AH25" s="33">
        <f>AH24*3*AH8</f>
        <v>3786.0480000000002</v>
      </c>
      <c r="AI25" s="7">
        <f>AI24*3*AI8</f>
        <v>3807.6480000000001</v>
      </c>
      <c r="AJ25" s="7">
        <f>AJ24*3*AJ8</f>
        <v>3841.2143999999998</v>
      </c>
      <c r="AK25" s="34">
        <f>AK24*3*AK8</f>
        <v>3973.6620000000003</v>
      </c>
      <c r="AL25" s="34">
        <f>AH25+AI25+AJ25+AK25</f>
        <v>15408.572400000001</v>
      </c>
      <c r="AN25" s="33">
        <f>AN24*3*AN8</f>
        <v>3751.4340000000002</v>
      </c>
      <c r="AO25" s="7">
        <f>AO24*3*AO8</f>
        <v>3760.7339999999999</v>
      </c>
      <c r="AP25" s="7">
        <f>AP24*3*AP8</f>
        <v>3770.0340000000001</v>
      </c>
      <c r="AQ25" s="34">
        <f>AQ24*3*AQ8</f>
        <v>3904.848</v>
      </c>
      <c r="AR25" s="34">
        <f>AN25+AO25+AP25+AQ25</f>
        <v>15187.05</v>
      </c>
      <c r="AT25" s="33">
        <f>AT24*3*AT8</f>
        <v>3672.0450000000001</v>
      </c>
      <c r="AU25" s="7">
        <f>AU24*3*AU8</f>
        <v>3678.7950000000001</v>
      </c>
      <c r="AV25" s="7">
        <f>AV24*3*AV8</f>
        <v>3686.67</v>
      </c>
      <c r="AW25" s="34">
        <f>AW24*3*AW8</f>
        <v>3700.17</v>
      </c>
      <c r="AX25" s="34">
        <f>AT25+AU25+AV25+AW25</f>
        <v>14737.68</v>
      </c>
      <c r="AZ25" s="33">
        <f>AZ24*3*AZ8</f>
        <v>3712.5450000000001</v>
      </c>
      <c r="BA25" s="7">
        <f>BA24*3*BA8</f>
        <v>3719.2950000000001</v>
      </c>
      <c r="BB25" s="7">
        <f>BB24*3*BB8</f>
        <v>3726.0450000000001</v>
      </c>
      <c r="BC25" s="34">
        <f>BC24*3*BC8</f>
        <v>3737.2950000000001</v>
      </c>
      <c r="BD25" s="34">
        <f>AZ25+BA25+BB25+BC25</f>
        <v>14895.18</v>
      </c>
    </row>
    <row r="26" spans="2:56" s="1" customFormat="1" ht="15" x14ac:dyDescent="0.3">
      <c r="B26" s="40" t="s">
        <v>42</v>
      </c>
      <c r="D26" s="33">
        <f>D25</f>
        <v>3138.8894999999998</v>
      </c>
      <c r="E26" s="7">
        <f>E25+E6</f>
        <v>3340.9830000000002</v>
      </c>
      <c r="F26" s="7">
        <f>F25+F6</f>
        <v>3573.2270000000003</v>
      </c>
      <c r="G26" s="7">
        <f>G25+G6</f>
        <v>3621.5139999999997</v>
      </c>
      <c r="H26" s="55">
        <f>D26+E26+F26+G26</f>
        <v>13674.613499999999</v>
      </c>
      <c r="J26" s="33">
        <f>J25</f>
        <v>3435.8190000000004</v>
      </c>
      <c r="K26" s="7">
        <f>K25+K6</f>
        <v>3277.3900000000003</v>
      </c>
      <c r="L26" s="7">
        <f>L25+L6</f>
        <v>3659.0400000000004</v>
      </c>
      <c r="M26" s="7">
        <f>M25+M6</f>
        <v>3487.7599999999998</v>
      </c>
      <c r="N26" s="55">
        <f>J26+K26+L26+M26</f>
        <v>13860.009000000002</v>
      </c>
      <c r="P26" s="33">
        <f>P6+P25</f>
        <v>3482.6210000000001</v>
      </c>
      <c r="Q26" s="7">
        <f>Q25+Q6</f>
        <v>2889.1565000000001</v>
      </c>
      <c r="R26" s="7">
        <f>R25+R6</f>
        <v>3550.2450000000003</v>
      </c>
      <c r="S26" s="7">
        <f>S25+S6</f>
        <v>3764.7379999999994</v>
      </c>
      <c r="T26" s="55">
        <f>P26+Q26+R26+S26</f>
        <v>13686.7605</v>
      </c>
      <c r="V26" s="33">
        <f>V25</f>
        <v>3334.1715000000004</v>
      </c>
      <c r="W26" s="7">
        <f>W25+W6</f>
        <v>4466.9059999999999</v>
      </c>
      <c r="X26" s="7">
        <f>X25+X6</f>
        <v>4329.2240000000002</v>
      </c>
      <c r="Y26" s="7">
        <f>Y25+Y6</f>
        <v>5289.9809999999998</v>
      </c>
      <c r="Z26" s="55">
        <f>V26+W26+X26+Y26</f>
        <v>17420.282500000001</v>
      </c>
      <c r="AB26" s="33">
        <f>AB25</f>
        <v>3731.1120000000001</v>
      </c>
      <c r="AC26" s="7">
        <f>AC25+AC6</f>
        <v>4161.2479999999996</v>
      </c>
      <c r="AD26" s="7">
        <f>AD25+AD6</f>
        <v>4167.7370000000001</v>
      </c>
      <c r="AE26" s="34">
        <f>AE25+AE6</f>
        <v>4698.9900000000007</v>
      </c>
      <c r="AF26" s="34">
        <f>AB26+AC26+AD26+AE26</f>
        <v>16759.087</v>
      </c>
      <c r="AH26" s="33">
        <f>AH25</f>
        <v>3786.0480000000002</v>
      </c>
      <c r="AI26" s="7">
        <f>AI25+AI6</f>
        <v>4057.6480000000001</v>
      </c>
      <c r="AJ26" s="7">
        <f>AJ25+AJ6</f>
        <v>4041.2143999999998</v>
      </c>
      <c r="AK26" s="34">
        <f>AK25+AK6</f>
        <v>4273.6620000000003</v>
      </c>
      <c r="AL26" s="34">
        <f>AH26+AI26+AJ26+AK26</f>
        <v>16158.572400000001</v>
      </c>
      <c r="AN26" s="33">
        <f>AN25</f>
        <v>3751.4340000000002</v>
      </c>
      <c r="AO26" s="7">
        <f>AO25+AO6</f>
        <v>3860.7339999999999</v>
      </c>
      <c r="AP26" s="7">
        <f>AP25+AP6</f>
        <v>3870.0340000000001</v>
      </c>
      <c r="AQ26" s="34">
        <f>AQ25+AQ6</f>
        <v>4079.848</v>
      </c>
      <c r="AR26" s="34">
        <f>AN26+AO26+AP26+AQ26</f>
        <v>15562.05</v>
      </c>
      <c r="AT26" s="33">
        <f>AT25</f>
        <v>3672.0450000000001</v>
      </c>
      <c r="AU26" s="7">
        <f>AU25+AU6</f>
        <v>3753.7950000000001</v>
      </c>
      <c r="AV26" s="7">
        <f>AV25+AV6</f>
        <v>3786.67</v>
      </c>
      <c r="AW26" s="34">
        <f>AW25+AW6</f>
        <v>3900.17</v>
      </c>
      <c r="AX26" s="34">
        <f>AT26+AU26+AV26+AW26</f>
        <v>15112.68</v>
      </c>
      <c r="AZ26" s="33">
        <f>AZ25</f>
        <v>3712.5450000000001</v>
      </c>
      <c r="BA26" s="7">
        <f>BA25+BA6</f>
        <v>3794.2950000000001</v>
      </c>
      <c r="BB26" s="7">
        <f>BB25+BB6</f>
        <v>3801.0450000000001</v>
      </c>
      <c r="BC26" s="34">
        <f>BC25+BC6</f>
        <v>3912.2950000000001</v>
      </c>
      <c r="BD26" s="34">
        <f>AZ26+BA26+BB26+BC26</f>
        <v>15220.18</v>
      </c>
    </row>
    <row r="27" spans="2:56" s="1" customFormat="1" ht="15" x14ac:dyDescent="0.3">
      <c r="B27" s="39" t="s">
        <v>43</v>
      </c>
      <c r="D27" s="44">
        <f>D30*1000/D26</f>
        <v>205.80526966623069</v>
      </c>
      <c r="E27" s="17">
        <f>E30*1000/E26</f>
        <v>196.64871087341658</v>
      </c>
      <c r="F27" s="17">
        <f>F30*1000/F26</f>
        <v>179.66952561368197</v>
      </c>
      <c r="G27" s="17">
        <f>G30*1000/G26</f>
        <v>184.72937009217694</v>
      </c>
      <c r="H27" s="96">
        <f>H30*1000/H26</f>
        <v>191.15713946869505</v>
      </c>
      <c r="J27" s="44">
        <f>J30*1000/J26</f>
        <v>154.54830420345192</v>
      </c>
      <c r="K27" s="17">
        <f>K30*1000/K26</f>
        <v>131.20196253726286</v>
      </c>
      <c r="L27" s="17">
        <f>L30*1000/L26</f>
        <v>153.5921990467445</v>
      </c>
      <c r="M27" s="17">
        <f>M30*1000/M26</f>
        <v>176.04422322636879</v>
      </c>
      <c r="N27" s="96">
        <f>N30*1000/N26</f>
        <v>154.1846040648314</v>
      </c>
      <c r="P27" s="44">
        <f>P30*1000/P26</f>
        <v>169.41263490916754</v>
      </c>
      <c r="Q27" s="17">
        <f>Q30*1000/Q26</f>
        <v>173.75313521437832</v>
      </c>
      <c r="R27" s="17">
        <f>R30*1000/R26</f>
        <v>178.01588341086318</v>
      </c>
      <c r="S27" s="17">
        <f>S30*1000/S26</f>
        <v>207.71697791453221</v>
      </c>
      <c r="T27" s="96">
        <f>T30*1000/T26</f>
        <v>183.09665022632637</v>
      </c>
      <c r="V27" s="44">
        <f>V30*1000/V26</f>
        <v>201.54932042337953</v>
      </c>
      <c r="W27" s="17">
        <f>W30*1000/W26</f>
        <v>305.58064127608685</v>
      </c>
      <c r="X27" s="17">
        <f>R27*(1+X28)</f>
        <v>310.63771655195626</v>
      </c>
      <c r="Y27" s="17">
        <f>S27*(1+Y28)</f>
        <v>272.31695804595171</v>
      </c>
      <c r="Z27" s="96">
        <f>Z30*1000/Z26</f>
        <v>276.82511990507663</v>
      </c>
      <c r="AB27" s="44">
        <f>V27*(1+AB28)</f>
        <v>201.54932042337953</v>
      </c>
      <c r="AC27" s="17">
        <f>W27*(1+AC28)</f>
        <v>297.94112524418466</v>
      </c>
      <c r="AD27" s="17">
        <f>X27*(1+AD28)</f>
        <v>321.51003663127472</v>
      </c>
      <c r="AE27" s="99">
        <f>Y27*(1+AE28)</f>
        <v>280.48646678733024</v>
      </c>
      <c r="AF27" s="87">
        <f>AF30*1000/AF26</f>
        <v>277.44843007689769</v>
      </c>
      <c r="AH27" s="44">
        <f>AB27*(1+AH28)</f>
        <v>211.62678644454851</v>
      </c>
      <c r="AI27" s="17">
        <f>AC27*(1+AI28)</f>
        <v>312.83818150639388</v>
      </c>
      <c r="AJ27" s="17">
        <f>AD27*(1+AJ28)</f>
        <v>337.58553846283849</v>
      </c>
      <c r="AK27" s="99">
        <f>AE27*(1+AK28)</f>
        <v>294.51079012669675</v>
      </c>
      <c r="AL27" s="87">
        <f>AL30*1000/AL26</f>
        <v>290.4657285627585</v>
      </c>
      <c r="AN27" s="44">
        <f>AH27*(1+AN28)</f>
        <v>221.14999183455319</v>
      </c>
      <c r="AO27" s="17">
        <f>AI27*(1+AO28)</f>
        <v>326.91589967418156</v>
      </c>
      <c r="AP27" s="17">
        <f>AJ27*(1+AP28)</f>
        <v>349.40103230903782</v>
      </c>
      <c r="AQ27" s="99">
        <f>AK27*(1+AQ28)</f>
        <v>303.34611383049764</v>
      </c>
      <c r="AR27" s="87">
        <f>AR30*1000/AR26</f>
        <v>300.83214216448158</v>
      </c>
      <c r="AT27" s="44">
        <f>AN27*(1+AT28)</f>
        <v>226.67874163041699</v>
      </c>
      <c r="AU27" s="17">
        <f>AO27*(1+AU28)</f>
        <v>335.08879716603604</v>
      </c>
      <c r="AV27" s="17">
        <f>AP27*(1+AV28)</f>
        <v>358.13605811676371</v>
      </c>
      <c r="AW27" s="99">
        <f>AQ27*(1+AW28)</f>
        <v>310.92976667626004</v>
      </c>
      <c r="AX27" s="87">
        <f>AX30*1000/AX26</f>
        <v>308.28755763073792</v>
      </c>
      <c r="AZ27" s="44">
        <f>AT27*(1+AZ28)</f>
        <v>232.34571017117739</v>
      </c>
      <c r="BA27" s="17">
        <f>AU27*(1+BA28)</f>
        <v>343.46601709518694</v>
      </c>
      <c r="BB27" s="17">
        <f>AV27*(1+BB28)</f>
        <v>367.08945956968279</v>
      </c>
      <c r="BC27" s="99">
        <f>AW27*(1+BC28)</f>
        <v>318.70301084316651</v>
      </c>
      <c r="BD27" s="87">
        <f>BD30*1000/BD26</f>
        <v>315.89567577770737</v>
      </c>
    </row>
    <row r="28" spans="2:56" s="1" customFormat="1" ht="15.75" thickBot="1" x14ac:dyDescent="0.35">
      <c r="B28" s="41" t="s">
        <v>23</v>
      </c>
      <c r="D28" s="52" t="s">
        <v>35</v>
      </c>
      <c r="E28" s="10" t="s">
        <v>35</v>
      </c>
      <c r="F28" s="10" t="s">
        <v>35</v>
      </c>
      <c r="G28" s="10" t="s">
        <v>35</v>
      </c>
      <c r="H28" s="61" t="s">
        <v>35</v>
      </c>
      <c r="J28" s="52">
        <f>(J27-D27)/D27</f>
        <v>-0.24905565122752152</v>
      </c>
      <c r="K28" s="10">
        <f>K27/D27-1</f>
        <v>-0.36249463995726361</v>
      </c>
      <c r="L28" s="10">
        <f>L27/E27-1</f>
        <v>-0.21895140647216194</v>
      </c>
      <c r="M28" s="10">
        <f>M27/F27-1</f>
        <v>-2.0177614288959367E-2</v>
      </c>
      <c r="N28" s="68">
        <f>N27/H27-1</f>
        <v>-0.1934143579812172</v>
      </c>
      <c r="P28" s="52">
        <f>(P27-J27)/J27</f>
        <v>9.6179189945350518E-2</v>
      </c>
      <c r="Q28" s="10">
        <f>Q27/J27-1</f>
        <v>0.12426426229591359</v>
      </c>
      <c r="R28" s="10">
        <f>R27/K27-1</f>
        <v>0.35680808402774189</v>
      </c>
      <c r="S28" s="10">
        <f>S27/L27-1</f>
        <v>0.35239275955229532</v>
      </c>
      <c r="T28" s="68">
        <f>T27/N27-1</f>
        <v>0.18751577913277284</v>
      </c>
      <c r="V28" s="52">
        <f>(V27-P27)/P27</f>
        <v>0.1896947387155771</v>
      </c>
      <c r="W28" s="10">
        <f>W27/P27-1</f>
        <v>0.80376535339248645</v>
      </c>
      <c r="X28" s="10">
        <v>0.745</v>
      </c>
      <c r="Y28" s="10">
        <v>0.311</v>
      </c>
      <c r="Z28" s="68">
        <f>Z27/T27-1</f>
        <v>0.51190706964268418</v>
      </c>
      <c r="AB28" s="52">
        <v>0</v>
      </c>
      <c r="AC28" s="10">
        <v>-2.5000000000000001E-2</v>
      </c>
      <c r="AD28" s="10">
        <v>3.5000000000000003E-2</v>
      </c>
      <c r="AE28" s="83">
        <v>0.03</v>
      </c>
      <c r="AF28" s="21">
        <f>AF27/Z27-1</f>
        <v>2.2516387675901584E-3</v>
      </c>
      <c r="AH28" s="52">
        <v>0.05</v>
      </c>
      <c r="AI28" s="10">
        <v>0.05</v>
      </c>
      <c r="AJ28" s="10">
        <v>0.05</v>
      </c>
      <c r="AK28" s="83">
        <v>0.05</v>
      </c>
      <c r="AL28" s="21">
        <f>AL27/AF27-1</f>
        <v>4.6917902841450365E-2</v>
      </c>
      <c r="AN28" s="52">
        <v>4.4999999999999998E-2</v>
      </c>
      <c r="AO28" s="10">
        <v>4.4999999999999998E-2</v>
      </c>
      <c r="AP28" s="10">
        <v>3.5000000000000003E-2</v>
      </c>
      <c r="AQ28" s="83">
        <v>0.03</v>
      </c>
      <c r="AR28" s="21">
        <f>AR27/AL27-1</f>
        <v>3.5688938770906731E-2</v>
      </c>
      <c r="AT28" s="52">
        <v>2.5000000000000001E-2</v>
      </c>
      <c r="AU28" s="10">
        <v>2.5000000000000001E-2</v>
      </c>
      <c r="AV28" s="10">
        <v>2.5000000000000001E-2</v>
      </c>
      <c r="AW28" s="83">
        <v>2.5000000000000001E-2</v>
      </c>
      <c r="AX28" s="21">
        <f>AX27/AR27-1</f>
        <v>2.4782642614631367E-2</v>
      </c>
      <c r="AZ28" s="52">
        <v>2.5000000000000001E-2</v>
      </c>
      <c r="BA28" s="10">
        <v>2.5000000000000001E-2</v>
      </c>
      <c r="BB28" s="10">
        <v>2.5000000000000001E-2</v>
      </c>
      <c r="BC28" s="83">
        <v>2.5000000000000001E-2</v>
      </c>
      <c r="BD28" s="21">
        <f>BD27/AX27-1</f>
        <v>2.4678641607983165E-2</v>
      </c>
    </row>
    <row r="29" spans="2:56" s="1" customFormat="1" ht="15.75" thickBot="1" x14ac:dyDescent="0.35">
      <c r="D29" s="2"/>
      <c r="E29" s="2"/>
      <c r="F29" s="11"/>
      <c r="G29" s="11"/>
      <c r="H29" s="2"/>
      <c r="J29" s="2"/>
      <c r="K29" s="2"/>
      <c r="L29" s="11"/>
      <c r="M29" s="11"/>
      <c r="N29" s="2"/>
      <c r="P29" s="2"/>
      <c r="Q29" s="2"/>
      <c r="R29" s="11"/>
      <c r="S29" s="11"/>
      <c r="T29" s="2"/>
      <c r="V29" s="2"/>
      <c r="W29" s="2"/>
      <c r="X29" s="11"/>
      <c r="Y29" s="11"/>
      <c r="Z29" s="2"/>
      <c r="AB29" s="2"/>
      <c r="AC29" s="2"/>
      <c r="AD29" s="11"/>
      <c r="AE29" s="11"/>
      <c r="AF29" s="2"/>
      <c r="AH29" s="2"/>
      <c r="AI29" s="2"/>
      <c r="AJ29" s="11"/>
      <c r="AK29" s="11"/>
      <c r="AL29" s="2"/>
      <c r="AN29" s="2"/>
      <c r="AO29" s="2"/>
      <c r="AP29" s="11"/>
      <c r="AQ29" s="11"/>
      <c r="AR29" s="2"/>
      <c r="AT29" s="2"/>
      <c r="AU29" s="2"/>
      <c r="AV29" s="11"/>
      <c r="AW29" s="11"/>
      <c r="AX29" s="2"/>
      <c r="AZ29" s="2"/>
      <c r="BA29" s="2"/>
      <c r="BB29" s="11"/>
      <c r="BC29" s="11"/>
      <c r="BD29" s="2"/>
    </row>
    <row r="30" spans="2:56" s="1" customFormat="1" ht="15" x14ac:dyDescent="0.3">
      <c r="B30" s="42" t="s">
        <v>34</v>
      </c>
      <c r="D30" s="72">
        <f>D33-D21</f>
        <v>646</v>
      </c>
      <c r="E30" s="73">
        <f>E33-E21</f>
        <v>657</v>
      </c>
      <c r="F30" s="73">
        <f>F33-F21</f>
        <v>642</v>
      </c>
      <c r="G30" s="73">
        <f>G33-G21</f>
        <v>669</v>
      </c>
      <c r="H30" s="59">
        <f>D30+E30+F30+G30</f>
        <v>2614</v>
      </c>
      <c r="J30" s="72">
        <f>J33-J21</f>
        <v>531</v>
      </c>
      <c r="K30" s="73">
        <f>K33-K21</f>
        <v>430</v>
      </c>
      <c r="L30" s="73">
        <f>L33-L21</f>
        <v>562</v>
      </c>
      <c r="M30" s="73">
        <f>M33-M21</f>
        <v>614</v>
      </c>
      <c r="N30" s="59">
        <f>J30+K30+L30+M30</f>
        <v>2137</v>
      </c>
      <c r="P30" s="72">
        <f>P33-P21</f>
        <v>590</v>
      </c>
      <c r="Q30" s="73">
        <f>Q33-Q21</f>
        <v>502</v>
      </c>
      <c r="R30" s="73">
        <f>R33-R21</f>
        <v>632</v>
      </c>
      <c r="S30" s="73">
        <f>S33-S21</f>
        <v>782</v>
      </c>
      <c r="T30" s="59">
        <f>P30+Q30+R30+S30</f>
        <v>2506</v>
      </c>
      <c r="V30" s="72">
        <f>V33-V21</f>
        <v>672</v>
      </c>
      <c r="W30" s="73">
        <v>1365</v>
      </c>
      <c r="X30" s="73">
        <f>X27*X26/1000</f>
        <v>1344.8202578019261</v>
      </c>
      <c r="Y30" s="88">
        <f>Y27*Y26/1000</f>
        <v>1440.5515340408815</v>
      </c>
      <c r="Z30" s="35">
        <f>V30+W30+X30+Y30</f>
        <v>4822.3717918428083</v>
      </c>
      <c r="AB30" s="72">
        <f>AB27*AB26/1000</f>
        <v>752.00308802351651</v>
      </c>
      <c r="AC30" s="73">
        <f>AC27*AC26/1000</f>
        <v>1239.8069115401129</v>
      </c>
      <c r="AD30" s="73">
        <f>AD27*AD26/1000</f>
        <v>1339.969275539519</v>
      </c>
      <c r="AE30" s="88">
        <f>AE27*AE26/1000</f>
        <v>1318.0031025689971</v>
      </c>
      <c r="AF30" s="35">
        <f>AB30+AC30+AD30+AE30</f>
        <v>4649.7823776721452</v>
      </c>
      <c r="AH30" s="72">
        <f>AH27*AH26/1000</f>
        <v>801.22917156481014</v>
      </c>
      <c r="AI30" s="73">
        <f>AI27*AI26/1000</f>
        <v>1269.3872215130561</v>
      </c>
      <c r="AJ30" s="73">
        <f>AJ27*AJ26/1000</f>
        <v>1364.2555392677768</v>
      </c>
      <c r="AK30" s="88">
        <f>AK27*AK26/1000</f>
        <v>1258.6395723544392</v>
      </c>
      <c r="AL30" s="35">
        <f>AH30+AI30+AJ30+AK30</f>
        <v>4693.5115047000818</v>
      </c>
      <c r="AN30" s="72">
        <f>AN27*AN26/1000</f>
        <v>829.62959846786521</v>
      </c>
      <c r="AO30" s="73">
        <f>AO27*AO26/1000</f>
        <v>1262.1353290127017</v>
      </c>
      <c r="AP30" s="73">
        <f>AP27*AP26/1000</f>
        <v>1352.1938746710748</v>
      </c>
      <c r="AQ30" s="88">
        <f>AQ27*AQ26/1000</f>
        <v>1237.6060358191282</v>
      </c>
      <c r="AR30" s="35">
        <f>AN30+AO30+AP30+AQ30</f>
        <v>4681.56483797077</v>
      </c>
      <c r="AT30" s="72">
        <f>AT27*AT26/1000</f>
        <v>832.37453981026465</v>
      </c>
      <c r="AU30" s="73">
        <f>AU27*AU26/1000</f>
        <v>1257.8546513578804</v>
      </c>
      <c r="AV30" s="73">
        <f>AV27*AV26/1000</f>
        <v>1356.1430671890057</v>
      </c>
      <c r="AW30" s="88">
        <f>AW27*AW26/1000</f>
        <v>1212.6789480977491</v>
      </c>
      <c r="AX30" s="35">
        <f>AT30+AU30+AV30+AW30</f>
        <v>4659.0512064549002</v>
      </c>
      <c r="AZ30" s="72">
        <f>AZ27*AZ26/1000</f>
        <v>862.59390456745382</v>
      </c>
      <c r="BA30" s="73">
        <f>BA27*BA26/1000</f>
        <v>1303.2113913341823</v>
      </c>
      <c r="BB30" s="73">
        <f>BB27*BB26/1000</f>
        <v>1395.323554850045</v>
      </c>
      <c r="BC30" s="88">
        <f>BC27*BC26/1000</f>
        <v>1246.8601958066661</v>
      </c>
      <c r="BD30" s="35">
        <f>AZ30+BA30+BB30+BC30</f>
        <v>4807.9890465583467</v>
      </c>
    </row>
    <row r="31" spans="2:56" s="1" customFormat="1" ht="15.75" thickBot="1" x14ac:dyDescent="0.35">
      <c r="B31" s="41" t="s">
        <v>23</v>
      </c>
      <c r="D31" s="52" t="s">
        <v>35</v>
      </c>
      <c r="E31" s="10" t="s">
        <v>35</v>
      </c>
      <c r="F31" s="10" t="s">
        <v>35</v>
      </c>
      <c r="G31" s="10" t="s">
        <v>35</v>
      </c>
      <c r="H31" s="61" t="s">
        <v>35</v>
      </c>
      <c r="J31" s="52">
        <f>J30/D30-1</f>
        <v>-0.17801857585139313</v>
      </c>
      <c r="K31" s="10">
        <f>K30/E30-1</f>
        <v>-0.34550989345509897</v>
      </c>
      <c r="L31" s="10">
        <f>L30/F30-1</f>
        <v>-0.12461059190031154</v>
      </c>
      <c r="M31" s="10">
        <f>M30/G30-1</f>
        <v>-8.2212257100149455E-2</v>
      </c>
      <c r="N31" s="61">
        <f>N30/H30-1</f>
        <v>-0.18247895944912007</v>
      </c>
      <c r="P31" s="52">
        <f>P30/J30-1</f>
        <v>0.11111111111111116</v>
      </c>
      <c r="Q31" s="10">
        <f>Q30/K30-1</f>
        <v>0.16744186046511622</v>
      </c>
      <c r="R31" s="10">
        <f>R30/L30-1</f>
        <v>0.12455516014234869</v>
      </c>
      <c r="S31" s="10">
        <f>S30/M30-1</f>
        <v>0.27361563517915299</v>
      </c>
      <c r="T31" s="61">
        <f>T30/N30-1</f>
        <v>0.17267197005147406</v>
      </c>
      <c r="V31" s="52">
        <f>V30/P30-1</f>
        <v>0.13898305084745766</v>
      </c>
      <c r="W31" s="10">
        <f>W30/Q30-1</f>
        <v>1.7191235059760954</v>
      </c>
      <c r="X31" s="10">
        <f>X30/R30-1</f>
        <v>1.1278801547498829</v>
      </c>
      <c r="Y31" s="83">
        <f>Y30/S30-1</f>
        <v>0.84213751156122951</v>
      </c>
      <c r="Z31" s="83">
        <f>Z30/T30-1</f>
        <v>0.92433032395962034</v>
      </c>
      <c r="AB31" s="52">
        <f>AB30/V30-1</f>
        <v>0.11905221432070912</v>
      </c>
      <c r="AC31" s="10">
        <f>AC30/W30-1</f>
        <v>-9.1716548322261615E-2</v>
      </c>
      <c r="AD31" s="10">
        <f>AD30/X30-1</f>
        <v>-3.6071603132569185E-3</v>
      </c>
      <c r="AE31" s="83">
        <f>AE30/Y30-1</f>
        <v>-8.5070494582116463E-2</v>
      </c>
      <c r="AF31" s="83">
        <f>AF30/Z30-1</f>
        <v>-3.5789321441910271E-2</v>
      </c>
      <c r="AH31" s="52">
        <f>AH30/AB30-1</f>
        <v>6.5459948669458479E-2</v>
      </c>
      <c r="AI31" s="10">
        <f>AI30/AC30-1</f>
        <v>2.3858803897292447E-2</v>
      </c>
      <c r="AJ31" s="10">
        <f>AJ30/AD30-1</f>
        <v>1.8124492980243323E-2</v>
      </c>
      <c r="AK31" s="83">
        <f>AK30/AE30-1</f>
        <v>-4.5040508705062154E-2</v>
      </c>
      <c r="AL31" s="83">
        <f>AL30/AF30-1</f>
        <v>9.4045534771520778E-3</v>
      </c>
      <c r="AN31" s="52">
        <f>AN30/AH30-1</f>
        <v>3.5446071999087003E-2</v>
      </c>
      <c r="AO31" s="10">
        <f>AO30/AI30-1</f>
        <v>-5.7129080689110046E-3</v>
      </c>
      <c r="AP31" s="10">
        <f>AP30/AJ30-1</f>
        <v>-8.8412062473103292E-3</v>
      </c>
      <c r="AQ31" s="83">
        <f>AQ30/AK30-1</f>
        <v>-1.6711326258370574E-2</v>
      </c>
      <c r="AR31" s="83">
        <f>AR30/AL30-1</f>
        <v>-2.5453579302721074E-3</v>
      </c>
      <c r="AT31" s="52">
        <f>AT30/AN30-1</f>
        <v>3.3086347780608705E-3</v>
      </c>
      <c r="AU31" s="10">
        <f>AU30/AO30-1</f>
        <v>-3.3916154285689171E-3</v>
      </c>
      <c r="AV31" s="10">
        <f>AV30/AP30-1</f>
        <v>2.92058157628583E-3</v>
      </c>
      <c r="AW31" s="83">
        <f>AW30/AQ30-1</f>
        <v>-2.0141375364964853E-2</v>
      </c>
      <c r="AX31" s="83">
        <f>AX30/AR30-1</f>
        <v>-4.8089970544182847E-3</v>
      </c>
      <c r="AZ31" s="52">
        <f>AZ30/AT30-1</f>
        <v>3.6305008517052428E-2</v>
      </c>
      <c r="BA31" s="10">
        <f>BA30/AU30-1</f>
        <v>3.6058808485812222E-2</v>
      </c>
      <c r="BB31" s="10">
        <f>BB30/AV30-1</f>
        <v>2.8891116733171796E-2</v>
      </c>
      <c r="BC31" s="83">
        <f>BC30/AW30-1</f>
        <v>2.8186559816623324E-2</v>
      </c>
      <c r="BD31" s="83">
        <f>BD30/AX30-1</f>
        <v>3.1967418580225004E-2</v>
      </c>
    </row>
    <row r="32" spans="2:56" s="1" customFormat="1" ht="15.75" thickBot="1" x14ac:dyDescent="0.35">
      <c r="B32" s="6"/>
      <c r="D32" s="8"/>
      <c r="E32" s="8"/>
      <c r="F32" s="12"/>
      <c r="G32" s="12"/>
      <c r="H32" s="8"/>
      <c r="J32" s="8"/>
      <c r="K32" s="8"/>
      <c r="L32" s="12"/>
      <c r="M32" s="12"/>
      <c r="N32" s="8"/>
      <c r="P32" s="8"/>
      <c r="Q32" s="8"/>
      <c r="R32" s="12"/>
      <c r="S32" s="12"/>
      <c r="T32" s="8"/>
      <c r="V32" s="8"/>
      <c r="W32" s="8"/>
      <c r="X32" s="12"/>
      <c r="Y32" s="12"/>
      <c r="Z32" s="8"/>
      <c r="AB32" s="8"/>
      <c r="AC32" s="8"/>
      <c r="AD32" s="12"/>
      <c r="AE32" s="12"/>
      <c r="AF32" s="8"/>
      <c r="AH32" s="8"/>
      <c r="AI32" s="8"/>
      <c r="AJ32" s="12"/>
      <c r="AK32" s="12"/>
      <c r="AL32" s="8"/>
      <c r="AN32" s="8"/>
      <c r="AO32" s="8"/>
      <c r="AP32" s="12"/>
      <c r="AQ32" s="12"/>
      <c r="AR32" s="8"/>
      <c r="AT32" s="8"/>
      <c r="AU32" s="8"/>
      <c r="AV32" s="12"/>
      <c r="AW32" s="12"/>
      <c r="AX32" s="8"/>
      <c r="AZ32" s="8"/>
      <c r="BA32" s="8"/>
      <c r="BB32" s="12"/>
      <c r="BC32" s="12"/>
      <c r="BD32" s="8"/>
    </row>
    <row r="33" spans="1:57" s="1" customFormat="1" ht="15" x14ac:dyDescent="0.3">
      <c r="B33" s="42" t="s">
        <v>31</v>
      </c>
      <c r="D33" s="49">
        <v>5278</v>
      </c>
      <c r="E33" s="14">
        <v>5356</v>
      </c>
      <c r="F33" s="14">
        <v>5350</v>
      </c>
      <c r="G33" s="35">
        <v>5363</v>
      </c>
      <c r="H33" s="35">
        <f>D33+E33+F33+G33</f>
        <v>21347</v>
      </c>
      <c r="J33" s="49">
        <v>5161</v>
      </c>
      <c r="K33" s="14">
        <v>5050</v>
      </c>
      <c r="L33" s="14">
        <v>5228</v>
      </c>
      <c r="M33" s="14">
        <v>5179</v>
      </c>
      <c r="N33" s="59">
        <f>J33+K33+L33+M33</f>
        <v>20618</v>
      </c>
      <c r="P33" s="49">
        <v>5034</v>
      </c>
      <c r="Q33" s="14">
        <v>4883</v>
      </c>
      <c r="R33" s="14">
        <v>4893</v>
      </c>
      <c r="S33" s="35">
        <v>4909</v>
      </c>
      <c r="T33" s="35">
        <f>P33+Q33+R33+S33</f>
        <v>19719</v>
      </c>
      <c r="V33" s="49">
        <v>4677</v>
      </c>
      <c r="W33" s="14">
        <f>W30+W21</f>
        <v>5377</v>
      </c>
      <c r="X33" s="14">
        <f>X30+X21</f>
        <v>5378.8869346244837</v>
      </c>
      <c r="Y33" s="35">
        <f>Y30+Y21</f>
        <v>5474.1107258925622</v>
      </c>
      <c r="Z33" s="35">
        <f>V33+W33+X33+Y33</f>
        <v>20906.997660517045</v>
      </c>
      <c r="AB33" s="49">
        <f>AB30+AB21</f>
        <v>4971.4082131377018</v>
      </c>
      <c r="AC33" s="14">
        <f>AC30+AC21</f>
        <v>5492.1082243191477</v>
      </c>
      <c r="AD33" s="14">
        <f>AD30+AD21</f>
        <v>5615.2060727751668</v>
      </c>
      <c r="AE33" s="35">
        <f>AE30+AE21</f>
        <v>5562.558782756495</v>
      </c>
      <c r="AF33" s="35">
        <f>AB33+AC33+AD33+AE33</f>
        <v>21641.281292988511</v>
      </c>
      <c r="AH33" s="49">
        <f>AH30+AH21</f>
        <v>5197.9153896625148</v>
      </c>
      <c r="AI33" s="14">
        <f>AI30+AI21</f>
        <v>5730.6580735203606</v>
      </c>
      <c r="AJ33" s="14">
        <f>AJ30+AJ21</f>
        <v>5845.9039363471502</v>
      </c>
      <c r="AK33" s="35">
        <f>AK30+AK21</f>
        <v>5697.7036620030503</v>
      </c>
      <c r="AL33" s="35">
        <f>AH33+AI33+AJ33+AK33</f>
        <v>22472.181061533076</v>
      </c>
      <c r="AN33" s="49">
        <f>AN30+AN21</f>
        <v>5370.8694638322013</v>
      </c>
      <c r="AO33" s="14">
        <f>AO30+AO21</f>
        <v>5859.2905254496118</v>
      </c>
      <c r="AP33" s="14">
        <f>AP30+AP21</f>
        <v>5961.9611408417259</v>
      </c>
      <c r="AQ33" s="35">
        <f>AQ30+AQ21</f>
        <v>5793.7032400552407</v>
      </c>
      <c r="AR33" s="35">
        <f>AN33+AO33+AP33+AQ33</f>
        <v>22985.82437017878</v>
      </c>
      <c r="AT33" s="49">
        <f>AT30+AT21</f>
        <v>5464.2604446915766</v>
      </c>
      <c r="AU33" s="14">
        <f>AU30+AU21</f>
        <v>5947.2065523530082</v>
      </c>
      <c r="AV33" s="14">
        <f>AV30+AV21</f>
        <v>6062.222455846555</v>
      </c>
      <c r="AW33" s="35">
        <f>AW30+AW21</f>
        <v>5867.9482815508818</v>
      </c>
      <c r="AX33" s="35">
        <f>AT33+AU33+AV33+AW33</f>
        <v>23341.637734442022</v>
      </c>
      <c r="AZ33" s="49">
        <f>AZ30+AZ21</f>
        <v>5572.7575195157006</v>
      </c>
      <c r="BA33" s="14">
        <f>BA30+BA21</f>
        <v>6074.8666602884587</v>
      </c>
      <c r="BB33" s="14">
        <f>BB30+BB21</f>
        <v>6187.4134621212834</v>
      </c>
      <c r="BC33" s="35">
        <f>BC30+BC21</f>
        <v>5986.6750492065312</v>
      </c>
      <c r="BD33" s="35">
        <f>AZ33+BA33+BB33+BC33</f>
        <v>23821.712691131972</v>
      </c>
      <c r="BE33" s="1">
        <v>20619</v>
      </c>
    </row>
    <row r="34" spans="1:57" s="1" customFormat="1" ht="15.75" thickBot="1" x14ac:dyDescent="0.35">
      <c r="B34" s="41" t="s">
        <v>23</v>
      </c>
      <c r="D34" s="52" t="s">
        <v>35</v>
      </c>
      <c r="E34" s="10" t="s">
        <v>35</v>
      </c>
      <c r="F34" s="10" t="s">
        <v>35</v>
      </c>
      <c r="G34" s="10" t="s">
        <v>35</v>
      </c>
      <c r="H34" s="61" t="s">
        <v>35</v>
      </c>
      <c r="J34" s="52">
        <f>J33/D33-1</f>
        <v>-2.2167487684729092E-2</v>
      </c>
      <c r="K34" s="10">
        <f>K33/E33-1</f>
        <v>-5.7132188200149314E-2</v>
      </c>
      <c r="L34" s="10">
        <f>L33/F33-1</f>
        <v>-2.2803738317757061E-2</v>
      </c>
      <c r="M34" s="10">
        <f>M33/G33-1</f>
        <v>-3.4309155323512974E-2</v>
      </c>
      <c r="N34" s="61">
        <f>N33/H33-1</f>
        <v>-3.4149997657750508E-2</v>
      </c>
      <c r="P34" s="52">
        <f>P33/J33-1</f>
        <v>-2.4607634179422577E-2</v>
      </c>
      <c r="Q34" s="10">
        <f>Q33/K33-1</f>
        <v>-3.3069306930693099E-2</v>
      </c>
      <c r="R34" s="10">
        <f>R33/L33-1</f>
        <v>-6.4078041315990819E-2</v>
      </c>
      <c r="S34" s="83">
        <f>S33/M33-1</f>
        <v>-5.2133616528287297E-2</v>
      </c>
      <c r="T34" s="83">
        <f>T33/N33-1</f>
        <v>-4.3602677272286394E-2</v>
      </c>
      <c r="V34" s="52">
        <f>V33/P33-1</f>
        <v>-7.0917759237187128E-2</v>
      </c>
      <c r="W34" s="10">
        <f>W33/Q33-1</f>
        <v>0.10116731517509736</v>
      </c>
      <c r="X34" s="10">
        <f>X33/R33-1</f>
        <v>9.9302459559469369E-2</v>
      </c>
      <c r="Y34" s="83">
        <f>Y33/S33-1</f>
        <v>0.11511727966847873</v>
      </c>
      <c r="Z34" s="83">
        <f>Z33/T33-1</f>
        <v>6.0246344161318799E-2</v>
      </c>
      <c r="AB34" s="52">
        <f>AB33/V33-1</f>
        <v>6.2948089189160061E-2</v>
      </c>
      <c r="AC34" s="10">
        <f>AC33/W33-1</f>
        <v>2.1407518006164805E-2</v>
      </c>
      <c r="AD34" s="10">
        <f>AD33/X33-1</f>
        <v>4.3934579964763909E-2</v>
      </c>
      <c r="AE34" s="83">
        <f>AE33/Y33-1</f>
        <v>1.6157520607972486E-2</v>
      </c>
      <c r="AF34" s="83">
        <f>AF33/Z33-1</f>
        <v>3.5121428929901555E-2</v>
      </c>
      <c r="AH34" s="52">
        <f>AH33/AB33-1</f>
        <v>4.5561974960381058E-2</v>
      </c>
      <c r="AI34" s="10">
        <f>AI33/AC33-1</f>
        <v>4.3435023393186389E-2</v>
      </c>
      <c r="AJ34" s="10">
        <f>AJ33/AD33-1</f>
        <v>4.1084487475980813E-2</v>
      </c>
      <c r="AK34" s="83">
        <f>AK33/AE33-1</f>
        <v>2.4295451881873875E-2</v>
      </c>
      <c r="AL34" s="83">
        <f>AL33/AF33-1</f>
        <v>3.8394203988918463E-2</v>
      </c>
      <c r="AN34" s="52">
        <f>AN33/AH33-1</f>
        <v>3.3273737874543574E-2</v>
      </c>
      <c r="AO34" s="10">
        <f>AO33/AI33-1</f>
        <v>2.2446366591582612E-2</v>
      </c>
      <c r="AP34" s="10">
        <f>AP33/AJ33-1</f>
        <v>1.9852738902017331E-2</v>
      </c>
      <c r="AQ34" s="83">
        <f>AQ33/AK33-1</f>
        <v>1.6848819058876918E-2</v>
      </c>
      <c r="AR34" s="83">
        <f>AR33/AL33-1</f>
        <v>2.285685164422846E-2</v>
      </c>
      <c r="AT34" s="52">
        <f>AT33/AN33-1</f>
        <v>1.7388428724301797E-2</v>
      </c>
      <c r="AU34" s="10">
        <f>AU33/AO33-1</f>
        <v>1.5004551578648773E-2</v>
      </c>
      <c r="AV34" s="10">
        <f>AV33/AP33-1</f>
        <v>1.6816834701923966E-2</v>
      </c>
      <c r="AW34" s="83">
        <f>AW33/AQ33-1</f>
        <v>1.281478156878002E-2</v>
      </c>
      <c r="AX34" s="83">
        <f>AX33/AR33-1</f>
        <v>1.5479686894539491E-2</v>
      </c>
      <c r="AZ34" s="52">
        <f>AZ33/AT33-1</f>
        <v>1.9855765647028623E-2</v>
      </c>
      <c r="BA34" s="10">
        <f>BA33/AU33-1</f>
        <v>2.1465558125762785E-2</v>
      </c>
      <c r="BB34" s="10">
        <f>BB33/AV33-1</f>
        <v>2.0651008303727236E-2</v>
      </c>
      <c r="BC34" s="83">
        <f>BC33/AW33-1</f>
        <v>2.023309715065702E-2</v>
      </c>
      <c r="BD34" s="83">
        <f>BD33/AX33-1</f>
        <v>2.0567321031701669E-2</v>
      </c>
    </row>
    <row r="35" spans="1:57" s="1" customFormat="1" ht="15.75" thickBot="1" x14ac:dyDescent="0.35">
      <c r="D35" s="2"/>
      <c r="E35" s="2"/>
      <c r="F35" s="11"/>
      <c r="G35" s="11"/>
      <c r="H35" s="36"/>
      <c r="J35" s="2"/>
      <c r="K35" s="2"/>
      <c r="L35" s="11"/>
      <c r="M35" s="11"/>
      <c r="N35" s="36"/>
      <c r="P35" s="2"/>
      <c r="Q35" s="2"/>
      <c r="R35" s="11"/>
      <c r="S35" s="11"/>
      <c r="T35" s="36"/>
      <c r="V35" s="2"/>
      <c r="W35" s="2"/>
      <c r="X35" s="11"/>
      <c r="Y35" s="11"/>
      <c r="Z35" s="36"/>
      <c r="AB35" s="2"/>
      <c r="AC35" s="2" t="s">
        <v>7</v>
      </c>
      <c r="AD35" s="11"/>
      <c r="AE35" s="11">
        <v>4843</v>
      </c>
      <c r="AF35" s="36"/>
      <c r="AH35" s="2"/>
      <c r="AI35" s="2"/>
      <c r="AJ35" s="11"/>
      <c r="AK35" s="11"/>
      <c r="AL35" s="36"/>
      <c r="AN35" s="2"/>
      <c r="AO35" s="2"/>
      <c r="AP35" s="11"/>
      <c r="AQ35" s="11"/>
      <c r="AR35" s="36"/>
      <c r="AT35" s="2"/>
      <c r="AU35" s="2"/>
      <c r="AV35" s="11"/>
      <c r="AW35" s="11"/>
      <c r="AX35" s="36"/>
      <c r="AZ35" s="2"/>
      <c r="BA35" s="2"/>
      <c r="BB35" s="11"/>
      <c r="BC35" s="11"/>
      <c r="BD35" s="36"/>
    </row>
    <row r="36" spans="1:57" s="1" customFormat="1" ht="15" x14ac:dyDescent="0.3">
      <c r="A36" s="13"/>
      <c r="B36" s="42" t="s">
        <v>52</v>
      </c>
      <c r="D36" s="72">
        <v>310</v>
      </c>
      <c r="E36" s="73">
        <v>330</v>
      </c>
      <c r="F36" s="73">
        <v>290</v>
      </c>
      <c r="G36" s="73">
        <v>290</v>
      </c>
      <c r="H36" s="93">
        <f>H38*1000/H26</f>
        <v>304.36363155711859</v>
      </c>
      <c r="J36" s="72">
        <v>300</v>
      </c>
      <c r="K36" s="73">
        <v>320</v>
      </c>
      <c r="L36" s="73">
        <v>260</v>
      </c>
      <c r="M36" s="88">
        <v>270</v>
      </c>
      <c r="N36" s="93">
        <f>N38*1000/N26</f>
        <v>286.62002311831111</v>
      </c>
      <c r="P36" s="72">
        <v>285</v>
      </c>
      <c r="Q36" s="73">
        <v>335</v>
      </c>
      <c r="R36" s="73">
        <v>280</v>
      </c>
      <c r="S36" s="88">
        <v>295</v>
      </c>
      <c r="T36" s="93">
        <f>T38*1000/T26</f>
        <v>297.00824548657806</v>
      </c>
      <c r="V36" s="72">
        <f>P36*(1+V37)</f>
        <v>292.83750000000003</v>
      </c>
      <c r="W36" s="73">
        <f>Q36*(1+W37)</f>
        <v>217.75</v>
      </c>
      <c r="X36" s="73">
        <f>R36*(1+X37)</f>
        <v>238</v>
      </c>
      <c r="Y36" s="88">
        <f>S36*(1+Y37)</f>
        <v>236</v>
      </c>
      <c r="Z36" s="93">
        <f>Z38*1000/Z26</f>
        <v>242.69583780465385</v>
      </c>
      <c r="AB36" s="72">
        <f>V36*(1+AB37)</f>
        <v>300.15843749999999</v>
      </c>
      <c r="AC36" s="73">
        <f>W36*(1+AC37)</f>
        <v>223.19374999999999</v>
      </c>
      <c r="AD36" s="73">
        <f>X36*(1+AD37)</f>
        <v>238</v>
      </c>
      <c r="AE36" s="88">
        <f>Y36*(1+AE37)</f>
        <v>230.1</v>
      </c>
      <c r="AF36" s="93">
        <f>AF38*1000/AF26</f>
        <v>245.94706733472412</v>
      </c>
      <c r="AH36" s="72">
        <f>AB36*(1+AH37)</f>
        <v>300.15843749999999</v>
      </c>
      <c r="AI36" s="73">
        <f>AC36*(1+AI37)</f>
        <v>223.19374999999999</v>
      </c>
      <c r="AJ36" s="73">
        <f>AD36*(1+AJ37)</f>
        <v>232.04999999999998</v>
      </c>
      <c r="AK36" s="88">
        <f>AE36*(1+AK37)</f>
        <v>224.3475</v>
      </c>
      <c r="AL36" s="93">
        <f>AL38*1000/AL26</f>
        <v>243.74709688740816</v>
      </c>
      <c r="AN36" s="72">
        <f>AH36*(1+AN37)</f>
        <v>300.15843749999999</v>
      </c>
      <c r="AO36" s="73">
        <f>AI36*(1+AO37)</f>
        <v>223.19374999999999</v>
      </c>
      <c r="AP36" s="73">
        <f>AJ36*(1+AP37)</f>
        <v>232.04999999999998</v>
      </c>
      <c r="AQ36" s="88">
        <f>AK36*(1+AQ37)</f>
        <v>224.3475</v>
      </c>
      <c r="AR36" s="93">
        <f>AR38*1000/AR26</f>
        <v>244.25196911183778</v>
      </c>
      <c r="AT36" s="72">
        <f>AN36*(1+AT37)</f>
        <v>300.15843749999999</v>
      </c>
      <c r="AU36" s="73">
        <f>AO36*(1+AU37)</f>
        <v>223.19374999999999</v>
      </c>
      <c r="AV36" s="73">
        <f>AP36*(1+AV37)</f>
        <v>232.04999999999998</v>
      </c>
      <c r="AW36" s="88">
        <f>AQ36*(1+AW37)</f>
        <v>224.3475</v>
      </c>
      <c r="AX36" s="93">
        <f>AX38*1000/AX26</f>
        <v>244.41125167646885</v>
      </c>
      <c r="AZ36" s="72">
        <f>AT36*(1+AZ37)</f>
        <v>300.15843749999999</v>
      </c>
      <c r="BA36" s="73">
        <f>AU36*(1+BA37)</f>
        <v>223.19374999999999</v>
      </c>
      <c r="BB36" s="73">
        <f>AV36*(1+BB37)</f>
        <v>232.04999999999998</v>
      </c>
      <c r="BC36" s="88">
        <f>AW36*(1+BC37)</f>
        <v>224.3475</v>
      </c>
      <c r="BD36" s="93">
        <f>BD38*1000/BD26</f>
        <v>244.47547471627718</v>
      </c>
    </row>
    <row r="37" spans="1:57" s="1" customFormat="1" ht="15" x14ac:dyDescent="0.3">
      <c r="B37" s="40" t="s">
        <v>23</v>
      </c>
      <c r="D37" s="62" t="s">
        <v>35</v>
      </c>
      <c r="E37" s="9" t="s">
        <v>35</v>
      </c>
      <c r="F37" s="9" t="s">
        <v>35</v>
      </c>
      <c r="G37" s="9" t="s">
        <v>35</v>
      </c>
      <c r="H37" s="66" t="s">
        <v>35</v>
      </c>
      <c r="J37" s="62">
        <f>J36/D36-1</f>
        <v>-3.2258064516129004E-2</v>
      </c>
      <c r="K37" s="9">
        <f>K36/E36-1</f>
        <v>-3.0303030303030276E-2</v>
      </c>
      <c r="L37" s="9">
        <f>L36/F36-1</f>
        <v>-0.10344827586206895</v>
      </c>
      <c r="M37" s="9">
        <f>M36/G36-1</f>
        <v>-6.8965517241379337E-2</v>
      </c>
      <c r="N37" s="66">
        <f>N36/H36-1</f>
        <v>-5.8297400211817396E-2</v>
      </c>
      <c r="P37" s="62">
        <f>P36/J36-1</f>
        <v>-5.0000000000000044E-2</v>
      </c>
      <c r="Q37" s="9">
        <f>Q36/K36-1</f>
        <v>4.6875E-2</v>
      </c>
      <c r="R37" s="9">
        <f>R36/L36-1</f>
        <v>7.6923076923076872E-2</v>
      </c>
      <c r="S37" s="100">
        <v>0.10249999999999999</v>
      </c>
      <c r="T37" s="66">
        <f>T36/N36-1</f>
        <v>3.6243882249562542E-2</v>
      </c>
      <c r="V37" s="62">
        <v>2.75E-2</v>
      </c>
      <c r="W37" s="9">
        <v>-0.35</v>
      </c>
      <c r="X37" s="9">
        <v>-0.15</v>
      </c>
      <c r="Y37" s="9">
        <v>-0.2</v>
      </c>
      <c r="Z37" s="66">
        <f>Z36/T36-1</f>
        <v>-0.18286498273119023</v>
      </c>
      <c r="AB37" s="62">
        <v>2.5000000000000001E-2</v>
      </c>
      <c r="AC37" s="9">
        <v>2.5000000000000001E-2</v>
      </c>
      <c r="AD37" s="9">
        <v>0</v>
      </c>
      <c r="AE37" s="9">
        <v>-2.5000000000000001E-2</v>
      </c>
      <c r="AF37" s="66">
        <f>AF36/Z36-1</f>
        <v>1.3396313506979896E-2</v>
      </c>
      <c r="AH37" s="62">
        <v>0</v>
      </c>
      <c r="AI37" s="9">
        <v>0</v>
      </c>
      <c r="AJ37" s="9">
        <v>-2.5000000000000001E-2</v>
      </c>
      <c r="AK37" s="100">
        <v>-2.5000000000000001E-2</v>
      </c>
      <c r="AL37" s="66">
        <f>AL36/AF36-1</f>
        <v>-8.9448940016100265E-3</v>
      </c>
      <c r="AN37" s="62">
        <v>0</v>
      </c>
      <c r="AO37" s="9">
        <v>0</v>
      </c>
      <c r="AP37" s="9">
        <v>0</v>
      </c>
      <c r="AQ37" s="100">
        <v>0</v>
      </c>
      <c r="AR37" s="66">
        <f>AR36/AL36-1</f>
        <v>2.0712953338797302E-3</v>
      </c>
      <c r="AT37" s="62">
        <v>0</v>
      </c>
      <c r="AU37" s="9">
        <v>0</v>
      </c>
      <c r="AV37" s="9">
        <v>0</v>
      </c>
      <c r="AW37" s="100">
        <v>0</v>
      </c>
      <c r="AX37" s="66">
        <f>AX36/AR36-1</f>
        <v>6.5212397349445617E-4</v>
      </c>
      <c r="AZ37" s="62">
        <v>0</v>
      </c>
      <c r="BA37" s="9">
        <v>0</v>
      </c>
      <c r="BB37" s="9">
        <v>0</v>
      </c>
      <c r="BC37" s="100">
        <v>0</v>
      </c>
      <c r="BD37" s="66">
        <f>BD36/AX36-1</f>
        <v>2.6276629806454288E-4</v>
      </c>
    </row>
    <row r="38" spans="1:57" s="1" customFormat="1" ht="15" x14ac:dyDescent="0.3">
      <c r="B38" s="39" t="s">
        <v>55</v>
      </c>
      <c r="D38" s="44">
        <f>D36*D26/1000</f>
        <v>973.05574499999989</v>
      </c>
      <c r="E38" s="17">
        <f>E36*E26/1000</f>
        <v>1102.52439</v>
      </c>
      <c r="F38" s="17">
        <f>F36*F26/1000</f>
        <v>1036.2358300000001</v>
      </c>
      <c r="G38" s="17">
        <f>G36*G26/1000</f>
        <v>1050.2390599999999</v>
      </c>
      <c r="H38" s="54">
        <f>D38+E38+F38+G38</f>
        <v>4162.0550249999997</v>
      </c>
      <c r="J38" s="44">
        <f>J36*J26/1000</f>
        <v>1030.7457000000002</v>
      </c>
      <c r="K38" s="17">
        <f>K36*K26/1000</f>
        <v>1048.7648000000002</v>
      </c>
      <c r="L38" s="17">
        <f>L36*L26/1000</f>
        <v>951.35040000000015</v>
      </c>
      <c r="M38" s="17">
        <f>M36*M26/1000</f>
        <v>941.6952</v>
      </c>
      <c r="N38" s="54">
        <f>J38+K38+L38+M38</f>
        <v>3972.5561000000007</v>
      </c>
      <c r="P38" s="44">
        <f>P36*P26/1000</f>
        <v>992.54698499999995</v>
      </c>
      <c r="Q38" s="17">
        <f>Q36*Q26/1000</f>
        <v>967.86742749999996</v>
      </c>
      <c r="R38" s="17">
        <f>R36*R26/1000</f>
        <v>994.06860000000006</v>
      </c>
      <c r="S38" s="99">
        <f>S36*S26/1000</f>
        <v>1110.5977099999998</v>
      </c>
      <c r="T38" s="54">
        <f>P38+Q38+R38+S38</f>
        <v>4065.0807224999999</v>
      </c>
      <c r="V38" s="44">
        <f>V36*V26/1000</f>
        <v>976.37044663125016</v>
      </c>
      <c r="W38" s="17">
        <f>W36*W26/1000</f>
        <v>972.66878150000002</v>
      </c>
      <c r="X38" s="17">
        <f>X36*X26/1000</f>
        <v>1030.3553120000001</v>
      </c>
      <c r="Y38" s="99">
        <f>Y36*Y26/1000</f>
        <v>1248.4355159999998</v>
      </c>
      <c r="Z38" s="54">
        <f>V38+W38+X38+Y38</f>
        <v>4227.8300561312499</v>
      </c>
      <c r="AB38" s="44">
        <f>AB36*AB26/1000</f>
        <v>1119.9247480575</v>
      </c>
      <c r="AC38" s="17">
        <f>AC36*AC26/1000</f>
        <v>928.76454579999984</v>
      </c>
      <c r="AD38" s="17">
        <f>AD36*AD26/1000</f>
        <v>991.92140600000005</v>
      </c>
      <c r="AE38" s="99">
        <f>AE36*AE26/1000</f>
        <v>1081.2375990000003</v>
      </c>
      <c r="AF38" s="54">
        <f>AB38+AC38+AD38+AE38</f>
        <v>4121.8482988574997</v>
      </c>
      <c r="AH38" s="44">
        <f>AH36*AH26/1000</f>
        <v>1136.41425198</v>
      </c>
      <c r="AI38" s="17">
        <f>AI36*AI26/1000</f>
        <v>905.64167329999998</v>
      </c>
      <c r="AJ38" s="17">
        <f>AJ36*AJ26/1000</f>
        <v>937.7638015199999</v>
      </c>
      <c r="AK38" s="99">
        <f>AK36*AK26/1000</f>
        <v>958.78538554500005</v>
      </c>
      <c r="AL38" s="54">
        <f>AH38+AI38+AJ38+AK38</f>
        <v>3938.6051123449997</v>
      </c>
      <c r="AN38" s="44">
        <f>AN36*AN26/1000</f>
        <v>1126.024567824375</v>
      </c>
      <c r="AO38" s="17">
        <f>AO36*AO26/1000</f>
        <v>861.6916992125</v>
      </c>
      <c r="AP38" s="17">
        <f>AP36*AP26/1000</f>
        <v>898.04138969999997</v>
      </c>
      <c r="AQ38" s="99">
        <f>AQ36*AQ26/1000</f>
        <v>915.30369917999997</v>
      </c>
      <c r="AR38" s="54">
        <f>AN38+AO38+AP38+AQ38</f>
        <v>3801.0613559168751</v>
      </c>
      <c r="AT38" s="44">
        <f>AT36*AT26/1000</f>
        <v>1102.1952896296875</v>
      </c>
      <c r="AU38" s="17">
        <f>AU36*AU26/1000</f>
        <v>837.82358278125002</v>
      </c>
      <c r="AV38" s="17">
        <f>AV36*AV26/1000</f>
        <v>878.69677350000006</v>
      </c>
      <c r="AW38" s="99">
        <f>AW36*AW26/1000</f>
        <v>874.99338907499998</v>
      </c>
      <c r="AX38" s="54">
        <f>AT38+AU38+AV38+AW38</f>
        <v>3693.7090349859373</v>
      </c>
      <c r="AZ38" s="44">
        <f>AZ36*AZ26/1000</f>
        <v>1114.3517063484376</v>
      </c>
      <c r="BA38" s="17">
        <f>BA36*BA26/1000</f>
        <v>846.86292965624989</v>
      </c>
      <c r="BB38" s="17">
        <f>BB36*BB26/1000</f>
        <v>882.0324922499999</v>
      </c>
      <c r="BC38" s="99">
        <f>BC36*BC26/1000</f>
        <v>877.71360251249996</v>
      </c>
      <c r="BD38" s="54">
        <f>AZ38+BA38+BB38+BC38</f>
        <v>3720.9607307671877</v>
      </c>
    </row>
    <row r="39" spans="1:57" s="1" customFormat="1" ht="15" x14ac:dyDescent="0.3">
      <c r="B39" s="40" t="s">
        <v>23</v>
      </c>
      <c r="D39" s="62" t="s">
        <v>35</v>
      </c>
      <c r="E39" s="9" t="s">
        <v>35</v>
      </c>
      <c r="F39" s="9" t="s">
        <v>35</v>
      </c>
      <c r="G39" s="9" t="s">
        <v>35</v>
      </c>
      <c r="H39" s="66" t="s">
        <v>35</v>
      </c>
      <c r="J39" s="62">
        <f>J38/D38-1</f>
        <v>5.9287410095914206E-2</v>
      </c>
      <c r="K39" s="9">
        <f>K38/E38-1</f>
        <v>-4.8760454179158641E-2</v>
      </c>
      <c r="L39" s="9">
        <f>L38/F38-1</f>
        <v>-8.1917096034017534E-2</v>
      </c>
      <c r="M39" s="9">
        <f>M38/G38-1</f>
        <v>-0.10335157406924089</v>
      </c>
      <c r="N39" s="65">
        <f>N38/H38-1</f>
        <v>-4.5530134479661033E-2</v>
      </c>
      <c r="P39" s="62">
        <f>P38/J38-1</f>
        <v>-3.7059300853741317E-2</v>
      </c>
      <c r="Q39" s="9">
        <f>Q38/K38-1</f>
        <v>-7.7135857820552545E-2</v>
      </c>
      <c r="R39" s="9">
        <f>R38/L38-1</f>
        <v>4.4902698311789058E-2</v>
      </c>
      <c r="S39" s="100">
        <f>S38/M38-1</f>
        <v>0.17936006257651083</v>
      </c>
      <c r="T39" s="65">
        <f>T38/N38-1</f>
        <v>2.3290954280041243E-2</v>
      </c>
      <c r="V39" s="62">
        <f>V38/P38-1</f>
        <v>-1.6298007664342196E-2</v>
      </c>
      <c r="W39" s="9">
        <f>W38/Q38-1</f>
        <v>4.9607558469055846E-3</v>
      </c>
      <c r="X39" s="9">
        <f>X38/R38-1</f>
        <v>3.6503227242063563E-2</v>
      </c>
      <c r="Y39" s="100">
        <f>Y38/S38-1</f>
        <v>0.12411137242485393</v>
      </c>
      <c r="Z39" s="65">
        <f>Z38/T38-1</f>
        <v>4.0035941409586551E-2</v>
      </c>
      <c r="AB39" s="62">
        <f>AB38/V38-1</f>
        <v>0.14702851967872665</v>
      </c>
      <c r="AC39" s="9">
        <f>AC38/W38-1</f>
        <v>-4.5137909774685347E-2</v>
      </c>
      <c r="AD39" s="9">
        <f>AD38/X38-1</f>
        <v>-3.730160416739825E-2</v>
      </c>
      <c r="AE39" s="100">
        <f>AE38/Y38-1</f>
        <v>-0.13392595360928483</v>
      </c>
      <c r="AF39" s="65">
        <f>AF38/Z38-1</f>
        <v>-2.506764838384512E-2</v>
      </c>
      <c r="AH39" s="62">
        <f>AH38/AB38-1</f>
        <v>1.4723760637579408E-2</v>
      </c>
      <c r="AI39" s="9">
        <f>AI38/AC38-1</f>
        <v>-2.4896377240673839E-2</v>
      </c>
      <c r="AJ39" s="9">
        <f>AJ38/AD38-1</f>
        <v>-5.4598685089774279E-2</v>
      </c>
      <c r="AK39" s="100">
        <f>AK38/AE38-1</f>
        <v>-0.11325190094041504</v>
      </c>
      <c r="AL39" s="65">
        <f>AL38/AF38-1</f>
        <v>-4.445655764752221E-2</v>
      </c>
      <c r="AN39" s="62">
        <f>AN38/AH38-1</f>
        <v>-9.142514833409443E-3</v>
      </c>
      <c r="AO39" s="9">
        <f>AO38/AI38-1</f>
        <v>-4.8529098630536671E-2</v>
      </c>
      <c r="AP39" s="9">
        <f>AP38/AJ38-1</f>
        <v>-4.2358653379043654E-2</v>
      </c>
      <c r="AQ39" s="100">
        <f>AQ38/AK38-1</f>
        <v>-4.5350802192592798E-2</v>
      </c>
      <c r="AR39" s="65">
        <f>AR38/AL38-1</f>
        <v>-3.4921946350248034E-2</v>
      </c>
      <c r="AT39" s="62">
        <f>AT38/AN38-1</f>
        <v>-2.1162307533599156E-2</v>
      </c>
      <c r="AU39" s="9">
        <f>AU38/AO38-1</f>
        <v>-2.76991370034817E-2</v>
      </c>
      <c r="AV39" s="9">
        <f>AV38/AP38-1</f>
        <v>-2.1540896023135581E-2</v>
      </c>
      <c r="AW39" s="100">
        <f>AW38/AQ38-1</f>
        <v>-4.4040366209721515E-2</v>
      </c>
      <c r="AX39" s="65">
        <f>AX38/AR38-1</f>
        <v>-2.8242722460617209E-2</v>
      </c>
      <c r="AZ39" s="62">
        <f>AZ38/AT38-1</f>
        <v>1.1029276602002369E-2</v>
      </c>
      <c r="BA39" s="9">
        <f>BA38/AU38-1</f>
        <v>1.0789081449572802E-2</v>
      </c>
      <c r="BB39" s="9">
        <f>BB38/AV38-1</f>
        <v>3.7962114469967112E-3</v>
      </c>
      <c r="BC39" s="100">
        <f>BC38/AW38-1</f>
        <v>3.1088388454862947E-3</v>
      </c>
      <c r="BD39" s="65">
        <f>BD38/AX38-1</f>
        <v>7.3778674830986546E-3</v>
      </c>
    </row>
    <row r="40" spans="1:57" s="1" customFormat="1" ht="15" x14ac:dyDescent="0.3">
      <c r="B40" s="40"/>
      <c r="D40" s="47"/>
      <c r="E40" s="8"/>
      <c r="F40" s="12"/>
      <c r="G40" s="12"/>
      <c r="H40" s="58"/>
      <c r="J40" s="47"/>
      <c r="K40" s="8"/>
      <c r="L40" s="12"/>
      <c r="M40" s="20"/>
      <c r="N40" s="58"/>
      <c r="P40" s="47"/>
      <c r="Q40" s="8"/>
      <c r="R40" s="12"/>
      <c r="S40" s="20"/>
      <c r="T40" s="58"/>
      <c r="V40" s="47"/>
      <c r="W40" s="8"/>
      <c r="X40" s="12"/>
      <c r="Y40" s="20"/>
      <c r="Z40" s="58"/>
      <c r="AB40" s="47"/>
      <c r="AC40" s="8"/>
      <c r="AD40" s="12"/>
      <c r="AE40" s="20"/>
      <c r="AF40" s="58"/>
      <c r="AH40" s="47"/>
      <c r="AI40" s="8"/>
      <c r="AJ40" s="12"/>
      <c r="AK40" s="20"/>
      <c r="AL40" s="58"/>
      <c r="AN40" s="47"/>
      <c r="AO40" s="8"/>
      <c r="AP40" s="12"/>
      <c r="AQ40" s="20"/>
      <c r="AR40" s="58"/>
      <c r="AT40" s="47"/>
      <c r="AU40" s="8"/>
      <c r="AV40" s="12"/>
      <c r="AW40" s="20"/>
      <c r="AX40" s="58"/>
      <c r="AZ40" s="47"/>
      <c r="BA40" s="8"/>
      <c r="BB40" s="12"/>
      <c r="BC40" s="20"/>
      <c r="BD40" s="58"/>
    </row>
    <row r="41" spans="1:57" s="1" customFormat="1" ht="15" x14ac:dyDescent="0.3">
      <c r="B41" s="39" t="s">
        <v>53</v>
      </c>
      <c r="D41" s="44">
        <f>D33-D38-D47</f>
        <v>2910.9442550000003</v>
      </c>
      <c r="E41" s="17">
        <f>E33-E38-E47</f>
        <v>2834.4756099999995</v>
      </c>
      <c r="F41" s="17">
        <f>F33-F38-F47</f>
        <v>2990.7641700000004</v>
      </c>
      <c r="G41" s="17">
        <f>G33-G38-G47</f>
        <v>2970.7609400000001</v>
      </c>
      <c r="H41" s="54">
        <f>D41+E41+F41+G41</f>
        <v>11706.944975</v>
      </c>
      <c r="J41" s="44">
        <f>J33-J38-J47</f>
        <v>2942.2542999999996</v>
      </c>
      <c r="K41" s="17">
        <f>K33-K38-K47</f>
        <v>2724.2352000000001</v>
      </c>
      <c r="L41" s="17">
        <f>L33-L38-L47</f>
        <v>2831.6495999999997</v>
      </c>
      <c r="M41" s="17">
        <f>M33-M38-M47</f>
        <v>2837.3047999999999</v>
      </c>
      <c r="N41" s="54">
        <f>J41+K41+L41+M41</f>
        <v>11335.4439</v>
      </c>
      <c r="P41" s="44">
        <f>P33-P38-P47</f>
        <v>2767.4530150000001</v>
      </c>
      <c r="Q41" s="17">
        <f>Q33-Q38-Q47</f>
        <v>2577.1325725000002</v>
      </c>
      <c r="R41" s="17">
        <f>R33-R38-R47</f>
        <v>2672.9313999999999</v>
      </c>
      <c r="S41" s="17">
        <f>S33-S38-S47</f>
        <v>2750.40229</v>
      </c>
      <c r="T41" s="54">
        <f>P41+Q41+R41+S41</f>
        <v>10767.919277499999</v>
      </c>
      <c r="V41" s="44">
        <f>V33-V38-V47</f>
        <v>2522.6295533687498</v>
      </c>
      <c r="W41" s="17">
        <f>W44*W33</f>
        <v>3512.6676557101164</v>
      </c>
      <c r="X41" s="17">
        <f>X44*X33</f>
        <v>3360.0647979282958</v>
      </c>
      <c r="Y41" s="99">
        <f>Y44*Y33</f>
        <v>3299.6708254691885</v>
      </c>
      <c r="Z41" s="54">
        <f>V41+W41+X41+Y41</f>
        <v>12695.03283247635</v>
      </c>
      <c r="AB41" s="44">
        <f>AB44*AB33</f>
        <v>2631.7101813540398</v>
      </c>
      <c r="AC41" s="17">
        <f>AC44*AC33</f>
        <v>3505.4835284346159</v>
      </c>
      <c r="AD41" s="17">
        <f>AD44*AD33</f>
        <v>3451.5357727519126</v>
      </c>
      <c r="AE41" s="99">
        <f>AE44*AE33</f>
        <v>3297.3597370036678</v>
      </c>
      <c r="AF41" s="54">
        <f>AB41+AC41+AD41+AE41</f>
        <v>12886.089219544236</v>
      </c>
      <c r="AH41" s="44">
        <f>AH44*AH33</f>
        <v>2725.6265177915602</v>
      </c>
      <c r="AI41" s="17">
        <f>AI44*AI33</f>
        <v>3629.0909971290007</v>
      </c>
      <c r="AJ41" s="17">
        <f>AJ44*AJ33</f>
        <v>3564.110831298703</v>
      </c>
      <c r="AK41" s="99">
        <f>AK44*AK33</f>
        <v>3348.9820635212532</v>
      </c>
      <c r="AL41" s="54">
        <f>AH41+AI41+AJ41+AK41</f>
        <v>13267.810409740518</v>
      </c>
      <c r="AN41" s="44">
        <f>AN44*AN33</f>
        <v>2802.8911264288813</v>
      </c>
      <c r="AO41" s="17">
        <f>AO44*AO33</f>
        <v>3695.9026777311469</v>
      </c>
      <c r="AP41" s="17">
        <f>AP44*AP33</f>
        <v>3619.9632901982245</v>
      </c>
      <c r="AQ41" s="99">
        <f>AQ44*AQ33</f>
        <v>3390.9241982408098</v>
      </c>
      <c r="AR41" s="54">
        <f>AN41+AO41+AP41+AQ41</f>
        <v>13509.681292599062</v>
      </c>
      <c r="AT41" s="44">
        <f>AT44*AT33</f>
        <v>2837.9683478910392</v>
      </c>
      <c r="AU41" s="17">
        <f>AU44*AU33</f>
        <v>3736.4900237079478</v>
      </c>
      <c r="AV41" s="17">
        <f>AV44*AV33</f>
        <v>3665.6840583369044</v>
      </c>
      <c r="AW41" s="99">
        <f>AW44*AW33</f>
        <v>3419.7082804536794</v>
      </c>
      <c r="AX41" s="54">
        <f>AT41+AU41+AV41+AW41</f>
        <v>13659.850710389572</v>
      </c>
      <c r="AZ41" s="44">
        <f>AZ44*AZ33</f>
        <v>2880.3864885216599</v>
      </c>
      <c r="BA41" s="17">
        <f>BA44*BA33</f>
        <v>3801.5087008474625</v>
      </c>
      <c r="BB41" s="17">
        <f>BB44*BB33</f>
        <v>3725.9155966091575</v>
      </c>
      <c r="BC41" s="99">
        <f>BC44*BC33</f>
        <v>3473.9328826959886</v>
      </c>
      <c r="BD41" s="54">
        <f>AZ41+BA41+BB41+BC41</f>
        <v>13881.743668674268</v>
      </c>
    </row>
    <row r="42" spans="1:57" s="1" customFormat="1" ht="15" x14ac:dyDescent="0.3">
      <c r="B42" s="40" t="s">
        <v>23</v>
      </c>
      <c r="D42" s="62" t="s">
        <v>35</v>
      </c>
      <c r="E42" s="9" t="s">
        <v>35</v>
      </c>
      <c r="F42" s="9" t="s">
        <v>35</v>
      </c>
      <c r="G42" s="9" t="s">
        <v>35</v>
      </c>
      <c r="H42" s="66" t="s">
        <v>35</v>
      </c>
      <c r="J42" s="62">
        <f>J41/D41-1</f>
        <v>1.0755975469547208E-2</v>
      </c>
      <c r="K42" s="9">
        <f>K41/E41-1</f>
        <v>-3.8892700156273108E-2</v>
      </c>
      <c r="L42" s="9">
        <f>L41/F41-1</f>
        <v>-5.320197814192773E-2</v>
      </c>
      <c r="M42" s="9">
        <f>M41/G41-1</f>
        <v>-4.4923217551123495E-2</v>
      </c>
      <c r="N42" s="65">
        <f>N41/H41-1</f>
        <v>-3.1733392084214551E-2</v>
      </c>
      <c r="P42" s="62">
        <f>P41/J41-1</f>
        <v>-5.941066514882809E-2</v>
      </c>
      <c r="Q42" s="9">
        <f>Q41/K41-1</f>
        <v>-5.3997770640361709E-2</v>
      </c>
      <c r="R42" s="9">
        <f>R41/L41-1</f>
        <v>-5.6051497332155753E-2</v>
      </c>
      <c r="S42" s="9">
        <f>S41/M41-1</f>
        <v>-3.0628542270114911E-2</v>
      </c>
      <c r="T42" s="65">
        <f>T41/N41-1</f>
        <v>-5.0066378300368197E-2</v>
      </c>
      <c r="V42" s="62">
        <f>V41/P41-1</f>
        <v>-8.8465264018673939E-2</v>
      </c>
      <c r="W42" s="9">
        <f>W41/Q41-1</f>
        <v>0.36301395325680952</v>
      </c>
      <c r="X42" s="9">
        <f>X41/R41-1</f>
        <v>0.25707109352985857</v>
      </c>
      <c r="Y42" s="9">
        <f>Y41/S41-1</f>
        <v>0.19970479862754487</v>
      </c>
      <c r="Z42" s="65">
        <f>Z41/T41-1</f>
        <v>0.17896805365203039</v>
      </c>
      <c r="AB42" s="62">
        <f>AB41/V41-1</f>
        <v>4.324084281008389E-2</v>
      </c>
      <c r="AC42" s="9">
        <f>AC41/W41-1</f>
        <v>-2.0452055188945328E-3</v>
      </c>
      <c r="AD42" s="9">
        <f>AD41/X41-1</f>
        <v>2.7222979413972892E-2</v>
      </c>
      <c r="AE42" s="9">
        <f>AE41/Y41-1</f>
        <v>-7.0039970280733055E-4</v>
      </c>
      <c r="AF42" s="65">
        <f>AF41/Z41-1</f>
        <v>1.5049696175588156E-2</v>
      </c>
      <c r="AH42" s="62">
        <f>AH41/AB41-1</f>
        <v>3.5686428202819531E-2</v>
      </c>
      <c r="AI42" s="9">
        <f>AI41/AC41-1</f>
        <v>3.52611751536549E-2</v>
      </c>
      <c r="AJ42" s="9">
        <f>AJ41/AD41-1</f>
        <v>3.2615932720591267E-2</v>
      </c>
      <c r="AK42" s="9">
        <f>AK41/AE41-1</f>
        <v>1.5655655019459536E-2</v>
      </c>
      <c r="AL42" s="65">
        <f>AL41/AF41-1</f>
        <v>2.9622733762957987E-2</v>
      </c>
      <c r="AN42" s="62">
        <f>AN41/AH41-1</f>
        <v>2.8347467319155939E-2</v>
      </c>
      <c r="AO42" s="9">
        <f>AO41/AI41-1</f>
        <v>1.8410031783441472E-2</v>
      </c>
      <c r="AP42" s="9">
        <f>AP41/AJ41-1</f>
        <v>1.5670797442393081E-2</v>
      </c>
      <c r="AQ42" s="9">
        <f>AQ41/AK41-1</f>
        <v>1.2523845731039041E-2</v>
      </c>
      <c r="AR42" s="65">
        <f>AR41/AL41-1</f>
        <v>1.8229901949833094E-2</v>
      </c>
      <c r="AT42" s="62">
        <f>AT41/AN41-1</f>
        <v>1.2514657145049179E-2</v>
      </c>
      <c r="AU42" s="9">
        <f>AU41/AO41-1</f>
        <v>1.098171394537828E-2</v>
      </c>
      <c r="AV42" s="9">
        <f>AV41/AP41-1</f>
        <v>1.2630174527592075E-2</v>
      </c>
      <c r="AW42" s="9">
        <f>AW41/AQ41-1</f>
        <v>8.488565514912505E-3</v>
      </c>
      <c r="AX42" s="65">
        <f>AX41/AR41-1</f>
        <v>1.1115689151954822E-2</v>
      </c>
      <c r="AZ42" s="62">
        <f>AZ41/AT41-1</f>
        <v>1.4946657407980846E-2</v>
      </c>
      <c r="BA42" s="9">
        <f>BA41/AU41-1</f>
        <v>1.7401003810253002E-2</v>
      </c>
      <c r="BB42" s="9">
        <f>BB41/AV41-1</f>
        <v>1.6431186461710379E-2</v>
      </c>
      <c r="BC42" s="9">
        <f>BC41/AW41-1</f>
        <v>1.5856499383952061E-2</v>
      </c>
      <c r="BD42" s="65">
        <f>BD41/AX41-1</f>
        <v>1.6244171549834485E-2</v>
      </c>
    </row>
    <row r="43" spans="1:57" s="1" customFormat="1" ht="15" x14ac:dyDescent="0.3">
      <c r="B43" s="39"/>
      <c r="D43" s="44"/>
      <c r="E43" s="17"/>
      <c r="F43" s="17"/>
      <c r="G43" s="17"/>
      <c r="H43" s="54"/>
      <c r="J43" s="44"/>
      <c r="K43" s="17"/>
      <c r="L43" s="17"/>
      <c r="M43" s="17"/>
      <c r="N43" s="54"/>
      <c r="P43" s="44"/>
      <c r="Q43" s="17"/>
      <c r="R43" s="17"/>
      <c r="S43" s="17"/>
      <c r="T43" s="54"/>
      <c r="V43" s="44"/>
      <c r="W43" s="17"/>
      <c r="X43" s="17"/>
      <c r="Y43" s="99"/>
      <c r="Z43" s="54"/>
      <c r="AB43" s="44"/>
      <c r="AC43" s="17"/>
      <c r="AD43" s="17"/>
      <c r="AE43" s="99"/>
      <c r="AF43" s="54"/>
      <c r="AH43" s="44"/>
      <c r="AI43" s="17"/>
      <c r="AJ43" s="17"/>
      <c r="AK43" s="99"/>
      <c r="AL43" s="54"/>
      <c r="AN43" s="44"/>
      <c r="AO43" s="17"/>
      <c r="AP43" s="17"/>
      <c r="AQ43" s="99"/>
      <c r="AR43" s="54"/>
      <c r="AT43" s="44"/>
      <c r="AU43" s="17"/>
      <c r="AV43" s="17"/>
      <c r="AW43" s="99"/>
      <c r="AX43" s="54"/>
      <c r="AZ43" s="44"/>
      <c r="BA43" s="17"/>
      <c r="BB43" s="17"/>
      <c r="BC43" s="99"/>
      <c r="BD43" s="54"/>
    </row>
    <row r="44" spans="1:57" s="1" customFormat="1" ht="15" x14ac:dyDescent="0.3">
      <c r="B44" s="40" t="s">
        <v>54</v>
      </c>
      <c r="D44" s="62">
        <f>D41/D33</f>
        <v>0.55152411045850702</v>
      </c>
      <c r="E44" s="9">
        <f>E41/E33</f>
        <v>0.52921501306945473</v>
      </c>
      <c r="F44" s="9">
        <f>F41/F33</f>
        <v>0.55902134018691596</v>
      </c>
      <c r="G44" s="9">
        <f>G41/G33</f>
        <v>0.55393640499720309</v>
      </c>
      <c r="H44" s="65">
        <f>H41/H33</f>
        <v>0.54841171944535538</v>
      </c>
      <c r="J44" s="62">
        <f>J41/J33</f>
        <v>0.5700938384034101</v>
      </c>
      <c r="K44" s="9">
        <f>K41/K33</f>
        <v>0.53945251485148515</v>
      </c>
      <c r="L44" s="9">
        <f>L41/L33</f>
        <v>0.54163152257077274</v>
      </c>
      <c r="M44" s="9">
        <f>M41/M33</f>
        <v>0.5478480015446997</v>
      </c>
      <c r="N44" s="65">
        <f>N41/N33</f>
        <v>0.54978387331457945</v>
      </c>
      <c r="P44" s="62">
        <f>P41/P33</f>
        <v>0.54975228744537152</v>
      </c>
      <c r="Q44" s="9">
        <f>Q41/Q33</f>
        <v>0.52777648423100554</v>
      </c>
      <c r="R44" s="9">
        <f>R41/R33</f>
        <v>0.54627659922338034</v>
      </c>
      <c r="S44" s="9">
        <f>S41/S33</f>
        <v>0.56027750865756776</v>
      </c>
      <c r="T44" s="65">
        <f>T41/T33</f>
        <v>0.54606822239971597</v>
      </c>
      <c r="V44" s="62">
        <f>V41/V33</f>
        <v>0.53936915829992516</v>
      </c>
      <c r="W44" s="9">
        <f>Q44+W45</f>
        <v>0.65327648423100548</v>
      </c>
      <c r="X44" s="9">
        <f>R44+X45</f>
        <v>0.62467659922338037</v>
      </c>
      <c r="Y44" s="100">
        <f>S44+Y45</f>
        <v>0.60277750865756774</v>
      </c>
      <c r="Z44" s="65">
        <f>Z41/Z33</f>
        <v>0.60721453355547916</v>
      </c>
      <c r="AB44" s="62">
        <f>V44+AB45</f>
        <v>0.52936915829992515</v>
      </c>
      <c r="AC44" s="9">
        <f>W44+AC45</f>
        <v>0.63827648423100547</v>
      </c>
      <c r="AD44" s="9">
        <f>X44+AD45</f>
        <v>0.61467659922338036</v>
      </c>
      <c r="AE44" s="100">
        <f>Y44+AE45</f>
        <v>0.59277750865756773</v>
      </c>
      <c r="AF44" s="65">
        <f>AF41/AF33</f>
        <v>0.59544021655127966</v>
      </c>
      <c r="AH44" s="62">
        <f>AB44+AH45</f>
        <v>0.52436915829992514</v>
      </c>
      <c r="AI44" s="9">
        <f>AC44+AI45</f>
        <v>0.63327648423100547</v>
      </c>
      <c r="AJ44" s="9">
        <f>AD44+AJ45</f>
        <v>0.60967659922338036</v>
      </c>
      <c r="AK44" s="100">
        <f>AE44+AK45</f>
        <v>0.58777750865756773</v>
      </c>
      <c r="AL44" s="65">
        <f>AL41/AL33</f>
        <v>0.59041044451407487</v>
      </c>
      <c r="AN44" s="62">
        <f>AH44+AN45</f>
        <v>0.5218691582999252</v>
      </c>
      <c r="AO44" s="9">
        <f>AI44+AO45</f>
        <v>0.63077648423100552</v>
      </c>
      <c r="AP44" s="9">
        <f>AJ44+AP45</f>
        <v>0.60717659922338041</v>
      </c>
      <c r="AQ44" s="100">
        <f>AK44+AQ45</f>
        <v>0.58527750865756778</v>
      </c>
      <c r="AR44" s="65">
        <f>AR41/AR33</f>
        <v>0.58773969012510929</v>
      </c>
      <c r="AT44" s="62">
        <f>AN44+AT45</f>
        <v>0.51936915829992525</v>
      </c>
      <c r="AU44" s="9">
        <f>AO44+AU45</f>
        <v>0.62827648423100557</v>
      </c>
      <c r="AV44" s="9">
        <f>AP44+AV45</f>
        <v>0.60467659922338046</v>
      </c>
      <c r="AW44" s="100">
        <f>AQ44+AW45</f>
        <v>0.58277750865756783</v>
      </c>
      <c r="AX44" s="65">
        <f>AX41/AX33</f>
        <v>0.5852138939776973</v>
      </c>
      <c r="AZ44" s="62">
        <f>AT44+AZ45</f>
        <v>0.5168691582999253</v>
      </c>
      <c r="BA44" s="9">
        <f>AU44+BA45</f>
        <v>0.62577648423100563</v>
      </c>
      <c r="BB44" s="9">
        <f>AV44+BB45</f>
        <v>0.60217659922338052</v>
      </c>
      <c r="BC44" s="100">
        <f>AW44+BC45</f>
        <v>0.58027750865756789</v>
      </c>
      <c r="BD44" s="65">
        <f>BD41/BD33</f>
        <v>0.5827349128361361</v>
      </c>
    </row>
    <row r="45" spans="1:57" s="1" customFormat="1" ht="15.75" thickBot="1" x14ac:dyDescent="0.35">
      <c r="B45" s="41" t="s">
        <v>23</v>
      </c>
      <c r="D45" s="52" t="s">
        <v>35</v>
      </c>
      <c r="E45" s="10" t="s">
        <v>35</v>
      </c>
      <c r="F45" s="10" t="s">
        <v>35</v>
      </c>
      <c r="G45" s="10" t="s">
        <v>35</v>
      </c>
      <c r="H45" s="61" t="s">
        <v>35</v>
      </c>
      <c r="J45" s="52">
        <f>J44-D44</f>
        <v>1.8569727944903081E-2</v>
      </c>
      <c r="K45" s="10">
        <f>K44-E44</f>
        <v>1.0237501782030423E-2</v>
      </c>
      <c r="L45" s="10">
        <f>L44-F44</f>
        <v>-1.7389817616143222E-2</v>
      </c>
      <c r="M45" s="10">
        <f>M44-G44</f>
        <v>-6.0884034525033881E-3</v>
      </c>
      <c r="N45" s="68">
        <f>N44-H44</f>
        <v>1.3721538692240687E-3</v>
      </c>
      <c r="P45" s="52">
        <f>P44-J44</f>
        <v>-2.0341550958038579E-2</v>
      </c>
      <c r="Q45" s="10">
        <f>Q44-K44</f>
        <v>-1.1676030620479616E-2</v>
      </c>
      <c r="R45" s="10">
        <f>R44-L44</f>
        <v>4.6450766526076048E-3</v>
      </c>
      <c r="S45" s="10">
        <f>S44-M44</f>
        <v>1.2429507112868055E-2</v>
      </c>
      <c r="T45" s="68">
        <f>T44-N44</f>
        <v>-3.7156509148634775E-3</v>
      </c>
      <c r="V45" s="52">
        <f>V44-P44</f>
        <v>-1.0383129145446368E-2</v>
      </c>
      <c r="W45" s="10">
        <v>0.1255</v>
      </c>
      <c r="X45" s="10">
        <v>7.8399999999999997E-2</v>
      </c>
      <c r="Y45" s="10">
        <v>4.2500000000000003E-2</v>
      </c>
      <c r="Z45" s="68">
        <f>Z44-T44</f>
        <v>6.1146311155763189E-2</v>
      </c>
      <c r="AB45" s="52">
        <v>-0.01</v>
      </c>
      <c r="AC45" s="10">
        <v>-1.4999999999999999E-2</v>
      </c>
      <c r="AD45" s="10">
        <v>-0.01</v>
      </c>
      <c r="AE45" s="83">
        <v>-0.01</v>
      </c>
      <c r="AF45" s="68">
        <f>AF44-Z44</f>
        <v>-1.1774317004199508E-2</v>
      </c>
      <c r="AH45" s="453">
        <v>-5.0000000000000001E-3</v>
      </c>
      <c r="AI45" s="454">
        <v>-5.0000000000000001E-3</v>
      </c>
      <c r="AJ45" s="454">
        <v>-5.0000000000000001E-3</v>
      </c>
      <c r="AK45" s="454">
        <v>-5.0000000000000001E-3</v>
      </c>
      <c r="AL45" s="68">
        <f>AL44-AF44</f>
        <v>-5.0297720372047827E-3</v>
      </c>
      <c r="AN45" s="453">
        <v>-2.5000000000000001E-3</v>
      </c>
      <c r="AO45" s="454">
        <v>-2.5000000000000001E-3</v>
      </c>
      <c r="AP45" s="454">
        <v>-2.5000000000000001E-3</v>
      </c>
      <c r="AQ45" s="454">
        <v>-2.5000000000000001E-3</v>
      </c>
      <c r="AR45" s="68">
        <f>AR44-AL44</f>
        <v>-2.6707543889655794E-3</v>
      </c>
      <c r="AT45" s="453">
        <v>-2.5000000000000001E-3</v>
      </c>
      <c r="AU45" s="454">
        <v>-2.5000000000000001E-3</v>
      </c>
      <c r="AV45" s="454">
        <v>-2.5000000000000001E-3</v>
      </c>
      <c r="AW45" s="454">
        <v>-2.5000000000000001E-3</v>
      </c>
      <c r="AX45" s="68">
        <f>AX44-AR44</f>
        <v>-2.5257961474119961E-3</v>
      </c>
      <c r="AZ45" s="453">
        <v>-2.5000000000000001E-3</v>
      </c>
      <c r="BA45" s="454">
        <v>-2.5000000000000001E-3</v>
      </c>
      <c r="BB45" s="454">
        <v>-2.5000000000000001E-3</v>
      </c>
      <c r="BC45" s="454">
        <v>-2.5000000000000001E-3</v>
      </c>
      <c r="BD45" s="68">
        <f>BD44-AX44</f>
        <v>-2.4789811415611984E-3</v>
      </c>
    </row>
    <row r="46" spans="1:57" s="1" customFormat="1" ht="15.75" thickBot="1" x14ac:dyDescent="0.35">
      <c r="D46" s="36"/>
      <c r="E46" s="36"/>
      <c r="F46" s="11"/>
      <c r="G46" s="11"/>
      <c r="H46" s="2"/>
      <c r="J46" s="36"/>
      <c r="K46" s="2"/>
      <c r="L46" s="11"/>
      <c r="M46" s="11"/>
      <c r="N46" s="2"/>
      <c r="P46" s="98"/>
      <c r="Q46" s="36">
        <f>1356/Q47-1</f>
        <v>1.3452914798206317E-2</v>
      </c>
      <c r="R46" s="36">
        <f>1244/R47-1</f>
        <v>1.4681892332789603E-2</v>
      </c>
      <c r="S46" s="36">
        <f>1044/S47-1</f>
        <v>-3.8167938931297218E-3</v>
      </c>
      <c r="T46" s="2"/>
      <c r="V46" s="36"/>
      <c r="W46" s="36"/>
      <c r="X46" s="11"/>
      <c r="Y46" s="11"/>
      <c r="Z46" s="98"/>
      <c r="AA46" s="322"/>
      <c r="AB46" s="98"/>
      <c r="AC46" s="98"/>
      <c r="AD46" s="84"/>
      <c r="AE46" s="84"/>
      <c r="AF46" s="98"/>
      <c r="AG46" s="322"/>
      <c r="AH46" s="98"/>
      <c r="AI46" s="98"/>
      <c r="AJ46" s="84"/>
      <c r="AK46" s="84"/>
      <c r="AL46" s="98"/>
      <c r="AM46" s="322"/>
      <c r="AN46" s="98"/>
      <c r="AO46" s="98"/>
      <c r="AP46" s="84"/>
      <c r="AQ46" s="84"/>
      <c r="AR46" s="98"/>
      <c r="AS46" s="322"/>
      <c r="AT46" s="98"/>
      <c r="AU46" s="98"/>
      <c r="AV46" s="84"/>
      <c r="AW46" s="84"/>
      <c r="AX46" s="98"/>
      <c r="AY46" s="322"/>
      <c r="AZ46" s="98"/>
      <c r="BA46" s="98"/>
      <c r="BB46" s="84"/>
      <c r="BC46" s="84"/>
      <c r="BD46" s="98"/>
    </row>
    <row r="47" spans="1:57" s="13" customFormat="1" ht="15" x14ac:dyDescent="0.3">
      <c r="B47" s="42" t="s">
        <v>32</v>
      </c>
      <c r="D47" s="49">
        <v>1394</v>
      </c>
      <c r="E47" s="14">
        <v>1419</v>
      </c>
      <c r="F47" s="14">
        <v>1323</v>
      </c>
      <c r="G47" s="35">
        <v>1342</v>
      </c>
      <c r="H47" s="35">
        <f>(D47+E47+F47+G47)</f>
        <v>5478</v>
      </c>
      <c r="J47" s="49">
        <v>1188</v>
      </c>
      <c r="K47" s="14">
        <v>1277</v>
      </c>
      <c r="L47" s="14">
        <v>1445</v>
      </c>
      <c r="M47" s="14">
        <v>1400</v>
      </c>
      <c r="N47" s="59">
        <f>(J47+K47+L47+M47)</f>
        <v>5310</v>
      </c>
      <c r="P47" s="49">
        <v>1274</v>
      </c>
      <c r="Q47" s="14">
        <v>1338</v>
      </c>
      <c r="R47" s="14">
        <v>1226</v>
      </c>
      <c r="S47" s="35">
        <v>1048</v>
      </c>
      <c r="T47" s="35">
        <f>(P47+Q47+R47+S47)</f>
        <v>4886</v>
      </c>
      <c r="V47" s="49">
        <v>1178</v>
      </c>
      <c r="W47" s="14">
        <f>W33-W41-W38</f>
        <v>891.6635627898836</v>
      </c>
      <c r="X47" s="14">
        <f>X33-X41-X38</f>
        <v>988.46682469618781</v>
      </c>
      <c r="Y47" s="35">
        <f>Y33-Y41-Y38</f>
        <v>926.00438442337395</v>
      </c>
      <c r="Z47" s="35">
        <f>(V47+W47+X47+Y47)</f>
        <v>3984.1347719094456</v>
      </c>
      <c r="AA47" s="432"/>
      <c r="AB47" s="49">
        <f>AB33-AB41-AB38</f>
        <v>1219.7732837261619</v>
      </c>
      <c r="AC47" s="14">
        <f>AC33-AC41-AC38</f>
        <v>1057.8601500845321</v>
      </c>
      <c r="AD47" s="14">
        <f>AD33-AD41-AD38</f>
        <v>1171.7488940232543</v>
      </c>
      <c r="AE47" s="35">
        <f>AE33-AE41-AE38</f>
        <v>1183.961446752827</v>
      </c>
      <c r="AF47" s="35">
        <f>(AB47+AC47+AD47+AE47)</f>
        <v>4633.343774586775</v>
      </c>
      <c r="AH47" s="49">
        <f>AH33-AH41-AH38</f>
        <v>1335.8746198909546</v>
      </c>
      <c r="AI47" s="14">
        <f>AI33-AI41-AI38</f>
        <v>1195.9254030913598</v>
      </c>
      <c r="AJ47" s="14">
        <f>AJ33-AJ41-AJ38</f>
        <v>1344.0293035284471</v>
      </c>
      <c r="AK47" s="35">
        <f>AK33-AK41-AK38</f>
        <v>1389.9362129367971</v>
      </c>
      <c r="AL47" s="35">
        <f>(AH47+AI47+AJ47+AK47)</f>
        <v>5265.7655394475587</v>
      </c>
      <c r="AN47" s="49">
        <f>AN33-AN41-AN38</f>
        <v>1441.953769578945</v>
      </c>
      <c r="AO47" s="14">
        <f>AO33-AO41-AO38</f>
        <v>1301.6961485059649</v>
      </c>
      <c r="AP47" s="14">
        <f>AP33-AP41-AP38</f>
        <v>1443.9564609435015</v>
      </c>
      <c r="AQ47" s="35">
        <f>AQ33-AQ41-AQ38</f>
        <v>1487.4753426344309</v>
      </c>
      <c r="AR47" s="35">
        <f>(AN47+AO47+AP47+AQ47)</f>
        <v>5675.081721662842</v>
      </c>
      <c r="AT47" s="49">
        <f>AT33-AT41-AT38</f>
        <v>1524.0968071708498</v>
      </c>
      <c r="AU47" s="14">
        <f>AU33-AU41-AU38</f>
        <v>1372.8929458638104</v>
      </c>
      <c r="AV47" s="14">
        <f>AV33-AV41-AV38</f>
        <v>1517.8416240096506</v>
      </c>
      <c r="AW47" s="35">
        <f>AW33-AW41-AW38</f>
        <v>1573.2466120222025</v>
      </c>
      <c r="AX47" s="35">
        <f>(AT47+AU47+AV47+AW47)</f>
        <v>5988.0779890665135</v>
      </c>
      <c r="AZ47" s="49">
        <f>AZ33-AZ41-AZ38</f>
        <v>1578.0193246456031</v>
      </c>
      <c r="BA47" s="14">
        <f>BA33-BA41-BA38</f>
        <v>1426.4950297847463</v>
      </c>
      <c r="BB47" s="14">
        <f>BB33-BB41-BB38</f>
        <v>1579.4653732621259</v>
      </c>
      <c r="BC47" s="35">
        <f>BC33-BC41-BC38</f>
        <v>1635.0285639980425</v>
      </c>
      <c r="BD47" s="35">
        <f>(AZ47+BA47+BB47+BC47)</f>
        <v>6219.0082916905176</v>
      </c>
      <c r="BE47" s="13">
        <v>6360</v>
      </c>
    </row>
    <row r="48" spans="1:57" s="1" customFormat="1" ht="15.75" thickBot="1" x14ac:dyDescent="0.35">
      <c r="B48" s="41" t="s">
        <v>23</v>
      </c>
      <c r="D48" s="52" t="s">
        <v>35</v>
      </c>
      <c r="E48" s="10" t="s">
        <v>35</v>
      </c>
      <c r="F48" s="10" t="s">
        <v>35</v>
      </c>
      <c r="G48" s="10" t="s">
        <v>35</v>
      </c>
      <c r="H48" s="61" t="s">
        <v>35</v>
      </c>
      <c r="J48" s="52">
        <f>J47/D47-1</f>
        <v>-0.14777618364418943</v>
      </c>
      <c r="K48" s="10">
        <f>K47/E47-1</f>
        <v>-0.10007047216349541</v>
      </c>
      <c r="L48" s="10">
        <f>L47/F47-1</f>
        <v>9.2214663643235051E-2</v>
      </c>
      <c r="M48" s="10">
        <f>M47/G47-1</f>
        <v>4.3219076005961199E-2</v>
      </c>
      <c r="N48" s="61">
        <f>N47/H47-1</f>
        <v>-3.066812705366917E-2</v>
      </c>
      <c r="O48" s="97"/>
      <c r="P48" s="52">
        <f>P47/J47-1</f>
        <v>7.239057239057245E-2</v>
      </c>
      <c r="Q48" s="10">
        <f>Q47/K47-1</f>
        <v>4.7768206734533969E-2</v>
      </c>
      <c r="R48" s="10">
        <f>R47/L47-1</f>
        <v>-0.15155709342560553</v>
      </c>
      <c r="S48" s="83">
        <f>S47/M47-1</f>
        <v>-0.25142857142857145</v>
      </c>
      <c r="T48" s="83">
        <f>T47/N47-1</f>
        <v>-7.9849340866290031E-2</v>
      </c>
      <c r="V48" s="52">
        <f>V47/P47-1</f>
        <v>-7.5353218210361117E-2</v>
      </c>
      <c r="W48" s="10">
        <f>W47/Q47-1</f>
        <v>-0.33358478117348012</v>
      </c>
      <c r="X48" s="10">
        <f>X47/R47-1</f>
        <v>-0.19374647251534438</v>
      </c>
      <c r="Y48" s="83">
        <f>Y47/S47-1</f>
        <v>-0.11640803013036838</v>
      </c>
      <c r="Z48" s="83">
        <f>Z47/T47-1</f>
        <v>-0.18458150390719497</v>
      </c>
      <c r="AB48" s="52">
        <f>AB47/V47-1</f>
        <v>3.5461191618133991E-2</v>
      </c>
      <c r="AC48" s="10">
        <f>AC47/W47-1</f>
        <v>0.1863893448495797</v>
      </c>
      <c r="AD48" s="10">
        <f>AD47/X47-1</f>
        <v>0.18542055711723004</v>
      </c>
      <c r="AE48" s="83">
        <f>AE47/Y47-1</f>
        <v>0.27857002263556652</v>
      </c>
      <c r="AF48" s="83">
        <f>AF47/Z47-1</f>
        <v>0.16294855466603297</v>
      </c>
      <c r="AH48" s="52">
        <f>AH47/AB47-1</f>
        <v>9.5182717734336952E-2</v>
      </c>
      <c r="AI48" s="10">
        <f>AI47/AC47-1</f>
        <v>0.13051371014948931</v>
      </c>
      <c r="AJ48" s="10">
        <f>AJ47/AD47-1</f>
        <v>0.14702843790503617</v>
      </c>
      <c r="AK48" s="83">
        <f>AK47/AE47-1</f>
        <v>0.17397083895669363</v>
      </c>
      <c r="AL48" s="83">
        <f>AL47/AF47-1</f>
        <v>0.13649359849565368</v>
      </c>
      <c r="AN48" s="52">
        <f>AN47/AH47-1</f>
        <v>7.9408013378268638E-2</v>
      </c>
      <c r="AO48" s="10">
        <f>AO47/AI47-1</f>
        <v>8.8442594447109446E-2</v>
      </c>
      <c r="AP48" s="10">
        <f>AP47/AJ47-1</f>
        <v>7.4348942506475169E-2</v>
      </c>
      <c r="AQ48" s="83">
        <f>AQ47/AK47-1</f>
        <v>7.0175256094337835E-2</v>
      </c>
      <c r="AR48" s="83">
        <f>AR47/AL47-1</f>
        <v>7.7731562324407255E-2</v>
      </c>
      <c r="AT48" s="52">
        <f>AT47/AN47-1</f>
        <v>5.6966484865801803E-2</v>
      </c>
      <c r="AU48" s="10">
        <f>AU47/AO47-1</f>
        <v>5.4695404484035981E-2</v>
      </c>
      <c r="AV48" s="10">
        <f>AV47/AP47-1</f>
        <v>5.1168553252548543E-2</v>
      </c>
      <c r="AW48" s="83">
        <f>AW47/AQ47-1</f>
        <v>5.7662313404042154E-2</v>
      </c>
      <c r="AX48" s="83">
        <f>AX47/AR47-1</f>
        <v>5.5152733080284344E-2</v>
      </c>
      <c r="AZ48" s="52">
        <f>AZ47/AT47-1</f>
        <v>3.5379981915222736E-2</v>
      </c>
      <c r="BA48" s="10">
        <f>BA47/AU47-1</f>
        <v>3.9043163622062282E-2</v>
      </c>
      <c r="BB48" s="10">
        <f>BB47/AV47-1</f>
        <v>4.0599591075704655E-2</v>
      </c>
      <c r="BC48" s="83">
        <f>BC47/AW47-1</f>
        <v>3.9270354376563565E-2</v>
      </c>
      <c r="BD48" s="83">
        <f>BD47/AX47-1</f>
        <v>3.8565012520821229E-2</v>
      </c>
    </row>
    <row r="49" spans="2:57" s="1" customFormat="1" ht="15.75" thickBot="1" x14ac:dyDescent="0.35">
      <c r="D49" s="2"/>
      <c r="E49" s="2"/>
      <c r="F49" s="357"/>
      <c r="G49" s="357"/>
      <c r="H49" s="2"/>
      <c r="J49" s="357"/>
      <c r="K49" s="357"/>
      <c r="L49" s="11"/>
      <c r="M49" s="2"/>
      <c r="N49" s="2"/>
      <c r="P49" s="2"/>
      <c r="Q49" s="2"/>
      <c r="R49" s="11"/>
      <c r="S49" s="2"/>
      <c r="T49" s="2"/>
      <c r="V49" s="2"/>
      <c r="W49" s="2"/>
      <c r="X49" s="11"/>
      <c r="Y49" s="2"/>
      <c r="Z49" s="2"/>
      <c r="AB49" s="2"/>
      <c r="AC49" s="2"/>
      <c r="AD49" s="11"/>
      <c r="AE49" s="2"/>
      <c r="AF49" s="2"/>
      <c r="AH49" s="2"/>
      <c r="AI49" s="2"/>
      <c r="AJ49" s="11"/>
      <c r="AK49" s="2"/>
      <c r="AL49" s="2"/>
      <c r="AN49" s="2"/>
      <c r="AO49" s="2"/>
      <c r="AP49" s="11"/>
      <c r="AQ49" s="2"/>
      <c r="AR49" s="2"/>
      <c r="AT49" s="2"/>
      <c r="AU49" s="2"/>
      <c r="AV49" s="11"/>
      <c r="AW49" s="2"/>
      <c r="AX49" s="2"/>
      <c r="AZ49" s="2"/>
      <c r="BA49" s="2"/>
      <c r="BB49" s="11"/>
      <c r="BC49" s="2"/>
      <c r="BD49" s="2"/>
    </row>
    <row r="50" spans="2:57" s="1" customFormat="1" ht="15" x14ac:dyDescent="0.3">
      <c r="B50" s="42" t="s">
        <v>36</v>
      </c>
      <c r="D50" s="50">
        <f>D47/D33</f>
        <v>0.26411519514967791</v>
      </c>
      <c r="E50" s="24">
        <f>E47/E33</f>
        <v>0.26493651979088872</v>
      </c>
      <c r="F50" s="24">
        <f>F47/F33</f>
        <v>0.24728971962616822</v>
      </c>
      <c r="G50" s="25">
        <f>G47/G33</f>
        <v>0.25023307850083909</v>
      </c>
      <c r="H50" s="60">
        <f>H47/H33</f>
        <v>0.25661685482737623</v>
      </c>
      <c r="J50" s="50">
        <f>J47/J33</f>
        <v>0.23018794807207907</v>
      </c>
      <c r="K50" s="24">
        <f>K47/K33</f>
        <v>0.25287128712871287</v>
      </c>
      <c r="L50" s="24">
        <f>L47/L33</f>
        <v>0.27639632746748277</v>
      </c>
      <c r="M50" s="24">
        <f>M47/M33</f>
        <v>0.27032245607260091</v>
      </c>
      <c r="N50" s="60">
        <f>N47/N33</f>
        <v>0.25754195363274807</v>
      </c>
      <c r="P50" s="50">
        <f>P47/P33</f>
        <v>0.25307906237584427</v>
      </c>
      <c r="Q50" s="24">
        <f>Q47/Q33</f>
        <v>0.27401187794388693</v>
      </c>
      <c r="R50" s="24">
        <f>R47/R33</f>
        <v>0.2505620273860617</v>
      </c>
      <c r="S50" s="24">
        <f>S47/S33</f>
        <v>0.2134854349154614</v>
      </c>
      <c r="T50" s="60">
        <f>T47/T33</f>
        <v>0.24778132765353211</v>
      </c>
      <c r="V50" s="50">
        <f>V47/V33</f>
        <v>0.25187085738721404</v>
      </c>
      <c r="W50" s="24">
        <f>W47/W33</f>
        <v>0.16582919151755321</v>
      </c>
      <c r="X50" s="24">
        <f>X47/X33</f>
        <v>0.18376791271318954</v>
      </c>
      <c r="Y50" s="25">
        <f>Y47/Y33</f>
        <v>0.16916069673990519</v>
      </c>
      <c r="Z50" s="60">
        <f>Z47/Z33</f>
        <v>0.19056465383518462</v>
      </c>
      <c r="AB50" s="50">
        <f>AB47/AB33</f>
        <v>0.24535769975652486</v>
      </c>
      <c r="AC50" s="24">
        <f>AC47/AC33</f>
        <v>0.1926145856704552</v>
      </c>
      <c r="AD50" s="24">
        <f>AD47/AD33</f>
        <v>0.20867424611616228</v>
      </c>
      <c r="AE50" s="25">
        <f>AE47/AE33</f>
        <v>0.2128447523868002</v>
      </c>
      <c r="AF50" s="60">
        <f>AF47/AF33</f>
        <v>0.21409747934323634</v>
      </c>
      <c r="AH50" s="50">
        <f>AH47/AH33</f>
        <v>0.25700199402008522</v>
      </c>
      <c r="AI50" s="24">
        <f>AI47/AI33</f>
        <v>0.20868901751744182</v>
      </c>
      <c r="AJ50" s="24">
        <f>AJ47/AJ33</f>
        <v>0.22990957740032114</v>
      </c>
      <c r="AK50" s="25">
        <f>AK47/AK33</f>
        <v>0.2439467363327491</v>
      </c>
      <c r="AL50" s="60">
        <f>AL47/AL33</f>
        <v>0.23432374120824756</v>
      </c>
      <c r="AN50" s="50">
        <f>AN47/AN33</f>
        <v>0.26847678560969679</v>
      </c>
      <c r="AO50" s="24">
        <f>AO47/AO33</f>
        <v>0.22215934554739961</v>
      </c>
      <c r="AP50" s="24">
        <f>AP47/AP33</f>
        <v>0.24219487964318395</v>
      </c>
      <c r="AQ50" s="25">
        <f>AQ47/AQ33</f>
        <v>0.25673999530225305</v>
      </c>
      <c r="AR50" s="60">
        <f>AR47/AR33</f>
        <v>0.24689485268257544</v>
      </c>
      <c r="AT50" s="50">
        <f>AT47/AT33</f>
        <v>0.27892096699956542</v>
      </c>
      <c r="AU50" s="24">
        <f>AU47/AU33</f>
        <v>0.23084668974892528</v>
      </c>
      <c r="AV50" s="24">
        <f>AV47/AV33</f>
        <v>0.25037709108576295</v>
      </c>
      <c r="AW50" s="25">
        <f>AW47/AW33</f>
        <v>0.26810846594687404</v>
      </c>
      <c r="AX50" s="60">
        <f>AX47/AX33</f>
        <v>0.25654061026877889</v>
      </c>
      <c r="AZ50" s="50">
        <f>AZ47/AZ33</f>
        <v>0.28316669424775914</v>
      </c>
      <c r="BA50" s="24">
        <f>BA47/BA33</f>
        <v>0.23481915070001069</v>
      </c>
      <c r="BB50" s="24">
        <f>BB47/BB33</f>
        <v>0.25527070122781553</v>
      </c>
      <c r="BC50" s="25">
        <f>BC47/BC33</f>
        <v>0.27311129308993443</v>
      </c>
      <c r="BD50" s="60">
        <f>BD47/BD33</f>
        <v>0.26106470060843467</v>
      </c>
      <c r="BE50" s="1">
        <v>30.8</v>
      </c>
    </row>
    <row r="51" spans="2:57" s="13" customFormat="1" ht="15.75" thickBot="1" x14ac:dyDescent="0.35">
      <c r="B51" s="41" t="s">
        <v>37</v>
      </c>
      <c r="D51" s="52" t="s">
        <v>35</v>
      </c>
      <c r="E51" s="10" t="s">
        <v>35</v>
      </c>
      <c r="F51" s="10" t="s">
        <v>35</v>
      </c>
      <c r="G51" s="10" t="s">
        <v>35</v>
      </c>
      <c r="H51" s="61" t="s">
        <v>35</v>
      </c>
      <c r="J51" s="63">
        <f>J50-D50</f>
        <v>-3.3927247077598838E-2</v>
      </c>
      <c r="K51" s="26">
        <f>K50-E50</f>
        <v>-1.2065232662175851E-2</v>
      </c>
      <c r="L51" s="26">
        <f>L50-F50</f>
        <v>2.9106607841314552E-2</v>
      </c>
      <c r="M51" s="26">
        <f>M50-G50</f>
        <v>2.0089377571761824E-2</v>
      </c>
      <c r="N51" s="94">
        <f>N50-H50</f>
        <v>9.2509880537183786E-4</v>
      </c>
      <c r="P51" s="63">
        <f>P50-J50</f>
        <v>2.2891114303765198E-2</v>
      </c>
      <c r="Q51" s="26">
        <f>Q50-K50</f>
        <v>2.1140590815174054E-2</v>
      </c>
      <c r="R51" s="26">
        <f>R50-L50</f>
        <v>-2.5834300081421069E-2</v>
      </c>
      <c r="S51" s="26">
        <f>S50-M50</f>
        <v>-5.6837021157139511E-2</v>
      </c>
      <c r="T51" s="94">
        <f>T50-N50</f>
        <v>-9.7606259792159533E-3</v>
      </c>
      <c r="V51" s="63">
        <f>V50-P50</f>
        <v>-1.2082049886302237E-3</v>
      </c>
      <c r="W51" s="26">
        <f>W50-Q50</f>
        <v>-0.10818268642633372</v>
      </c>
      <c r="X51" s="26">
        <f>X50-R50</f>
        <v>-6.6794114672872162E-2</v>
      </c>
      <c r="Y51" s="27">
        <f>Y50-S50</f>
        <v>-4.4324738175556211E-2</v>
      </c>
      <c r="Z51" s="94">
        <f>Z50-T50</f>
        <v>-5.7216673818347497E-2</v>
      </c>
      <c r="AB51" s="63">
        <f>AB50-V50</f>
        <v>-6.513157630689187E-3</v>
      </c>
      <c r="AC51" s="26">
        <f>AC50-W50</f>
        <v>2.6785394152901987E-2</v>
      </c>
      <c r="AD51" s="26">
        <f>AD50-X50</f>
        <v>2.4906333402972741E-2</v>
      </c>
      <c r="AE51" s="27">
        <f>AE50-Y50</f>
        <v>4.3684055646895009E-2</v>
      </c>
      <c r="AF51" s="94">
        <f>AF50-Z50</f>
        <v>2.3532825508051719E-2</v>
      </c>
      <c r="AH51" s="63">
        <f>AH50-AB50</f>
        <v>1.1644294263560367E-2</v>
      </c>
      <c r="AI51" s="26">
        <f>AI50-AC50</f>
        <v>1.607443184698662E-2</v>
      </c>
      <c r="AJ51" s="26">
        <f>AJ50-AD50</f>
        <v>2.1235331284158859E-2</v>
      </c>
      <c r="AK51" s="27">
        <f>AK50-AE50</f>
        <v>3.1101983945948902E-2</v>
      </c>
      <c r="AL51" s="94">
        <f>AL50-AF50</f>
        <v>2.0226261865011225E-2</v>
      </c>
      <c r="AN51" s="63">
        <f>AN50-AH50</f>
        <v>1.1474791589611566E-2</v>
      </c>
      <c r="AO51" s="26">
        <f>AO50-AI50</f>
        <v>1.347032802995779E-2</v>
      </c>
      <c r="AP51" s="26">
        <f>AP50-AJ50</f>
        <v>1.2285302242862811E-2</v>
      </c>
      <c r="AQ51" s="27">
        <f>AQ50-AK50</f>
        <v>1.2793258969503951E-2</v>
      </c>
      <c r="AR51" s="94">
        <f>AR50-AL50</f>
        <v>1.2571111474327878E-2</v>
      </c>
      <c r="AT51" s="63">
        <f>AT50-AN50</f>
        <v>1.0444181389868634E-2</v>
      </c>
      <c r="AU51" s="26">
        <f>AU50-AO50</f>
        <v>8.6873442015256708E-3</v>
      </c>
      <c r="AV51" s="26">
        <f>AV50-AP50</f>
        <v>8.182211442578996E-3</v>
      </c>
      <c r="AW51" s="27">
        <f>AW50-AQ50</f>
        <v>1.1368470644620987E-2</v>
      </c>
      <c r="AX51" s="94">
        <f>AX50-AR50</f>
        <v>9.6457575862034517E-3</v>
      </c>
      <c r="AZ51" s="63">
        <f>AZ50-AT50</f>
        <v>4.2457272481937203E-3</v>
      </c>
      <c r="BA51" s="26">
        <f>BA50-AU50</f>
        <v>3.9724609510854159E-3</v>
      </c>
      <c r="BB51" s="26">
        <f>BB50-AV50</f>
        <v>4.8936101420525846E-3</v>
      </c>
      <c r="BC51" s="27">
        <f>BC50-AW50</f>
        <v>5.0028271430603843E-3</v>
      </c>
      <c r="BD51" s="94">
        <f>BD50-AX50</f>
        <v>4.5240903396557841E-3</v>
      </c>
    </row>
    <row r="52" spans="2:57" s="1" customFormat="1" ht="15.75" thickBot="1" x14ac:dyDescent="0.35">
      <c r="D52" s="2"/>
      <c r="E52" s="2"/>
      <c r="F52" s="11"/>
      <c r="G52" s="2"/>
      <c r="H52" s="2"/>
      <c r="J52" s="2"/>
      <c r="K52" s="2"/>
      <c r="L52" s="11"/>
      <c r="M52" s="2"/>
      <c r="N52" s="2"/>
      <c r="P52" s="2"/>
      <c r="Q52" s="2"/>
      <c r="R52" s="11"/>
      <c r="S52" s="2"/>
      <c r="T52" s="2"/>
      <c r="V52" s="2"/>
      <c r="W52" s="2"/>
      <c r="X52" s="11"/>
      <c r="Y52" s="2"/>
      <c r="Z52" s="2"/>
      <c r="AB52" s="2"/>
      <c r="AC52" s="2"/>
      <c r="AD52" s="11"/>
      <c r="AE52" s="2"/>
      <c r="AF52" s="2"/>
      <c r="AH52" s="2"/>
      <c r="AI52" s="2"/>
      <c r="AJ52" s="11"/>
      <c r="AK52" s="2"/>
      <c r="AL52" s="2"/>
      <c r="AN52" s="2"/>
      <c r="AO52" s="2"/>
      <c r="AP52" s="11"/>
      <c r="AQ52" s="2"/>
      <c r="AR52" s="2"/>
      <c r="AT52" s="2"/>
      <c r="AU52" s="2"/>
      <c r="AV52" s="11"/>
      <c r="AW52" s="2"/>
      <c r="AX52" s="2"/>
      <c r="AZ52" s="2"/>
      <c r="BA52" s="2"/>
      <c r="BB52" s="11"/>
      <c r="BC52" s="2"/>
      <c r="BD52" s="2"/>
    </row>
    <row r="53" spans="2:57" s="1" customFormat="1" ht="15" x14ac:dyDescent="0.3">
      <c r="B53" s="42" t="s">
        <v>33</v>
      </c>
      <c r="D53" s="49">
        <v>666</v>
      </c>
      <c r="E53" s="14">
        <v>682</v>
      </c>
      <c r="F53" s="15">
        <v>643</v>
      </c>
      <c r="G53" s="22">
        <v>828</v>
      </c>
      <c r="H53" s="35">
        <f>(D53+E53+F53+G53)</f>
        <v>2819</v>
      </c>
      <c r="J53" s="49">
        <v>749</v>
      </c>
      <c r="K53" s="14">
        <v>688</v>
      </c>
      <c r="L53" s="15">
        <v>741</v>
      </c>
      <c r="M53" s="15">
        <v>551</v>
      </c>
      <c r="N53" s="59">
        <f>(J53+K53+L53+M53)</f>
        <v>2729</v>
      </c>
      <c r="P53" s="49">
        <v>747</v>
      </c>
      <c r="Q53" s="14">
        <v>539</v>
      </c>
      <c r="R53" s="15">
        <v>717</v>
      </c>
      <c r="S53" s="22">
        <v>898</v>
      </c>
      <c r="T53" s="35">
        <f>(P53+Q53+R53+S53)</f>
        <v>2901</v>
      </c>
      <c r="U53" s="322"/>
      <c r="V53" s="49">
        <v>1076</v>
      </c>
      <c r="W53" s="14">
        <v>986</v>
      </c>
      <c r="X53" s="15">
        <f>X193-X123</f>
        <v>857</v>
      </c>
      <c r="Y53" s="15">
        <f>Y193-Y123</f>
        <v>707</v>
      </c>
      <c r="Z53" s="35">
        <f>(V53+W53+X53+Y53)</f>
        <v>3626</v>
      </c>
      <c r="AB53" s="49">
        <v>800</v>
      </c>
      <c r="AC53" s="14">
        <v>800</v>
      </c>
      <c r="AD53" s="15">
        <v>900</v>
      </c>
      <c r="AE53" s="22">
        <v>1100</v>
      </c>
      <c r="AF53" s="35">
        <f>(AB53+AC53+AD53+AE53)</f>
        <v>3600</v>
      </c>
      <c r="AH53" s="49">
        <v>700</v>
      </c>
      <c r="AI53" s="14">
        <v>700</v>
      </c>
      <c r="AJ53" s="15">
        <v>750</v>
      </c>
      <c r="AK53" s="22">
        <v>1000</v>
      </c>
      <c r="AL53" s="35">
        <f>(AH53+AI53+AJ53+AK53)</f>
        <v>3150</v>
      </c>
      <c r="AN53" s="49">
        <v>675</v>
      </c>
      <c r="AO53" s="14">
        <v>700</v>
      </c>
      <c r="AP53" s="15">
        <v>700</v>
      </c>
      <c r="AQ53" s="22">
        <v>825</v>
      </c>
      <c r="AR53" s="35">
        <f>(AN53+AO53+AP53+AQ53)</f>
        <v>2900</v>
      </c>
      <c r="AT53" s="49">
        <v>675</v>
      </c>
      <c r="AU53" s="14">
        <v>675</v>
      </c>
      <c r="AV53" s="15">
        <v>650</v>
      </c>
      <c r="AW53" s="22">
        <v>750</v>
      </c>
      <c r="AX53" s="35">
        <f>(AT53+AU53+AV53+AW53)</f>
        <v>2750</v>
      </c>
      <c r="AZ53" s="49">
        <v>675</v>
      </c>
      <c r="BA53" s="14">
        <v>675</v>
      </c>
      <c r="BB53" s="15">
        <v>650</v>
      </c>
      <c r="BC53" s="22">
        <v>750</v>
      </c>
      <c r="BD53" s="35">
        <f>(AZ53+BA53+BB53+BC53)</f>
        <v>2750</v>
      </c>
    </row>
    <row r="54" spans="2:57" s="1" customFormat="1" ht="15.75" thickBot="1" x14ac:dyDescent="0.35">
      <c r="B54" s="41" t="s">
        <v>40</v>
      </c>
      <c r="D54" s="52" t="s">
        <v>35</v>
      </c>
      <c r="E54" s="10" t="s">
        <v>35</v>
      </c>
      <c r="F54" s="10" t="s">
        <v>35</v>
      </c>
      <c r="G54" s="10" t="s">
        <v>35</v>
      </c>
      <c r="H54" s="61" t="s">
        <v>35</v>
      </c>
      <c r="J54" s="52">
        <f>J53/D53-1</f>
        <v>0.12462462462462454</v>
      </c>
      <c r="K54" s="10">
        <f>K53/E53-1</f>
        <v>8.7976539589442737E-3</v>
      </c>
      <c r="L54" s="10">
        <f>L53/F53-1</f>
        <v>0.15241057542768277</v>
      </c>
      <c r="M54" s="10">
        <f>M53/G53-1</f>
        <v>-0.33454106280193241</v>
      </c>
      <c r="N54" s="61">
        <f>N53/H53-1</f>
        <v>-3.1926214969847488E-2</v>
      </c>
      <c r="P54" s="52">
        <f>P53/J53-1</f>
        <v>-2.6702269692924219E-3</v>
      </c>
      <c r="Q54" s="10">
        <f>Q53/K53-1</f>
        <v>-0.21656976744186052</v>
      </c>
      <c r="R54" s="10">
        <f>R53/L53-1</f>
        <v>-3.2388663967611309E-2</v>
      </c>
      <c r="S54" s="83">
        <f>S53/M53-1</f>
        <v>0.62976406533575324</v>
      </c>
      <c r="T54" s="83">
        <f>T53/N53-1</f>
        <v>6.3026749725173969E-2</v>
      </c>
      <c r="V54" s="52">
        <f>V53/P53-1</f>
        <v>0.44042838018741626</v>
      </c>
      <c r="W54" s="10">
        <f>W53/Q53-1</f>
        <v>0.8293135435992578</v>
      </c>
      <c r="X54" s="10">
        <f>X53/R53-1</f>
        <v>0.19525801952580202</v>
      </c>
      <c r="Y54" s="83">
        <f>Y53/S53-1</f>
        <v>-0.21269487750556793</v>
      </c>
      <c r="Z54" s="83">
        <f>Z53/T53-1</f>
        <v>0.2499138228197173</v>
      </c>
      <c r="AB54" s="52">
        <f>AB53/V53-1</f>
        <v>-0.25650557620817849</v>
      </c>
      <c r="AC54" s="10">
        <f>AC53/W53-1</f>
        <v>-0.18864097363083165</v>
      </c>
      <c r="AD54" s="10">
        <f>AD53/X53-1</f>
        <v>5.0175029171528607E-2</v>
      </c>
      <c r="AE54" s="83">
        <f>AE53/Y53-1</f>
        <v>0.55586987270155586</v>
      </c>
      <c r="AF54" s="83">
        <f>AF53/Z53-1</f>
        <v>-7.1704357418642672E-3</v>
      </c>
      <c r="AH54" s="52">
        <f>AH53/AB53-1</f>
        <v>-0.125</v>
      </c>
      <c r="AI54" s="10">
        <f>AI53/AC53-1</f>
        <v>-0.125</v>
      </c>
      <c r="AJ54" s="10">
        <f>AJ53/AD53-1</f>
        <v>-0.16666666666666663</v>
      </c>
      <c r="AK54" s="83">
        <f>AK53/AE53-1</f>
        <v>-9.0909090909090939E-2</v>
      </c>
      <c r="AL54" s="83">
        <f>AL53/AF53-1</f>
        <v>-0.125</v>
      </c>
      <c r="AN54" s="52">
        <f>AN53/AH53-1</f>
        <v>-3.5714285714285698E-2</v>
      </c>
      <c r="AO54" s="10">
        <f>AO53/AI53-1</f>
        <v>0</v>
      </c>
      <c r="AP54" s="10">
        <f>AP53/AJ53-1</f>
        <v>-6.6666666666666652E-2</v>
      </c>
      <c r="AQ54" s="83">
        <f>AQ53/AK53-1</f>
        <v>-0.17500000000000004</v>
      </c>
      <c r="AR54" s="83">
        <f>AR53/AL53-1</f>
        <v>-7.9365079365079416E-2</v>
      </c>
      <c r="AT54" s="52">
        <f>AT53/AN53-1</f>
        <v>0</v>
      </c>
      <c r="AU54" s="10">
        <f>AU53/AO53-1</f>
        <v>-3.5714285714285698E-2</v>
      </c>
      <c r="AV54" s="10">
        <f>AV53/AP53-1</f>
        <v>-7.1428571428571397E-2</v>
      </c>
      <c r="AW54" s="83">
        <f>AW53/AQ53-1</f>
        <v>-9.0909090909090939E-2</v>
      </c>
      <c r="AX54" s="83">
        <f>AX53/AR53-1</f>
        <v>-5.1724137931034475E-2</v>
      </c>
      <c r="AZ54" s="52">
        <f>AZ53/AT53-1</f>
        <v>0</v>
      </c>
      <c r="BA54" s="10">
        <f>BA53/AU53-1</f>
        <v>0</v>
      </c>
      <c r="BB54" s="10">
        <f>BB53/AV53-1</f>
        <v>0</v>
      </c>
      <c r="BC54" s="83">
        <f>BC53/AW53-1</f>
        <v>0</v>
      </c>
      <c r="BD54" s="83">
        <f>BD53/AX53-1</f>
        <v>0</v>
      </c>
    </row>
    <row r="55" spans="2:57" s="1" customFormat="1" ht="15.75" thickBot="1" x14ac:dyDescent="0.35">
      <c r="B55" s="16"/>
      <c r="D55" s="23"/>
      <c r="E55" s="23"/>
      <c r="F55" s="64"/>
      <c r="G55" s="18"/>
      <c r="H55" s="17"/>
      <c r="J55" s="23"/>
      <c r="K55" s="23"/>
      <c r="L55" s="64"/>
      <c r="M55" s="18"/>
      <c r="N55" s="17"/>
      <c r="P55" s="23"/>
      <c r="Q55" s="23"/>
      <c r="R55" s="64"/>
      <c r="S55" s="18"/>
      <c r="T55" s="17"/>
      <c r="V55" s="23"/>
      <c r="W55" s="23"/>
      <c r="X55" s="64"/>
      <c r="Y55" s="18"/>
      <c r="Z55" s="17"/>
      <c r="AB55" s="23"/>
      <c r="AC55" s="23"/>
      <c r="AD55" s="64"/>
      <c r="AE55" s="18"/>
      <c r="AF55" s="17"/>
      <c r="AH55" s="23"/>
      <c r="AI55" s="23"/>
      <c r="AJ55" s="64"/>
      <c r="AK55" s="18"/>
      <c r="AL55" s="17"/>
      <c r="AN55" s="23"/>
      <c r="AO55" s="23"/>
      <c r="AP55" s="64"/>
      <c r="AQ55" s="18"/>
      <c r="AR55" s="17"/>
      <c r="AT55" s="23"/>
      <c r="AU55" s="23"/>
      <c r="AV55" s="64"/>
      <c r="AW55" s="18"/>
      <c r="AX55" s="17"/>
      <c r="AZ55" s="23"/>
      <c r="BA55" s="23"/>
      <c r="BB55" s="64"/>
      <c r="BC55" s="18"/>
      <c r="BD55" s="17"/>
    </row>
    <row r="56" spans="2:57" s="1" customFormat="1" ht="15" x14ac:dyDescent="0.3">
      <c r="B56" s="42" t="s">
        <v>24</v>
      </c>
      <c r="D56" s="50">
        <f>D53/D33</f>
        <v>0.12618416066691929</v>
      </c>
      <c r="E56" s="24">
        <f>E53/E33</f>
        <v>0.12733383121732636</v>
      </c>
      <c r="F56" s="24">
        <f>F53/F33</f>
        <v>0.12018691588785047</v>
      </c>
      <c r="G56" s="25">
        <f>G53/G33</f>
        <v>0.15439119895580833</v>
      </c>
      <c r="H56" s="89">
        <f>H53/H33</f>
        <v>0.13205602660795429</v>
      </c>
      <c r="J56" s="50">
        <f>J53/J33</f>
        <v>0.14512691338887812</v>
      </c>
      <c r="K56" s="24">
        <f>K53/K33</f>
        <v>0.13623762376237625</v>
      </c>
      <c r="L56" s="24">
        <f>L53/L33</f>
        <v>0.14173680183626625</v>
      </c>
      <c r="M56" s="24">
        <f>M53/M33</f>
        <v>0.10639119521143078</v>
      </c>
      <c r="N56" s="60">
        <f>N53/N33</f>
        <v>0.13236007372199049</v>
      </c>
      <c r="P56" s="50">
        <f>P53/P33</f>
        <v>0.14839094159713945</v>
      </c>
      <c r="Q56" s="24">
        <f>Q53/Q33</f>
        <v>0.11038296129428631</v>
      </c>
      <c r="R56" s="24">
        <f>R53/R33</f>
        <v>0.14653586756591047</v>
      </c>
      <c r="S56" s="24">
        <f>S53/S33</f>
        <v>0.18292931350580566</v>
      </c>
      <c r="T56" s="60">
        <f>T53/T33</f>
        <v>0.14711699376236118</v>
      </c>
      <c r="V56" s="50">
        <f>V53/V33</f>
        <v>0.2300620055591191</v>
      </c>
      <c r="W56" s="24">
        <f>W53/W33</f>
        <v>0.1833736284173331</v>
      </c>
      <c r="X56" s="24">
        <f>X53/X33</f>
        <v>0.15932664330298471</v>
      </c>
      <c r="Y56" s="25">
        <f>Y53/Y33</f>
        <v>0.12915339776667059</v>
      </c>
      <c r="Z56" s="89">
        <f>Z53/Z33</f>
        <v>0.17343475418508877</v>
      </c>
      <c r="AB56" s="50">
        <f>AB53/AB33</f>
        <v>0.16092019920751596</v>
      </c>
      <c r="AC56" s="24">
        <f>AC53/AC33</f>
        <v>0.14566355347070303</v>
      </c>
      <c r="AD56" s="24">
        <f>AD53/AD33</f>
        <v>0.16027906871727662</v>
      </c>
      <c r="AE56" s="25">
        <f>AE53/AE33</f>
        <v>0.19775071922114612</v>
      </c>
      <c r="AF56" s="89">
        <f>AF53/AF33</f>
        <v>0.16634874577256903</v>
      </c>
      <c r="AH56" s="50">
        <f>AH53/AH33</f>
        <v>0.13466937176240742</v>
      </c>
      <c r="AI56" s="24">
        <f>AI53/AI33</f>
        <v>0.12215002029775401</v>
      </c>
      <c r="AJ56" s="24">
        <f>AJ53/AJ33</f>
        <v>0.12829495800244747</v>
      </c>
      <c r="AK56" s="25">
        <f>AK53/AK33</f>
        <v>0.17550930327753234</v>
      </c>
      <c r="AL56" s="89">
        <f>AL53/AL33</f>
        <v>0.14017330989701021</v>
      </c>
      <c r="AN56" s="50">
        <f>AN53/AN33</f>
        <v>0.12567797533443992</v>
      </c>
      <c r="AO56" s="24">
        <f>AO53/AO33</f>
        <v>0.11946838904122878</v>
      </c>
      <c r="AP56" s="24">
        <f>AP53/AP33</f>
        <v>0.11741103027403699</v>
      </c>
      <c r="AQ56" s="25">
        <f>AQ53/AQ33</f>
        <v>0.14239597124966552</v>
      </c>
      <c r="AR56" s="89">
        <f>AR53/AR33</f>
        <v>0.12616471583948871</v>
      </c>
      <c r="AT56" s="50">
        <f>AT53/AT33</f>
        <v>0.12352998302922209</v>
      </c>
      <c r="AU56" s="24">
        <f>AU53/AU33</f>
        <v>0.11349866429860868</v>
      </c>
      <c r="AV56" s="24">
        <f>AV53/AV33</f>
        <v>0.10722140349256305</v>
      </c>
      <c r="AW56" s="25">
        <f>AW53/AW33</f>
        <v>0.12781298743856295</v>
      </c>
      <c r="AX56" s="89">
        <f>AX53/AX33</f>
        <v>0.11781521208095035</v>
      </c>
      <c r="AZ56" s="50">
        <f>AZ53/AZ33</f>
        <v>0.12112495432219357</v>
      </c>
      <c r="BA56" s="24">
        <f>BA53/BA33</f>
        <v>0.11111354993394182</v>
      </c>
      <c r="BB56" s="24">
        <f>BB53/BB33</f>
        <v>0.10505197429899164</v>
      </c>
      <c r="BC56" s="25">
        <f>BC53/BC33</f>
        <v>0.12527822102176805</v>
      </c>
      <c r="BD56" s="89">
        <f>BD53/BD33</f>
        <v>0.11544090198954222</v>
      </c>
    </row>
    <row r="57" spans="2:57" s="1" customFormat="1" ht="15.75" thickBot="1" x14ac:dyDescent="0.35">
      <c r="B57" s="41" t="s">
        <v>40</v>
      </c>
      <c r="D57" s="52" t="s">
        <v>35</v>
      </c>
      <c r="E57" s="10" t="s">
        <v>35</v>
      </c>
      <c r="F57" s="10" t="s">
        <v>35</v>
      </c>
      <c r="G57" s="10" t="s">
        <v>35</v>
      </c>
      <c r="H57" s="61" t="s">
        <v>35</v>
      </c>
      <c r="J57" s="52">
        <f>J56-D56</f>
        <v>1.8942752721958833E-2</v>
      </c>
      <c r="K57" s="10">
        <f>K56-E56</f>
        <v>8.9037925450498878E-3</v>
      </c>
      <c r="L57" s="10">
        <f>L56-F56</f>
        <v>2.1549885948415781E-2</v>
      </c>
      <c r="M57" s="10">
        <f>M56-G56</f>
        <v>-4.8000003744377545E-2</v>
      </c>
      <c r="N57" s="61">
        <f>N56-H56</f>
        <v>3.0404711403619888E-4</v>
      </c>
      <c r="P57" s="52">
        <f>P56-J56</f>
        <v>3.264028208261327E-3</v>
      </c>
      <c r="Q57" s="10">
        <f>Q56-K56</f>
        <v>-2.5854662468089942E-2</v>
      </c>
      <c r="R57" s="10">
        <f>R56-L56</f>
        <v>4.7990657296442252E-3</v>
      </c>
      <c r="S57" s="10">
        <f>S56-M56</f>
        <v>7.6538118294374874E-2</v>
      </c>
      <c r="T57" s="61">
        <f>T56-N56</f>
        <v>1.4756920040370686E-2</v>
      </c>
      <c r="V57" s="52">
        <f>V56-P56</f>
        <v>8.1671063961979651E-2</v>
      </c>
      <c r="W57" s="10">
        <f>W56-Q56</f>
        <v>7.299066712304679E-2</v>
      </c>
      <c r="X57" s="10">
        <f>X56-R56</f>
        <v>1.2790775737074239E-2</v>
      </c>
      <c r="Y57" s="83">
        <f>Y56-S56</f>
        <v>-5.3775915739135066E-2</v>
      </c>
      <c r="Z57" s="83">
        <f>Z56-T56</f>
        <v>2.6317760422727599E-2</v>
      </c>
      <c r="AB57" s="52">
        <f>AB56-V56</f>
        <v>-6.9141806351603136E-2</v>
      </c>
      <c r="AC57" s="10">
        <f>AC56-W56</f>
        <v>-3.7710074946630062E-2</v>
      </c>
      <c r="AD57" s="10">
        <f>AD56-X56</f>
        <v>9.5242541429191308E-4</v>
      </c>
      <c r="AE57" s="83">
        <f>AE56-Y56</f>
        <v>6.8597321454475529E-2</v>
      </c>
      <c r="AF57" s="83">
        <f>AF56-Z56</f>
        <v>-7.0860084125197453E-3</v>
      </c>
      <c r="AH57" s="52">
        <f>AH56-AB56</f>
        <v>-2.6250827445108538E-2</v>
      </c>
      <c r="AI57" s="10">
        <f>AI56-AC56</f>
        <v>-2.3513533172949019E-2</v>
      </c>
      <c r="AJ57" s="10">
        <f>AJ56-AD56</f>
        <v>-3.198411071482915E-2</v>
      </c>
      <c r="AK57" s="83">
        <f>AK56-AE56</f>
        <v>-2.2241415943613785E-2</v>
      </c>
      <c r="AL57" s="83">
        <f>AL56-AF56</f>
        <v>-2.6175435875558817E-2</v>
      </c>
      <c r="AN57" s="52">
        <f>AN56-AH56</f>
        <v>-8.9913964279675074E-3</v>
      </c>
      <c r="AO57" s="10">
        <f>AO56-AI56</f>
        <v>-2.6816312565252354E-3</v>
      </c>
      <c r="AP57" s="10">
        <f>AP56-AJ56</f>
        <v>-1.0883927728410486E-2</v>
      </c>
      <c r="AQ57" s="83">
        <f>AQ56-AK56</f>
        <v>-3.3113332027866815E-2</v>
      </c>
      <c r="AR57" s="83">
        <f>AR56-AL56</f>
        <v>-1.4008594057521501E-2</v>
      </c>
      <c r="AT57" s="52">
        <f>AT56-AN56</f>
        <v>-2.1479923052178246E-3</v>
      </c>
      <c r="AU57" s="10">
        <f>AU56-AO56</f>
        <v>-5.9697247426201E-3</v>
      </c>
      <c r="AV57" s="10">
        <f>AV56-AP56</f>
        <v>-1.0189626781473934E-2</v>
      </c>
      <c r="AW57" s="83">
        <f>AW56-AQ56</f>
        <v>-1.4582983811102568E-2</v>
      </c>
      <c r="AX57" s="83">
        <f>AX56-AR56</f>
        <v>-8.3495037585383652E-3</v>
      </c>
      <c r="AZ57" s="52">
        <f>AZ56-AT56</f>
        <v>-2.4050287070285226E-3</v>
      </c>
      <c r="BA57" s="10">
        <f>BA56-AU56</f>
        <v>-2.3851143646668599E-3</v>
      </c>
      <c r="BB57" s="10">
        <f>BB56-AV56</f>
        <v>-2.1694291935714094E-3</v>
      </c>
      <c r="BC57" s="83">
        <f>BC56-AW56</f>
        <v>-2.534766416794898E-3</v>
      </c>
      <c r="BD57" s="83">
        <f>BD56-AX56</f>
        <v>-2.3743100914081217E-3</v>
      </c>
    </row>
    <row r="58" spans="2:57" s="1" customFormat="1" ht="15.75" thickBot="1" x14ac:dyDescent="0.35">
      <c r="D58" s="36"/>
      <c r="E58" s="36"/>
      <c r="F58" s="36"/>
      <c r="G58" s="36"/>
      <c r="H58" s="2"/>
      <c r="J58" s="36"/>
      <c r="K58" s="36"/>
      <c r="L58" s="36"/>
      <c r="M58" s="36"/>
      <c r="N58" s="2"/>
      <c r="P58" s="36"/>
      <c r="Q58" s="36"/>
      <c r="R58" s="36"/>
      <c r="S58" s="36"/>
      <c r="T58" s="2"/>
      <c r="V58" s="36"/>
      <c r="W58" s="36"/>
      <c r="X58" s="36"/>
      <c r="Y58" s="36"/>
      <c r="Z58" s="2"/>
      <c r="AB58" s="36"/>
      <c r="AC58" s="36"/>
      <c r="AD58" s="36"/>
      <c r="AE58" s="36"/>
      <c r="AF58" s="2"/>
      <c r="AH58" s="36"/>
      <c r="AI58" s="36"/>
      <c r="AJ58" s="36"/>
      <c r="AK58" s="36"/>
      <c r="AL58" s="2"/>
      <c r="AN58" s="36"/>
      <c r="AO58" s="36"/>
      <c r="AP58" s="36"/>
      <c r="AQ58" s="36"/>
      <c r="AR58" s="2"/>
      <c r="AT58" s="36"/>
      <c r="AU58" s="36"/>
      <c r="AV58" s="36"/>
      <c r="AW58" s="36"/>
      <c r="AX58" s="2"/>
      <c r="AZ58" s="36"/>
      <c r="BA58" s="36"/>
      <c r="BB58" s="36"/>
      <c r="BC58" s="36"/>
      <c r="BD58" s="2"/>
    </row>
    <row r="59" spans="2:57" s="1" customFormat="1" ht="15" x14ac:dyDescent="0.3">
      <c r="B59" s="42" t="s">
        <v>38</v>
      </c>
      <c r="D59" s="49">
        <f>D47-D53</f>
        <v>728</v>
      </c>
      <c r="E59" s="14">
        <f>E47-E53</f>
        <v>737</v>
      </c>
      <c r="F59" s="14">
        <f>F47-F53</f>
        <v>680</v>
      </c>
      <c r="G59" s="35">
        <f>G47-G53</f>
        <v>514</v>
      </c>
      <c r="H59" s="59">
        <f>(D59+E59+F59+G59)</f>
        <v>2659</v>
      </c>
      <c r="J59" s="49">
        <f>J47-J53</f>
        <v>439</v>
      </c>
      <c r="K59" s="14">
        <f>K47-K53</f>
        <v>589</v>
      </c>
      <c r="L59" s="14">
        <f>L47-L53</f>
        <v>704</v>
      </c>
      <c r="M59" s="35">
        <f>M47-M53</f>
        <v>849</v>
      </c>
      <c r="N59" s="59">
        <f>(J59+K59+L59+M59)</f>
        <v>2581</v>
      </c>
      <c r="P59" s="49">
        <f>P47-P53</f>
        <v>527</v>
      </c>
      <c r="Q59" s="14">
        <f>Q47-Q53</f>
        <v>799</v>
      </c>
      <c r="R59" s="14">
        <f>R47-R53</f>
        <v>509</v>
      </c>
      <c r="S59" s="35">
        <f>S47-S53</f>
        <v>150</v>
      </c>
      <c r="T59" s="59">
        <f>(P59+Q59+R59+S59)</f>
        <v>1985</v>
      </c>
      <c r="U59" s="322"/>
      <c r="V59" s="49">
        <f>V47-V53</f>
        <v>102</v>
      </c>
      <c r="W59" s="14">
        <f>W47-W53</f>
        <v>-94.336437210116401</v>
      </c>
      <c r="X59" s="14">
        <f>X47-X53</f>
        <v>131.46682469618781</v>
      </c>
      <c r="Y59" s="35">
        <f>Y47-Y53</f>
        <v>219.00438442337395</v>
      </c>
      <c r="Z59" s="59">
        <f>(V59+W59+X59+Y59)</f>
        <v>358.13477190944536</v>
      </c>
      <c r="AB59" s="49">
        <f>AB47-AB53</f>
        <v>419.77328372616194</v>
      </c>
      <c r="AC59" s="14">
        <f>AC47-AC53</f>
        <v>257.86015008453205</v>
      </c>
      <c r="AD59" s="14">
        <f>AD47-AD53</f>
        <v>271.74889402325425</v>
      </c>
      <c r="AE59" s="35">
        <f>AE47-AE53</f>
        <v>83.961446752826987</v>
      </c>
      <c r="AF59" s="59">
        <f>(AB59+AC59+AD59+AE59)</f>
        <v>1033.3437745867752</v>
      </c>
      <c r="AH59" s="49">
        <f>AH47-AH53</f>
        <v>635.87461989095459</v>
      </c>
      <c r="AI59" s="14">
        <f>AI47-AI53</f>
        <v>495.92540309135984</v>
      </c>
      <c r="AJ59" s="14">
        <f>AJ47-AJ53</f>
        <v>594.02930352844714</v>
      </c>
      <c r="AK59" s="35">
        <f>AK47-AK53</f>
        <v>389.93621293679712</v>
      </c>
      <c r="AL59" s="59">
        <f>(AH59+AI59+AJ59+AK59)</f>
        <v>2115.7655394475587</v>
      </c>
      <c r="AN59" s="49">
        <f>AN47-AN53</f>
        <v>766.95376957894496</v>
      </c>
      <c r="AO59" s="14">
        <f>AO47-AO53</f>
        <v>601.69614850596486</v>
      </c>
      <c r="AP59" s="14">
        <f>AP47-AP53</f>
        <v>743.9564609435015</v>
      </c>
      <c r="AQ59" s="35">
        <f>AQ47-AQ53</f>
        <v>662.47534263443094</v>
      </c>
      <c r="AR59" s="59">
        <f>(AN59+AO59+AP59+AQ59)</f>
        <v>2775.0817216628425</v>
      </c>
      <c r="AT59" s="49">
        <f>AT47-AT53</f>
        <v>849.09680717084984</v>
      </c>
      <c r="AU59" s="14">
        <f>AU47-AU53</f>
        <v>697.89294586381038</v>
      </c>
      <c r="AV59" s="14">
        <f>AV47-AV53</f>
        <v>867.84162400965056</v>
      </c>
      <c r="AW59" s="35">
        <f>AW47-AW53</f>
        <v>823.2466120222025</v>
      </c>
      <c r="AX59" s="59">
        <f>(AT59+AU59+AV59+AW59)</f>
        <v>3238.0779890665135</v>
      </c>
      <c r="AZ59" s="49">
        <f>AZ47-AZ53</f>
        <v>903.01932464560309</v>
      </c>
      <c r="BA59" s="14">
        <f>BA47-BA53</f>
        <v>751.49502978474629</v>
      </c>
      <c r="BB59" s="14">
        <f>BB47-BB53</f>
        <v>929.46537326212592</v>
      </c>
      <c r="BC59" s="35">
        <f>BC47-BC53</f>
        <v>885.0285639980425</v>
      </c>
      <c r="BD59" s="59">
        <f>(AZ59+BA59+BB59+BC59)</f>
        <v>3469.008291690518</v>
      </c>
    </row>
    <row r="60" spans="2:57" s="1" customFormat="1" ht="15.75" thickBot="1" x14ac:dyDescent="0.35">
      <c r="B60" s="41" t="s">
        <v>23</v>
      </c>
      <c r="D60" s="52" t="s">
        <v>35</v>
      </c>
      <c r="E60" s="10" t="s">
        <v>35</v>
      </c>
      <c r="F60" s="10" t="s">
        <v>35</v>
      </c>
      <c r="G60" s="10" t="s">
        <v>35</v>
      </c>
      <c r="H60" s="61" t="s">
        <v>35</v>
      </c>
      <c r="J60" s="52">
        <f>J59/D59-1</f>
        <v>-0.39697802197802201</v>
      </c>
      <c r="K60" s="10">
        <f>K59/E59-1</f>
        <v>-0.20081411126187243</v>
      </c>
      <c r="L60" s="10">
        <f>L59/F59-1</f>
        <v>3.529411764705892E-2</v>
      </c>
      <c r="M60" s="83">
        <f>M59/G59-1</f>
        <v>0.65175097276264582</v>
      </c>
      <c r="N60" s="83">
        <f>N59/H59-1</f>
        <v>-2.9334336216622736E-2</v>
      </c>
      <c r="P60" s="52">
        <f>P59/J59-1</f>
        <v>0.20045558086560367</v>
      </c>
      <c r="Q60" s="10">
        <f>Q59/K59-1</f>
        <v>0.35653650254668934</v>
      </c>
      <c r="R60" s="10">
        <f>R59/L59-1</f>
        <v>-0.27698863636363635</v>
      </c>
      <c r="S60" s="83">
        <f>S59/M59-1</f>
        <v>-0.82332155477031799</v>
      </c>
      <c r="T60" s="83">
        <f>T59/N59-1</f>
        <v>-0.23091824874079814</v>
      </c>
      <c r="V60" s="52">
        <f>V59/P59-1</f>
        <v>-0.80645161290322576</v>
      </c>
      <c r="W60" s="10">
        <f>W59/Q59-1</f>
        <v>-1.1180681316772421</v>
      </c>
      <c r="X60" s="10">
        <f>X59/R59-1</f>
        <v>-0.74171547210965061</v>
      </c>
      <c r="Y60" s="83">
        <f>Y59/S59-1</f>
        <v>0.4600292294891597</v>
      </c>
      <c r="Z60" s="83">
        <f>Z59/T59-1</f>
        <v>-0.81957945999524162</v>
      </c>
      <c r="AB60" s="52">
        <f>AB59/V59-1</f>
        <v>3.1154243502564896</v>
      </c>
      <c r="AC60" s="10">
        <f>AC59/W59-1</f>
        <v>-3.7334098860464469</v>
      </c>
      <c r="AD60" s="10">
        <f>AD59/X59-1</f>
        <v>1.067052997220022</v>
      </c>
      <c r="AE60" s="83">
        <f>AE59/Y59-1</f>
        <v>-0.61662207369093225</v>
      </c>
      <c r="AF60" s="83">
        <f>AF59/Z59-1</f>
        <v>1.8853489123029274</v>
      </c>
      <c r="AH60" s="52">
        <f>AH59/AB59-1</f>
        <v>0.51480488287998294</v>
      </c>
      <c r="AI60" s="10">
        <f>AI59/AC59-1</f>
        <v>0.92323398139954893</v>
      </c>
      <c r="AJ60" s="10">
        <f>AJ59/AD59-1</f>
        <v>1.1859492958142988</v>
      </c>
      <c r="AK60" s="83">
        <f>AK59/AE59-1</f>
        <v>3.6442293221164386</v>
      </c>
      <c r="AL60" s="83">
        <f>AL59/AF59-1</f>
        <v>1.0474943493936797</v>
      </c>
      <c r="AN60" s="52">
        <f>AN59/AH59-1</f>
        <v>0.20613993008632581</v>
      </c>
      <c r="AO60" s="10">
        <f>AO59/AI59-1</f>
        <v>0.21327954719657671</v>
      </c>
      <c r="AP60" s="10">
        <f>AP59/AJ59-1</f>
        <v>0.25239017086279913</v>
      </c>
      <c r="AQ60" s="83">
        <f>AQ59/AK59-1</f>
        <v>0.69893259629571358</v>
      </c>
      <c r="AR60" s="83">
        <f>AR59/AL59-1</f>
        <v>0.31162062616230912</v>
      </c>
      <c r="AT60" s="52">
        <f>AT59/AN59-1</f>
        <v>0.10710298436501731</v>
      </c>
      <c r="AU60" s="10">
        <f>AU59/AO59-1</f>
        <v>0.15987603975313114</v>
      </c>
      <c r="AV60" s="10">
        <f>AV59/AP59-1</f>
        <v>0.16652206085963051</v>
      </c>
      <c r="AW60" s="83">
        <f>AW59/AQ59-1</f>
        <v>0.24268264649434479</v>
      </c>
      <c r="AX60" s="83">
        <f>AX59/AR59-1</f>
        <v>0.16684058843724481</v>
      </c>
      <c r="AZ60" s="52">
        <f>AZ59/AT59-1</f>
        <v>6.3505735764594951E-2</v>
      </c>
      <c r="BA60" s="10">
        <f>BA59/AU59-1</f>
        <v>7.6805596386406272E-2</v>
      </c>
      <c r="BB60" s="10">
        <f>BB59/AV59-1</f>
        <v>7.1008059013991431E-2</v>
      </c>
      <c r="BC60" s="83">
        <f>BC59/AW59-1</f>
        <v>7.5046712702625529E-2</v>
      </c>
      <c r="BD60" s="83">
        <f>BD59/AX59-1</f>
        <v>7.1317091003906929E-2</v>
      </c>
    </row>
    <row r="61" spans="2:57" s="1" customFormat="1" ht="15.75" thickBot="1" x14ac:dyDescent="0.35">
      <c r="D61" s="2"/>
      <c r="E61" s="2"/>
      <c r="F61" s="11"/>
      <c r="G61" s="2"/>
      <c r="H61" s="2"/>
      <c r="J61" s="2"/>
      <c r="K61" s="2"/>
      <c r="L61" s="11"/>
      <c r="M61" s="2"/>
      <c r="N61" s="2"/>
      <c r="P61" s="2"/>
      <c r="Q61" s="2"/>
      <c r="R61" s="11"/>
      <c r="S61" s="2"/>
      <c r="T61" s="2"/>
      <c r="V61" s="2"/>
      <c r="W61" s="2"/>
      <c r="X61" s="11"/>
      <c r="Y61" s="2"/>
      <c r="Z61" s="2"/>
      <c r="AB61" s="2"/>
      <c r="AC61" s="2"/>
      <c r="AD61" s="11"/>
      <c r="AE61" s="2"/>
      <c r="AF61" s="2"/>
      <c r="AH61" s="2"/>
      <c r="AI61" s="2"/>
      <c r="AJ61" s="11"/>
      <c r="AK61" s="2"/>
      <c r="AL61" s="2"/>
      <c r="AN61" s="2"/>
      <c r="AO61" s="2"/>
      <c r="AP61" s="11"/>
      <c r="AQ61" s="2"/>
      <c r="AR61" s="2"/>
      <c r="AT61" s="2"/>
      <c r="AU61" s="2"/>
      <c r="AV61" s="11"/>
      <c r="AW61" s="2"/>
      <c r="AX61" s="2"/>
      <c r="AZ61" s="2"/>
      <c r="BA61" s="2"/>
      <c r="BB61" s="11"/>
      <c r="BC61" s="2"/>
      <c r="BD61" s="2"/>
    </row>
    <row r="62" spans="2:57" s="1" customFormat="1" ht="15" x14ac:dyDescent="0.3">
      <c r="B62" s="42" t="s">
        <v>50</v>
      </c>
      <c r="D62" s="49">
        <f>D68-D65</f>
        <v>3529.5839999999998</v>
      </c>
      <c r="E62" s="14">
        <f>E68-E65</f>
        <v>3526.1296000000002</v>
      </c>
      <c r="F62" s="14">
        <f>F68-F65</f>
        <v>3453.2718175</v>
      </c>
      <c r="G62" s="35">
        <f>G68-G65</f>
        <v>3393.7619999999997</v>
      </c>
      <c r="H62" s="59">
        <f>(D62+E62+F62+G62)</f>
        <v>13902.747417499999</v>
      </c>
      <c r="J62" s="49">
        <f>J68-J65</f>
        <v>3305.188615</v>
      </c>
      <c r="K62" s="14">
        <f>K68-K65</f>
        <v>3248.7839999999997</v>
      </c>
      <c r="L62" s="14">
        <f>L68-L65</f>
        <v>3252.7839999999997</v>
      </c>
      <c r="M62" s="35">
        <f>M68-M65</f>
        <v>3139.8069999999998</v>
      </c>
      <c r="N62" s="59">
        <f>(J62+K62+L62+M62)</f>
        <v>12946.563614999999</v>
      </c>
      <c r="P62" s="49">
        <f>P68-P65</f>
        <v>3006.3472000000002</v>
      </c>
      <c r="Q62" s="14">
        <f>Q68-Q65</f>
        <v>2932.9959039999999</v>
      </c>
      <c r="R62" s="14">
        <f>R68-R65</f>
        <v>2811.7414749999998</v>
      </c>
      <c r="S62" s="35">
        <f>S68-S65</f>
        <v>2653.9107199999999</v>
      </c>
      <c r="T62" s="59">
        <f>(P62+Q62+R62+S62)</f>
        <v>11404.995298999998</v>
      </c>
      <c r="V62" s="49">
        <f>V68-V65</f>
        <v>2491.8923519999998</v>
      </c>
      <c r="W62" s="14">
        <f>W68-W65</f>
        <v>2427.2600000000002</v>
      </c>
      <c r="X62" s="14">
        <f>X68-X65</f>
        <v>2371.4301979475576</v>
      </c>
      <c r="Y62" s="35">
        <f>Y68-Y65</f>
        <v>2322.2174272116799</v>
      </c>
      <c r="Z62" s="59">
        <f>(V62+W62+X62+Y62)</f>
        <v>9612.7999771592367</v>
      </c>
      <c r="AB62" s="49">
        <f>AB68-AB65</f>
        <v>2314.5028531141852</v>
      </c>
      <c r="AC62" s="14">
        <f>AC68-AC65</f>
        <v>2281.1276047428541</v>
      </c>
      <c r="AD62" s="14">
        <f>AD68-AD65</f>
        <v>2242.3243822668983</v>
      </c>
      <c r="AE62" s="35">
        <f>AE68-AE65</f>
        <v>2197.5107050674978</v>
      </c>
      <c r="AF62" s="59">
        <f>(AB62+AC62+AD62+AE62)</f>
        <v>9035.4655451914368</v>
      </c>
      <c r="AH62" s="49">
        <f>AH68-AH65</f>
        <v>2203.9965188977044</v>
      </c>
      <c r="AI62" s="14">
        <f>AI68-AI65</f>
        <v>2206.2776940015647</v>
      </c>
      <c r="AJ62" s="14">
        <f>AJ68-AJ65</f>
        <v>2168.6102141293732</v>
      </c>
      <c r="AK62" s="35">
        <f>AK68-AK65</f>
        <v>2123.8655566166103</v>
      </c>
      <c r="AL62" s="59">
        <f>(AH62+AI62+AJ62+AK62)</f>
        <v>8702.7499836452516</v>
      </c>
      <c r="AN62" s="49">
        <f>AN68-AN65</f>
        <v>2130.3069867243357</v>
      </c>
      <c r="AO62" s="14">
        <f>AO68-AO65</f>
        <v>2125.6712107904932</v>
      </c>
      <c r="AP62" s="14">
        <f>AP68-AP65</f>
        <v>2082.7318795892452</v>
      </c>
      <c r="AQ62" s="35">
        <f>AQ68-AQ65</f>
        <v>2033.9299992154615</v>
      </c>
      <c r="AR62" s="59">
        <f>(AN62+AO62+AP62+AQ62)</f>
        <v>8372.6400763195361</v>
      </c>
      <c r="AT62" s="49">
        <f>AT68-AT65</f>
        <v>2046.9956542529108</v>
      </c>
      <c r="AU62" s="14">
        <f>AU68-AU65</f>
        <v>2041.2354690596335</v>
      </c>
      <c r="AV62" s="14">
        <f>AV68-AV65</f>
        <v>1999.3388594512198</v>
      </c>
      <c r="AW62" s="35">
        <f>AW68-AW65</f>
        <v>1953.0163330471169</v>
      </c>
      <c r="AX62" s="59">
        <f>(AT62+AU62+AV62+AW62)</f>
        <v>8040.5863158108805</v>
      </c>
      <c r="AZ62" s="49">
        <f>AZ68-AZ65</f>
        <v>1966.0939087504257</v>
      </c>
      <c r="BA62" s="14">
        <f>BA68-BA65</f>
        <v>1960.5221356996904</v>
      </c>
      <c r="BB62" s="14">
        <f>BB68-BB65</f>
        <v>1919.657911485358</v>
      </c>
      <c r="BC62" s="35">
        <f>BC68-BC65</f>
        <v>1873.9809975202652</v>
      </c>
      <c r="BD62" s="59">
        <f>(AZ62+BA62+BB62+BC62)</f>
        <v>7720.2549534557393</v>
      </c>
    </row>
    <row r="63" spans="2:57" s="1" customFormat="1" ht="15" x14ac:dyDescent="0.3">
      <c r="B63" s="40" t="s">
        <v>23</v>
      </c>
      <c r="D63" s="62" t="s">
        <v>35</v>
      </c>
      <c r="E63" s="9" t="s">
        <v>35</v>
      </c>
      <c r="F63" s="9" t="s">
        <v>35</v>
      </c>
      <c r="G63" s="9" t="s">
        <v>35</v>
      </c>
      <c r="H63" s="66" t="s">
        <v>35</v>
      </c>
      <c r="J63" s="62">
        <f>J62/D62-1</f>
        <v>-6.3575589927878151E-2</v>
      </c>
      <c r="K63" s="9">
        <f>K62/E62-1</f>
        <v>-7.8654397728319614E-2</v>
      </c>
      <c r="L63" s="9">
        <f>L62/F62-1</f>
        <v>-5.8057352011503083E-2</v>
      </c>
      <c r="M63" s="100">
        <f>M62/G62-1</f>
        <v>-7.482993798622295E-2</v>
      </c>
      <c r="N63" s="65">
        <f>N62/H62-1</f>
        <v>-6.8776607514023369E-2</v>
      </c>
      <c r="P63" s="62">
        <f>P62/J62-1</f>
        <v>-9.0415843030489107E-2</v>
      </c>
      <c r="Q63" s="9">
        <f>Q62/K62-1</f>
        <v>-9.720193647838693E-2</v>
      </c>
      <c r="R63" s="9">
        <f>R62/L62-1</f>
        <v>-0.13558924447488674</v>
      </c>
      <c r="S63" s="100">
        <f>S62/M62-1</f>
        <v>-0.15475355013859127</v>
      </c>
      <c r="T63" s="65">
        <f>T62/N62-1</f>
        <v>-0.11907162099863522</v>
      </c>
      <c r="V63" s="62">
        <f>V62/P62-1</f>
        <v>-0.17112289891200871</v>
      </c>
      <c r="W63" s="9">
        <f>W62/Q62-1</f>
        <v>-0.17242980234315375</v>
      </c>
      <c r="X63" s="9">
        <f>X62/R62-1</f>
        <v>-0.15659735468832259</v>
      </c>
      <c r="Y63" s="100">
        <f>Y62/S62-1</f>
        <v>-0.12498283770010166</v>
      </c>
      <c r="Z63" s="65">
        <f>Z62/T62-1</f>
        <v>-0.15714125914614829</v>
      </c>
      <c r="AB63" s="62">
        <f>AB62/V62-1</f>
        <v>-7.1186662113811305E-2</v>
      </c>
      <c r="AC63" s="9">
        <f>AC62/W62-1</f>
        <v>-6.02046732765118E-2</v>
      </c>
      <c r="AD63" s="9">
        <f>AD62/X62-1</f>
        <v>-5.4442174090723272E-2</v>
      </c>
      <c r="AE63" s="100">
        <f>AE62/Y62-1</f>
        <v>-5.3701570181530878E-2</v>
      </c>
      <c r="AF63" s="65">
        <f>AF62/Z62-1</f>
        <v>-6.0058924906332356E-2</v>
      </c>
      <c r="AH63" s="62">
        <f>AH62/AB62-1</f>
        <v>-4.7745170876671628E-2</v>
      </c>
      <c r="AI63" s="9">
        <f>AI62/AC62-1</f>
        <v>-3.2812680266401495E-2</v>
      </c>
      <c r="AJ63" s="9">
        <f>AJ62/AD62-1</f>
        <v>-3.2873998392241144E-2</v>
      </c>
      <c r="AK63" s="100">
        <f>AK62/AE62-1</f>
        <v>-3.3512987345663658E-2</v>
      </c>
      <c r="AL63" s="65">
        <f>AL62/AF62-1</f>
        <v>-3.6823289279571458E-2</v>
      </c>
      <c r="AN63" s="62">
        <f>AN62/AH62-1</f>
        <v>-3.343450479233212E-2</v>
      </c>
      <c r="AO63" s="9">
        <f>AO62/AI62-1</f>
        <v>-3.6535057862491449E-2</v>
      </c>
      <c r="AP63" s="9">
        <f>AP62/AJ62-1</f>
        <v>-3.9600631768953121E-2</v>
      </c>
      <c r="AQ63" s="100">
        <f>AQ62/AK62-1</f>
        <v>-4.2345221485873719E-2</v>
      </c>
      <c r="AR63" s="65">
        <f>AR62/AL62-1</f>
        <v>-3.7931677681891207E-2</v>
      </c>
      <c r="AT63" s="62">
        <f>AT62/AN62-1</f>
        <v>-3.9107665228816924E-2</v>
      </c>
      <c r="AU63" s="9">
        <f>AU62/AO62-1</f>
        <v>-3.9721919976260067E-2</v>
      </c>
      <c r="AV63" s="9">
        <f>AV62/AP62-1</f>
        <v>-4.0040209186442244E-2</v>
      </c>
      <c r="AW63" s="100">
        <f>AW62/AQ62-1</f>
        <v>-3.9781932612998006E-2</v>
      </c>
      <c r="AX63" s="65">
        <f>AX62/AR62-1</f>
        <v>-3.9659385508258982E-2</v>
      </c>
      <c r="AZ63" s="62">
        <f>AZ62/AT62-1</f>
        <v>-3.9522187228097305E-2</v>
      </c>
      <c r="BA63" s="9">
        <f>BA62/AU62-1</f>
        <v>-3.9541412337463666E-2</v>
      </c>
      <c r="BB63" s="9">
        <f>BB62/AV62-1</f>
        <v>-3.9853648414422738E-2</v>
      </c>
      <c r="BC63" s="100">
        <f>BC62/AW62-1</f>
        <v>-4.0468343346386604E-2</v>
      </c>
      <c r="BD63" s="65">
        <f>BD62/AX62-1</f>
        <v>-3.9839303972801887E-2</v>
      </c>
    </row>
    <row r="64" spans="2:57" s="1" customFormat="1" ht="15" x14ac:dyDescent="0.3">
      <c r="B64" s="40"/>
      <c r="D64" s="47"/>
      <c r="E64" s="8"/>
      <c r="F64" s="12"/>
      <c r="G64" s="48"/>
      <c r="H64" s="58"/>
      <c r="J64" s="47"/>
      <c r="K64" s="8"/>
      <c r="L64" s="12"/>
      <c r="M64" s="48"/>
      <c r="N64" s="58"/>
      <c r="P64" s="47"/>
      <c r="Q64" s="8"/>
      <c r="R64" s="12"/>
      <c r="S64" s="48"/>
      <c r="T64" s="58"/>
      <c r="V64" s="47"/>
      <c r="W64" s="8"/>
      <c r="X64" s="12"/>
      <c r="Y64" s="48"/>
      <c r="Z64" s="58"/>
      <c r="AB64" s="47"/>
      <c r="AC64" s="8"/>
      <c r="AD64" s="12"/>
      <c r="AE64" s="48"/>
      <c r="AF64" s="58"/>
      <c r="AH64" s="47"/>
      <c r="AI64" s="8"/>
      <c r="AJ64" s="12"/>
      <c r="AK64" s="48"/>
      <c r="AL64" s="58"/>
      <c r="AN64" s="47"/>
      <c r="AO64" s="8"/>
      <c r="AP64" s="12"/>
      <c r="AQ64" s="48"/>
      <c r="AR64" s="58"/>
      <c r="AT64" s="47"/>
      <c r="AU64" s="8"/>
      <c r="AV64" s="12"/>
      <c r="AW64" s="48"/>
      <c r="AX64" s="58"/>
      <c r="AZ64" s="47"/>
      <c r="BA64" s="8"/>
      <c r="BB64" s="12"/>
      <c r="BC64" s="48"/>
      <c r="BD64" s="58"/>
    </row>
    <row r="65" spans="1:56" s="1" customFormat="1" ht="15" x14ac:dyDescent="0.3">
      <c r="B65" s="39" t="s">
        <v>49</v>
      </c>
      <c r="D65" s="75">
        <f>D68*D16</f>
        <v>1102.4159999999999</v>
      </c>
      <c r="E65" s="71">
        <f>E68*E16</f>
        <v>1172.8704</v>
      </c>
      <c r="F65" s="71">
        <f>F68*F16</f>
        <v>1254.7281825</v>
      </c>
      <c r="G65" s="87">
        <f>G68*G16</f>
        <v>1300.2380000000001</v>
      </c>
      <c r="H65" s="54">
        <f>(D65+E65+F65+G65)</f>
        <v>4830.2525825000002</v>
      </c>
      <c r="J65" s="75">
        <f>J68*J16</f>
        <v>1324.811385</v>
      </c>
      <c r="K65" s="71">
        <f>K68*K16</f>
        <v>1371.2160000000001</v>
      </c>
      <c r="L65" s="71">
        <f>L68*L16</f>
        <v>1413.2160000000001</v>
      </c>
      <c r="M65" s="87">
        <f>M68*M16</f>
        <v>1425.193</v>
      </c>
      <c r="N65" s="54">
        <f>(J65+K65+L65+M65)</f>
        <v>5534.4363850000009</v>
      </c>
      <c r="P65" s="75">
        <f>P68*P16</f>
        <v>1437.6528000000001</v>
      </c>
      <c r="Q65" s="71">
        <f>K65*(1+Q66)</f>
        <v>1448.0040960000001</v>
      </c>
      <c r="R65" s="71">
        <f>R68*R16</f>
        <v>1449.258525</v>
      </c>
      <c r="S65" s="87">
        <f>S68*S16</f>
        <v>1473.0892800000001</v>
      </c>
      <c r="T65" s="54">
        <f>(P65+Q65+R65+S65)</f>
        <v>5808.0047010000008</v>
      </c>
      <c r="V65" s="75">
        <f>V68*V16</f>
        <v>1513.1076479999999</v>
      </c>
      <c r="W65" s="71">
        <f>W68*W16</f>
        <v>1584.74</v>
      </c>
      <c r="X65" s="71">
        <f>X68*X16</f>
        <v>1662.6364788749995</v>
      </c>
      <c r="Y65" s="87">
        <f>Y68*Y16</f>
        <v>1711.3417646400003</v>
      </c>
      <c r="Z65" s="54">
        <f>(V65+W65+X65+Y65)</f>
        <v>6471.825891515</v>
      </c>
      <c r="AB65" s="75">
        <f>AB68*AB16</f>
        <v>1904.9022720000005</v>
      </c>
      <c r="AC65" s="71">
        <f>AC68*AC16</f>
        <v>1971.1737080361804</v>
      </c>
      <c r="AD65" s="71">
        <f>AD68*AD16</f>
        <v>2032.9124149687495</v>
      </c>
      <c r="AE65" s="87">
        <f>AE68*AE16</f>
        <v>2047.0449751200006</v>
      </c>
      <c r="AF65" s="54">
        <f>(AB65+AC65+AD65+AE65)</f>
        <v>7956.033370124931</v>
      </c>
      <c r="AH65" s="75">
        <f>AH68*AH16</f>
        <v>2192.6896992000006</v>
      </c>
      <c r="AI65" s="71">
        <f>AI68*AI16</f>
        <v>2254.99315800574</v>
      </c>
      <c r="AJ65" s="71">
        <f>AJ68*AJ16</f>
        <v>2313.0381829500002</v>
      </c>
      <c r="AK65" s="87">
        <f>AK68*AK16</f>
        <v>2315.1985330320008</v>
      </c>
      <c r="AL65" s="54">
        <f>(AH65+AI65+AJ65+AK65)</f>
        <v>9075.9195731877408</v>
      </c>
      <c r="AN65" s="75">
        <f>AN68*AN16</f>
        <v>2410.9328786400001</v>
      </c>
      <c r="AO65" s="71">
        <f>AO68*AO16</f>
        <v>2471.4839856464168</v>
      </c>
      <c r="AP65" s="71">
        <f>AP68*AP16</f>
        <v>2527.0353865814059</v>
      </c>
      <c r="AQ65" s="87">
        <f>AQ68*AQ16</f>
        <v>2522.1672050206512</v>
      </c>
      <c r="AR65" s="54">
        <f>(AN65+AO65+AP65+AQ65)</f>
        <v>9931.6194558884745</v>
      </c>
      <c r="AT65" s="75">
        <f>AT68*AT16</f>
        <v>2584.8902506284012</v>
      </c>
      <c r="AU65" s="71">
        <f>AU68*AU16</f>
        <v>2648.1164319354943</v>
      </c>
      <c r="AV65" s="71">
        <f>AV68*AV16</f>
        <v>2706.7405292063295</v>
      </c>
      <c r="AW65" s="87">
        <f>AW68*AW16</f>
        <v>2702.2530004060154</v>
      </c>
      <c r="AX65" s="54">
        <f>(AT65+AU65+AV65+AW65)</f>
        <v>10642.000212176241</v>
      </c>
      <c r="AZ65" s="75">
        <f>AZ68*AZ16</f>
        <v>2744.0697061978208</v>
      </c>
      <c r="BA65" s="71">
        <f>BA68*BA16</f>
        <v>2811.1331332545856</v>
      </c>
      <c r="BB65" s="71">
        <f>BB68*BB16</f>
        <v>2872.4319957858802</v>
      </c>
      <c r="BC65" s="87">
        <f>BC68*BC16</f>
        <v>2865.8338558795995</v>
      </c>
      <c r="BD65" s="54">
        <f>(AZ65+BA65+BB65+BC65)</f>
        <v>11293.468691117887</v>
      </c>
    </row>
    <row r="66" spans="1:56" s="1" customFormat="1" ht="15" x14ac:dyDescent="0.3">
      <c r="B66" s="40" t="s">
        <v>23</v>
      </c>
      <c r="D66" s="62" t="s">
        <v>35</v>
      </c>
      <c r="E66" s="9" t="s">
        <v>35</v>
      </c>
      <c r="F66" s="9" t="s">
        <v>35</v>
      </c>
      <c r="G66" s="9" t="s">
        <v>35</v>
      </c>
      <c r="H66" s="66" t="s">
        <v>35</v>
      </c>
      <c r="J66" s="62">
        <f>J65/D65-1</f>
        <v>0.20173454031871829</v>
      </c>
      <c r="K66" s="9">
        <f>K65/E65-1</f>
        <v>0.16911126753646455</v>
      </c>
      <c r="L66" s="9">
        <f>L65/F65-1</f>
        <v>0.12631247126705869</v>
      </c>
      <c r="M66" s="100">
        <f>M65/G65-1</f>
        <v>9.6101636777266908E-2</v>
      </c>
      <c r="N66" s="65">
        <f>N65/H65-1</f>
        <v>0.14578612411517722</v>
      </c>
      <c r="P66" s="62">
        <f>P65/J65-1</f>
        <v>8.5175456882113254E-2</v>
      </c>
      <c r="Q66" s="9">
        <v>5.6000000000000001E-2</v>
      </c>
      <c r="R66" s="9">
        <f>R65/L65-1</f>
        <v>2.550390386182988E-2</v>
      </c>
      <c r="S66" s="100">
        <f>S65/M65-1</f>
        <v>3.3606872893706452E-2</v>
      </c>
      <c r="T66" s="65">
        <f>T65/N65-1</f>
        <v>4.9430203361168434E-2</v>
      </c>
      <c r="V66" s="62">
        <f>V65/P65-1</f>
        <v>5.2484750142732572E-2</v>
      </c>
      <c r="W66" s="9">
        <f>W65/Q65-1</f>
        <v>9.4430605809556978E-2</v>
      </c>
      <c r="X66" s="9">
        <f>X65/R65-1</f>
        <v>0.14723249868411137</v>
      </c>
      <c r="Y66" s="100">
        <f>Y65/S65-1</f>
        <v>0.16173662239942455</v>
      </c>
      <c r="Z66" s="65">
        <f>Z65/T65-1</f>
        <v>0.11429418960365245</v>
      </c>
      <c r="AB66" s="62">
        <f>AB65/V65-1</f>
        <v>0.25893374111079814</v>
      </c>
      <c r="AC66" s="9">
        <f>AC65/W65-1</f>
        <v>0.24384675595755789</v>
      </c>
      <c r="AD66" s="9">
        <f>AD65/X65-1</f>
        <v>0.22270408522751306</v>
      </c>
      <c r="AE66" s="100">
        <f>AE65/Y65-1</f>
        <v>0.19616374555705374</v>
      </c>
      <c r="AF66" s="65">
        <f>AF65/Z65-1</f>
        <v>0.22933365382338655</v>
      </c>
      <c r="AH66" s="62">
        <f>AH65/AB65-1</f>
        <v>0.15107726597325422</v>
      </c>
      <c r="AI66" s="9">
        <f>AI65/AC65-1</f>
        <v>0.14398500183543961</v>
      </c>
      <c r="AJ66" s="9">
        <f>AJ65/AD65-1</f>
        <v>0.13779529600912821</v>
      </c>
      <c r="AK66" s="100">
        <f>AK65/AE65-1</f>
        <v>0.1309954403401814</v>
      </c>
      <c r="AL66" s="65">
        <f>AL65/AF65-1</f>
        <v>0.14075936474424622</v>
      </c>
      <c r="AN66" s="62">
        <f>AN65/AH65-1</f>
        <v>9.9532177088087481E-2</v>
      </c>
      <c r="AO66" s="9">
        <f>AO65/AI65-1</f>
        <v>9.6005092907747835E-2</v>
      </c>
      <c r="AP66" s="9">
        <f>AP65/AJ65-1</f>
        <v>9.2517799839550552E-2</v>
      </c>
      <c r="AQ66" s="100">
        <f>AQ65/AK65-1</f>
        <v>8.9395647516069765E-2</v>
      </c>
      <c r="AR66" s="65">
        <f>AR65/AL65-1</f>
        <v>9.4282444417936428E-2</v>
      </c>
      <c r="AT66" s="62">
        <f>AT65/AN65-1</f>
        <v>7.2153552481531547E-2</v>
      </c>
      <c r="AU66" s="9">
        <f>AU65/AO65-1</f>
        <v>7.1468173500173204E-2</v>
      </c>
      <c r="AV66" s="9">
        <f>AV65/AP65-1</f>
        <v>7.1113029749864332E-2</v>
      </c>
      <c r="AW66" s="100">
        <f>AW65/AQ65-1</f>
        <v>7.1401212031812822E-2</v>
      </c>
      <c r="AX66" s="65">
        <f>AX65/AR65-1</f>
        <v>7.1527182393862354E-2</v>
      </c>
      <c r="AZ66" s="62">
        <f>AZ65/AT65-1</f>
        <v>6.1580740432102266E-2</v>
      </c>
      <c r="BA66" s="9">
        <f>BA65/AU65-1</f>
        <v>6.1559491627013907E-2</v>
      </c>
      <c r="BB66" s="9">
        <f>BB65/AV65-1</f>
        <v>6.1214388594585722E-2</v>
      </c>
      <c r="BC66" s="100">
        <f>BC65/AW65-1</f>
        <v>6.0534988932940736E-2</v>
      </c>
      <c r="BD66" s="65">
        <f>BD65/AX65-1</f>
        <v>6.1216732376706329E-2</v>
      </c>
    </row>
    <row r="67" spans="1:56" s="1" customFormat="1" ht="15" x14ac:dyDescent="0.3">
      <c r="B67" s="40"/>
      <c r="D67" s="47"/>
      <c r="E67" s="8"/>
      <c r="F67" s="8"/>
      <c r="G67" s="48"/>
      <c r="H67" s="58"/>
      <c r="J67" s="47"/>
      <c r="K67" s="8"/>
      <c r="L67" s="8"/>
      <c r="M67" s="48"/>
      <c r="N67" s="58"/>
      <c r="P67" s="47"/>
      <c r="Q67" s="8"/>
      <c r="R67" s="8"/>
      <c r="S67" s="48"/>
      <c r="T67" s="58"/>
      <c r="V67" s="47"/>
      <c r="W67" s="8"/>
      <c r="X67" s="8"/>
      <c r="Y67" s="48"/>
      <c r="Z67" s="58"/>
      <c r="AB67" s="47"/>
      <c r="AC67" s="8"/>
      <c r="AD67" s="8"/>
      <c r="AE67" s="48"/>
      <c r="AF67" s="58"/>
      <c r="AH67" s="47"/>
      <c r="AI67" s="8"/>
      <c r="AJ67" s="8"/>
      <c r="AK67" s="48"/>
      <c r="AL67" s="58"/>
      <c r="AN67" s="47"/>
      <c r="AO67" s="8"/>
      <c r="AP67" s="8"/>
      <c r="AQ67" s="48"/>
      <c r="AR67" s="58"/>
      <c r="AT67" s="47"/>
      <c r="AU67" s="8"/>
      <c r="AV67" s="8"/>
      <c r="AW67" s="48"/>
      <c r="AX67" s="58"/>
      <c r="AZ67" s="47"/>
      <c r="BA67" s="8"/>
      <c r="BB67" s="8"/>
      <c r="BC67" s="48"/>
      <c r="BD67" s="58"/>
    </row>
    <row r="68" spans="1:56" s="1" customFormat="1" ht="15.75" thickBot="1" x14ac:dyDescent="0.35">
      <c r="B68" s="76" t="s">
        <v>51</v>
      </c>
      <c r="D68" s="77">
        <f>D21</f>
        <v>4632</v>
      </c>
      <c r="E68" s="78">
        <f>E21</f>
        <v>4699</v>
      </c>
      <c r="F68" s="78">
        <f>F21</f>
        <v>4708</v>
      </c>
      <c r="G68" s="102">
        <f>G21</f>
        <v>4694</v>
      </c>
      <c r="H68" s="74">
        <f>(D68+E68+F68+G68)</f>
        <v>18733</v>
      </c>
      <c r="J68" s="77">
        <f>J21</f>
        <v>4630</v>
      </c>
      <c r="K68" s="78">
        <f>K21</f>
        <v>4620</v>
      </c>
      <c r="L68" s="78">
        <f>L21</f>
        <v>4666</v>
      </c>
      <c r="M68" s="102">
        <f>M21</f>
        <v>4565</v>
      </c>
      <c r="N68" s="74">
        <f>(J68+K68+L68+M68)</f>
        <v>18481</v>
      </c>
      <c r="P68" s="77">
        <f>P21</f>
        <v>4444</v>
      </c>
      <c r="Q68" s="78">
        <f>Q21</f>
        <v>4381</v>
      </c>
      <c r="R68" s="78">
        <f>R21</f>
        <v>4261</v>
      </c>
      <c r="S68" s="102">
        <f>S21</f>
        <v>4127</v>
      </c>
      <c r="T68" s="74">
        <f>(P68+Q68+R68+S68)</f>
        <v>17213</v>
      </c>
      <c r="V68" s="77">
        <f>V21</f>
        <v>4005</v>
      </c>
      <c r="W68" s="78">
        <f>W21</f>
        <v>4012</v>
      </c>
      <c r="X68" s="78">
        <f>X21</f>
        <v>4034.0666768225574</v>
      </c>
      <c r="Y68" s="102">
        <f>Y21</f>
        <v>4033.5591918516802</v>
      </c>
      <c r="Z68" s="74">
        <f>(V68+W68+X68+Y68)</f>
        <v>16084.625868674237</v>
      </c>
      <c r="AB68" s="77">
        <f>AB21</f>
        <v>4219.4051251141855</v>
      </c>
      <c r="AC68" s="78">
        <f>AC21</f>
        <v>4252.3013127790346</v>
      </c>
      <c r="AD68" s="78">
        <f>AD21</f>
        <v>4275.2367972356478</v>
      </c>
      <c r="AE68" s="102">
        <f>AE21</f>
        <v>4244.5556801874982</v>
      </c>
      <c r="AF68" s="74">
        <f>(AB68+AC68+AD68+AE68)</f>
        <v>16991.498915316366</v>
      </c>
      <c r="AH68" s="77">
        <f>AH21</f>
        <v>4396.686218097705</v>
      </c>
      <c r="AI68" s="78">
        <f>AI21</f>
        <v>4461.2708520073047</v>
      </c>
      <c r="AJ68" s="78">
        <f>AJ21</f>
        <v>4481.6483970793734</v>
      </c>
      <c r="AK68" s="102">
        <f>AK21</f>
        <v>4439.0640896486111</v>
      </c>
      <c r="AL68" s="74">
        <f>(AH68+AI68+AJ68+AK68)</f>
        <v>17778.669556832996</v>
      </c>
      <c r="AN68" s="77">
        <f>AN21</f>
        <v>4541.2398653643359</v>
      </c>
      <c r="AO68" s="78">
        <f>AO21</f>
        <v>4597.15519643691</v>
      </c>
      <c r="AP68" s="78">
        <f>AP21</f>
        <v>4609.7672661706511</v>
      </c>
      <c r="AQ68" s="102">
        <f>AQ21</f>
        <v>4556.0972042361127</v>
      </c>
      <c r="AR68" s="74">
        <f>(AN68+AO68+AP68+AQ68)</f>
        <v>18304.259532208009</v>
      </c>
      <c r="AT68" s="77">
        <f>AT21</f>
        <v>4631.8859048813119</v>
      </c>
      <c r="AU68" s="78">
        <f>AU21</f>
        <v>4689.3519009951278</v>
      </c>
      <c r="AV68" s="78">
        <f>AV21</f>
        <v>4706.0793886575493</v>
      </c>
      <c r="AW68" s="102">
        <f>AW21</f>
        <v>4655.2693334531323</v>
      </c>
      <c r="AX68" s="74">
        <f>(AT68+AU68+AV68+AW68)</f>
        <v>18682.586527987121</v>
      </c>
      <c r="AZ68" s="77">
        <f>AZ21</f>
        <v>4710.1636149482465</v>
      </c>
      <c r="BA68" s="78">
        <f>BA21</f>
        <v>4771.6552689542759</v>
      </c>
      <c r="BB68" s="78">
        <f>BB21</f>
        <v>4792.0899072712382</v>
      </c>
      <c r="BC68" s="102">
        <f>BC21</f>
        <v>4739.8148533998647</v>
      </c>
      <c r="BD68" s="74">
        <f>(AZ68+BA68+BB68+BC68)</f>
        <v>19013.723644573627</v>
      </c>
    </row>
    <row r="70" spans="1:56" x14ac:dyDescent="0.2">
      <c r="A70" s="278"/>
      <c r="B70" s="278"/>
      <c r="C70" s="278"/>
      <c r="D70" s="278"/>
      <c r="E70" s="278"/>
      <c r="F70" s="278"/>
      <c r="G70" s="278"/>
      <c r="H70" s="278"/>
      <c r="I70" s="278"/>
      <c r="J70" s="278"/>
      <c r="K70" s="278"/>
      <c r="L70" s="278"/>
      <c r="M70" s="278"/>
      <c r="N70" s="278"/>
      <c r="O70" s="278"/>
      <c r="P70" s="278"/>
      <c r="Q70" s="278"/>
      <c r="R70" s="278"/>
      <c r="S70" s="278"/>
      <c r="T70" s="278"/>
      <c r="U70" s="278"/>
      <c r="V70" s="278"/>
      <c r="W70" s="278"/>
      <c r="X70" s="278"/>
      <c r="Y70" s="278"/>
      <c r="Z70" s="278"/>
      <c r="AA70" s="278"/>
      <c r="AB70" s="278"/>
      <c r="AC70" s="278"/>
      <c r="AD70" s="278"/>
      <c r="AE70" s="278"/>
      <c r="AF70" s="278"/>
      <c r="AG70" s="278"/>
      <c r="AH70" s="278"/>
      <c r="AI70" s="278"/>
      <c r="AJ70" s="278"/>
      <c r="AK70" s="278"/>
      <c r="AL70" s="278"/>
      <c r="AM70" s="278"/>
      <c r="AN70" s="278"/>
      <c r="AO70" s="278"/>
      <c r="AP70" s="278"/>
      <c r="AQ70" s="278"/>
      <c r="AR70" s="278"/>
      <c r="AS70" s="278"/>
      <c r="AT70" s="278"/>
      <c r="AU70" s="278"/>
      <c r="AV70" s="278"/>
      <c r="AW70" s="278"/>
      <c r="AX70" s="278"/>
      <c r="AY70" s="278"/>
      <c r="AZ70" s="278"/>
      <c r="BA70" s="278"/>
      <c r="BB70" s="278"/>
      <c r="BC70" s="278"/>
      <c r="BD70" s="278"/>
    </row>
    <row r="71" spans="1:56" ht="13.5" thickBot="1" x14ac:dyDescent="0.25"/>
    <row r="72" spans="1:56" ht="15.75" thickBot="1" x14ac:dyDescent="0.35">
      <c r="B72" s="460" t="s">
        <v>380</v>
      </c>
      <c r="D72" s="715">
        <v>2010</v>
      </c>
      <c r="E72" s="716"/>
      <c r="F72" s="716"/>
      <c r="G72" s="717"/>
      <c r="H72" s="392"/>
      <c r="I72" s="392"/>
      <c r="J72" s="715">
        <v>2011</v>
      </c>
      <c r="K72" s="716"/>
      <c r="L72" s="716"/>
      <c r="M72" s="717"/>
      <c r="N72" s="392"/>
      <c r="O72" s="392"/>
      <c r="P72" s="715">
        <v>2012</v>
      </c>
      <c r="Q72" s="716"/>
      <c r="R72" s="716"/>
      <c r="S72" s="717"/>
      <c r="T72" s="392"/>
      <c r="U72" s="392"/>
      <c r="V72" s="715">
        <v>2013</v>
      </c>
      <c r="W72" s="716"/>
      <c r="X72" s="716"/>
      <c r="Y72" s="717"/>
      <c r="Z72" s="392"/>
      <c r="AA72" s="392"/>
    </row>
    <row r="73" spans="1:56" ht="15.75" thickBot="1" x14ac:dyDescent="0.35">
      <c r="D73" s="393" t="s">
        <v>20</v>
      </c>
      <c r="E73" s="394" t="s">
        <v>19</v>
      </c>
      <c r="F73" s="394" t="s">
        <v>22</v>
      </c>
      <c r="G73" s="395" t="s">
        <v>21</v>
      </c>
      <c r="H73" s="396" t="s">
        <v>39</v>
      </c>
      <c r="I73" s="392"/>
      <c r="J73" s="393" t="s">
        <v>20</v>
      </c>
      <c r="K73" s="394" t="s">
        <v>19</v>
      </c>
      <c r="L73" s="394" t="s">
        <v>22</v>
      </c>
      <c r="M73" s="395" t="s">
        <v>21</v>
      </c>
      <c r="N73" s="396" t="s">
        <v>39</v>
      </c>
      <c r="O73" s="392"/>
      <c r="P73" s="393" t="s">
        <v>20</v>
      </c>
      <c r="Q73" s="394" t="s">
        <v>19</v>
      </c>
      <c r="R73" s="394" t="s">
        <v>22</v>
      </c>
      <c r="S73" s="395" t="s">
        <v>21</v>
      </c>
      <c r="T73" s="396" t="s">
        <v>39</v>
      </c>
      <c r="U73" s="392"/>
      <c r="V73" s="393" t="s">
        <v>20</v>
      </c>
      <c r="W73" s="394" t="s">
        <v>19</v>
      </c>
      <c r="X73" s="394" t="s">
        <v>22</v>
      </c>
      <c r="Y73" s="395" t="s">
        <v>21</v>
      </c>
      <c r="Z73" s="396" t="s">
        <v>39</v>
      </c>
      <c r="AA73" s="392"/>
    </row>
    <row r="74" spans="1:56" ht="15.75" thickBot="1" x14ac:dyDescent="0.35"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56" ht="15" x14ac:dyDescent="0.3">
      <c r="B75" s="38" t="s">
        <v>25</v>
      </c>
      <c r="D75" s="30">
        <v>6640</v>
      </c>
      <c r="E75" s="4">
        <f>D77</f>
        <v>7331</v>
      </c>
      <c r="F75" s="4">
        <f>E77</f>
        <v>7634</v>
      </c>
      <c r="G75" s="4">
        <f>F77</f>
        <v>7857</v>
      </c>
      <c r="H75" s="53">
        <f>D75</f>
        <v>6640</v>
      </c>
      <c r="I75" s="1"/>
      <c r="J75" s="30">
        <f>H77</f>
        <v>8155</v>
      </c>
      <c r="K75" s="4">
        <f>J77</f>
        <v>8881</v>
      </c>
      <c r="L75" s="4">
        <f>K77</f>
        <v>9080</v>
      </c>
      <c r="M75" s="4">
        <f>L77</f>
        <v>9149</v>
      </c>
      <c r="N75" s="53">
        <f>J75</f>
        <v>8155</v>
      </c>
      <c r="O75" s="1"/>
      <c r="P75" s="30">
        <f>N77</f>
        <v>9347</v>
      </c>
      <c r="Q75" s="4">
        <f>P77</f>
        <v>9478</v>
      </c>
      <c r="R75" s="4">
        <f>Q77</f>
        <v>9292</v>
      </c>
      <c r="S75" s="4">
        <f>R77</f>
        <v>8980</v>
      </c>
      <c r="T75" s="53">
        <f>P75</f>
        <v>9347</v>
      </c>
      <c r="U75" s="1"/>
      <c r="V75" s="30">
        <f>T77</f>
        <v>8887</v>
      </c>
      <c r="W75" s="4">
        <f>V77</f>
        <v>8996</v>
      </c>
      <c r="X75" s="4">
        <f>W77</f>
        <v>8996</v>
      </c>
      <c r="Y75" s="4">
        <f>X77</f>
        <v>9096</v>
      </c>
      <c r="Z75" s="53">
        <f>V75</f>
        <v>8887</v>
      </c>
      <c r="AA75" s="1"/>
    </row>
    <row r="76" spans="1:56" ht="15" x14ac:dyDescent="0.3">
      <c r="B76" s="39" t="s">
        <v>26</v>
      </c>
      <c r="D76" s="44">
        <f>D77-D75</f>
        <v>691</v>
      </c>
      <c r="E76" s="90">
        <f>E77-E75</f>
        <v>303</v>
      </c>
      <c r="F76" s="90">
        <f>F77-F75</f>
        <v>223</v>
      </c>
      <c r="G76" s="90">
        <f>G77-G75</f>
        <v>298</v>
      </c>
      <c r="H76" s="54">
        <f>D76+E76+F76+G76</f>
        <v>1515</v>
      </c>
      <c r="I76" s="13"/>
      <c r="J76" s="44">
        <f>J77-J75</f>
        <v>726</v>
      </c>
      <c r="K76" s="90">
        <f>K77-K75</f>
        <v>199</v>
      </c>
      <c r="L76" s="90">
        <f>L77-L75</f>
        <v>69</v>
      </c>
      <c r="M76" s="90">
        <f>M77-M75</f>
        <v>198</v>
      </c>
      <c r="N76" s="54">
        <f>J76+K76+L76+M76</f>
        <v>1192</v>
      </c>
      <c r="O76" s="13"/>
      <c r="P76" s="44">
        <f>P77-P75</f>
        <v>131</v>
      </c>
      <c r="Q76" s="90">
        <f>Q77-Q75</f>
        <v>-186</v>
      </c>
      <c r="R76" s="90">
        <f>R77-R75</f>
        <v>-312</v>
      </c>
      <c r="S76" s="90">
        <f>S77-S75</f>
        <v>-93</v>
      </c>
      <c r="T76" s="54">
        <f>P76+Q76+R76+S76</f>
        <v>-460</v>
      </c>
      <c r="U76" s="13"/>
      <c r="V76" s="44">
        <v>109</v>
      </c>
      <c r="W76" s="90">
        <v>0</v>
      </c>
      <c r="X76" s="90">
        <v>100</v>
      </c>
      <c r="Y76" s="90">
        <v>100</v>
      </c>
      <c r="Z76" s="54">
        <f>V76+W76+X76+Y76</f>
        <v>309</v>
      </c>
      <c r="AA76" s="13"/>
    </row>
    <row r="77" spans="1:56" ht="15" x14ac:dyDescent="0.3">
      <c r="B77" s="40" t="s">
        <v>27</v>
      </c>
      <c r="D77" s="33">
        <v>7331</v>
      </c>
      <c r="E77" s="91">
        <v>7634</v>
      </c>
      <c r="F77" s="91">
        <v>7857</v>
      </c>
      <c r="G77" s="91">
        <v>8155</v>
      </c>
      <c r="H77" s="55">
        <f>G77</f>
        <v>8155</v>
      </c>
      <c r="I77" s="1"/>
      <c r="J77" s="33">
        <v>8881</v>
      </c>
      <c r="K77" s="91">
        <v>9080</v>
      </c>
      <c r="L77" s="91">
        <v>9149</v>
      </c>
      <c r="M77" s="91">
        <v>9347</v>
      </c>
      <c r="N77" s="55">
        <f>M77</f>
        <v>9347</v>
      </c>
      <c r="O77" s="1"/>
      <c r="P77" s="33">
        <v>9478</v>
      </c>
      <c r="Q77" s="91">
        <v>9292</v>
      </c>
      <c r="R77" s="91">
        <v>8980</v>
      </c>
      <c r="S77" s="91">
        <v>8887</v>
      </c>
      <c r="T77" s="55">
        <f>S77</f>
        <v>8887</v>
      </c>
      <c r="U77" s="1"/>
      <c r="V77" s="33">
        <f>V75+V76</f>
        <v>8996</v>
      </c>
      <c r="W77" s="91">
        <f>W75+W76</f>
        <v>8996</v>
      </c>
      <c r="X77" s="91">
        <f>X75+X76</f>
        <v>9096</v>
      </c>
      <c r="Y77" s="91">
        <f>Y75+Y76</f>
        <v>9196</v>
      </c>
      <c r="Z77" s="55">
        <f>Y77</f>
        <v>9196</v>
      </c>
      <c r="AA77" s="1"/>
    </row>
    <row r="78" spans="1:56" ht="15.75" thickBot="1" x14ac:dyDescent="0.35">
      <c r="B78" s="41" t="s">
        <v>28</v>
      </c>
      <c r="D78" s="77">
        <f>D77-D76/2</f>
        <v>6985.5</v>
      </c>
      <c r="E78" s="92">
        <f>E77-E76/2</f>
        <v>7482.5</v>
      </c>
      <c r="F78" s="92">
        <f>F77-F76/2</f>
        <v>7745.5</v>
      </c>
      <c r="G78" s="92">
        <f>G77-G76/2</f>
        <v>8006</v>
      </c>
      <c r="H78" s="74">
        <f>(D78+E78+F78+G78)/4</f>
        <v>7554.875</v>
      </c>
      <c r="I78" s="1"/>
      <c r="J78" s="77">
        <f>J77-J76/2</f>
        <v>8518</v>
      </c>
      <c r="K78" s="92">
        <f>K77-K76/2</f>
        <v>8980.5</v>
      </c>
      <c r="L78" s="92">
        <f>L77-L76/2</f>
        <v>9114.5</v>
      </c>
      <c r="M78" s="92">
        <f>M77-M76/2</f>
        <v>9248</v>
      </c>
      <c r="N78" s="74">
        <f>(J78+K78+L78+M78)/4</f>
        <v>8965.25</v>
      </c>
      <c r="O78" s="1"/>
      <c r="P78" s="77">
        <f>P77-P76/2</f>
        <v>9412.5</v>
      </c>
      <c r="Q78" s="92">
        <f>Q77-Q76/2</f>
        <v>9385</v>
      </c>
      <c r="R78" s="92">
        <f>R77-R76/2</f>
        <v>9136</v>
      </c>
      <c r="S78" s="92">
        <f>S77-S76/2</f>
        <v>8933.5</v>
      </c>
      <c r="T78" s="74">
        <f>(P78+Q78+R78+S78)/4</f>
        <v>9216.75</v>
      </c>
      <c r="U78" s="1"/>
      <c r="V78" s="77">
        <f>V77-V76/2</f>
        <v>8941.5</v>
      </c>
      <c r="W78" s="92">
        <f>W77-W76/2</f>
        <v>8996</v>
      </c>
      <c r="X78" s="92">
        <f>X77-X76/2</f>
        <v>9046</v>
      </c>
      <c r="Y78" s="92">
        <f>Y77-Y76/2</f>
        <v>9146</v>
      </c>
      <c r="Z78" s="74">
        <f>(V78+W78+X78+Y78)/4</f>
        <v>9032.375</v>
      </c>
      <c r="AA78" s="1"/>
    </row>
    <row r="79" spans="1:56" ht="15" x14ac:dyDescent="0.3">
      <c r="B79" s="6" t="s">
        <v>56</v>
      </c>
      <c r="D79" s="36"/>
      <c r="E79" s="36"/>
      <c r="F79" s="36"/>
      <c r="G79" s="36"/>
      <c r="H79" s="36"/>
      <c r="I79" s="1"/>
      <c r="J79" s="36">
        <f>J78/D78-1</f>
        <v>0.21938300765872154</v>
      </c>
      <c r="K79" s="36">
        <f>K78/E78-1</f>
        <v>0.20020046775810219</v>
      </c>
      <c r="L79" s="36">
        <f>L78/F78-1</f>
        <v>0.17674778903879673</v>
      </c>
      <c r="M79" s="36">
        <f>M78/G78-1</f>
        <v>0.15513364976267807</v>
      </c>
      <c r="N79" s="36">
        <f>N78/H78-1</f>
        <v>0.18668409470706004</v>
      </c>
      <c r="O79" s="1"/>
      <c r="P79" s="36">
        <f>P78/J78-1</f>
        <v>0.10501291382953748</v>
      </c>
      <c r="Q79" s="36">
        <f>Q78/K78-1</f>
        <v>4.5042035521407398E-2</v>
      </c>
      <c r="R79" s="36">
        <f>R78/L78-1</f>
        <v>2.3588787097481578E-3</v>
      </c>
      <c r="S79" s="36">
        <f>S78/M78-1</f>
        <v>-3.4007352941176516E-2</v>
      </c>
      <c r="T79" s="36">
        <f>T78/N78-1</f>
        <v>2.8052759264939553E-2</v>
      </c>
      <c r="U79" s="1"/>
      <c r="V79" s="36">
        <f>V78/P78-1</f>
        <v>-5.003984063745015E-2</v>
      </c>
      <c r="W79" s="36">
        <f>W78/Q78-1</f>
        <v>-4.1449120937666506E-2</v>
      </c>
      <c r="X79" s="36">
        <f>X78/R78-1</f>
        <v>-9.8511383537652764E-3</v>
      </c>
      <c r="Y79" s="36">
        <f>Y78/S78-1</f>
        <v>2.3786869647954401E-2</v>
      </c>
      <c r="Z79" s="36">
        <f>Z78/T78-1</f>
        <v>-2.0004339924593828E-2</v>
      </c>
      <c r="AA79" s="1"/>
      <c r="AB79" s="36"/>
      <c r="AC79" s="36"/>
      <c r="AD79" s="36"/>
      <c r="AE79" s="36"/>
      <c r="AF79" s="36"/>
    </row>
    <row r="80" spans="1:56" ht="15.75" thickBot="1" x14ac:dyDescent="0.35">
      <c r="B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2:27" ht="15" x14ac:dyDescent="0.3">
      <c r="B81" s="42" t="s">
        <v>46</v>
      </c>
      <c r="D81" s="45">
        <f>D88-D84</f>
        <v>31.015961634814978</v>
      </c>
      <c r="E81" s="19">
        <f>E88-E84</f>
        <v>30.821641608196902</v>
      </c>
      <c r="F81" s="19">
        <f>F88-F84</f>
        <v>28.124668194435479</v>
      </c>
      <c r="G81" s="19">
        <f>G88-G84</f>
        <v>29.259555333499875</v>
      </c>
      <c r="H81" s="57">
        <f>H132*1000/(H78*12)</f>
        <v>30.174319667502257</v>
      </c>
      <c r="I81" s="1"/>
      <c r="J81" s="45">
        <f>J88-J84</f>
        <v>29.332269442628672</v>
      </c>
      <c r="K81" s="19">
        <f>K88-K84</f>
        <v>29.050409219976615</v>
      </c>
      <c r="L81" s="19">
        <f>L88-L84</f>
        <v>28.947663887212684</v>
      </c>
      <c r="M81" s="19">
        <f>M88-M84</f>
        <v>28.112932525951557</v>
      </c>
      <c r="N81" s="57">
        <f>N132*1000/(N78*12)</f>
        <v>28.820833080944205</v>
      </c>
      <c r="O81" s="1"/>
      <c r="P81" s="45">
        <f>P88-P84</f>
        <v>27.766572711454412</v>
      </c>
      <c r="Q81" s="19">
        <f>Q88-Q84</f>
        <v>27.55916833795505</v>
      </c>
      <c r="R81" s="19">
        <f>R88-R84</f>
        <v>28.5219527145359</v>
      </c>
      <c r="S81" s="19">
        <f>S88-S84</f>
        <v>26.3937821954298</v>
      </c>
      <c r="T81" s="57">
        <f>T132*1000/(T78*12)</f>
        <v>27.194482907151464</v>
      </c>
      <c r="U81" s="1"/>
      <c r="V81" s="45">
        <f>V88-V84</f>
        <v>25.537738766652403</v>
      </c>
      <c r="W81" s="19">
        <f>Q81*(1+W82)</f>
        <v>25.354434870918649</v>
      </c>
      <c r="X81" s="19">
        <f>R81*(1+X82)</f>
        <v>26.525416024518385</v>
      </c>
      <c r="Y81" s="46">
        <f>S81*(1+Y82)</f>
        <v>24.810155263704011</v>
      </c>
      <c r="Z81" s="57">
        <f>Z132*1000/(Z78*12)</f>
        <v>25.555205045196775</v>
      </c>
      <c r="AA81" s="1"/>
    </row>
    <row r="82" spans="2:27" ht="15" x14ac:dyDescent="0.3">
      <c r="B82" s="40" t="s">
        <v>23</v>
      </c>
      <c r="D82" s="62" t="s">
        <v>35</v>
      </c>
      <c r="E82" s="9" t="s">
        <v>35</v>
      </c>
      <c r="F82" s="9" t="s">
        <v>35</v>
      </c>
      <c r="G82" s="9" t="s">
        <v>35</v>
      </c>
      <c r="H82" s="66" t="s">
        <v>35</v>
      </c>
      <c r="I82" s="1"/>
      <c r="J82" s="62">
        <f>J81/D81-1</f>
        <v>-5.4284700632863392E-2</v>
      </c>
      <c r="K82" s="9">
        <f>(K81-D81)/D81</f>
        <v>-6.3372286759345822E-2</v>
      </c>
      <c r="L82" s="9">
        <f>(L81-E81)/E81</f>
        <v>-6.0800710903271313E-2</v>
      </c>
      <c r="M82" s="9">
        <f>(M81-F81)/F81</f>
        <v>-4.1727313555450915E-4</v>
      </c>
      <c r="N82" s="66">
        <f>N81/H81-1</f>
        <v>-4.4855579230035025E-2</v>
      </c>
      <c r="O82" s="1"/>
      <c r="P82" s="62">
        <f>P81/J81-1</f>
        <v>-5.3377960891727971E-2</v>
      </c>
      <c r="Q82" s="9">
        <f>(Q81-J81)/J81</f>
        <v>-6.0448820986785577E-2</v>
      </c>
      <c r="R82" s="9">
        <f>(R81-K81)/K81</f>
        <v>-1.819101760113315E-2</v>
      </c>
      <c r="S82" s="9">
        <f>(S81-L81)/L81</f>
        <v>-8.8224103393401407E-2</v>
      </c>
      <c r="T82" s="66">
        <f>T81/N81-1</f>
        <v>-5.6429672564463518E-2</v>
      </c>
      <c r="U82" s="1"/>
      <c r="V82" s="62">
        <f>V81/P81-1</f>
        <v>-8.0270401679158554E-2</v>
      </c>
      <c r="W82" s="9">
        <v>-0.08</v>
      </c>
      <c r="X82" s="9">
        <v>-7.0000000000000007E-2</v>
      </c>
      <c r="Y82" s="100">
        <v>-0.06</v>
      </c>
      <c r="Z82" s="66">
        <f>Z81/T81-1</f>
        <v>-6.0279795264046032E-2</v>
      </c>
      <c r="AA82" s="1"/>
    </row>
    <row r="83" spans="2:27" ht="15" x14ac:dyDescent="0.3">
      <c r="B83" s="40"/>
      <c r="D83" s="47"/>
      <c r="E83" s="8"/>
      <c r="F83" s="8"/>
      <c r="G83" s="8"/>
      <c r="H83" s="58"/>
      <c r="I83" s="1"/>
      <c r="J83" s="47"/>
      <c r="K83" s="8"/>
      <c r="L83" s="8"/>
      <c r="M83" s="8"/>
      <c r="N83" s="58"/>
      <c r="O83" s="1"/>
      <c r="P83" s="47"/>
      <c r="Q83" s="8"/>
      <c r="R83" s="8"/>
      <c r="S83" s="8"/>
      <c r="T83" s="58"/>
      <c r="U83" s="1"/>
      <c r="V83" s="47"/>
      <c r="W83" s="8"/>
      <c r="X83" s="8"/>
      <c r="Y83" s="48"/>
      <c r="Z83" s="58"/>
      <c r="AA83" s="1"/>
    </row>
    <row r="84" spans="2:27" ht="15" x14ac:dyDescent="0.3">
      <c r="B84" s="39" t="s">
        <v>47</v>
      </c>
      <c r="D84" s="81">
        <f>D86*D88</f>
        <v>9.6874000906639939</v>
      </c>
      <c r="E84" s="79">
        <f>E86*E88</f>
        <v>10.251974607417306</v>
      </c>
      <c r="F84" s="79">
        <v>12.414999999999999</v>
      </c>
      <c r="G84" s="79">
        <f>G86*G88</f>
        <v>11.210092430676994</v>
      </c>
      <c r="H84" s="80">
        <f>H135*1000/(H78*12)</f>
        <v>10.516845529362902</v>
      </c>
      <c r="I84" s="1"/>
      <c r="J84" s="81">
        <f>J86*J88</f>
        <v>11.757188176530756</v>
      </c>
      <c r="K84" s="79">
        <f>K86*K88</f>
        <v>12.261321752686376</v>
      </c>
      <c r="L84" s="79">
        <v>12.414999999999999</v>
      </c>
      <c r="M84" s="79">
        <f>M86*M88</f>
        <v>12.76076989619377</v>
      </c>
      <c r="N84" s="80">
        <f>N135*1000/(N78*12)</f>
        <v>12.338086079146144</v>
      </c>
      <c r="O84" s="1"/>
      <c r="P84" s="81">
        <f>P86*P88</f>
        <v>13.278137337239702</v>
      </c>
      <c r="Q84" s="79">
        <f>Q86*Q88</f>
        <v>13.605811239384678</v>
      </c>
      <c r="R84" s="79">
        <v>12.414999999999999</v>
      </c>
      <c r="S84" s="79">
        <f>S86*S88</f>
        <v>14.650228177511002</v>
      </c>
      <c r="T84" s="80">
        <f>T135*1000/(T78*12)</f>
        <v>13.853970542636507</v>
      </c>
      <c r="U84" s="1"/>
      <c r="V84" s="81">
        <f>V86*V88</f>
        <v>15.50682869965638</v>
      </c>
      <c r="W84" s="79">
        <f>Q84*(1+W85)</f>
        <v>15.782741037686225</v>
      </c>
      <c r="X84" s="79">
        <f>R84*(1+X85)</f>
        <v>14.1531</v>
      </c>
      <c r="Y84" s="82">
        <f>S84*(1+Y85)</f>
        <v>16.554757840587431</v>
      </c>
      <c r="Z84" s="80">
        <f>Z135*1000/(Z78*12)</f>
        <v>15.501864266126445</v>
      </c>
      <c r="AA84" s="1"/>
    </row>
    <row r="85" spans="2:27" ht="15" x14ac:dyDescent="0.3">
      <c r="B85" s="40" t="s">
        <v>23</v>
      </c>
      <c r="D85" s="62" t="s">
        <v>35</v>
      </c>
      <c r="E85" s="9" t="s">
        <v>35</v>
      </c>
      <c r="F85" s="9" t="s">
        <v>35</v>
      </c>
      <c r="G85" s="9" t="s">
        <v>35</v>
      </c>
      <c r="H85" s="66" t="s">
        <v>35</v>
      </c>
      <c r="I85" s="1"/>
      <c r="J85" s="62">
        <f>J84/D84-1</f>
        <v>0.21365774784727543</v>
      </c>
      <c r="K85" s="9">
        <f>(K84-D84)/D84</f>
        <v>0.26569787950669438</v>
      </c>
      <c r="L85" s="9">
        <f>(L84-E84)/E84</f>
        <v>0.21098622220715835</v>
      </c>
      <c r="M85" s="9">
        <f>(M84-F84)/F84</f>
        <v>2.785097834826988E-2</v>
      </c>
      <c r="N85" s="66">
        <f>N84/H84-1</f>
        <v>0.17317365218480774</v>
      </c>
      <c r="O85" s="1"/>
      <c r="P85" s="62">
        <f>P84/J84-1</f>
        <v>0.12936334248226178</v>
      </c>
      <c r="Q85" s="9">
        <f>(Q84-J84)/J84</f>
        <v>0.15723343329181996</v>
      </c>
      <c r="R85" s="9">
        <f>(R84-K84)/K84</f>
        <v>1.2533579202417815E-2</v>
      </c>
      <c r="S85" s="9">
        <f>(S84-L84)/L84</f>
        <v>0.18004254349665749</v>
      </c>
      <c r="T85" s="66">
        <f>T84/N84-1</f>
        <v>0.12286220518857571</v>
      </c>
      <c r="U85" s="1"/>
      <c r="V85" s="62">
        <f>V84/P84-1</f>
        <v>0.16784668706250816</v>
      </c>
      <c r="W85" s="9">
        <v>0.16</v>
      </c>
      <c r="X85" s="9">
        <v>0.14000000000000001</v>
      </c>
      <c r="Y85" s="9">
        <v>0.13</v>
      </c>
      <c r="Z85" s="66">
        <f>Z84/T84-1</f>
        <v>0.11894739622972605</v>
      </c>
      <c r="AA85" s="1"/>
    </row>
    <row r="86" spans="2:27" ht="15.75" thickBot="1" x14ac:dyDescent="0.35">
      <c r="B86" s="41" t="s">
        <v>48</v>
      </c>
      <c r="D86" s="52">
        <f>D16</f>
        <v>0.23799999999999999</v>
      </c>
      <c r="E86" s="10">
        <f>E16</f>
        <v>0.24959999999999999</v>
      </c>
      <c r="F86" s="10">
        <f>F16</f>
        <v>0.26650980936703483</v>
      </c>
      <c r="G86" s="10">
        <f>G16</f>
        <v>0.27700000000000002</v>
      </c>
      <c r="H86" s="61">
        <f>H84/H88</f>
        <v>0.25845525628185056</v>
      </c>
      <c r="I86" s="1"/>
      <c r="J86" s="52">
        <f>J16</f>
        <v>0.28613636825053995</v>
      </c>
      <c r="K86" s="10">
        <f>K16</f>
        <v>0.29680000000000001</v>
      </c>
      <c r="L86" s="10">
        <f>L16</f>
        <v>0.30287526789541364</v>
      </c>
      <c r="M86" s="10">
        <f>M16</f>
        <v>0.31219999999999998</v>
      </c>
      <c r="N86" s="61">
        <f>N84/N88</f>
        <v>0.29976700872917339</v>
      </c>
      <c r="O86" s="1"/>
      <c r="P86" s="52">
        <f>P16</f>
        <v>0.32350423042304233</v>
      </c>
      <c r="Q86" s="10">
        <f>Q16</f>
        <v>0.33051908148824471</v>
      </c>
      <c r="R86" s="10">
        <f>R16</f>
        <v>0.34012169091762495</v>
      </c>
      <c r="S86" s="10">
        <f>S16</f>
        <v>0.35693949115580326</v>
      </c>
      <c r="T86" s="61">
        <f>T84/T88</f>
        <v>0.33750286255201328</v>
      </c>
      <c r="U86" s="1"/>
      <c r="V86" s="52">
        <f>V16</f>
        <v>0.37780465617977527</v>
      </c>
      <c r="W86" s="10">
        <f>W84/W88</f>
        <v>0.38366126718934218</v>
      </c>
      <c r="X86" s="10">
        <f>X84/X88</f>
        <v>0.34792567141508857</v>
      </c>
      <c r="Y86" s="83">
        <f>Y84/Y88</f>
        <v>0.40021256176336412</v>
      </c>
      <c r="Z86" s="61">
        <f>Z84/Z88</f>
        <v>0.37756869952359579</v>
      </c>
      <c r="AA86" s="1"/>
    </row>
    <row r="87" spans="2:27" ht="15.75" thickBot="1" x14ac:dyDescent="0.35">
      <c r="B87" s="1"/>
      <c r="D87" s="36"/>
      <c r="E87" s="36"/>
      <c r="F87" s="36"/>
      <c r="G87" s="36"/>
      <c r="H87" s="36"/>
      <c r="I87" s="1"/>
      <c r="J87" s="36"/>
      <c r="K87" s="36"/>
      <c r="L87" s="36"/>
      <c r="M87" s="36"/>
      <c r="N87" s="36"/>
      <c r="O87" s="1"/>
      <c r="P87" s="36"/>
      <c r="Q87" s="36"/>
      <c r="R87" s="36"/>
      <c r="S87" s="36"/>
      <c r="T87" s="36"/>
      <c r="U87" s="1"/>
      <c r="V87" s="36"/>
      <c r="W87" s="36"/>
      <c r="X87" s="36"/>
      <c r="Y87" s="36"/>
      <c r="Z87" s="36"/>
      <c r="AA87" s="1"/>
    </row>
    <row r="88" spans="2:27" ht="15" x14ac:dyDescent="0.3">
      <c r="B88" s="42" t="s">
        <v>29</v>
      </c>
      <c r="D88" s="45">
        <f>D91*1000/(D78*3)</f>
        <v>40.70336172547897</v>
      </c>
      <c r="E88" s="19">
        <f>E91*1000/(E78*3)</f>
        <v>41.073616215614209</v>
      </c>
      <c r="F88" s="19">
        <f>F91*1000/(F78*3)</f>
        <v>40.539668194435478</v>
      </c>
      <c r="G88" s="19">
        <f>G91*1000/(G78*3)</f>
        <v>40.469647764176869</v>
      </c>
      <c r="H88" s="57">
        <f>H91*1000/(H78*12)</f>
        <v>40.691165196865157</v>
      </c>
      <c r="I88" s="13"/>
      <c r="J88" s="45">
        <f>J91*1000/(J78*3)</f>
        <v>41.089457619159425</v>
      </c>
      <c r="K88" s="19">
        <f>K91*1000/(K78*3)</f>
        <v>41.311730972662993</v>
      </c>
      <c r="L88" s="19">
        <f>L91*1000/(L78*3)</f>
        <v>41.362663887212683</v>
      </c>
      <c r="M88" s="19">
        <f>M91*1000/(M78*3)</f>
        <v>40.873702422145328</v>
      </c>
      <c r="N88" s="57">
        <f>N91*1000/(N78*12)</f>
        <v>41.158919160090349</v>
      </c>
      <c r="O88" s="13"/>
      <c r="P88" s="45">
        <f>P91*1000/(P78*3)</f>
        <v>41.044710048694114</v>
      </c>
      <c r="Q88" s="19">
        <f>Q91*1000/(Q78*3)</f>
        <v>41.164979577339729</v>
      </c>
      <c r="R88" s="19">
        <f>R91*1000/(R78*3)</f>
        <v>40.936952714535899</v>
      </c>
      <c r="S88" s="19">
        <f>S91*1000/(S78*3)</f>
        <v>41.044010372940804</v>
      </c>
      <c r="T88" s="57">
        <f>T91*1000/(T78*12)</f>
        <v>41.048453449787978</v>
      </c>
      <c r="U88" s="13"/>
      <c r="V88" s="45">
        <f>V91*1000/(V78*3)</f>
        <v>41.044567466308784</v>
      </c>
      <c r="W88" s="19">
        <f>W81+W84</f>
        <v>41.137175908604874</v>
      </c>
      <c r="X88" s="19">
        <f>X81+X84</f>
        <v>40.678516024518387</v>
      </c>
      <c r="Y88" s="46">
        <f>Y81+Y84</f>
        <v>41.364913104291446</v>
      </c>
      <c r="Z88" s="57">
        <f>Z91*1000/(Z78*12)</f>
        <v>41.057069311323225</v>
      </c>
      <c r="AA88" s="13"/>
    </row>
    <row r="89" spans="2:27" ht="15.75" thickBot="1" x14ac:dyDescent="0.35">
      <c r="B89" s="41" t="s">
        <v>23</v>
      </c>
      <c r="D89" s="52" t="s">
        <v>35</v>
      </c>
      <c r="E89" s="10" t="s">
        <v>35</v>
      </c>
      <c r="F89" s="10" t="s">
        <v>35</v>
      </c>
      <c r="G89" s="10" t="s">
        <v>35</v>
      </c>
      <c r="H89" s="61" t="s">
        <v>35</v>
      </c>
      <c r="I89" s="1"/>
      <c r="J89" s="52">
        <f>(J88-D88)/D88</f>
        <v>9.4856021054096785E-3</v>
      </c>
      <c r="K89" s="10">
        <f>(K88-E88)/E88</f>
        <v>5.7972679054800217E-3</v>
      </c>
      <c r="L89" s="10">
        <f>(L88-F88)/F88</f>
        <v>2.0300997256069559E-2</v>
      </c>
      <c r="M89" s="83">
        <f>(M88-G88)/G88</f>
        <v>9.9841407151095071E-3</v>
      </c>
      <c r="N89" s="83">
        <f>(N88-H88)/H88</f>
        <v>1.1495221652223117E-2</v>
      </c>
      <c r="O89" s="1"/>
      <c r="P89" s="52">
        <f>(P88-J88)/J88</f>
        <v>-1.0890280149243531E-3</v>
      </c>
      <c r="Q89" s="10">
        <f>(Q88-K88)/K88</f>
        <v>-3.5522935463627283E-3</v>
      </c>
      <c r="R89" s="10">
        <f>(R88-L88)/L88</f>
        <v>-1.0292160433322423E-2</v>
      </c>
      <c r="S89" s="83">
        <f>(S88-M88)/M88</f>
        <v>4.1666876427422141E-3</v>
      </c>
      <c r="T89" s="83">
        <f>(T88-N88)/N88</f>
        <v>-2.683882680998193E-3</v>
      </c>
      <c r="U89" s="1"/>
      <c r="V89" s="52">
        <f>(V88-P88)/P88</f>
        <v>-3.4738309799350184E-6</v>
      </c>
      <c r="W89" s="10">
        <f>(W88-Q88)/Q88</f>
        <v>-6.7542044282125279E-4</v>
      </c>
      <c r="X89" s="10">
        <f>(X88-R88)/R88</f>
        <v>-6.3130417112299006E-3</v>
      </c>
      <c r="Y89" s="83">
        <f>(Y88-S88)/S88</f>
        <v>7.8185033196026318E-3</v>
      </c>
      <c r="Z89" s="61">
        <f>(Z88-T88)/T88</f>
        <v>2.0989491225988945E-4</v>
      </c>
      <c r="AA89" s="1"/>
    </row>
    <row r="90" spans="2:27" ht="15.75" thickBot="1" x14ac:dyDescent="0.35">
      <c r="B90" s="6"/>
      <c r="D90" s="8"/>
      <c r="E90" s="8"/>
      <c r="F90" s="37"/>
      <c r="G90" s="12"/>
      <c r="H90" s="8"/>
      <c r="I90" s="1"/>
      <c r="J90" s="8"/>
      <c r="K90" s="8"/>
      <c r="L90" s="12"/>
      <c r="M90" s="12"/>
      <c r="N90" s="8"/>
      <c r="O90" s="1"/>
      <c r="P90" s="8"/>
      <c r="Q90" s="8"/>
      <c r="R90" s="12"/>
      <c r="S90" s="12"/>
      <c r="T90" s="8"/>
      <c r="U90" s="1"/>
      <c r="V90" s="8"/>
      <c r="W90" s="8"/>
      <c r="X90" s="12"/>
      <c r="Y90" s="12"/>
      <c r="Z90" s="8"/>
      <c r="AA90" s="1"/>
    </row>
    <row r="91" spans="2:27" ht="15" x14ac:dyDescent="0.3">
      <c r="B91" s="42" t="s">
        <v>30</v>
      </c>
      <c r="D91" s="49">
        <v>853</v>
      </c>
      <c r="E91" s="14">
        <v>922</v>
      </c>
      <c r="F91" s="14">
        <v>942</v>
      </c>
      <c r="G91" s="35">
        <v>972</v>
      </c>
      <c r="H91" s="35">
        <f>D91+E91+F91+G91</f>
        <v>3689</v>
      </c>
      <c r="I91" s="13"/>
      <c r="J91" s="49">
        <v>1050</v>
      </c>
      <c r="K91" s="14">
        <v>1113</v>
      </c>
      <c r="L91" s="14">
        <v>1131</v>
      </c>
      <c r="M91" s="35">
        <v>1134</v>
      </c>
      <c r="N91" s="35">
        <f>J91+K91+L91+M91</f>
        <v>4428</v>
      </c>
      <c r="O91" s="13"/>
      <c r="P91" s="49">
        <v>1159</v>
      </c>
      <c r="Q91" s="14">
        <v>1159</v>
      </c>
      <c r="R91" s="14">
        <v>1122</v>
      </c>
      <c r="S91" s="35">
        <v>1100</v>
      </c>
      <c r="T91" s="35">
        <f>P91+Q91+R91+S91</f>
        <v>4540</v>
      </c>
      <c r="U91" s="13"/>
      <c r="V91" s="49">
        <v>1101</v>
      </c>
      <c r="W91" s="14">
        <f>W88*3/1000*W78</f>
        <v>1110.2101034214284</v>
      </c>
      <c r="X91" s="14">
        <f>X88*3/1000*X78</f>
        <v>1103.9335678733798</v>
      </c>
      <c r="Y91" s="35">
        <f>Y88*3/1000*Y78</f>
        <v>1134.9704857555487</v>
      </c>
      <c r="Z91" s="35">
        <f>(V91+W91+X91+Y91)</f>
        <v>4450.1141570503569</v>
      </c>
      <c r="AA91" s="13"/>
    </row>
    <row r="92" spans="2:27" ht="15.75" thickBot="1" x14ac:dyDescent="0.35">
      <c r="B92" s="41" t="s">
        <v>23</v>
      </c>
      <c r="D92" s="52" t="s">
        <v>35</v>
      </c>
      <c r="E92" s="10" t="s">
        <v>35</v>
      </c>
      <c r="F92" s="10" t="s">
        <v>35</v>
      </c>
      <c r="G92" s="10" t="s">
        <v>35</v>
      </c>
      <c r="H92" s="61" t="s">
        <v>35</v>
      </c>
      <c r="I92" s="1"/>
      <c r="J92" s="52">
        <f>(J91-D91)/D91</f>
        <v>0.2309495896834701</v>
      </c>
      <c r="K92" s="10">
        <f>(K91-E91)/E91</f>
        <v>0.20715835140997832</v>
      </c>
      <c r="L92" s="10">
        <f>(L91-F91)/F91</f>
        <v>0.20063694267515925</v>
      </c>
      <c r="M92" s="83">
        <f>(M91-G91)/G91</f>
        <v>0.16666666666666666</v>
      </c>
      <c r="N92" s="83">
        <f>(N91-H91)/H91</f>
        <v>0.20032529140688535</v>
      </c>
      <c r="O92" s="1"/>
      <c r="P92" s="52">
        <f>(P91-J91)/J91</f>
        <v>0.10380952380952381</v>
      </c>
      <c r="Q92" s="10">
        <f>(Q91-K91)/K91</f>
        <v>4.1329739442946989E-2</v>
      </c>
      <c r="R92" s="10">
        <f>(R91-L91)/L91</f>
        <v>-7.9575596816976128E-3</v>
      </c>
      <c r="S92" s="83">
        <f>(S91-M91)/M91</f>
        <v>-2.9982363315696647E-2</v>
      </c>
      <c r="T92" s="83">
        <f>(T91-N91)/N91</f>
        <v>2.5293586269196026E-2</v>
      </c>
      <c r="U92" s="1"/>
      <c r="V92" s="52">
        <f>(V91-P91)/P91</f>
        <v>-5.0043140638481448E-2</v>
      </c>
      <c r="W92" s="10">
        <f>(W91-Q91)/Q91</f>
        <v>-4.209654579686941E-2</v>
      </c>
      <c r="X92" s="10">
        <f>(X91-R91)/R91</f>
        <v>-1.6101989417665025E-2</v>
      </c>
      <c r="Y92" s="83">
        <f>(Y91-S91)/S91</f>
        <v>3.1791350686862438E-2</v>
      </c>
      <c r="Z92" s="83">
        <f>(Z91-T91)/T91</f>
        <v>-1.9798643821507294E-2</v>
      </c>
      <c r="AA92" s="1"/>
    </row>
    <row r="93" spans="2:27" ht="15.75" thickBot="1" x14ac:dyDescent="0.35">
      <c r="B93" s="1"/>
      <c r="D93" s="2"/>
      <c r="E93" s="2"/>
      <c r="F93" s="11"/>
      <c r="G93" s="11"/>
      <c r="H93" s="2"/>
      <c r="I93" s="1"/>
      <c r="J93" s="2"/>
      <c r="K93" s="2"/>
      <c r="L93" s="11"/>
      <c r="M93" s="11"/>
      <c r="N93" s="2"/>
      <c r="O93" s="1"/>
      <c r="P93" s="2"/>
      <c r="Q93" s="2"/>
      <c r="R93" s="11"/>
      <c r="S93" s="11"/>
      <c r="T93" s="2"/>
      <c r="U93" s="1"/>
      <c r="V93" s="2"/>
      <c r="W93" s="2"/>
      <c r="X93" s="11"/>
      <c r="Y93" s="11"/>
      <c r="Z93" s="2"/>
      <c r="AA93" s="1"/>
    </row>
    <row r="94" spans="2:27" ht="15" x14ac:dyDescent="0.3">
      <c r="B94" s="38" t="s">
        <v>41</v>
      </c>
      <c r="D94" s="69">
        <v>3.6999999999999998E-2</v>
      </c>
      <c r="E94" s="70">
        <v>3.3000000000000002E-2</v>
      </c>
      <c r="F94" s="70">
        <v>3.7999999999999999E-2</v>
      </c>
      <c r="G94" s="70">
        <v>3.5000000000000003E-2</v>
      </c>
      <c r="H94" s="67">
        <f>(D94+E94+F94+G94)/4</f>
        <v>3.5750000000000004E-2</v>
      </c>
      <c r="I94" s="1"/>
      <c r="J94" s="69">
        <v>3.1E-2</v>
      </c>
      <c r="K94" s="70">
        <v>3.9E-2</v>
      </c>
      <c r="L94" s="70">
        <v>4.4999999999999998E-2</v>
      </c>
      <c r="M94" s="70">
        <v>3.6999999999999998E-2</v>
      </c>
      <c r="N94" s="67">
        <f>(J94+K94+L94+M94)/4</f>
        <v>3.7999999999999999E-2</v>
      </c>
      <c r="O94" s="1"/>
      <c r="P94" s="69">
        <v>3.1E-2</v>
      </c>
      <c r="Q94" s="70">
        <v>3.4000000000000002E-2</v>
      </c>
      <c r="R94" s="70">
        <v>3.6999999999999998E-2</v>
      </c>
      <c r="S94" s="70">
        <v>3.5999999999999997E-2</v>
      </c>
      <c r="T94" s="67">
        <f>(P94+Q94+R94+S94)/4</f>
        <v>3.4500000000000003E-2</v>
      </c>
      <c r="U94" s="1"/>
      <c r="V94" s="69">
        <v>2.9000000000000001E-2</v>
      </c>
      <c r="W94" s="70">
        <v>3.2000000000000001E-2</v>
      </c>
      <c r="X94" s="70">
        <v>3.5000000000000003E-2</v>
      </c>
      <c r="Y94" s="70">
        <v>3.4000000000000002E-2</v>
      </c>
      <c r="Z94" s="67">
        <f>(V94+W94+X94+Y94)/4</f>
        <v>3.2500000000000001E-2</v>
      </c>
      <c r="AA94" s="1"/>
    </row>
    <row r="95" spans="2:27" ht="15" x14ac:dyDescent="0.3">
      <c r="B95" s="40" t="s">
        <v>45</v>
      </c>
      <c r="D95" s="33">
        <f>D94*3*D78</f>
        <v>775.39049999999986</v>
      </c>
      <c r="E95" s="7">
        <f>E94*E78*3</f>
        <v>740.76750000000004</v>
      </c>
      <c r="F95" s="7">
        <f>F94*F78*3</f>
        <v>882.98700000000008</v>
      </c>
      <c r="G95" s="7">
        <f>G94*G78*3</f>
        <v>840.63000000000011</v>
      </c>
      <c r="H95" s="55">
        <f>D95+E95+F95+G95</f>
        <v>3239.7750000000001</v>
      </c>
      <c r="I95" s="1"/>
      <c r="J95" s="33">
        <f>J94*3*J78</f>
        <v>792.17399999999998</v>
      </c>
      <c r="K95" s="7">
        <f>K94*K78*3</f>
        <v>1050.7184999999999</v>
      </c>
      <c r="L95" s="7">
        <f>L94*L78*3</f>
        <v>1230.4575</v>
      </c>
      <c r="M95" s="7">
        <f>M94*M78*3</f>
        <v>1026.528</v>
      </c>
      <c r="N95" s="55">
        <f>J95+K95+L95+M95</f>
        <v>4099.8779999999997</v>
      </c>
      <c r="O95" s="1"/>
      <c r="P95" s="33">
        <f>P94*3*P78</f>
        <v>875.36249999999995</v>
      </c>
      <c r="Q95" s="7">
        <f>Q94*Q78*3</f>
        <v>957.2700000000001</v>
      </c>
      <c r="R95" s="7">
        <f>R94*R78*3</f>
        <v>1014.096</v>
      </c>
      <c r="S95" s="7">
        <f>S94*S78*3</f>
        <v>964.81799999999998</v>
      </c>
      <c r="T95" s="55">
        <f>P95+Q95+R95+S95</f>
        <v>3811.5465000000004</v>
      </c>
      <c r="U95" s="1"/>
      <c r="V95" s="33">
        <f>V94*3*V78</f>
        <v>777.91050000000007</v>
      </c>
      <c r="W95" s="7">
        <f>W94*W78*3</f>
        <v>863.61599999999999</v>
      </c>
      <c r="X95" s="7">
        <f>X94*X78*3</f>
        <v>949.83</v>
      </c>
      <c r="Y95" s="7">
        <f>Y94*Y78*3</f>
        <v>932.89200000000005</v>
      </c>
      <c r="Z95" s="55">
        <f>V95+W95+X95+Y95</f>
        <v>3524.2484999999997</v>
      </c>
      <c r="AA95" s="1"/>
    </row>
    <row r="96" spans="2:27" ht="15" x14ac:dyDescent="0.3">
      <c r="B96" s="40" t="s">
        <v>42</v>
      </c>
      <c r="D96" s="33">
        <f>D95+D76</f>
        <v>1466.3905</v>
      </c>
      <c r="E96" s="7">
        <f>E95+E76</f>
        <v>1043.7674999999999</v>
      </c>
      <c r="F96" s="7">
        <f>F95+F76</f>
        <v>1105.9870000000001</v>
      </c>
      <c r="G96" s="7">
        <f>G95+G76</f>
        <v>1138.6300000000001</v>
      </c>
      <c r="H96" s="55">
        <f>D96+E96+F96+G96</f>
        <v>4754.7749999999996</v>
      </c>
      <c r="I96" s="1"/>
      <c r="J96" s="33">
        <f>J95+J76</f>
        <v>1518.174</v>
      </c>
      <c r="K96" s="7">
        <f>K95+K76</f>
        <v>1249.7184999999999</v>
      </c>
      <c r="L96" s="7">
        <f>L95+L76</f>
        <v>1299.4575</v>
      </c>
      <c r="M96" s="7">
        <f>M95+M76</f>
        <v>1224.528</v>
      </c>
      <c r="N96" s="55">
        <f>J96+K96+L96+M96</f>
        <v>5291.8779999999997</v>
      </c>
      <c r="O96" s="1"/>
      <c r="P96" s="33">
        <f>P95+P76</f>
        <v>1006.3625</v>
      </c>
      <c r="Q96" s="7">
        <f>Q95+Q76</f>
        <v>771.2700000000001</v>
      </c>
      <c r="R96" s="7">
        <f>R95+R76</f>
        <v>702.096</v>
      </c>
      <c r="S96" s="7">
        <f>S95+S76</f>
        <v>871.81799999999998</v>
      </c>
      <c r="T96" s="55">
        <f>P96+Q96+R96+S96</f>
        <v>3351.5465000000004</v>
      </c>
      <c r="U96" s="1"/>
      <c r="V96" s="33">
        <f>V95+V76</f>
        <v>886.91050000000007</v>
      </c>
      <c r="W96" s="7">
        <f>W95+W76</f>
        <v>863.61599999999999</v>
      </c>
      <c r="X96" s="7">
        <f>X95+X76</f>
        <v>1049.83</v>
      </c>
      <c r="Y96" s="7">
        <f>Y95+Y76</f>
        <v>1032.8920000000001</v>
      </c>
      <c r="Z96" s="55">
        <f>V96+W96+X96+Y96</f>
        <v>3833.2484999999997</v>
      </c>
      <c r="AA96" s="1"/>
    </row>
    <row r="97" spans="2:27" ht="15" x14ac:dyDescent="0.3">
      <c r="B97" s="39" t="s">
        <v>43</v>
      </c>
      <c r="D97" s="44">
        <f>D100*1000/D96</f>
        <v>80.469697532819538</v>
      </c>
      <c r="E97" s="17">
        <f>E100*1000/E96</f>
        <v>87.184166972050775</v>
      </c>
      <c r="F97" s="17">
        <f>F100*1000/F96</f>
        <v>71.429411014776846</v>
      </c>
      <c r="G97" s="17">
        <f>G100*1000/G96</f>
        <v>82.55535160675548</v>
      </c>
      <c r="H97" s="96">
        <f>H100*1000/H96</f>
        <v>80.340289498451568</v>
      </c>
      <c r="I97" s="1"/>
      <c r="J97" s="44">
        <f>J100*1000/J96</f>
        <v>94.850787854356611</v>
      </c>
      <c r="K97" s="17">
        <f>K100*1000/K96</f>
        <v>76.817299255792406</v>
      </c>
      <c r="L97" s="17">
        <f>L100*1000/L96</f>
        <v>56.946841277994857</v>
      </c>
      <c r="M97" s="17">
        <f>M100*1000/M96</f>
        <v>84.930683496008257</v>
      </c>
      <c r="N97" s="96">
        <f>N100*1000/N96</f>
        <v>78.988971401079169</v>
      </c>
      <c r="O97" s="1"/>
      <c r="P97" s="44">
        <f>P100*1000/P96</f>
        <v>117.253971605659</v>
      </c>
      <c r="Q97" s="17">
        <f>Q100*1000/Q96</f>
        <v>158.18066306222204</v>
      </c>
      <c r="R97" s="17">
        <f>R100*1000/R96</f>
        <v>195.130010710786</v>
      </c>
      <c r="S97" s="17">
        <f>S100*1000/S96</f>
        <v>211.05322441151708</v>
      </c>
      <c r="T97" s="96">
        <f>T100*1000/T96</f>
        <v>167.38541446463594</v>
      </c>
      <c r="U97" s="1"/>
      <c r="V97" s="44">
        <f>V100*1000/V96</f>
        <v>209.71676398013102</v>
      </c>
      <c r="W97" s="17">
        <f>Q97*(1+W98)</f>
        <v>189.81679567466645</v>
      </c>
      <c r="X97" s="17">
        <f>R97*(1+X98)</f>
        <v>195.130010710786</v>
      </c>
      <c r="Y97" s="17">
        <f>S97*(1+Y98)</f>
        <v>211.05322441151708</v>
      </c>
      <c r="Z97" s="96">
        <f>Z100*1000/Z96</f>
        <v>201.59855225319669</v>
      </c>
      <c r="AA97" s="1"/>
    </row>
    <row r="98" spans="2:27" ht="15.75" thickBot="1" x14ac:dyDescent="0.35">
      <c r="B98" s="41" t="s">
        <v>23</v>
      </c>
      <c r="D98" s="52" t="s">
        <v>35</v>
      </c>
      <c r="E98" s="10" t="s">
        <v>35</v>
      </c>
      <c r="F98" s="10" t="s">
        <v>35</v>
      </c>
      <c r="G98" s="10" t="s">
        <v>35</v>
      </c>
      <c r="H98" s="61" t="s">
        <v>35</v>
      </c>
      <c r="I98" s="1"/>
      <c r="J98" s="52">
        <f>(J97-D97)/D97</f>
        <v>0.17871435785715176</v>
      </c>
      <c r="K98" s="10">
        <f>K97/D97-1</f>
        <v>-4.5388492674991121E-2</v>
      </c>
      <c r="L98" s="10">
        <f>L97/E97-1</f>
        <v>-0.34682129501506054</v>
      </c>
      <c r="M98" s="10">
        <f>M97/F97-1</f>
        <v>0.18901559300885684</v>
      </c>
      <c r="N98" s="68">
        <f>N97/H97-1</f>
        <v>-1.6819930645114778E-2</v>
      </c>
      <c r="O98" s="1"/>
      <c r="P98" s="52">
        <f>(P97-J97)/J97</f>
        <v>0.23619396589201222</v>
      </c>
      <c r="Q98" s="10">
        <f>Q97/J97-1</f>
        <v>0.6676789580821243</v>
      </c>
      <c r="R98" s="10">
        <f>R97/K97-1</f>
        <v>1.5401831696923689</v>
      </c>
      <c r="S98" s="10">
        <f>S97/L97-1</f>
        <v>2.7061445319017428</v>
      </c>
      <c r="T98" s="68">
        <f>T97/N97-1</f>
        <v>1.1190985462351404</v>
      </c>
      <c r="U98" s="1"/>
      <c r="V98" s="52">
        <f>(V97-P97)/P97</f>
        <v>0.78856853297419138</v>
      </c>
      <c r="W98" s="10">
        <v>0.2</v>
      </c>
      <c r="X98" s="10">
        <v>0</v>
      </c>
      <c r="Y98" s="10">
        <v>0</v>
      </c>
      <c r="Z98" s="68">
        <f>Z97/T97-1</f>
        <v>0.20439736579192247</v>
      </c>
      <c r="AA98" s="1"/>
    </row>
    <row r="99" spans="2:27" ht="15.75" thickBot="1" x14ac:dyDescent="0.35">
      <c r="B99" s="1"/>
      <c r="D99" s="2"/>
      <c r="E99" s="2"/>
      <c r="F99" s="11"/>
      <c r="G99" s="11"/>
      <c r="H99" s="2"/>
      <c r="I99" s="1"/>
      <c r="J99" s="2"/>
      <c r="K99" s="2"/>
      <c r="L99" s="11"/>
      <c r="M99" s="11"/>
      <c r="N99" s="2"/>
      <c r="O99" s="1"/>
      <c r="P99" s="2"/>
      <c r="Q99" s="2"/>
      <c r="R99" s="11"/>
      <c r="S99" s="11"/>
      <c r="T99" s="2"/>
      <c r="U99" s="1"/>
      <c r="V99" s="2"/>
      <c r="W99" s="2"/>
      <c r="X99" s="11"/>
      <c r="Y99" s="11"/>
      <c r="Z99" s="2"/>
      <c r="AA99" s="1"/>
    </row>
    <row r="100" spans="2:27" ht="15" x14ac:dyDescent="0.3">
      <c r="B100" s="42" t="s">
        <v>34</v>
      </c>
      <c r="D100" s="72">
        <f>D103-D91</f>
        <v>118</v>
      </c>
      <c r="E100" s="73">
        <f>E103-E91</f>
        <v>91</v>
      </c>
      <c r="F100" s="73">
        <f>F103-F91</f>
        <v>79</v>
      </c>
      <c r="G100" s="73">
        <f>G103-G91</f>
        <v>94</v>
      </c>
      <c r="H100" s="59">
        <f>D100+E100+F100+G100</f>
        <v>382</v>
      </c>
      <c r="I100" s="1"/>
      <c r="J100" s="72">
        <f>J103-J91</f>
        <v>144</v>
      </c>
      <c r="K100" s="73">
        <f>K103-K91</f>
        <v>96</v>
      </c>
      <c r="L100" s="73">
        <f>L103-L91</f>
        <v>74</v>
      </c>
      <c r="M100" s="73">
        <f>M103-M91</f>
        <v>104</v>
      </c>
      <c r="N100" s="59">
        <f>J100+K100+L100+M100</f>
        <v>418</v>
      </c>
      <c r="O100" s="1"/>
      <c r="P100" s="72">
        <f>P103-P91</f>
        <v>118</v>
      </c>
      <c r="Q100" s="73">
        <f>Q103-Q91</f>
        <v>122</v>
      </c>
      <c r="R100" s="73">
        <f>R103-R91</f>
        <v>137</v>
      </c>
      <c r="S100" s="73">
        <f>S103-S91</f>
        <v>184</v>
      </c>
      <c r="T100" s="59">
        <f>P100+Q100+R100+S100</f>
        <v>561</v>
      </c>
      <c r="U100" s="1"/>
      <c r="V100" s="72">
        <f>V103-V91</f>
        <v>186</v>
      </c>
      <c r="W100" s="73">
        <f>W97*W96/1000</f>
        <v>163.92882181337274</v>
      </c>
      <c r="X100" s="73">
        <f>X97*X96/1000</f>
        <v>204.85333914450445</v>
      </c>
      <c r="Y100" s="73">
        <f>Y97*Y96/1000</f>
        <v>217.99518706886073</v>
      </c>
      <c r="Z100" s="59">
        <f>V100+W100+X100+Y100</f>
        <v>772.77734802673785</v>
      </c>
      <c r="AA100" s="1"/>
    </row>
    <row r="101" spans="2:27" ht="15.75" thickBot="1" x14ac:dyDescent="0.35">
      <c r="B101" s="41" t="s">
        <v>23</v>
      </c>
      <c r="D101" s="52" t="s">
        <v>35</v>
      </c>
      <c r="E101" s="10" t="s">
        <v>35</v>
      </c>
      <c r="F101" s="10" t="s">
        <v>35</v>
      </c>
      <c r="G101" s="10" t="s">
        <v>35</v>
      </c>
      <c r="H101" s="61" t="s">
        <v>35</v>
      </c>
      <c r="I101" s="1"/>
      <c r="J101" s="52">
        <f>(J100-D100)/D100</f>
        <v>0.22033898305084745</v>
      </c>
      <c r="K101" s="10">
        <f>K100/D100-1</f>
        <v>-0.18644067796610164</v>
      </c>
      <c r="L101" s="10">
        <f>L100/E100-1</f>
        <v>-0.18681318681318682</v>
      </c>
      <c r="M101" s="10">
        <f>M100/F100-1</f>
        <v>0.31645569620253156</v>
      </c>
      <c r="N101" s="68">
        <f>N100/H100-1</f>
        <v>9.4240837696335067E-2</v>
      </c>
      <c r="O101" s="1"/>
      <c r="P101" s="52">
        <f>(P100-J100)/J100</f>
        <v>-0.18055555555555555</v>
      </c>
      <c r="Q101" s="10">
        <f>Q100/J100-1</f>
        <v>-0.15277777777777779</v>
      </c>
      <c r="R101" s="10">
        <f>R100/K100-1</f>
        <v>0.42708333333333326</v>
      </c>
      <c r="S101" s="10">
        <f>S100/L100-1</f>
        <v>1.4864864864864864</v>
      </c>
      <c r="T101" s="68">
        <f>T100/N100-1</f>
        <v>0.34210526315789469</v>
      </c>
      <c r="U101" s="1"/>
      <c r="V101" s="52">
        <f>(V100-P100)/P100</f>
        <v>0.57627118644067798</v>
      </c>
      <c r="W101" s="10">
        <f>W100/P100-1</f>
        <v>0.38922730350315882</v>
      </c>
      <c r="X101" s="10">
        <f>X100/Q100-1</f>
        <v>0.67912573069265947</v>
      </c>
      <c r="Y101" s="10">
        <f>Y100/R100-1</f>
        <v>0.59120574502818046</v>
      </c>
      <c r="Z101" s="68">
        <f>Z100/T100-1</f>
        <v>0.37749972910291962</v>
      </c>
      <c r="AA101" s="1"/>
    </row>
    <row r="102" spans="2:27" ht="15.75" thickBot="1" x14ac:dyDescent="0.35">
      <c r="B102" s="6"/>
      <c r="D102" s="8"/>
      <c r="E102" s="8"/>
      <c r="F102" s="12"/>
      <c r="G102" s="12"/>
      <c r="H102" s="8"/>
      <c r="I102" s="1"/>
      <c r="J102" s="8"/>
      <c r="K102" s="8"/>
      <c r="L102" s="12"/>
      <c r="M102" s="12"/>
      <c r="N102" s="8"/>
      <c r="O102" s="1"/>
      <c r="P102" s="8"/>
      <c r="Q102" s="8"/>
      <c r="R102" s="12"/>
      <c r="S102" s="12"/>
      <c r="T102" s="8"/>
      <c r="U102" s="1"/>
      <c r="V102" s="8"/>
      <c r="W102" s="8"/>
      <c r="X102" s="12"/>
      <c r="Y102" s="12"/>
      <c r="Z102" s="8"/>
      <c r="AA102" s="1"/>
    </row>
    <row r="103" spans="2:27" ht="15" x14ac:dyDescent="0.3">
      <c r="B103" s="42" t="s">
        <v>31</v>
      </c>
      <c r="D103" s="49">
        <v>971</v>
      </c>
      <c r="E103" s="14">
        <v>1013</v>
      </c>
      <c r="F103" s="14">
        <v>1021</v>
      </c>
      <c r="G103" s="35">
        <v>1066</v>
      </c>
      <c r="H103" s="35">
        <f>D103+E103+F103+G103</f>
        <v>4071</v>
      </c>
      <c r="I103" s="1"/>
      <c r="J103" s="49">
        <v>1194</v>
      </c>
      <c r="K103" s="14">
        <v>1209</v>
      </c>
      <c r="L103" s="14">
        <v>1205</v>
      </c>
      <c r="M103" s="14">
        <v>1238</v>
      </c>
      <c r="N103" s="59">
        <f>J103+K103+L103+M103</f>
        <v>4846</v>
      </c>
      <c r="O103" s="1"/>
      <c r="P103" s="49">
        <v>1277</v>
      </c>
      <c r="Q103" s="14">
        <v>1281</v>
      </c>
      <c r="R103" s="14">
        <v>1259</v>
      </c>
      <c r="S103" s="35">
        <v>1284</v>
      </c>
      <c r="T103" s="35">
        <f>P103+Q103+R103+S103</f>
        <v>5101</v>
      </c>
      <c r="U103" s="1"/>
      <c r="V103" s="49">
        <v>1287</v>
      </c>
      <c r="W103" s="14">
        <f>W91+W100</f>
        <v>1274.138925234801</v>
      </c>
      <c r="X103" s="14">
        <f>X91+X100</f>
        <v>1308.7869070178842</v>
      </c>
      <c r="Y103" s="14">
        <f>Y91+Y100</f>
        <v>1352.9656728244095</v>
      </c>
      <c r="Z103" s="59">
        <f>V103+W103+X103+Y103</f>
        <v>5222.8915050770938</v>
      </c>
      <c r="AA103" s="1"/>
    </row>
    <row r="104" spans="2:27" ht="15.75" thickBot="1" x14ac:dyDescent="0.35">
      <c r="B104" s="41" t="s">
        <v>23</v>
      </c>
      <c r="D104" s="52" t="s">
        <v>35</v>
      </c>
      <c r="E104" s="10" t="s">
        <v>35</v>
      </c>
      <c r="F104" s="10" t="s">
        <v>35</v>
      </c>
      <c r="G104" s="10" t="s">
        <v>35</v>
      </c>
      <c r="H104" s="61" t="s">
        <v>35</v>
      </c>
      <c r="I104" s="1"/>
      <c r="J104" s="52">
        <f>(J103-D103)/D103</f>
        <v>0.22966014418125644</v>
      </c>
      <c r="K104" s="10">
        <f>K103/D103-1</f>
        <v>0.2451081359423275</v>
      </c>
      <c r="L104" s="10">
        <f>L103/E103-1</f>
        <v>0.18953603158933863</v>
      </c>
      <c r="M104" s="10">
        <f>M103/F103-1</f>
        <v>0.21253672869735563</v>
      </c>
      <c r="N104" s="68">
        <f>N103/H103-1</f>
        <v>0.19037091623679681</v>
      </c>
      <c r="O104" s="1"/>
      <c r="P104" s="52">
        <f>(P103-J103)/J103</f>
        <v>6.9514237855946404E-2</v>
      </c>
      <c r="Q104" s="10">
        <f>Q103/J103-1</f>
        <v>7.2864321608040239E-2</v>
      </c>
      <c r="R104" s="10">
        <f>R103/K103-1</f>
        <v>4.1356492969396141E-2</v>
      </c>
      <c r="S104" s="10">
        <f>S103/L103-1</f>
        <v>6.5560165975103724E-2</v>
      </c>
      <c r="T104" s="68">
        <f>T103/N103-1</f>
        <v>5.2620718118035592E-2</v>
      </c>
      <c r="U104" s="1"/>
      <c r="V104" s="52">
        <f>(V103-P103)/P103</f>
        <v>7.8308535630383716E-3</v>
      </c>
      <c r="W104" s="10">
        <f>W103/P103-1</f>
        <v>-2.2404657519177196E-3</v>
      </c>
      <c r="X104" s="10">
        <f>X103/Q103-1</f>
        <v>2.1691574565093186E-2</v>
      </c>
      <c r="Y104" s="10">
        <f>Y103/R103-1</f>
        <v>7.4635165071016196E-2</v>
      </c>
      <c r="Z104" s="68">
        <f>Z103/T103-1</f>
        <v>2.3895609699489118E-2</v>
      </c>
      <c r="AA104" s="1"/>
    </row>
    <row r="105" spans="2:27" ht="15.75" thickBot="1" x14ac:dyDescent="0.35">
      <c r="B105" s="1"/>
      <c r="D105" s="2"/>
      <c r="E105" s="2"/>
      <c r="F105" s="11"/>
      <c r="G105" s="11"/>
      <c r="H105" s="36"/>
      <c r="I105" s="1"/>
      <c r="J105" s="2"/>
      <c r="K105" s="2"/>
      <c r="L105" s="11"/>
      <c r="M105" s="11"/>
      <c r="N105" s="36"/>
      <c r="O105" s="1"/>
      <c r="P105" s="2"/>
      <c r="Q105" s="2"/>
      <c r="R105" s="11"/>
      <c r="S105" s="11"/>
      <c r="T105" s="36"/>
      <c r="U105" s="1"/>
      <c r="V105" s="2"/>
      <c r="W105" s="2"/>
      <c r="X105" s="11"/>
      <c r="Y105" s="11"/>
      <c r="Z105" s="36"/>
      <c r="AA105" s="1"/>
    </row>
    <row r="106" spans="2:27" ht="15" x14ac:dyDescent="0.3">
      <c r="B106" s="42" t="s">
        <v>52</v>
      </c>
      <c r="D106" s="72">
        <v>146</v>
      </c>
      <c r="E106" s="73">
        <v>164</v>
      </c>
      <c r="F106" s="73">
        <v>161</v>
      </c>
      <c r="G106" s="73">
        <v>162</v>
      </c>
      <c r="H106" s="93">
        <f>H108*1000/H96</f>
        <v>157.27197396301617</v>
      </c>
      <c r="I106" s="1"/>
      <c r="J106" s="72">
        <v>157</v>
      </c>
      <c r="K106" s="73">
        <v>178</v>
      </c>
      <c r="L106" s="73">
        <v>194</v>
      </c>
      <c r="M106" s="88">
        <v>166</v>
      </c>
      <c r="N106" s="93">
        <f>N108*1000/N96</f>
        <v>173.12750104972187</v>
      </c>
      <c r="O106" s="1"/>
      <c r="P106" s="72">
        <v>235</v>
      </c>
      <c r="Q106" s="73">
        <v>191</v>
      </c>
      <c r="R106" s="73">
        <v>202</v>
      </c>
      <c r="S106" s="88">
        <v>228</v>
      </c>
      <c r="T106" s="93">
        <f>T108*1000/T96</f>
        <v>216.14071399576284</v>
      </c>
      <c r="U106" s="1"/>
      <c r="V106" s="72">
        <v>236</v>
      </c>
      <c r="W106" s="73">
        <f>Q106*(1+W107)</f>
        <v>186.22499999999999</v>
      </c>
      <c r="X106" s="73">
        <f>R106*(1+X107)</f>
        <v>191.89999999999998</v>
      </c>
      <c r="Y106" s="73">
        <f>S106*(1+Y107)</f>
        <v>216.6</v>
      </c>
      <c r="Z106" s="93">
        <f>Z108*1000/Z96</f>
        <v>207.48056166982136</v>
      </c>
      <c r="AA106" s="1"/>
    </row>
    <row r="107" spans="2:27" ht="15" x14ac:dyDescent="0.3">
      <c r="B107" s="40" t="s">
        <v>23</v>
      </c>
      <c r="D107" s="62" t="s">
        <v>35</v>
      </c>
      <c r="E107" s="9" t="s">
        <v>35</v>
      </c>
      <c r="F107" s="9" t="s">
        <v>35</v>
      </c>
      <c r="G107" s="9" t="s">
        <v>35</v>
      </c>
      <c r="H107" s="66" t="s">
        <v>35</v>
      </c>
      <c r="I107" s="1"/>
      <c r="J107" s="62">
        <f>J106/D106-1</f>
        <v>7.5342465753424737E-2</v>
      </c>
      <c r="K107" s="9">
        <f>K106/E106-1</f>
        <v>8.5365853658536661E-2</v>
      </c>
      <c r="L107" s="9">
        <f>L106/F106-1</f>
        <v>0.20496894409937894</v>
      </c>
      <c r="M107" s="9">
        <f>M106/G106-1</f>
        <v>2.4691358024691468E-2</v>
      </c>
      <c r="N107" s="66">
        <f>N106/H106-1</f>
        <v>0.10081597303810952</v>
      </c>
      <c r="O107" s="1"/>
      <c r="P107" s="62">
        <f>P106/J106-1</f>
        <v>0.49681528662420371</v>
      </c>
      <c r="Q107" s="9">
        <f>Q106/K106-1</f>
        <v>7.3033707865168607E-2</v>
      </c>
      <c r="R107" s="9">
        <f>R106/L106-1</f>
        <v>4.1237113402061931E-2</v>
      </c>
      <c r="S107" s="9">
        <f>S106/M106-1</f>
        <v>0.37349397590361444</v>
      </c>
      <c r="T107" s="66">
        <f>T106/N106-1</f>
        <v>0.24844818232366017</v>
      </c>
      <c r="U107" s="1"/>
      <c r="V107" s="62">
        <f>V106/P106-1</f>
        <v>4.2553191489360653E-3</v>
      </c>
      <c r="W107" s="9">
        <v>-2.5000000000000001E-2</v>
      </c>
      <c r="X107" s="9">
        <v>-0.05</v>
      </c>
      <c r="Y107" s="9">
        <v>-0.05</v>
      </c>
      <c r="Z107" s="66">
        <f>Z106/T106-1</f>
        <v>-4.0067195882915629E-2</v>
      </c>
      <c r="AA107" s="1"/>
    </row>
    <row r="108" spans="2:27" ht="15" x14ac:dyDescent="0.3">
      <c r="B108" s="39" t="s">
        <v>55</v>
      </c>
      <c r="D108" s="44">
        <f>D106*D96/1000</f>
        <v>214.09301300000001</v>
      </c>
      <c r="E108" s="17">
        <f>E106*E96/1000</f>
        <v>171.17786999999998</v>
      </c>
      <c r="F108" s="17">
        <f>F106*F96/1000</f>
        <v>178.063907</v>
      </c>
      <c r="G108" s="17">
        <f>G106*G96/1000</f>
        <v>184.45806000000002</v>
      </c>
      <c r="H108" s="54">
        <f>D108+E108+F108+G108</f>
        <v>747.79285000000004</v>
      </c>
      <c r="I108" s="1"/>
      <c r="J108" s="44">
        <f>J106*J96/1000</f>
        <v>238.353318</v>
      </c>
      <c r="K108" s="17">
        <f>K106*K96/1000</f>
        <v>222.44989299999997</v>
      </c>
      <c r="L108" s="17">
        <f>L106*L96/1000</f>
        <v>252.09475499999999</v>
      </c>
      <c r="M108" s="17">
        <f>M106*M96/1000</f>
        <v>203.27164800000003</v>
      </c>
      <c r="N108" s="54">
        <f>J108+K108+L108+M108</f>
        <v>916.16961400000002</v>
      </c>
      <c r="O108" s="1"/>
      <c r="P108" s="44">
        <f>P106*P96/1000</f>
        <v>236.49518749999999</v>
      </c>
      <c r="Q108" s="17">
        <f>Q106*Q96/1000</f>
        <v>147.31256999999999</v>
      </c>
      <c r="R108" s="17">
        <f>R106*R96/1000</f>
        <v>141.82339199999998</v>
      </c>
      <c r="S108" s="17">
        <f>S106*S96/1000</f>
        <v>198.77450399999998</v>
      </c>
      <c r="T108" s="54">
        <f>P108+Q108+R108+S108</f>
        <v>724.40565349999997</v>
      </c>
      <c r="U108" s="1"/>
      <c r="V108" s="44">
        <f>V106*V96/1000</f>
        <v>209.31087800000003</v>
      </c>
      <c r="W108" s="17">
        <f>W106*W96/1000</f>
        <v>160.82688959999999</v>
      </c>
      <c r="X108" s="17">
        <f>X106*X96/1000</f>
        <v>201.46237699999995</v>
      </c>
      <c r="Y108" s="17">
        <f>Y106*Y96/1000</f>
        <v>223.72440720000003</v>
      </c>
      <c r="Z108" s="54">
        <f>V108+W108+X108+Y108</f>
        <v>795.32455180000011</v>
      </c>
      <c r="AA108" s="1"/>
    </row>
    <row r="109" spans="2:27" ht="15" x14ac:dyDescent="0.3">
      <c r="B109" s="40" t="s">
        <v>23</v>
      </c>
      <c r="D109" s="62" t="s">
        <v>35</v>
      </c>
      <c r="E109" s="9" t="s">
        <v>35</v>
      </c>
      <c r="F109" s="9" t="s">
        <v>35</v>
      </c>
      <c r="G109" s="9" t="s">
        <v>35</v>
      </c>
      <c r="H109" s="66" t="s">
        <v>35</v>
      </c>
      <c r="I109" s="1"/>
      <c r="J109" s="62">
        <f>J108/D108-1</f>
        <v>0.11331665924099998</v>
      </c>
      <c r="K109" s="9">
        <f>K108/E108-1</f>
        <v>0.29952483343787373</v>
      </c>
      <c r="L109" s="9">
        <f>L108/F108-1</f>
        <v>0.41575437295105511</v>
      </c>
      <c r="M109" s="9">
        <f>M108/G108-1</f>
        <v>0.10199385161049612</v>
      </c>
      <c r="N109" s="66">
        <f>N108/H108-1</f>
        <v>0.22516498252156336</v>
      </c>
      <c r="O109" s="1"/>
      <c r="P109" s="62">
        <f>P108/J108-1</f>
        <v>-7.7956980653401953E-3</v>
      </c>
      <c r="Q109" s="9">
        <f>Q108/K108-1</f>
        <v>-0.33777189993973156</v>
      </c>
      <c r="R109" s="9">
        <f>R108/L108-1</f>
        <v>-0.43742029856987708</v>
      </c>
      <c r="S109" s="9">
        <f>S108/M108-1</f>
        <v>-2.2123813351481503E-2</v>
      </c>
      <c r="T109" s="66">
        <f>T108/N108-1</f>
        <v>-0.20931054421545137</v>
      </c>
      <c r="U109" s="1"/>
      <c r="V109" s="62">
        <f>V108/P108-1</f>
        <v>-0.11494656524458857</v>
      </c>
      <c r="W109" s="9">
        <f>W108/Q108-1</f>
        <v>9.1739079699715953E-2</v>
      </c>
      <c r="X109" s="9">
        <f>X108/R108-1</f>
        <v>0.42051585538159997</v>
      </c>
      <c r="Y109" s="9">
        <f>Y108/S108-1</f>
        <v>0.1255186288881398</v>
      </c>
      <c r="Z109" s="66">
        <f>Z108/T108-1</f>
        <v>9.7899426871328465E-2</v>
      </c>
      <c r="AA109" s="1"/>
    </row>
    <row r="110" spans="2:27" ht="15" x14ac:dyDescent="0.3">
      <c r="B110" s="40"/>
      <c r="D110" s="47"/>
      <c r="E110" s="8"/>
      <c r="F110" s="12"/>
      <c r="G110" s="12"/>
      <c r="H110" s="58"/>
      <c r="I110" s="1"/>
      <c r="J110" s="47"/>
      <c r="K110" s="8"/>
      <c r="L110" s="12"/>
      <c r="M110" s="20"/>
      <c r="N110" s="58"/>
      <c r="O110" s="1"/>
      <c r="P110" s="47"/>
      <c r="Q110" s="8"/>
      <c r="R110" s="12"/>
      <c r="S110" s="20"/>
      <c r="T110" s="58"/>
      <c r="U110" s="1"/>
      <c r="V110" s="47"/>
      <c r="W110" s="8"/>
      <c r="X110" s="12"/>
      <c r="Y110" s="20"/>
      <c r="Z110" s="58"/>
      <c r="AA110" s="1"/>
    </row>
    <row r="111" spans="2:27" ht="15" x14ac:dyDescent="0.3">
      <c r="B111" s="39" t="s">
        <v>53</v>
      </c>
      <c r="D111" s="44">
        <f>D103-D108-D117</f>
        <v>544.90698699999996</v>
      </c>
      <c r="E111" s="17">
        <f>E103-E108-E117</f>
        <v>531.82213000000002</v>
      </c>
      <c r="F111" s="17">
        <f>F103-F108-F117</f>
        <v>539.93609300000003</v>
      </c>
      <c r="G111" s="17">
        <f>G103-G108-G117</f>
        <v>577.54193999999995</v>
      </c>
      <c r="H111" s="54">
        <f>D111+E111+F111+G111</f>
        <v>2194.2071499999997</v>
      </c>
      <c r="I111" s="1"/>
      <c r="J111" s="44">
        <f>J103-J108-J117</f>
        <v>681.64668200000006</v>
      </c>
      <c r="K111" s="17">
        <f>K103-K108-K117</f>
        <v>640.55010700000003</v>
      </c>
      <c r="L111" s="17">
        <f>L103-L108-L117</f>
        <v>635.90524500000004</v>
      </c>
      <c r="M111" s="17">
        <f>M103-M108-M117</f>
        <v>682.72835200000009</v>
      </c>
      <c r="N111" s="54">
        <f>J111+K111+L111+M111</f>
        <v>2640.8303860000001</v>
      </c>
      <c r="O111" s="1"/>
      <c r="P111" s="44">
        <f>P103-P108-P117</f>
        <v>788.50481250000007</v>
      </c>
      <c r="Q111" s="17">
        <f>Q103-Q108-Q117</f>
        <v>666.68742999999995</v>
      </c>
      <c r="R111" s="17">
        <f>R103-R108-R117</f>
        <v>660.17660799999999</v>
      </c>
      <c r="S111" s="17">
        <f>S103-S108-S117</f>
        <v>787.22549600000002</v>
      </c>
      <c r="T111" s="54">
        <f>P111+Q111+R111+S111</f>
        <v>2902.5943465</v>
      </c>
      <c r="U111" s="1"/>
      <c r="V111" s="44">
        <f>V103-V108-V117</f>
        <v>786.689122</v>
      </c>
      <c r="W111" s="17">
        <f>W114*W103</f>
        <v>739.56496746393316</v>
      </c>
      <c r="X111" s="17">
        <f>X114*X103</f>
        <v>751.7225072809008</v>
      </c>
      <c r="Y111" s="99">
        <f>Y114*Y103</f>
        <v>815.97896699462933</v>
      </c>
      <c r="Z111" s="54">
        <f>V111+W111+X111+Y111</f>
        <v>3093.9555637394633</v>
      </c>
      <c r="AA111" s="1"/>
    </row>
    <row r="112" spans="2:27" ht="15" x14ac:dyDescent="0.3">
      <c r="B112" s="40" t="s">
        <v>23</v>
      </c>
      <c r="D112" s="62" t="s">
        <v>35</v>
      </c>
      <c r="E112" s="9" t="s">
        <v>35</v>
      </c>
      <c r="F112" s="9" t="s">
        <v>35</v>
      </c>
      <c r="G112" s="9" t="s">
        <v>35</v>
      </c>
      <c r="H112" s="66" t="s">
        <v>35</v>
      </c>
      <c r="I112" s="1"/>
      <c r="J112" s="62">
        <f>J111/D111-1</f>
        <v>0.25094135010605045</v>
      </c>
      <c r="K112" s="9">
        <f>K111/E111-1</f>
        <v>0.20444425093780882</v>
      </c>
      <c r="L112" s="9">
        <f>L111/F111-1</f>
        <v>0.17774168692219661</v>
      </c>
      <c r="M112" s="9">
        <f>M111/G111-1</f>
        <v>0.18212774642825091</v>
      </c>
      <c r="N112" s="66">
        <f>N111/H111-1</f>
        <v>0.2035465229433786</v>
      </c>
      <c r="O112" s="1"/>
      <c r="P112" s="62">
        <f>P111/J111-1</f>
        <v>0.15676468956977918</v>
      </c>
      <c r="Q112" s="9">
        <f>Q111/K111-1</f>
        <v>4.080449400346442E-2</v>
      </c>
      <c r="R112" s="9">
        <f>R111/L111-1</f>
        <v>3.8168206962972739E-2</v>
      </c>
      <c r="S112" s="9">
        <f>S111/M111-1</f>
        <v>0.15305815804175049</v>
      </c>
      <c r="T112" s="66">
        <f>T111/N111-1</f>
        <v>9.912183754310977E-2</v>
      </c>
      <c r="U112" s="1"/>
      <c r="V112" s="62">
        <f>V111/P111-1</f>
        <v>-2.3027005938535128E-3</v>
      </c>
      <c r="W112" s="9">
        <f>W111/Q111-1</f>
        <v>0.10931290164557805</v>
      </c>
      <c r="X112" s="9">
        <f>X111/R111-1</f>
        <v>0.13866880191080755</v>
      </c>
      <c r="Y112" s="9">
        <f>Y111/S111-1</f>
        <v>3.6525075903574677E-2</v>
      </c>
      <c r="Z112" s="65">
        <f>Z111/T111-1</f>
        <v>6.5927647612974205E-2</v>
      </c>
      <c r="AA112" s="1"/>
    </row>
    <row r="113" spans="2:27" ht="15" x14ac:dyDescent="0.3">
      <c r="B113" s="39"/>
      <c r="D113" s="44"/>
      <c r="E113" s="17"/>
      <c r="F113" s="17"/>
      <c r="G113" s="17"/>
      <c r="H113" s="54"/>
      <c r="I113" s="1"/>
      <c r="J113" s="44"/>
      <c r="K113" s="17"/>
      <c r="L113" s="17"/>
      <c r="M113" s="17"/>
      <c r="N113" s="54"/>
      <c r="O113" s="1"/>
      <c r="P113" s="44"/>
      <c r="Q113" s="17"/>
      <c r="R113" s="17"/>
      <c r="S113" s="17"/>
      <c r="T113" s="54"/>
      <c r="U113" s="1"/>
      <c r="V113" s="44"/>
      <c r="W113" s="17"/>
      <c r="X113" s="17"/>
      <c r="Y113" s="99"/>
      <c r="Z113" s="54"/>
      <c r="AA113" s="1"/>
    </row>
    <row r="114" spans="2:27" ht="15" x14ac:dyDescent="0.3">
      <c r="B114" s="40" t="s">
        <v>54</v>
      </c>
      <c r="D114" s="62">
        <f>D111/D103</f>
        <v>0.56118124304840367</v>
      </c>
      <c r="E114" s="9">
        <f>E111/E103</f>
        <v>0.52499716683119446</v>
      </c>
      <c r="F114" s="9">
        <f>F111/F103</f>
        <v>0.52883064936336932</v>
      </c>
      <c r="G114" s="9">
        <f>G111/G103</f>
        <v>0.54178418386491556</v>
      </c>
      <c r="H114" s="65">
        <f>H111/H103</f>
        <v>0.53898480717268482</v>
      </c>
      <c r="I114" s="1"/>
      <c r="J114" s="62">
        <f>J111/J103</f>
        <v>0.5708933685092128</v>
      </c>
      <c r="K114" s="9">
        <f>K111/K103</f>
        <v>0.52981811993382966</v>
      </c>
      <c r="L114" s="9">
        <f>L111/L103</f>
        <v>0.52772219502074691</v>
      </c>
      <c r="M114" s="9">
        <f>M111/M103</f>
        <v>0.551476859450727</v>
      </c>
      <c r="N114" s="65">
        <f>N111/N103</f>
        <v>0.54495055427156425</v>
      </c>
      <c r="O114" s="1"/>
      <c r="P114" s="62">
        <f>P111/P103</f>
        <v>0.6174665720438528</v>
      </c>
      <c r="Q114" s="9">
        <f>Q111/Q103</f>
        <v>0.52044295862607337</v>
      </c>
      <c r="R114" s="9">
        <f>R111/R103</f>
        <v>0.52436585226370136</v>
      </c>
      <c r="S114" s="9">
        <f>S111/S103</f>
        <v>0.61310396884735208</v>
      </c>
      <c r="T114" s="65">
        <f>T111/T103</f>
        <v>0.56902457292687714</v>
      </c>
      <c r="U114" s="1"/>
      <c r="V114" s="62">
        <f>V111/V103</f>
        <v>0.6112580590520591</v>
      </c>
      <c r="W114" s="9">
        <f>Q114+W115</f>
        <v>0.58044295862607331</v>
      </c>
      <c r="X114" s="9">
        <f>R114+X115</f>
        <v>0.5743658522637014</v>
      </c>
      <c r="Y114" s="100">
        <f>S114+Y115</f>
        <v>0.60310396884735207</v>
      </c>
      <c r="Z114" s="65">
        <f>Z111/Z103</f>
        <v>0.59238365582204333</v>
      </c>
      <c r="AA114" s="1"/>
    </row>
    <row r="115" spans="2:27" ht="15.75" thickBot="1" x14ac:dyDescent="0.35">
      <c r="B115" s="41" t="s">
        <v>23</v>
      </c>
      <c r="D115" s="52" t="s">
        <v>35</v>
      </c>
      <c r="E115" s="10" t="s">
        <v>35</v>
      </c>
      <c r="F115" s="10" t="s">
        <v>35</v>
      </c>
      <c r="G115" s="10" t="s">
        <v>35</v>
      </c>
      <c r="H115" s="61" t="s">
        <v>35</v>
      </c>
      <c r="I115" s="1"/>
      <c r="J115" s="63">
        <f>J114-D114</f>
        <v>9.712125460809129E-3</v>
      </c>
      <c r="K115" s="26">
        <f>K114-E114</f>
        <v>4.8209531026351948E-3</v>
      </c>
      <c r="L115" s="26">
        <f>L114-F114</f>
        <v>-1.1084543426224114E-3</v>
      </c>
      <c r="M115" s="26">
        <f>M114-G114</f>
        <v>9.6926755858114388E-3</v>
      </c>
      <c r="N115" s="94">
        <f>N114-H114</f>
        <v>5.9657470988794259E-3</v>
      </c>
      <c r="O115" s="1"/>
      <c r="P115" s="63">
        <f>P114-J114</f>
        <v>4.6573203534640006E-2</v>
      </c>
      <c r="Q115" s="26">
        <f>Q114-K114</f>
        <v>-9.3751613077562856E-3</v>
      </c>
      <c r="R115" s="26">
        <f>R114-L114</f>
        <v>-3.3563427570455495E-3</v>
      </c>
      <c r="S115" s="26">
        <f>S114-M114</f>
        <v>6.1627109396625079E-2</v>
      </c>
      <c r="T115" s="94">
        <f>T114-N114</f>
        <v>2.407401865531289E-2</v>
      </c>
      <c r="U115" s="1"/>
      <c r="V115" s="63">
        <f>V114-P114</f>
        <v>-6.2085129917937021E-3</v>
      </c>
      <c r="W115" s="10">
        <v>0.06</v>
      </c>
      <c r="X115" s="10">
        <v>0.05</v>
      </c>
      <c r="Y115" s="10">
        <v>-0.01</v>
      </c>
      <c r="Z115" s="68">
        <f>Z114-T114</f>
        <v>2.3359082895166194E-2</v>
      </c>
      <c r="AA115" s="1"/>
    </row>
    <row r="116" spans="2:27" ht="15.75" thickBot="1" x14ac:dyDescent="0.35">
      <c r="B116" s="1"/>
      <c r="D116" s="36"/>
      <c r="E116" s="36"/>
      <c r="F116" s="11"/>
      <c r="G116" s="11"/>
      <c r="H116" s="2"/>
      <c r="I116" s="1"/>
      <c r="J116" s="36"/>
      <c r="K116" s="2"/>
      <c r="L116" s="11"/>
      <c r="M116" s="11"/>
      <c r="N116" s="2"/>
      <c r="O116" s="1"/>
      <c r="P116" s="98"/>
      <c r="Q116" s="2"/>
      <c r="R116" s="85"/>
      <c r="S116" s="11"/>
      <c r="T116" s="2"/>
      <c r="U116" s="1"/>
      <c r="V116" s="98"/>
      <c r="W116" s="2"/>
      <c r="X116" s="11"/>
      <c r="Y116" s="11"/>
      <c r="Z116" s="98"/>
      <c r="AA116" s="322"/>
    </row>
    <row r="117" spans="2:27" ht="15" x14ac:dyDescent="0.3">
      <c r="B117" s="42" t="s">
        <v>32</v>
      </c>
      <c r="D117" s="49">
        <v>212</v>
      </c>
      <c r="E117" s="14">
        <v>310</v>
      </c>
      <c r="F117" s="14">
        <v>303</v>
      </c>
      <c r="G117" s="35">
        <v>304</v>
      </c>
      <c r="H117" s="35">
        <f>D117+E117+F117+G117</f>
        <v>1129</v>
      </c>
      <c r="I117" s="13"/>
      <c r="J117" s="49">
        <v>274</v>
      </c>
      <c r="K117" s="14">
        <v>346</v>
      </c>
      <c r="L117" s="14">
        <v>317</v>
      </c>
      <c r="M117" s="14">
        <v>352</v>
      </c>
      <c r="N117" s="59">
        <f>J117+K117+L117+M117</f>
        <v>1289</v>
      </c>
      <c r="O117" s="13"/>
      <c r="P117" s="49">
        <v>252</v>
      </c>
      <c r="Q117" s="14">
        <v>467</v>
      </c>
      <c r="R117" s="14">
        <v>457</v>
      </c>
      <c r="S117" s="35">
        <v>298</v>
      </c>
      <c r="T117" s="35">
        <f>P117+Q117+R117+S117</f>
        <v>1474</v>
      </c>
      <c r="U117" s="13"/>
      <c r="V117" s="49">
        <v>291</v>
      </c>
      <c r="W117" s="14">
        <f>W103-W111-W108</f>
        <v>373.74706817086792</v>
      </c>
      <c r="X117" s="14">
        <f>X103-X111-X108</f>
        <v>355.60202273698349</v>
      </c>
      <c r="Y117" s="35">
        <f>Y103-Y111-Y108</f>
        <v>313.2622986297801</v>
      </c>
      <c r="Z117" s="35">
        <f>(V117+W117+X117+Y117)</f>
        <v>1333.6113895376316</v>
      </c>
      <c r="AA117" s="432"/>
    </row>
    <row r="118" spans="2:27" ht="15.75" thickBot="1" x14ac:dyDescent="0.35">
      <c r="B118" s="41" t="s">
        <v>23</v>
      </c>
      <c r="D118" s="52" t="s">
        <v>35</v>
      </c>
      <c r="E118" s="10" t="s">
        <v>35</v>
      </c>
      <c r="F118" s="10" t="s">
        <v>35</v>
      </c>
      <c r="G118" s="10" t="s">
        <v>35</v>
      </c>
      <c r="H118" s="61" t="s">
        <v>35</v>
      </c>
      <c r="I118" s="1"/>
      <c r="J118" s="52">
        <f>(J117-D117)/D117</f>
        <v>0.29245283018867924</v>
      </c>
      <c r="K118" s="10">
        <f>K117/D117-1</f>
        <v>0.63207547169811318</v>
      </c>
      <c r="L118" s="10">
        <f>L117/E117-1</f>
        <v>2.2580645161290214E-2</v>
      </c>
      <c r="M118" s="10">
        <f>M117/F117-1</f>
        <v>0.16171617161716179</v>
      </c>
      <c r="N118" s="68">
        <f>N117/H117-1</f>
        <v>0.14171833480956608</v>
      </c>
      <c r="O118" s="97"/>
      <c r="P118" s="52">
        <f>(P117-J117)/J117</f>
        <v>-8.0291970802919707E-2</v>
      </c>
      <c r="Q118" s="10">
        <f>Q117/J117-1</f>
        <v>0.70437956204379559</v>
      </c>
      <c r="R118" s="10">
        <f>R117/K117-1</f>
        <v>0.32080924855491322</v>
      </c>
      <c r="S118" s="10">
        <f>S117/L117-1</f>
        <v>-5.9936908517350118E-2</v>
      </c>
      <c r="T118" s="68">
        <f>T117/N117-1</f>
        <v>0.14352211016291694</v>
      </c>
      <c r="U118" s="1"/>
      <c r="V118" s="52">
        <f>(V117-P117)/P117</f>
        <v>0.15476190476190477</v>
      </c>
      <c r="W118" s="10">
        <f>W117/Q117-1</f>
        <v>-0.19968507886323783</v>
      </c>
      <c r="X118" s="10">
        <f>X117/R117-1</f>
        <v>-0.22187741195408428</v>
      </c>
      <c r="Y118" s="83">
        <f>Y117/S117-1</f>
        <v>5.1215767214027208E-2</v>
      </c>
      <c r="Z118" s="83">
        <f>Z117/T117-1</f>
        <v>-9.5243290680032899E-2</v>
      </c>
      <c r="AA118" s="1"/>
    </row>
    <row r="119" spans="2:27" ht="15.75" thickBot="1" x14ac:dyDescent="0.35">
      <c r="B119" s="1"/>
      <c r="D119" s="2"/>
      <c r="E119" s="2"/>
      <c r="F119" s="357"/>
      <c r="G119" s="357"/>
      <c r="H119" s="2"/>
      <c r="I119" s="1"/>
      <c r="J119" s="357"/>
      <c r="K119" s="357"/>
      <c r="L119" s="11"/>
      <c r="M119" s="2"/>
      <c r="N119" s="2"/>
      <c r="O119" s="1"/>
      <c r="P119" s="2"/>
      <c r="Q119" s="2"/>
      <c r="R119" s="11"/>
      <c r="S119" s="2"/>
      <c r="T119" s="2"/>
      <c r="U119" s="1"/>
      <c r="V119" s="2"/>
      <c r="W119" s="2"/>
      <c r="X119" s="11"/>
      <c r="Y119" s="2"/>
      <c r="Z119" s="2"/>
      <c r="AA119" s="1"/>
    </row>
    <row r="120" spans="2:27" ht="15" x14ac:dyDescent="0.3">
      <c r="B120" s="42" t="s">
        <v>36</v>
      </c>
      <c r="D120" s="50">
        <f>D117/D103</f>
        <v>0.21833161688980432</v>
      </c>
      <c r="E120" s="24">
        <f>E117/E103</f>
        <v>0.3060217176702863</v>
      </c>
      <c r="F120" s="24">
        <f>F117/F103</f>
        <v>0.29676787463271304</v>
      </c>
      <c r="G120" s="25">
        <f>G117/G103</f>
        <v>0.28517823639774859</v>
      </c>
      <c r="H120" s="60">
        <f>H117/H103</f>
        <v>0.27732743797592729</v>
      </c>
      <c r="I120" s="1"/>
      <c r="J120" s="50">
        <f>J117/J103</f>
        <v>0.22948073701842547</v>
      </c>
      <c r="K120" s="24">
        <f>K117/K103</f>
        <v>0.28618693134822165</v>
      </c>
      <c r="L120" s="24">
        <f>L117/L103</f>
        <v>0.26307053941908715</v>
      </c>
      <c r="M120" s="25">
        <f>M117/M103</f>
        <v>0.28432956381260099</v>
      </c>
      <c r="N120" s="60">
        <f>N117/N103</f>
        <v>0.26599257119273628</v>
      </c>
      <c r="O120" s="1"/>
      <c r="P120" s="50">
        <f>P117/P103</f>
        <v>0.19733750978856696</v>
      </c>
      <c r="Q120" s="24">
        <f>Q117/Q103</f>
        <v>0.36455893832943015</v>
      </c>
      <c r="R120" s="24">
        <f>R117/R103</f>
        <v>0.36298649722001586</v>
      </c>
      <c r="S120" s="25">
        <f>S117/S103</f>
        <v>0.23208722741433022</v>
      </c>
      <c r="T120" s="60">
        <f>T117/T103</f>
        <v>0.28896294844148207</v>
      </c>
      <c r="U120" s="1"/>
      <c r="V120" s="50">
        <f>V117/V103</f>
        <v>0.22610722610722611</v>
      </c>
      <c r="W120" s="24">
        <f>W117/W103</f>
        <v>0.2933330587180617</v>
      </c>
      <c r="X120" s="24">
        <f>X117/X103</f>
        <v>0.27170353006299158</v>
      </c>
      <c r="Y120" s="25">
        <f>Y117/Y103</f>
        <v>0.23153750676898061</v>
      </c>
      <c r="Z120" s="60">
        <f>Z117/Z103</f>
        <v>0.25533966926964652</v>
      </c>
      <c r="AA120" s="1"/>
    </row>
    <row r="121" spans="2:27" ht="15.75" thickBot="1" x14ac:dyDescent="0.35">
      <c r="B121" s="41" t="s">
        <v>37</v>
      </c>
      <c r="D121" s="52" t="s">
        <v>35</v>
      </c>
      <c r="E121" s="10" t="s">
        <v>35</v>
      </c>
      <c r="F121" s="10" t="s">
        <v>35</v>
      </c>
      <c r="G121" s="10" t="s">
        <v>35</v>
      </c>
      <c r="H121" s="61" t="s">
        <v>35</v>
      </c>
      <c r="I121" s="13"/>
      <c r="J121" s="63">
        <f>J120-D120</f>
        <v>1.1149120128621154E-2</v>
      </c>
      <c r="K121" s="26">
        <f>K120-E120</f>
        <v>-1.9834786322064646E-2</v>
      </c>
      <c r="L121" s="26">
        <f>L120-F120</f>
        <v>-3.369733521362589E-2</v>
      </c>
      <c r="M121" s="26">
        <f>M120-G120</f>
        <v>-8.4867258514759181E-4</v>
      </c>
      <c r="N121" s="94">
        <f>N120-H120</f>
        <v>-1.1334866783191011E-2</v>
      </c>
      <c r="O121" s="13"/>
      <c r="P121" s="63">
        <f>P120-J120</f>
        <v>-3.2143227229858518E-2</v>
      </c>
      <c r="Q121" s="26">
        <f>Q120-K120</f>
        <v>7.8372006981208497E-2</v>
      </c>
      <c r="R121" s="26">
        <f>R120-L120</f>
        <v>9.9915957800928712E-2</v>
      </c>
      <c r="S121" s="26">
        <f>S120-M120</f>
        <v>-5.2242336398270778E-2</v>
      </c>
      <c r="T121" s="94">
        <f>T120-N120</f>
        <v>2.2970377248745788E-2</v>
      </c>
      <c r="U121" s="13"/>
      <c r="V121" s="63">
        <f>V120-P120</f>
        <v>2.8769716318659155E-2</v>
      </c>
      <c r="W121" s="26">
        <f>W120-Q120</f>
        <v>-7.1225879611368448E-2</v>
      </c>
      <c r="X121" s="26">
        <f>X120-R120</f>
        <v>-9.1282967157024275E-2</v>
      </c>
      <c r="Y121" s="26">
        <f>Y120-S120</f>
        <v>-5.4972064534961063E-4</v>
      </c>
      <c r="Z121" s="94">
        <f>Z120-T120</f>
        <v>-3.3623279171835552E-2</v>
      </c>
      <c r="AA121" s="13"/>
    </row>
    <row r="122" spans="2:27" ht="15.75" thickBot="1" x14ac:dyDescent="0.35">
      <c r="B122" s="1"/>
      <c r="D122" s="2"/>
      <c r="E122" s="2"/>
      <c r="F122" s="11"/>
      <c r="G122" s="2"/>
      <c r="H122" s="2"/>
      <c r="I122" s="1"/>
      <c r="J122" s="2"/>
      <c r="K122" s="2"/>
      <c r="L122" s="11"/>
      <c r="M122" s="2"/>
      <c r="N122" s="2"/>
      <c r="O122" s="1"/>
      <c r="P122" s="2"/>
      <c r="Q122" s="2"/>
      <c r="R122" s="11"/>
      <c r="S122" s="2"/>
      <c r="T122" s="2"/>
      <c r="U122" s="1"/>
      <c r="V122" s="2"/>
      <c r="W122" s="2"/>
      <c r="X122" s="11"/>
      <c r="Y122" s="2"/>
      <c r="Z122" s="2"/>
      <c r="AA122" s="1"/>
    </row>
    <row r="123" spans="2:27" ht="15" x14ac:dyDescent="0.3">
      <c r="B123" s="42" t="s">
        <v>33</v>
      </c>
      <c r="D123" s="49">
        <v>139</v>
      </c>
      <c r="E123" s="14">
        <v>176</v>
      </c>
      <c r="F123" s="15">
        <v>232</v>
      </c>
      <c r="G123" s="22">
        <v>242</v>
      </c>
      <c r="H123" s="35">
        <f>D123+E123+F123+G123</f>
        <v>789</v>
      </c>
      <c r="I123" s="1"/>
      <c r="J123" s="49">
        <v>187</v>
      </c>
      <c r="K123" s="14">
        <v>265</v>
      </c>
      <c r="L123" s="15">
        <v>248</v>
      </c>
      <c r="M123" s="15">
        <v>190</v>
      </c>
      <c r="N123" s="59">
        <f>J123+K123+L123+M123</f>
        <v>890</v>
      </c>
      <c r="O123" s="1"/>
      <c r="P123" s="49">
        <v>144</v>
      </c>
      <c r="Q123" s="14">
        <v>182</v>
      </c>
      <c r="R123" s="15">
        <v>262</v>
      </c>
      <c r="S123" s="22">
        <v>258</v>
      </c>
      <c r="T123" s="35">
        <f>P123+Q123+R123+S123</f>
        <v>846</v>
      </c>
      <c r="U123" s="322"/>
      <c r="V123" s="49">
        <v>155</v>
      </c>
      <c r="W123" s="14">
        <v>125</v>
      </c>
      <c r="X123" s="15">
        <v>160</v>
      </c>
      <c r="Y123" s="22">
        <v>175</v>
      </c>
      <c r="Z123" s="35">
        <f>V123+W123+X123+Y123</f>
        <v>615</v>
      </c>
      <c r="AA123" s="1"/>
    </row>
    <row r="124" spans="2:27" ht="15.75" thickBot="1" x14ac:dyDescent="0.35">
      <c r="B124" s="41" t="s">
        <v>40</v>
      </c>
      <c r="D124" s="52" t="s">
        <v>35</v>
      </c>
      <c r="E124" s="10" t="s">
        <v>35</v>
      </c>
      <c r="F124" s="10" t="s">
        <v>35</v>
      </c>
      <c r="G124" s="10" t="s">
        <v>35</v>
      </c>
      <c r="H124" s="61" t="s">
        <v>35</v>
      </c>
      <c r="I124" s="1"/>
      <c r="J124" s="52">
        <f>J123/D123-1</f>
        <v>0.34532374100719432</v>
      </c>
      <c r="K124" s="10">
        <f>K123/E123-1</f>
        <v>0.50568181818181812</v>
      </c>
      <c r="L124" s="10">
        <f>L123/F123-1</f>
        <v>6.8965517241379226E-2</v>
      </c>
      <c r="M124" s="10">
        <f>M123/G123-1</f>
        <v>-0.21487603305785119</v>
      </c>
      <c r="N124" s="61">
        <f>N123/H123-1</f>
        <v>0.12801013941698347</v>
      </c>
      <c r="O124" s="1"/>
      <c r="P124" s="52">
        <f>P123/J123-1</f>
        <v>-0.22994652406417115</v>
      </c>
      <c r="Q124" s="10">
        <f>Q123/K123-1</f>
        <v>-0.31320754716981136</v>
      </c>
      <c r="R124" s="10">
        <f>R123/L123-1</f>
        <v>5.6451612903225756E-2</v>
      </c>
      <c r="S124" s="83">
        <f>S123/M123-1</f>
        <v>0.35789473684210527</v>
      </c>
      <c r="T124" s="83">
        <f>T123/N123-1</f>
        <v>-4.9438202247190977E-2</v>
      </c>
      <c r="U124" s="1"/>
      <c r="V124" s="52">
        <f>V123/P123-1</f>
        <v>7.638888888888884E-2</v>
      </c>
      <c r="W124" s="10">
        <f>W123/Q123-1</f>
        <v>-0.31318681318681318</v>
      </c>
      <c r="X124" s="10">
        <f>X123/R123-1</f>
        <v>-0.38931297709923662</v>
      </c>
      <c r="Y124" s="83">
        <f>Y123/S123-1</f>
        <v>-0.32170542635658916</v>
      </c>
      <c r="Z124" s="83">
        <f>Z123/T123-1</f>
        <v>-0.27304964539007093</v>
      </c>
      <c r="AA124" s="1"/>
    </row>
    <row r="125" spans="2:27" ht="15.75" thickBot="1" x14ac:dyDescent="0.35">
      <c r="B125" s="16"/>
      <c r="D125" s="23"/>
      <c r="E125" s="23"/>
      <c r="F125" s="64"/>
      <c r="G125" s="18"/>
      <c r="H125" s="17"/>
      <c r="I125" s="1"/>
      <c r="J125" s="23"/>
      <c r="K125" s="23"/>
      <c r="L125" s="64"/>
      <c r="M125" s="18"/>
      <c r="N125" s="17"/>
      <c r="O125" s="1"/>
      <c r="P125" s="23"/>
      <c r="Q125" s="23"/>
      <c r="R125" s="64"/>
      <c r="S125" s="18"/>
      <c r="T125" s="17"/>
      <c r="U125" s="1"/>
      <c r="V125" s="23"/>
      <c r="W125" s="23"/>
      <c r="X125" s="64"/>
      <c r="Y125" s="18"/>
      <c r="Z125" s="17"/>
      <c r="AA125" s="1"/>
    </row>
    <row r="126" spans="2:27" ht="15" x14ac:dyDescent="0.3">
      <c r="B126" s="42" t="s">
        <v>24</v>
      </c>
      <c r="D126" s="50">
        <f>D123/D103</f>
        <v>0.1431513903192585</v>
      </c>
      <c r="E126" s="24">
        <f>E123/E103</f>
        <v>0.17374136229022705</v>
      </c>
      <c r="F126" s="24">
        <f>F123/F103</f>
        <v>0.22722820763956905</v>
      </c>
      <c r="G126" s="25">
        <f>G123/G103</f>
        <v>0.22701688555347091</v>
      </c>
      <c r="H126" s="89">
        <f>H123/H103</f>
        <v>0.19380987472365513</v>
      </c>
      <c r="I126" s="1"/>
      <c r="J126" s="50">
        <f>J123/J103</f>
        <v>0.15661641541038526</v>
      </c>
      <c r="K126" s="24">
        <f>K123/K103</f>
        <v>0.21918941273779982</v>
      </c>
      <c r="L126" s="24">
        <f>L123/L103</f>
        <v>0.20580912863070538</v>
      </c>
      <c r="M126" s="24">
        <f>M123/M103</f>
        <v>0.15347334410339256</v>
      </c>
      <c r="N126" s="60">
        <f>N123/N103</f>
        <v>0.18365662401981014</v>
      </c>
      <c r="O126" s="1"/>
      <c r="P126" s="50">
        <f>P123/P103</f>
        <v>0.11276429130775255</v>
      </c>
      <c r="Q126" s="24">
        <f>Q123/Q103</f>
        <v>0.14207650273224043</v>
      </c>
      <c r="R126" s="24">
        <f>R123/R103</f>
        <v>0.20810166799046861</v>
      </c>
      <c r="S126" s="24">
        <f>S123/S103</f>
        <v>0.20093457943925233</v>
      </c>
      <c r="T126" s="60">
        <f>T123/T103</f>
        <v>0.16584983336600667</v>
      </c>
      <c r="U126" s="1"/>
      <c r="V126" s="50">
        <f>V123/V103</f>
        <v>0.12043512043512043</v>
      </c>
      <c r="W126" s="24">
        <f>W123/W103</f>
        <v>9.8105471486921836E-2</v>
      </c>
      <c r="X126" s="24">
        <f>X123/X103</f>
        <v>0.12225061172453618</v>
      </c>
      <c r="Y126" s="24">
        <f>Y123/Y103</f>
        <v>0.12934548415753622</v>
      </c>
      <c r="Z126" s="60">
        <f>Z123/Z103</f>
        <v>0.11775086643139492</v>
      </c>
      <c r="AA126" s="1"/>
    </row>
    <row r="127" spans="2:27" ht="15.75" thickBot="1" x14ac:dyDescent="0.35">
      <c r="B127" s="41" t="s">
        <v>40</v>
      </c>
      <c r="D127" s="52" t="s">
        <v>35</v>
      </c>
      <c r="E127" s="10" t="s">
        <v>35</v>
      </c>
      <c r="F127" s="10" t="s">
        <v>35</v>
      </c>
      <c r="G127" s="10" t="s">
        <v>35</v>
      </c>
      <c r="H127" s="61" t="s">
        <v>35</v>
      </c>
      <c r="I127" s="1"/>
      <c r="J127" s="52">
        <f>J126-D126</f>
        <v>1.3465025091126764E-2</v>
      </c>
      <c r="K127" s="10">
        <f>K126-E126</f>
        <v>4.5448050447572774E-2</v>
      </c>
      <c r="L127" s="10">
        <f>L126-F126</f>
        <v>-2.1419079008863667E-2</v>
      </c>
      <c r="M127" s="10">
        <f>M126-G126</f>
        <v>-7.3543541450078354E-2</v>
      </c>
      <c r="N127" s="61">
        <f>N126-H126</f>
        <v>-1.0153250703844985E-2</v>
      </c>
      <c r="O127" s="1"/>
      <c r="P127" s="52">
        <f>P126-J126</f>
        <v>-4.3852124102632714E-2</v>
      </c>
      <c r="Q127" s="10">
        <f>Q126-K126</f>
        <v>-7.7112910005559393E-2</v>
      </c>
      <c r="R127" s="10">
        <f>R126-L126</f>
        <v>2.2925393597632293E-3</v>
      </c>
      <c r="S127" s="10">
        <f>S126-M126</f>
        <v>4.7461235335859775E-2</v>
      </c>
      <c r="T127" s="61">
        <f>T126-N126</f>
        <v>-1.7806790653803473E-2</v>
      </c>
      <c r="U127" s="1"/>
      <c r="V127" s="52">
        <f>V126-P126</f>
        <v>7.6708291273678841E-3</v>
      </c>
      <c r="W127" s="10">
        <f>W126-Q126</f>
        <v>-4.3971031245318593E-2</v>
      </c>
      <c r="X127" s="10">
        <f>X126-R126</f>
        <v>-8.5851056265932438E-2</v>
      </c>
      <c r="Y127" s="10">
        <f>Y126-S126</f>
        <v>-7.1589095281716114E-2</v>
      </c>
      <c r="Z127" s="61">
        <f>Z126-T126</f>
        <v>-4.8098966934611756E-2</v>
      </c>
      <c r="AA127" s="1"/>
    </row>
    <row r="128" spans="2:27" ht="15.75" thickBot="1" x14ac:dyDescent="0.35">
      <c r="B128" s="1"/>
      <c r="D128" s="36"/>
      <c r="E128" s="36"/>
      <c r="F128" s="36"/>
      <c r="G128" s="36"/>
      <c r="H128" s="2"/>
      <c r="I128" s="1"/>
      <c r="J128" s="36"/>
      <c r="K128" s="36"/>
      <c r="L128" s="36"/>
      <c r="M128" s="36"/>
      <c r="N128" s="2"/>
      <c r="O128" s="1"/>
      <c r="P128" s="36"/>
      <c r="Q128" s="36"/>
      <c r="R128" s="36"/>
      <c r="S128" s="36"/>
      <c r="T128" s="2"/>
      <c r="U128" s="1"/>
      <c r="V128" s="36"/>
      <c r="W128" s="36"/>
      <c r="X128" s="36"/>
      <c r="Y128" s="36"/>
      <c r="Z128" s="2"/>
      <c r="AA128" s="1"/>
    </row>
    <row r="129" spans="1:98" ht="15" x14ac:dyDescent="0.3">
      <c r="B129" s="42" t="s">
        <v>38</v>
      </c>
      <c r="D129" s="49">
        <f>D117-D123</f>
        <v>73</v>
      </c>
      <c r="E129" s="14">
        <f>E117-E123</f>
        <v>134</v>
      </c>
      <c r="F129" s="14">
        <f>F117-F123</f>
        <v>71</v>
      </c>
      <c r="G129" s="35">
        <f>G117-G123</f>
        <v>62</v>
      </c>
      <c r="H129" s="59">
        <f>(D129+E129+F129+G129)</f>
        <v>340</v>
      </c>
      <c r="I129" s="1"/>
      <c r="J129" s="49">
        <f>J117-J123</f>
        <v>87</v>
      </c>
      <c r="K129" s="14">
        <f>K117-K123</f>
        <v>81</v>
      </c>
      <c r="L129" s="14">
        <f>L117-L123</f>
        <v>69</v>
      </c>
      <c r="M129" s="35">
        <f>M117-M123</f>
        <v>162</v>
      </c>
      <c r="N129" s="59">
        <f>(J129+K129+L129+M129)</f>
        <v>399</v>
      </c>
      <c r="O129" s="1"/>
      <c r="P129" s="49">
        <f>P117-P123</f>
        <v>108</v>
      </c>
      <c r="Q129" s="14">
        <f>Q117-Q123</f>
        <v>285</v>
      </c>
      <c r="R129" s="14">
        <f>R117-R123</f>
        <v>195</v>
      </c>
      <c r="S129" s="35">
        <f>S117-S123</f>
        <v>40</v>
      </c>
      <c r="T129" s="59">
        <f>(P129+Q129+R129+S129)</f>
        <v>628</v>
      </c>
      <c r="U129" s="322"/>
      <c r="V129" s="49">
        <f>V117-V123</f>
        <v>136</v>
      </c>
      <c r="W129" s="14">
        <f>W117-W123</f>
        <v>248.74706817086792</v>
      </c>
      <c r="X129" s="14">
        <f>X117-X123</f>
        <v>195.60202273698349</v>
      </c>
      <c r="Y129" s="35">
        <f>Y117-Y123</f>
        <v>138.2622986297801</v>
      </c>
      <c r="Z129" s="59">
        <f>(V129+W129+X129+Y129)</f>
        <v>718.61138953763157</v>
      </c>
      <c r="AA129" s="1"/>
    </row>
    <row r="130" spans="1:98" ht="15.75" thickBot="1" x14ac:dyDescent="0.35">
      <c r="B130" s="41" t="s">
        <v>23</v>
      </c>
      <c r="D130" s="52" t="s">
        <v>35</v>
      </c>
      <c r="E130" s="10" t="s">
        <v>35</v>
      </c>
      <c r="F130" s="10" t="s">
        <v>35</v>
      </c>
      <c r="G130" s="10" t="s">
        <v>35</v>
      </c>
      <c r="H130" s="61" t="s">
        <v>35</v>
      </c>
      <c r="I130" s="1"/>
      <c r="J130" s="52">
        <f>J129/D129-1</f>
        <v>0.19178082191780832</v>
      </c>
      <c r="K130" s="10">
        <f>K129/E129-1</f>
        <v>-0.39552238805970152</v>
      </c>
      <c r="L130" s="10">
        <f>L129/F129-1</f>
        <v>-2.8169014084507005E-2</v>
      </c>
      <c r="M130" s="83">
        <f>M129/G129-1</f>
        <v>1.6129032258064515</v>
      </c>
      <c r="N130" s="83">
        <f>N129/H129-1</f>
        <v>0.17352941176470593</v>
      </c>
      <c r="O130" s="1"/>
      <c r="P130" s="52">
        <f>P129/J129-1</f>
        <v>0.24137931034482762</v>
      </c>
      <c r="Q130" s="10">
        <f>Q129/K129-1</f>
        <v>2.5185185185185186</v>
      </c>
      <c r="R130" s="10">
        <f>R129/L129-1</f>
        <v>1.8260869565217392</v>
      </c>
      <c r="S130" s="83">
        <f>S129/M129-1</f>
        <v>-0.75308641975308643</v>
      </c>
      <c r="T130" s="83">
        <f>T129/N129-1</f>
        <v>0.57393483709273174</v>
      </c>
      <c r="U130" s="1"/>
      <c r="V130" s="52">
        <f>V129/P129-1</f>
        <v>0.2592592592592593</v>
      </c>
      <c r="W130" s="10">
        <f>W129/Q129-1</f>
        <v>-0.127203269575902</v>
      </c>
      <c r="X130" s="10">
        <f>X129/R129-1</f>
        <v>3.087296087094904E-3</v>
      </c>
      <c r="Y130" s="83">
        <f>Y129/S129-1</f>
        <v>2.4565574657445026</v>
      </c>
      <c r="Z130" s="83">
        <f>Z129/T129-1</f>
        <v>0.14428565212998667</v>
      </c>
      <c r="AA130" s="1"/>
    </row>
    <row r="131" spans="1:98" ht="15.75" thickBot="1" x14ac:dyDescent="0.35">
      <c r="B131" s="1"/>
      <c r="D131" s="2"/>
      <c r="E131" s="2"/>
      <c r="F131" s="11"/>
      <c r="G131" s="2"/>
      <c r="H131" s="2"/>
      <c r="I131" s="1"/>
      <c r="J131" s="2"/>
      <c r="K131" s="2"/>
      <c r="L131" s="11"/>
      <c r="M131" s="2"/>
      <c r="N131" s="2"/>
      <c r="O131" s="1"/>
      <c r="P131" s="2"/>
      <c r="Q131" s="2"/>
      <c r="R131" s="11"/>
      <c r="S131" s="2"/>
      <c r="T131" s="2"/>
      <c r="U131" s="1"/>
      <c r="V131" s="2"/>
      <c r="W131" s="2"/>
      <c r="X131" s="11"/>
      <c r="Y131" s="2"/>
      <c r="Z131" s="2"/>
      <c r="AA131" s="1"/>
    </row>
    <row r="132" spans="1:98" ht="15" x14ac:dyDescent="0.3">
      <c r="B132" s="42" t="s">
        <v>50</v>
      </c>
      <c r="D132" s="49">
        <f>D138-D135</f>
        <v>649.98599999999999</v>
      </c>
      <c r="E132" s="14">
        <f>E138-E135</f>
        <v>691.86879999999996</v>
      </c>
      <c r="F132" s="14">
        <f>F138-F135</f>
        <v>690.94775957625325</v>
      </c>
      <c r="G132" s="35">
        <f>G138-G135</f>
        <v>702.75599999999997</v>
      </c>
      <c r="H132" s="59">
        <f>(D132+E132+F132+G132)</f>
        <v>2735.5585595762532</v>
      </c>
      <c r="I132" s="1"/>
      <c r="J132" s="49">
        <f>J138-J135</f>
        <v>749.55681333693303</v>
      </c>
      <c r="K132" s="14">
        <f>K138-K135</f>
        <v>782.66159999999991</v>
      </c>
      <c r="L132" s="14">
        <f>L138-L135</f>
        <v>788.44807201028721</v>
      </c>
      <c r="M132" s="35">
        <f>M138-M135</f>
        <v>779.9652000000001</v>
      </c>
      <c r="N132" s="59">
        <f>(J132+K132+L132+M132)</f>
        <v>3100.6316853472204</v>
      </c>
      <c r="O132" s="1"/>
      <c r="P132" s="49">
        <f>P138-P135</f>
        <v>784.05859693969387</v>
      </c>
      <c r="Q132" s="14">
        <f>Q138-Q135</f>
        <v>775.92838455512435</v>
      </c>
      <c r="R132" s="14">
        <f>R138-R135</f>
        <v>740.3834627904248</v>
      </c>
      <c r="S132" s="35">
        <f>S138-S135</f>
        <v>707.36655972861649</v>
      </c>
      <c r="T132" s="59">
        <f>(P132+Q132+R132+S132)</f>
        <v>3007.7370040138594</v>
      </c>
      <c r="U132" s="1"/>
      <c r="V132" s="49">
        <f>V138-V135</f>
        <v>685.0370735460674</v>
      </c>
      <c r="W132" s="14">
        <f>W138-W135</f>
        <v>684.26548829635249</v>
      </c>
      <c r="X132" s="14">
        <f>X138-X135</f>
        <v>719.84674007337992</v>
      </c>
      <c r="Y132" s="35">
        <f>Y138-Y135</f>
        <v>680.74104012551084</v>
      </c>
      <c r="Z132" s="59">
        <f>(V132+W132+X132+Y132)</f>
        <v>2769.8903420413108</v>
      </c>
      <c r="AA132" s="1"/>
    </row>
    <row r="133" spans="1:98" ht="15" x14ac:dyDescent="0.3">
      <c r="B133" s="40" t="s">
        <v>23</v>
      </c>
      <c r="D133" s="62" t="s">
        <v>35</v>
      </c>
      <c r="E133" s="9" t="s">
        <v>35</v>
      </c>
      <c r="F133" s="9" t="s">
        <v>35</v>
      </c>
      <c r="G133" s="9" t="s">
        <v>35</v>
      </c>
      <c r="H133" s="66" t="s">
        <v>35</v>
      </c>
      <c r="I133" s="1"/>
      <c r="J133" s="62">
        <f>J132/D132-1</f>
        <v>0.15318916613116751</v>
      </c>
      <c r="K133" s="9">
        <f>K132/E132-1</f>
        <v>0.13122834849613096</v>
      </c>
      <c r="L133" s="9">
        <f>L132/F132-1</f>
        <v>0.14111097558783503</v>
      </c>
      <c r="M133" s="100">
        <f>M132/G132-1</f>
        <v>0.10986629783310309</v>
      </c>
      <c r="N133" s="65">
        <f>N132/H132-1</f>
        <v>0.13345469227590523</v>
      </c>
      <c r="O133" s="1"/>
      <c r="P133" s="62">
        <f>P132/J132-1</f>
        <v>4.6029577730289928E-2</v>
      </c>
      <c r="Q133" s="9">
        <f>Q132/K132-1</f>
        <v>-8.602971507578161E-3</v>
      </c>
      <c r="R133" s="9">
        <f>R132/L132-1</f>
        <v>-6.0961033359258843E-2</v>
      </c>
      <c r="S133" s="100">
        <f>S132/M132-1</f>
        <v>-9.3079332605331078E-2</v>
      </c>
      <c r="T133" s="65">
        <f>T132/N132-1</f>
        <v>-2.9959921319374083E-2</v>
      </c>
      <c r="U133" s="1"/>
      <c r="V133" s="62">
        <f>V132/P132-1</f>
        <v>-0.12629352420867945</v>
      </c>
      <c r="W133" s="9">
        <f>W132/Q132-1</f>
        <v>-0.11813319126265298</v>
      </c>
      <c r="X133" s="9">
        <f>X132/R132-1</f>
        <v>-2.7737954383319385E-2</v>
      </c>
      <c r="Y133" s="100">
        <f>Y132/S132-1</f>
        <v>-3.7640342530922855E-2</v>
      </c>
      <c r="Z133" s="65">
        <f>Z132/T132-1</f>
        <v>-7.9078277673592989E-2</v>
      </c>
      <c r="AA133" s="1"/>
    </row>
    <row r="134" spans="1:98" ht="15" x14ac:dyDescent="0.3">
      <c r="B134" s="40"/>
      <c r="D134" s="47"/>
      <c r="E134" s="8"/>
      <c r="F134" s="12"/>
      <c r="G134" s="48"/>
      <c r="H134" s="58"/>
      <c r="I134" s="1"/>
      <c r="J134" s="47"/>
      <c r="K134" s="8"/>
      <c r="L134" s="12"/>
      <c r="M134" s="48"/>
      <c r="N134" s="58"/>
      <c r="O134" s="1"/>
      <c r="P134" s="47"/>
      <c r="Q134" s="8"/>
      <c r="R134" s="12"/>
      <c r="S134" s="48"/>
      <c r="T134" s="58"/>
      <c r="U134" s="1"/>
      <c r="V134" s="47"/>
      <c r="W134" s="8"/>
      <c r="X134" s="12"/>
      <c r="Y134" s="48"/>
      <c r="Z134" s="58"/>
      <c r="AA134" s="1"/>
    </row>
    <row r="135" spans="1:98" ht="15" x14ac:dyDescent="0.3">
      <c r="B135" s="39" t="s">
        <v>49</v>
      </c>
      <c r="D135" s="75">
        <f>D138*D86</f>
        <v>203.01399999999998</v>
      </c>
      <c r="E135" s="71">
        <f>E138*E86</f>
        <v>230.13119999999998</v>
      </c>
      <c r="F135" s="71">
        <f>F138*F86</f>
        <v>251.05224042374681</v>
      </c>
      <c r="G135" s="87">
        <f>G138*G86</f>
        <v>269.24400000000003</v>
      </c>
      <c r="H135" s="54">
        <f>(D135+E135+F135+G135)</f>
        <v>953.44144042374671</v>
      </c>
      <c r="I135" s="1"/>
      <c r="J135" s="75">
        <f>J138*J86</f>
        <v>300.44318666306697</v>
      </c>
      <c r="K135" s="71">
        <f>K138*K86</f>
        <v>330.33840000000004</v>
      </c>
      <c r="L135" s="71">
        <f>L138*L86</f>
        <v>342.55192798971279</v>
      </c>
      <c r="M135" s="87">
        <f>M138*M86</f>
        <v>354.03479999999996</v>
      </c>
      <c r="N135" s="54">
        <f>(J135+K135+L135+M135)</f>
        <v>1327.3683146527796</v>
      </c>
      <c r="O135" s="1"/>
      <c r="P135" s="75">
        <f>P138*P86</f>
        <v>374.94140306030607</v>
      </c>
      <c r="Q135" s="71">
        <f>Q138*Q86</f>
        <v>383.07161544487565</v>
      </c>
      <c r="R135" s="71">
        <f>R138*R86</f>
        <v>381.6165372095752</v>
      </c>
      <c r="S135" s="87">
        <f>S138*S86</f>
        <v>392.63344027138356</v>
      </c>
      <c r="T135" s="54">
        <f>(P135+Q135+R135+S135)</f>
        <v>1532.2629959861404</v>
      </c>
      <c r="U135" s="1"/>
      <c r="V135" s="75">
        <f>V138*V86</f>
        <v>415.9629264539326</v>
      </c>
      <c r="W135" s="71">
        <f>W138*W86</f>
        <v>425.94461512507581</v>
      </c>
      <c r="X135" s="71">
        <f>X138*X86</f>
        <v>384.08682779999992</v>
      </c>
      <c r="Y135" s="87">
        <f>Y138*Y86</f>
        <v>454.2294456300379</v>
      </c>
      <c r="Z135" s="54">
        <f>(V135+W135+X135+Y135)</f>
        <v>1680.2238150090461</v>
      </c>
      <c r="AA135" s="1"/>
    </row>
    <row r="136" spans="1:98" ht="15" x14ac:dyDescent="0.3">
      <c r="B136" s="40" t="s">
        <v>23</v>
      </c>
      <c r="D136" s="62" t="s">
        <v>35</v>
      </c>
      <c r="E136" s="9" t="s">
        <v>35</v>
      </c>
      <c r="F136" s="9" t="s">
        <v>35</v>
      </c>
      <c r="G136" s="9" t="s">
        <v>35</v>
      </c>
      <c r="H136" s="66" t="s">
        <v>35</v>
      </c>
      <c r="I136" s="1"/>
      <c r="J136" s="62">
        <f>J135/D135-1</f>
        <v>0.4799136348383215</v>
      </c>
      <c r="K136" s="9">
        <f>K135/E135-1</f>
        <v>0.43543509093942956</v>
      </c>
      <c r="L136" s="9">
        <f>L135/F135-1</f>
        <v>0.36446473216699915</v>
      </c>
      <c r="M136" s="100">
        <f>M135/G135-1</f>
        <v>0.3149217809867626</v>
      </c>
      <c r="N136" s="65">
        <f>N135/H135-1</f>
        <v>0.39218651337710386</v>
      </c>
      <c r="O136" s="1"/>
      <c r="P136" s="62">
        <f>P135/J135-1</f>
        <v>0.24796107784858967</v>
      </c>
      <c r="Q136" s="9">
        <f>Q135/K135-1</f>
        <v>0.15963392522599729</v>
      </c>
      <c r="R136" s="9">
        <f>R135/L135-1</f>
        <v>0.11403996307688447</v>
      </c>
      <c r="S136" s="100">
        <f>S135/M135-1</f>
        <v>0.10902498927049997</v>
      </c>
      <c r="T136" s="65">
        <f>T135/N135-1</f>
        <v>0.15436158831843017</v>
      </c>
      <c r="U136" s="1"/>
      <c r="V136" s="62">
        <f>V135/P135-1</f>
        <v>0.10940782495292622</v>
      </c>
      <c r="W136" s="9">
        <f>W135/Q135-1</f>
        <v>0.11191901971230656</v>
      </c>
      <c r="X136" s="9">
        <f>X135/R135-1</f>
        <v>6.473227309507612E-3</v>
      </c>
      <c r="Y136" s="100">
        <f>Y135/S135-1</f>
        <v>0.15687916270218838</v>
      </c>
      <c r="Z136" s="65">
        <f>Z135/T135-1</f>
        <v>9.656359215780741E-2</v>
      </c>
      <c r="AA136" s="1"/>
    </row>
    <row r="137" spans="1:98" ht="15" x14ac:dyDescent="0.3">
      <c r="B137" s="40"/>
      <c r="D137" s="47"/>
      <c r="E137" s="8"/>
      <c r="F137" s="8"/>
      <c r="G137" s="48"/>
      <c r="H137" s="58"/>
      <c r="I137" s="1"/>
      <c r="J137" s="47"/>
      <c r="K137" s="8"/>
      <c r="L137" s="8"/>
      <c r="M137" s="48"/>
      <c r="N137" s="58"/>
      <c r="O137" s="1"/>
      <c r="P137" s="47"/>
      <c r="Q137" s="8"/>
      <c r="R137" s="8"/>
      <c r="S137" s="48"/>
      <c r="T137" s="58"/>
      <c r="U137" s="1"/>
      <c r="V137" s="47"/>
      <c r="W137" s="8"/>
      <c r="X137" s="8"/>
      <c r="Y137" s="48"/>
      <c r="Z137" s="58"/>
      <c r="AA137" s="1"/>
    </row>
    <row r="138" spans="1:98" ht="15.75" thickBot="1" x14ac:dyDescent="0.35">
      <c r="B138" s="76" t="s">
        <v>51</v>
      </c>
      <c r="D138" s="77">
        <f>D91</f>
        <v>853</v>
      </c>
      <c r="E138" s="78">
        <f>E91</f>
        <v>922</v>
      </c>
      <c r="F138" s="78">
        <f>F91</f>
        <v>942</v>
      </c>
      <c r="G138" s="102">
        <f>G91</f>
        <v>972</v>
      </c>
      <c r="H138" s="74">
        <f>(D138+E138+F138+G138)</f>
        <v>3689</v>
      </c>
      <c r="I138" s="1"/>
      <c r="J138" s="77">
        <f>J91</f>
        <v>1050</v>
      </c>
      <c r="K138" s="78">
        <f>K91</f>
        <v>1113</v>
      </c>
      <c r="L138" s="78">
        <f>L91</f>
        <v>1131</v>
      </c>
      <c r="M138" s="102">
        <f>M91</f>
        <v>1134</v>
      </c>
      <c r="N138" s="74">
        <f>(J138+K138+L138+M138)</f>
        <v>4428</v>
      </c>
      <c r="O138" s="1"/>
      <c r="P138" s="77">
        <f>P91</f>
        <v>1159</v>
      </c>
      <c r="Q138" s="78">
        <f>Q91</f>
        <v>1159</v>
      </c>
      <c r="R138" s="78">
        <f>R91</f>
        <v>1122</v>
      </c>
      <c r="S138" s="102">
        <f>S91</f>
        <v>1100</v>
      </c>
      <c r="T138" s="74">
        <f>(P138+Q138+R138+S138)</f>
        <v>4540</v>
      </c>
      <c r="U138" s="1"/>
      <c r="V138" s="77">
        <f>V91</f>
        <v>1101</v>
      </c>
      <c r="W138" s="78">
        <f>W91</f>
        <v>1110.2101034214284</v>
      </c>
      <c r="X138" s="78">
        <f>X91</f>
        <v>1103.9335678733798</v>
      </c>
      <c r="Y138" s="102">
        <f>Y91</f>
        <v>1134.9704857555487</v>
      </c>
      <c r="Z138" s="74">
        <f>(V138+W138+X138+Y138)</f>
        <v>4450.1141570503569</v>
      </c>
      <c r="AA138" s="1"/>
    </row>
    <row r="140" spans="1:98" x14ac:dyDescent="0.2">
      <c r="A140" s="278"/>
      <c r="B140" s="278"/>
      <c r="C140" s="278"/>
      <c r="D140" s="278"/>
      <c r="E140" s="278"/>
      <c r="F140" s="278"/>
      <c r="G140" s="278"/>
      <c r="H140" s="278"/>
      <c r="I140" s="278"/>
      <c r="J140" s="278"/>
      <c r="K140" s="278"/>
      <c r="L140" s="278"/>
      <c r="M140" s="278"/>
      <c r="N140" s="278"/>
      <c r="O140" s="278"/>
      <c r="P140" s="278"/>
      <c r="Q140" s="278"/>
      <c r="R140" s="278"/>
      <c r="S140" s="278"/>
      <c r="T140" s="278"/>
      <c r="U140" s="278"/>
      <c r="V140" s="278"/>
      <c r="W140" s="278"/>
      <c r="X140" s="278"/>
      <c r="Y140" s="278"/>
      <c r="Z140" s="278"/>
      <c r="AA140" s="278"/>
      <c r="AB140" s="278"/>
      <c r="AC140" s="278"/>
      <c r="AD140" s="278"/>
      <c r="AE140" s="278"/>
      <c r="AF140" s="278"/>
      <c r="AG140" s="278"/>
      <c r="AH140" s="278"/>
      <c r="AI140" s="278"/>
      <c r="AJ140" s="278"/>
      <c r="AK140" s="278"/>
      <c r="AL140" s="278"/>
      <c r="AM140" s="278"/>
      <c r="AN140" s="278"/>
      <c r="AO140" s="278"/>
      <c r="AP140" s="278"/>
      <c r="AQ140" s="278"/>
      <c r="AR140" s="278"/>
      <c r="AS140" s="278"/>
      <c r="AT140" s="278"/>
      <c r="AU140" s="278"/>
      <c r="AV140" s="278"/>
      <c r="AW140" s="278"/>
      <c r="AX140" s="278"/>
      <c r="AY140" s="278"/>
      <c r="AZ140" s="278"/>
      <c r="BA140" s="278"/>
      <c r="BB140" s="278"/>
      <c r="BC140" s="278"/>
      <c r="BD140" s="278"/>
      <c r="BE140" s="278"/>
      <c r="BF140" s="278"/>
      <c r="BG140" s="278"/>
      <c r="BH140" s="278"/>
      <c r="BI140" s="278"/>
      <c r="BJ140" s="278"/>
      <c r="BK140" s="278"/>
      <c r="BL140" s="278"/>
      <c r="BM140" s="278"/>
      <c r="BN140" s="278"/>
      <c r="BO140" s="278"/>
      <c r="BP140" s="278"/>
      <c r="BQ140" s="278"/>
      <c r="BR140" s="278"/>
      <c r="BS140" s="278"/>
      <c r="BT140" s="278"/>
      <c r="BU140" s="278"/>
      <c r="BV140" s="278"/>
      <c r="BW140" s="278"/>
      <c r="BX140" s="278"/>
      <c r="BY140" s="278"/>
      <c r="BZ140" s="278"/>
      <c r="CA140" s="278"/>
      <c r="CB140" s="278"/>
      <c r="CC140" s="278"/>
      <c r="CD140" s="278"/>
      <c r="CE140" s="278"/>
      <c r="CF140" s="278"/>
      <c r="CG140" s="278"/>
      <c r="CH140" s="278"/>
      <c r="CI140" s="278"/>
      <c r="CJ140" s="278"/>
      <c r="CK140" s="278"/>
      <c r="CL140" s="278"/>
      <c r="CM140" s="278"/>
      <c r="CN140" s="278"/>
      <c r="CO140" s="278"/>
      <c r="CP140" s="278"/>
      <c r="CQ140" s="278"/>
      <c r="CR140" s="278"/>
      <c r="CS140" s="278"/>
      <c r="CT140" s="278"/>
    </row>
    <row r="141" spans="1:98" ht="13.5" thickBot="1" x14ac:dyDescent="0.25"/>
    <row r="142" spans="1:98" ht="15.75" thickBot="1" x14ac:dyDescent="0.35">
      <c r="B142" s="460" t="s">
        <v>381</v>
      </c>
      <c r="D142" s="715">
        <v>2010</v>
      </c>
      <c r="E142" s="716"/>
      <c r="F142" s="716"/>
      <c r="G142" s="717"/>
      <c r="H142" s="392"/>
      <c r="I142" s="392"/>
      <c r="J142" s="715">
        <v>2011</v>
      </c>
      <c r="K142" s="716"/>
      <c r="L142" s="716"/>
      <c r="M142" s="717"/>
      <c r="N142" s="392"/>
      <c r="O142" s="392"/>
      <c r="P142" s="715">
        <v>2012</v>
      </c>
      <c r="Q142" s="716"/>
      <c r="R142" s="716"/>
      <c r="S142" s="717"/>
      <c r="T142" s="392"/>
      <c r="U142" s="392"/>
      <c r="V142" s="715">
        <v>2013</v>
      </c>
      <c r="W142" s="716"/>
      <c r="X142" s="716"/>
      <c r="Y142" s="717"/>
      <c r="Z142" s="392"/>
      <c r="AA142" s="392"/>
      <c r="AB142" s="715">
        <v>2014</v>
      </c>
      <c r="AC142" s="716"/>
      <c r="AD142" s="716"/>
      <c r="AE142" s="717"/>
      <c r="AF142" s="392"/>
      <c r="AG142" s="392"/>
      <c r="AH142" s="715">
        <v>2015</v>
      </c>
      <c r="AI142" s="716"/>
      <c r="AJ142" s="716"/>
      <c r="AK142" s="717"/>
      <c r="AL142" s="392"/>
      <c r="AM142" s="392"/>
      <c r="AN142" s="715">
        <v>2016</v>
      </c>
      <c r="AO142" s="716"/>
      <c r="AP142" s="716"/>
      <c r="AQ142" s="717"/>
      <c r="AR142" s="392"/>
      <c r="AS142" s="392"/>
      <c r="AT142" s="715">
        <v>2017</v>
      </c>
      <c r="AU142" s="716"/>
      <c r="AV142" s="716"/>
      <c r="AW142" s="717"/>
      <c r="AX142" s="392"/>
      <c r="AY142" s="392"/>
      <c r="AZ142" s="715">
        <v>2018</v>
      </c>
      <c r="BA142" s="716"/>
      <c r="BB142" s="716"/>
      <c r="BC142" s="717"/>
      <c r="BD142" s="392"/>
      <c r="BE142" s="392"/>
      <c r="BF142" s="715">
        <v>2019</v>
      </c>
      <c r="BG142" s="716"/>
      <c r="BH142" s="716"/>
      <c r="BI142" s="717"/>
      <c r="BJ142" s="392"/>
      <c r="BK142" s="392"/>
      <c r="BL142" s="715">
        <v>2020</v>
      </c>
      <c r="BM142" s="716"/>
      <c r="BN142" s="716"/>
      <c r="BO142" s="717"/>
      <c r="BP142" s="392"/>
      <c r="BQ142" s="392"/>
      <c r="BR142" s="715">
        <v>2021</v>
      </c>
      <c r="BS142" s="716"/>
      <c r="BT142" s="716"/>
      <c r="BU142" s="717"/>
      <c r="BV142" s="392"/>
      <c r="BW142" s="392"/>
      <c r="BX142" s="715">
        <v>2022</v>
      </c>
      <c r="BY142" s="716"/>
      <c r="BZ142" s="716"/>
      <c r="CA142" s="717"/>
      <c r="CB142" s="392"/>
      <c r="CC142" s="392"/>
      <c r="CD142" s="715">
        <v>2023</v>
      </c>
      <c r="CE142" s="716"/>
      <c r="CF142" s="716"/>
      <c r="CG142" s="717"/>
      <c r="CH142" s="392"/>
      <c r="CI142" s="392"/>
      <c r="CJ142" s="715">
        <v>2024</v>
      </c>
      <c r="CK142" s="716"/>
      <c r="CL142" s="716"/>
      <c r="CM142" s="717"/>
      <c r="CN142" s="392"/>
      <c r="CO142" s="392"/>
      <c r="CP142" s="715">
        <v>2025</v>
      </c>
      <c r="CQ142" s="716"/>
      <c r="CR142" s="716"/>
      <c r="CS142" s="717"/>
      <c r="CT142" s="392"/>
    </row>
    <row r="143" spans="1:98" ht="15.75" thickBot="1" x14ac:dyDescent="0.35">
      <c r="D143" s="393" t="s">
        <v>20</v>
      </c>
      <c r="E143" s="394" t="s">
        <v>19</v>
      </c>
      <c r="F143" s="394" t="s">
        <v>22</v>
      </c>
      <c r="G143" s="395" t="s">
        <v>21</v>
      </c>
      <c r="H143" s="396" t="s">
        <v>39</v>
      </c>
      <c r="I143" s="392"/>
      <c r="J143" s="393" t="s">
        <v>20</v>
      </c>
      <c r="K143" s="394" t="s">
        <v>19</v>
      </c>
      <c r="L143" s="394" t="s">
        <v>22</v>
      </c>
      <c r="M143" s="395" t="s">
        <v>21</v>
      </c>
      <c r="N143" s="396" t="s">
        <v>39</v>
      </c>
      <c r="O143" s="392"/>
      <c r="P143" s="393" t="s">
        <v>20</v>
      </c>
      <c r="Q143" s="394" t="s">
        <v>19</v>
      </c>
      <c r="R143" s="394" t="s">
        <v>22</v>
      </c>
      <c r="S143" s="395" t="s">
        <v>21</v>
      </c>
      <c r="T143" s="396" t="s">
        <v>39</v>
      </c>
      <c r="U143" s="392"/>
      <c r="V143" s="393" t="s">
        <v>20</v>
      </c>
      <c r="W143" s="394" t="s">
        <v>19</v>
      </c>
      <c r="X143" s="394" t="s">
        <v>22</v>
      </c>
      <c r="Y143" s="395" t="s">
        <v>21</v>
      </c>
      <c r="Z143" s="396" t="s">
        <v>39</v>
      </c>
      <c r="AA143" s="392"/>
      <c r="AB143" s="393" t="s">
        <v>20</v>
      </c>
      <c r="AC143" s="394" t="s">
        <v>19</v>
      </c>
      <c r="AD143" s="394" t="s">
        <v>22</v>
      </c>
      <c r="AE143" s="395" t="s">
        <v>21</v>
      </c>
      <c r="AF143" s="396" t="s">
        <v>39</v>
      </c>
      <c r="AG143" s="392"/>
      <c r="AH143" s="393" t="s">
        <v>20</v>
      </c>
      <c r="AI143" s="394" t="s">
        <v>19</v>
      </c>
      <c r="AJ143" s="394" t="s">
        <v>22</v>
      </c>
      <c r="AK143" s="395" t="s">
        <v>21</v>
      </c>
      <c r="AL143" s="396" t="s">
        <v>39</v>
      </c>
      <c r="AM143" s="392"/>
      <c r="AN143" s="393" t="s">
        <v>20</v>
      </c>
      <c r="AO143" s="394" t="s">
        <v>19</v>
      </c>
      <c r="AP143" s="394" t="s">
        <v>22</v>
      </c>
      <c r="AQ143" s="395" t="s">
        <v>21</v>
      </c>
      <c r="AR143" s="396" t="s">
        <v>39</v>
      </c>
      <c r="AS143" s="392"/>
      <c r="AT143" s="393" t="s">
        <v>20</v>
      </c>
      <c r="AU143" s="394" t="s">
        <v>19</v>
      </c>
      <c r="AV143" s="394" t="s">
        <v>22</v>
      </c>
      <c r="AW143" s="395" t="s">
        <v>21</v>
      </c>
      <c r="AX143" s="396" t="s">
        <v>39</v>
      </c>
      <c r="AY143" s="392"/>
      <c r="AZ143" s="393" t="s">
        <v>20</v>
      </c>
      <c r="BA143" s="394" t="s">
        <v>19</v>
      </c>
      <c r="BB143" s="394" t="s">
        <v>22</v>
      </c>
      <c r="BC143" s="395" t="s">
        <v>21</v>
      </c>
      <c r="BD143" s="396" t="s">
        <v>39</v>
      </c>
      <c r="BE143" s="392"/>
      <c r="BF143" s="393" t="s">
        <v>20</v>
      </c>
      <c r="BG143" s="394" t="s">
        <v>19</v>
      </c>
      <c r="BH143" s="394" t="s">
        <v>22</v>
      </c>
      <c r="BI143" s="395" t="s">
        <v>21</v>
      </c>
      <c r="BJ143" s="396" t="s">
        <v>39</v>
      </c>
      <c r="BK143" s="392"/>
      <c r="BL143" s="393" t="s">
        <v>20</v>
      </c>
      <c r="BM143" s="394" t="s">
        <v>19</v>
      </c>
      <c r="BN143" s="394" t="s">
        <v>22</v>
      </c>
      <c r="BO143" s="395" t="s">
        <v>21</v>
      </c>
      <c r="BP143" s="396" t="s">
        <v>39</v>
      </c>
      <c r="BQ143" s="392"/>
      <c r="BR143" s="393" t="s">
        <v>20</v>
      </c>
      <c r="BS143" s="394" t="s">
        <v>19</v>
      </c>
      <c r="BT143" s="394" t="s">
        <v>22</v>
      </c>
      <c r="BU143" s="395" t="s">
        <v>21</v>
      </c>
      <c r="BV143" s="396" t="s">
        <v>39</v>
      </c>
      <c r="BW143" s="392"/>
      <c r="BX143" s="393" t="s">
        <v>20</v>
      </c>
      <c r="BY143" s="394" t="s">
        <v>19</v>
      </c>
      <c r="BZ143" s="394" t="s">
        <v>22</v>
      </c>
      <c r="CA143" s="395" t="s">
        <v>21</v>
      </c>
      <c r="CB143" s="396" t="s">
        <v>39</v>
      </c>
      <c r="CC143" s="392"/>
      <c r="CD143" s="393" t="s">
        <v>20</v>
      </c>
      <c r="CE143" s="394" t="s">
        <v>19</v>
      </c>
      <c r="CF143" s="394" t="s">
        <v>22</v>
      </c>
      <c r="CG143" s="395" t="s">
        <v>21</v>
      </c>
      <c r="CH143" s="396" t="s">
        <v>39</v>
      </c>
      <c r="CI143" s="392"/>
      <c r="CJ143" s="393" t="s">
        <v>20</v>
      </c>
      <c r="CK143" s="394" t="s">
        <v>19</v>
      </c>
      <c r="CL143" s="394" t="s">
        <v>22</v>
      </c>
      <c r="CM143" s="395" t="s">
        <v>21</v>
      </c>
      <c r="CN143" s="396" t="s">
        <v>39</v>
      </c>
      <c r="CO143" s="392"/>
      <c r="CP143" s="393" t="s">
        <v>20</v>
      </c>
      <c r="CQ143" s="394" t="s">
        <v>19</v>
      </c>
      <c r="CR143" s="394" t="s">
        <v>22</v>
      </c>
      <c r="CS143" s="395" t="s">
        <v>21</v>
      </c>
      <c r="CT143" s="396" t="s">
        <v>39</v>
      </c>
    </row>
    <row r="144" spans="1:98" ht="15.75" thickBot="1" x14ac:dyDescent="0.35"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</row>
    <row r="145" spans="2:98" ht="15" x14ac:dyDescent="0.3">
      <c r="B145" s="38" t="s">
        <v>25</v>
      </c>
      <c r="D145" s="30">
        <f>D5+D75</f>
        <v>40430</v>
      </c>
      <c r="E145" s="4">
        <f>D147</f>
        <v>41044</v>
      </c>
      <c r="F145" s="4">
        <f>E147</f>
        <v>41254</v>
      </c>
      <c r="G145" s="4">
        <f>F147</f>
        <v>41614</v>
      </c>
      <c r="H145" s="53">
        <f>D145</f>
        <v>40430</v>
      </c>
      <c r="I145" s="1"/>
      <c r="J145" s="30">
        <f>H147</f>
        <v>41889</v>
      </c>
      <c r="K145" s="4">
        <f>J147</f>
        <v>42516</v>
      </c>
      <c r="L145" s="4">
        <f>K147</f>
        <v>42665</v>
      </c>
      <c r="M145" s="4">
        <f>L147</f>
        <v>42860</v>
      </c>
      <c r="N145" s="53">
        <f>J145</f>
        <v>41889</v>
      </c>
      <c r="O145" s="1"/>
      <c r="P145" s="30">
        <f>N147</f>
        <v>42532</v>
      </c>
      <c r="Q145" s="4">
        <f>P147</f>
        <v>42851</v>
      </c>
      <c r="R145" s="4">
        <f>Q147</f>
        <v>42460</v>
      </c>
      <c r="S145" s="4">
        <f>R147</f>
        <v>42307</v>
      </c>
      <c r="T145" s="53">
        <f>P145</f>
        <v>42532</v>
      </c>
      <c r="U145" s="1"/>
      <c r="V145" s="30">
        <f>T147</f>
        <v>42276</v>
      </c>
      <c r="W145" s="4">
        <f>V147</f>
        <v>42964</v>
      </c>
      <c r="X145" s="4">
        <f>W147</f>
        <v>44016</v>
      </c>
      <c r="Y145" s="4">
        <f>X147</f>
        <v>45039</v>
      </c>
      <c r="Z145" s="53">
        <f>V145</f>
        <v>42276</v>
      </c>
      <c r="AA145" s="1"/>
      <c r="AB145" s="30">
        <f>Y147</f>
        <v>46684</v>
      </c>
      <c r="AC145" s="4">
        <f>AB147</f>
        <v>49075</v>
      </c>
      <c r="AD145" s="4">
        <f>AC147</f>
        <v>50545</v>
      </c>
      <c r="AE145" s="4">
        <f>AD147</f>
        <v>52890</v>
      </c>
      <c r="AF145" s="53">
        <f>AB145</f>
        <v>46684</v>
      </c>
      <c r="AG145" s="1"/>
      <c r="AH145" s="30">
        <f>AE147</f>
        <v>55018</v>
      </c>
      <c r="AI145" s="4">
        <f>AH147</f>
        <v>56836</v>
      </c>
      <c r="AJ145" s="4">
        <f>AI147</f>
        <v>58908</v>
      </c>
      <c r="AK145" s="4">
        <f>AJ147</f>
        <v>61220</v>
      </c>
      <c r="AL145" s="53">
        <f>AH145</f>
        <v>55018</v>
      </c>
      <c r="AM145" s="1"/>
      <c r="AN145" s="30">
        <f>AK147</f>
        <v>63282</v>
      </c>
      <c r="AO145" s="4">
        <f>AN147</f>
        <v>65503</v>
      </c>
      <c r="AP145" s="4">
        <f>AO147</f>
        <v>67384</v>
      </c>
      <c r="AQ145" s="4">
        <f>AP147</f>
        <v>69354</v>
      </c>
      <c r="AR145" s="53">
        <f>AN145</f>
        <v>63282</v>
      </c>
      <c r="AS145" s="1"/>
      <c r="AT145" s="30">
        <f>AQ147</f>
        <v>71455</v>
      </c>
      <c r="AU145" s="4">
        <f>AT147</f>
        <v>72597</v>
      </c>
      <c r="AV145" s="4">
        <f>AU147</f>
        <v>69562</v>
      </c>
      <c r="AW145" s="4">
        <f>AV147</f>
        <v>70731</v>
      </c>
      <c r="AX145" s="53">
        <f>AT145</f>
        <v>71455</v>
      </c>
      <c r="AY145" s="1"/>
      <c r="AZ145" s="30">
        <f>AW147</f>
        <v>72585</v>
      </c>
      <c r="BA145" s="4">
        <f>AZ147</f>
        <v>74060</v>
      </c>
      <c r="BB145" s="4">
        <f>BA147</f>
        <v>75085</v>
      </c>
      <c r="BC145" s="4">
        <f>BB147</f>
        <v>76210</v>
      </c>
      <c r="BD145" s="53">
        <f>AZ145</f>
        <v>72585</v>
      </c>
      <c r="BE145" s="1"/>
      <c r="BF145" s="30">
        <f>BC147</f>
        <v>77660</v>
      </c>
      <c r="BG145" s="4">
        <f>BF147</f>
        <v>78660</v>
      </c>
      <c r="BH145" s="4">
        <f>BG147</f>
        <v>79660</v>
      </c>
      <c r="BI145" s="4">
        <f>BH147</f>
        <v>80660</v>
      </c>
      <c r="BJ145" s="53">
        <f>BF145</f>
        <v>77660</v>
      </c>
      <c r="BK145" s="1"/>
      <c r="BL145" s="30">
        <f>BI147</f>
        <v>81910</v>
      </c>
      <c r="BM145" s="4">
        <f>BL147</f>
        <v>82735</v>
      </c>
      <c r="BN145" s="4">
        <f>BM147</f>
        <v>83560</v>
      </c>
      <c r="BO145" s="4">
        <f>BN147</f>
        <v>84385</v>
      </c>
      <c r="BP145" s="53">
        <f>BL145</f>
        <v>81910</v>
      </c>
      <c r="BQ145" s="1"/>
      <c r="BR145" s="30">
        <f>BO147</f>
        <v>85385</v>
      </c>
      <c r="BS145" s="4">
        <f>BR147</f>
        <v>86060</v>
      </c>
      <c r="BT145" s="4">
        <f>BS147</f>
        <v>86735</v>
      </c>
      <c r="BU145" s="4">
        <f>BT147</f>
        <v>87410</v>
      </c>
      <c r="BV145" s="53">
        <f>BR145</f>
        <v>85385</v>
      </c>
      <c r="BW145" s="1"/>
      <c r="BX145" s="30">
        <f>BU147</f>
        <v>88160</v>
      </c>
      <c r="BY145" s="4">
        <f>BX147</f>
        <v>88685</v>
      </c>
      <c r="BZ145" s="4">
        <f>BY147</f>
        <v>89210</v>
      </c>
      <c r="CA145" s="4">
        <f>BZ147</f>
        <v>89735</v>
      </c>
      <c r="CB145" s="53">
        <f>BX145</f>
        <v>88160</v>
      </c>
      <c r="CC145" s="1"/>
      <c r="CD145" s="30">
        <f>CA147</f>
        <v>90335</v>
      </c>
      <c r="CE145" s="4">
        <f>CD147</f>
        <v>90760</v>
      </c>
      <c r="CF145" s="4">
        <f>CE147</f>
        <v>91185</v>
      </c>
      <c r="CG145" s="4">
        <f>CF147</f>
        <v>91610</v>
      </c>
      <c r="CH145" s="53">
        <f>CD145</f>
        <v>90335</v>
      </c>
      <c r="CI145" s="1"/>
      <c r="CJ145" s="30">
        <f>CG147</f>
        <v>92085</v>
      </c>
      <c r="CK145" s="4">
        <f>CJ147</f>
        <v>92335</v>
      </c>
      <c r="CL145" s="4">
        <f>CK147</f>
        <v>92585</v>
      </c>
      <c r="CM145" s="4">
        <f>CL147</f>
        <v>92835</v>
      </c>
      <c r="CN145" s="53">
        <f>CJ145</f>
        <v>92085</v>
      </c>
      <c r="CO145" s="1"/>
      <c r="CP145" s="30">
        <f>CM147</f>
        <v>93135</v>
      </c>
      <c r="CQ145" s="4">
        <f>CP147</f>
        <v>93335</v>
      </c>
      <c r="CR145" s="4">
        <f>CQ147</f>
        <v>93535</v>
      </c>
      <c r="CS145" s="4">
        <f>CR147</f>
        <v>93735</v>
      </c>
      <c r="CT145" s="53">
        <f>CP145</f>
        <v>93135</v>
      </c>
    </row>
    <row r="146" spans="2:98" ht="15" x14ac:dyDescent="0.3">
      <c r="B146" s="39" t="s">
        <v>26</v>
      </c>
      <c r="D146" s="44">
        <f>D147-D145</f>
        <v>614</v>
      </c>
      <c r="E146" s="558">
        <f>E147-E145</f>
        <v>210</v>
      </c>
      <c r="F146" s="558">
        <f>F147-F145</f>
        <v>360</v>
      </c>
      <c r="G146" s="558">
        <f>G147-G145</f>
        <v>275</v>
      </c>
      <c r="H146" s="54">
        <f>D146+E146+F146+G146</f>
        <v>1459</v>
      </c>
      <c r="I146" s="432"/>
      <c r="J146" s="44">
        <f>J147-J145</f>
        <v>627</v>
      </c>
      <c r="K146" s="558">
        <f>K147-K145</f>
        <v>149</v>
      </c>
      <c r="L146" s="558">
        <f>L147-L145</f>
        <v>195</v>
      </c>
      <c r="M146" s="558">
        <f>M147-M145</f>
        <v>-328</v>
      </c>
      <c r="N146" s="54">
        <f>J146+K146+L146+M146</f>
        <v>643</v>
      </c>
      <c r="O146" s="432"/>
      <c r="P146" s="44">
        <f>P147-P145</f>
        <v>319</v>
      </c>
      <c r="Q146" s="558">
        <f>Q147-Q145</f>
        <v>-391</v>
      </c>
      <c r="R146" s="558">
        <f>R147-R145</f>
        <v>-153</v>
      </c>
      <c r="S146" s="558">
        <f>S147-S145</f>
        <v>-31</v>
      </c>
      <c r="T146" s="54">
        <f>P146+Q146+R146+S146</f>
        <v>-256</v>
      </c>
      <c r="U146" s="432"/>
      <c r="V146" s="44">
        <f>V147-V145</f>
        <v>688</v>
      </c>
      <c r="W146" s="558">
        <f>W147-W145</f>
        <v>1052</v>
      </c>
      <c r="X146" s="558">
        <f>X147-X145</f>
        <v>1023</v>
      </c>
      <c r="Y146" s="558">
        <f>Y147-Y145</f>
        <v>1645</v>
      </c>
      <c r="Z146" s="54">
        <f>V146+W146+X146+Y146</f>
        <v>4408</v>
      </c>
      <c r="AA146" s="432"/>
      <c r="AB146" s="44">
        <v>2391</v>
      </c>
      <c r="AC146" s="558">
        <v>1470</v>
      </c>
      <c r="AD146" s="558">
        <v>2345</v>
      </c>
      <c r="AE146" s="558">
        <v>2128</v>
      </c>
      <c r="AF146" s="54">
        <f>AB146+AC146+AD146+AE146</f>
        <v>8334</v>
      </c>
      <c r="AG146" s="432"/>
      <c r="AH146" s="44">
        <v>1818</v>
      </c>
      <c r="AI146" s="558">
        <v>2072</v>
      </c>
      <c r="AJ146" s="558">
        <v>2312</v>
      </c>
      <c r="AK146" s="558">
        <v>2062</v>
      </c>
      <c r="AL146" s="54">
        <f>AH146+AI146+AJ146+AK146</f>
        <v>8264</v>
      </c>
      <c r="AM146" s="432"/>
      <c r="AN146" s="44">
        <v>2221</v>
      </c>
      <c r="AO146" s="558">
        <v>1881</v>
      </c>
      <c r="AP146" s="558">
        <v>1970</v>
      </c>
      <c r="AQ146" s="558">
        <v>2101</v>
      </c>
      <c r="AR146" s="54">
        <f>AN146+AO146+AP146+AQ146</f>
        <v>8173</v>
      </c>
      <c r="AS146" s="432"/>
      <c r="AT146" s="44">
        <v>1142</v>
      </c>
      <c r="AU146" s="558">
        <v>-3035</v>
      </c>
      <c r="AV146" s="558">
        <v>1169</v>
      </c>
      <c r="AW146" s="558">
        <v>1854</v>
      </c>
      <c r="AX146" s="54">
        <f>AT146+AU146+AV146+AW146</f>
        <v>1130</v>
      </c>
      <c r="AY146" s="432"/>
      <c r="AZ146" s="44">
        <v>1475</v>
      </c>
      <c r="BA146" s="558">
        <v>1025</v>
      </c>
      <c r="BB146" s="558">
        <v>1125</v>
      </c>
      <c r="BC146" s="558">
        <v>1450</v>
      </c>
      <c r="BD146" s="54">
        <f>AZ146+BA146+BB146+BC146</f>
        <v>5075</v>
      </c>
      <c r="BE146" s="432"/>
      <c r="BF146" s="44">
        <v>1000</v>
      </c>
      <c r="BG146" s="558">
        <f>BF146</f>
        <v>1000</v>
      </c>
      <c r="BH146" s="558">
        <f>BG146</f>
        <v>1000</v>
      </c>
      <c r="BI146" s="558">
        <v>1250</v>
      </c>
      <c r="BJ146" s="54">
        <f>BF146+BG146+BH146+BI146</f>
        <v>4250</v>
      </c>
      <c r="BK146" s="432"/>
      <c r="BL146" s="44">
        <v>825</v>
      </c>
      <c r="BM146" s="558">
        <f>BL146</f>
        <v>825</v>
      </c>
      <c r="BN146" s="558">
        <f>BM146</f>
        <v>825</v>
      </c>
      <c r="BO146" s="558">
        <v>1000</v>
      </c>
      <c r="BP146" s="54">
        <f>BL146+BM146+BN146+BO146</f>
        <v>3475</v>
      </c>
      <c r="BQ146" s="432"/>
      <c r="BR146" s="44">
        <v>675</v>
      </c>
      <c r="BS146" s="558">
        <f>BR146</f>
        <v>675</v>
      </c>
      <c r="BT146" s="558">
        <f>BS146</f>
        <v>675</v>
      </c>
      <c r="BU146" s="558">
        <v>750</v>
      </c>
      <c r="BV146" s="54">
        <f>BR146+BS146+BT146+BU146</f>
        <v>2775</v>
      </c>
      <c r="BW146" s="432"/>
      <c r="BX146" s="44">
        <v>525</v>
      </c>
      <c r="BY146" s="558">
        <f>BX146</f>
        <v>525</v>
      </c>
      <c r="BZ146" s="558">
        <f>BY146</f>
        <v>525</v>
      </c>
      <c r="CA146" s="558">
        <v>600</v>
      </c>
      <c r="CB146" s="54">
        <f>BX146+BY146+BZ146+CA146</f>
        <v>2175</v>
      </c>
      <c r="CC146" s="432"/>
      <c r="CD146" s="44">
        <v>425</v>
      </c>
      <c r="CE146" s="558">
        <f>CD146</f>
        <v>425</v>
      </c>
      <c r="CF146" s="558">
        <f>CE146</f>
        <v>425</v>
      </c>
      <c r="CG146" s="558">
        <v>475</v>
      </c>
      <c r="CH146" s="54">
        <f>CD146+CE146+CF146+CG146</f>
        <v>1750</v>
      </c>
      <c r="CI146" s="432"/>
      <c r="CJ146" s="44">
        <v>250</v>
      </c>
      <c r="CK146" s="558">
        <f>CJ146</f>
        <v>250</v>
      </c>
      <c r="CL146" s="558">
        <f>CK146</f>
        <v>250</v>
      </c>
      <c r="CM146" s="558">
        <v>300</v>
      </c>
      <c r="CN146" s="54">
        <f>CJ146+CK146+CL146+CM146</f>
        <v>1050</v>
      </c>
      <c r="CO146" s="432"/>
      <c r="CP146" s="44">
        <v>200</v>
      </c>
      <c r="CQ146" s="558">
        <f>CP146</f>
        <v>200</v>
      </c>
      <c r="CR146" s="558">
        <f>CQ146</f>
        <v>200</v>
      </c>
      <c r="CS146" s="558">
        <v>250</v>
      </c>
      <c r="CT146" s="54">
        <f>CP146+CQ146+CR146+CS146</f>
        <v>850</v>
      </c>
    </row>
    <row r="147" spans="2:98" ht="15" x14ac:dyDescent="0.3">
      <c r="B147" s="40" t="s">
        <v>27</v>
      </c>
      <c r="D147" s="33">
        <f>D7+D77</f>
        <v>41044</v>
      </c>
      <c r="E147" s="7">
        <f>E7+E77</f>
        <v>41254</v>
      </c>
      <c r="F147" s="7">
        <f>F7+F77</f>
        <v>41614</v>
      </c>
      <c r="G147" s="7">
        <f>G7+G77</f>
        <v>41889</v>
      </c>
      <c r="H147" s="55">
        <f>G147</f>
        <v>41889</v>
      </c>
      <c r="I147" s="1"/>
      <c r="J147" s="33">
        <f>J7+J77</f>
        <v>42516</v>
      </c>
      <c r="K147" s="7">
        <f>K7+K77</f>
        <v>42665</v>
      </c>
      <c r="L147" s="7">
        <f>L7+L77</f>
        <v>42860</v>
      </c>
      <c r="M147" s="7">
        <f>M7+M77</f>
        <v>42532</v>
      </c>
      <c r="N147" s="55">
        <f>M147</f>
        <v>42532</v>
      </c>
      <c r="O147" s="1"/>
      <c r="P147" s="33">
        <f>P7+P77</f>
        <v>42851</v>
      </c>
      <c r="Q147" s="7">
        <f>Q7+Q77</f>
        <v>42460</v>
      </c>
      <c r="R147" s="7">
        <f>R7+R77</f>
        <v>42307</v>
      </c>
      <c r="S147" s="7">
        <f>S7+S77</f>
        <v>42276</v>
      </c>
      <c r="T147" s="55">
        <f>S147</f>
        <v>42276</v>
      </c>
      <c r="U147" s="1"/>
      <c r="V147" s="33">
        <f>V7+V77</f>
        <v>42964</v>
      </c>
      <c r="W147" s="7">
        <f>W7+W77</f>
        <v>44016</v>
      </c>
      <c r="X147" s="7">
        <f>X7+X77</f>
        <v>45039</v>
      </c>
      <c r="Y147" s="7">
        <f>Y7+Y77</f>
        <v>46684</v>
      </c>
      <c r="Z147" s="55">
        <f>Y147</f>
        <v>46684</v>
      </c>
      <c r="AA147" s="1"/>
      <c r="AB147" s="33">
        <f>AB145+AB146</f>
        <v>49075</v>
      </c>
      <c r="AC147" s="91">
        <f>AC145+AC146</f>
        <v>50545</v>
      </c>
      <c r="AD147" s="91">
        <f>AD145+AD146</f>
        <v>52890</v>
      </c>
      <c r="AE147" s="91">
        <f>AE145+AE146</f>
        <v>55018</v>
      </c>
      <c r="AF147" s="55">
        <f>AE147</f>
        <v>55018</v>
      </c>
      <c r="AG147" s="1"/>
      <c r="AH147" s="33">
        <f>AH145+AH146</f>
        <v>56836</v>
      </c>
      <c r="AI147" s="91">
        <f>AI145+AI146</f>
        <v>58908</v>
      </c>
      <c r="AJ147" s="91">
        <f>AJ145+AJ146</f>
        <v>61220</v>
      </c>
      <c r="AK147" s="91">
        <f>AK145+AK146</f>
        <v>63282</v>
      </c>
      <c r="AL147" s="55">
        <f>AK147</f>
        <v>63282</v>
      </c>
      <c r="AM147" s="1"/>
      <c r="AN147" s="33">
        <f>AN145+AN146</f>
        <v>65503</v>
      </c>
      <c r="AO147" s="91">
        <f>AO145+AO146</f>
        <v>67384</v>
      </c>
      <c r="AP147" s="91">
        <f>AP145+AP146</f>
        <v>69354</v>
      </c>
      <c r="AQ147" s="91">
        <f>AQ145+AQ146</f>
        <v>71455</v>
      </c>
      <c r="AR147" s="55">
        <f>AQ147</f>
        <v>71455</v>
      </c>
      <c r="AS147" s="1"/>
      <c r="AT147" s="33">
        <f>AT145+AT146</f>
        <v>72597</v>
      </c>
      <c r="AU147" s="91">
        <f>AU145+AU146</f>
        <v>69562</v>
      </c>
      <c r="AV147" s="91">
        <f>AV145+AV146</f>
        <v>70731</v>
      </c>
      <c r="AW147" s="91">
        <f>AW145+AW146</f>
        <v>72585</v>
      </c>
      <c r="AX147" s="55">
        <f>AW147</f>
        <v>72585</v>
      </c>
      <c r="AY147" s="1"/>
      <c r="AZ147" s="33">
        <f>AZ145+AZ146</f>
        <v>74060</v>
      </c>
      <c r="BA147" s="91">
        <f>BA145+BA146</f>
        <v>75085</v>
      </c>
      <c r="BB147" s="91">
        <f>BB145+BB146</f>
        <v>76210</v>
      </c>
      <c r="BC147" s="91">
        <f>BC145+BC146</f>
        <v>77660</v>
      </c>
      <c r="BD147" s="55">
        <f>BC147</f>
        <v>77660</v>
      </c>
      <c r="BE147" s="1"/>
      <c r="BF147" s="33">
        <f>BF145+BF146</f>
        <v>78660</v>
      </c>
      <c r="BG147" s="91">
        <f>BG145+BG146</f>
        <v>79660</v>
      </c>
      <c r="BH147" s="91">
        <f>BH145+BH146</f>
        <v>80660</v>
      </c>
      <c r="BI147" s="91">
        <f>BI145+BI146</f>
        <v>81910</v>
      </c>
      <c r="BJ147" s="55">
        <f>BI147</f>
        <v>81910</v>
      </c>
      <c r="BK147" s="1"/>
      <c r="BL147" s="33">
        <f>BL145+BL146</f>
        <v>82735</v>
      </c>
      <c r="BM147" s="91">
        <f>BM145+BM146</f>
        <v>83560</v>
      </c>
      <c r="BN147" s="91">
        <f>BN145+BN146</f>
        <v>84385</v>
      </c>
      <c r="BO147" s="91">
        <f>BO145+BO146</f>
        <v>85385</v>
      </c>
      <c r="BP147" s="55">
        <f>BO147</f>
        <v>85385</v>
      </c>
      <c r="BQ147" s="1"/>
      <c r="BR147" s="33">
        <f>BR145+BR146</f>
        <v>86060</v>
      </c>
      <c r="BS147" s="91">
        <f>BS145+BS146</f>
        <v>86735</v>
      </c>
      <c r="BT147" s="91">
        <f>BT145+BT146</f>
        <v>87410</v>
      </c>
      <c r="BU147" s="91">
        <f>BU145+BU146</f>
        <v>88160</v>
      </c>
      <c r="BV147" s="55">
        <f>BU147</f>
        <v>88160</v>
      </c>
      <c r="BW147" s="1"/>
      <c r="BX147" s="33">
        <f>BX145+BX146</f>
        <v>88685</v>
      </c>
      <c r="BY147" s="91">
        <f>BY145+BY146</f>
        <v>89210</v>
      </c>
      <c r="BZ147" s="91">
        <f>BZ145+BZ146</f>
        <v>89735</v>
      </c>
      <c r="CA147" s="91">
        <f>CA145+CA146</f>
        <v>90335</v>
      </c>
      <c r="CB147" s="55">
        <f>CA147</f>
        <v>90335</v>
      </c>
      <c r="CC147" s="1"/>
      <c r="CD147" s="33">
        <f>CD145+CD146</f>
        <v>90760</v>
      </c>
      <c r="CE147" s="91">
        <f>CE145+CE146</f>
        <v>91185</v>
      </c>
      <c r="CF147" s="91">
        <f>CF145+CF146</f>
        <v>91610</v>
      </c>
      <c r="CG147" s="91">
        <f>CG145+CG146</f>
        <v>92085</v>
      </c>
      <c r="CH147" s="55">
        <f>CG147</f>
        <v>92085</v>
      </c>
      <c r="CI147" s="1"/>
      <c r="CJ147" s="33">
        <f>CJ145+CJ146</f>
        <v>92335</v>
      </c>
      <c r="CK147" s="91">
        <f>CK145+CK146</f>
        <v>92585</v>
      </c>
      <c r="CL147" s="91">
        <f>CL145+CL146</f>
        <v>92835</v>
      </c>
      <c r="CM147" s="91">
        <f>CM145+CM146</f>
        <v>93135</v>
      </c>
      <c r="CN147" s="55">
        <f>CM147</f>
        <v>93135</v>
      </c>
      <c r="CO147" s="1"/>
      <c r="CP147" s="33">
        <f>CP145+CP146</f>
        <v>93335</v>
      </c>
      <c r="CQ147" s="91">
        <f>CQ145+CQ146</f>
        <v>93535</v>
      </c>
      <c r="CR147" s="91">
        <f>CR145+CR146</f>
        <v>93735</v>
      </c>
      <c r="CS147" s="91">
        <f>CS145+CS146</f>
        <v>93985</v>
      </c>
      <c r="CT147" s="55">
        <f>CS147</f>
        <v>93985</v>
      </c>
    </row>
    <row r="148" spans="2:98" ht="15.75" thickBot="1" x14ac:dyDescent="0.35">
      <c r="B148" s="41" t="s">
        <v>28</v>
      </c>
      <c r="D148" s="29">
        <f>D147-D146/2</f>
        <v>40737</v>
      </c>
      <c r="E148" s="461">
        <f>E147-E146/2</f>
        <v>41149</v>
      </c>
      <c r="F148" s="461">
        <f>F147-F146/2</f>
        <v>41434</v>
      </c>
      <c r="G148" s="461">
        <f>G147-G146/2</f>
        <v>41751.5</v>
      </c>
      <c r="H148" s="56">
        <f>(D148+E148+F148+G148)/4</f>
        <v>41267.875</v>
      </c>
      <c r="I148" s="1"/>
      <c r="J148" s="29">
        <f>J147-J146/2</f>
        <v>42202.5</v>
      </c>
      <c r="K148" s="461">
        <f>K147-K146/2</f>
        <v>42590.5</v>
      </c>
      <c r="L148" s="461">
        <f>L147-L146/2</f>
        <v>42762.5</v>
      </c>
      <c r="M148" s="461">
        <f>M147-M146/2</f>
        <v>42696</v>
      </c>
      <c r="N148" s="56">
        <f>(J148+K148+L148+M148)/4</f>
        <v>42562.875</v>
      </c>
      <c r="O148" s="1"/>
      <c r="P148" s="29">
        <f>P147-P146/2</f>
        <v>42691.5</v>
      </c>
      <c r="Q148" s="461">
        <f>Q147-Q146/2</f>
        <v>42655.5</v>
      </c>
      <c r="R148" s="461">
        <f>R147-R146/2</f>
        <v>42383.5</v>
      </c>
      <c r="S148" s="461">
        <f>S147-S146/2</f>
        <v>42291.5</v>
      </c>
      <c r="T148" s="56">
        <f>(P148+Q148+R148+S148)/4</f>
        <v>42505.5</v>
      </c>
      <c r="U148" s="1"/>
      <c r="V148" s="29">
        <f>V147-V146/2</f>
        <v>42620</v>
      </c>
      <c r="W148" s="461">
        <f>W147-W146/2</f>
        <v>43490</v>
      </c>
      <c r="X148" s="461">
        <f>X147-X146/2</f>
        <v>44527.5</v>
      </c>
      <c r="Y148" s="461">
        <f>Y147-Y146/2</f>
        <v>45861.5</v>
      </c>
      <c r="Z148" s="56">
        <f>(V148+W148+X148+Y148)/4</f>
        <v>44124.75</v>
      </c>
      <c r="AA148" s="1"/>
      <c r="AB148" s="77">
        <f>AB147-AB146/2</f>
        <v>47879.5</v>
      </c>
      <c r="AC148" s="92">
        <f>AC147-AC146/2</f>
        <v>49810</v>
      </c>
      <c r="AD148" s="92">
        <f>AD147-AD146/2</f>
        <v>51717.5</v>
      </c>
      <c r="AE148" s="92">
        <f>AE147-AE146/2</f>
        <v>53954</v>
      </c>
      <c r="AF148" s="74">
        <f>(AB148+AC148+AD148+AE148)/4</f>
        <v>50840.25</v>
      </c>
      <c r="AG148" s="1"/>
      <c r="AH148" s="77">
        <f>AH147-AH146/2</f>
        <v>55927</v>
      </c>
      <c r="AI148" s="92">
        <f>AI147-AI146/2</f>
        <v>57872</v>
      </c>
      <c r="AJ148" s="92">
        <f>AJ147-AJ146/2</f>
        <v>60064</v>
      </c>
      <c r="AK148" s="92">
        <f>AK147-AK146/2</f>
        <v>62251</v>
      </c>
      <c r="AL148" s="74">
        <f>(AH148+AI148+AJ148+AK148)/4</f>
        <v>59028.5</v>
      </c>
      <c r="AM148" s="1"/>
      <c r="AN148" s="77">
        <f>AN147-AN146/2</f>
        <v>64392.5</v>
      </c>
      <c r="AO148" s="92">
        <f>AO147-AO146/2</f>
        <v>66443.5</v>
      </c>
      <c r="AP148" s="92">
        <f>AP147-AP146/2</f>
        <v>68369</v>
      </c>
      <c r="AQ148" s="92">
        <f>AQ147-AQ146/2</f>
        <v>70404.5</v>
      </c>
      <c r="AR148" s="74">
        <f>(AN148+AO148+AP148+AQ148)/4</f>
        <v>67402.375</v>
      </c>
      <c r="AS148" s="1"/>
      <c r="AT148" s="77">
        <f>AT147-AT146/2</f>
        <v>72026</v>
      </c>
      <c r="AU148" s="92">
        <f>AU147-AU146/2</f>
        <v>71079.5</v>
      </c>
      <c r="AV148" s="92">
        <f>AV147-AV146/2</f>
        <v>70146.5</v>
      </c>
      <c r="AW148" s="92">
        <f>AW147-AW146/2</f>
        <v>71658</v>
      </c>
      <c r="AX148" s="74">
        <f>(AT148+AU148+AV148+AW148)/4</f>
        <v>71227.5</v>
      </c>
      <c r="AY148" s="1"/>
      <c r="AZ148" s="77">
        <f>AZ147-AZ146/2</f>
        <v>73322.5</v>
      </c>
      <c r="BA148" s="92">
        <f>BA147-BA146/2</f>
        <v>74572.5</v>
      </c>
      <c r="BB148" s="92">
        <f>BB147-BB146/2</f>
        <v>75647.5</v>
      </c>
      <c r="BC148" s="92">
        <f>BC147-BC146/2</f>
        <v>76935</v>
      </c>
      <c r="BD148" s="74">
        <f>(AZ148+BA148+BB148+BC148)/4</f>
        <v>75119.375</v>
      </c>
      <c r="BE148" s="1"/>
      <c r="BF148" s="77">
        <f>BF147-BF146/2</f>
        <v>78160</v>
      </c>
      <c r="BG148" s="92">
        <f>BG147-BG146/2</f>
        <v>79160</v>
      </c>
      <c r="BH148" s="92">
        <f>BH147-BH146/2</f>
        <v>80160</v>
      </c>
      <c r="BI148" s="92">
        <f>BI147-BI146/2</f>
        <v>81285</v>
      </c>
      <c r="BJ148" s="74">
        <f>(BF148+BG148+BH148+BI148)/4</f>
        <v>79691.25</v>
      </c>
      <c r="BK148" s="1"/>
      <c r="BL148" s="77">
        <f>BL147-BL146/2</f>
        <v>82322.5</v>
      </c>
      <c r="BM148" s="92">
        <f>BM147-BM146/2</f>
        <v>83147.5</v>
      </c>
      <c r="BN148" s="92">
        <f>BN147-BN146/2</f>
        <v>83972.5</v>
      </c>
      <c r="BO148" s="92">
        <f>BO147-BO146/2</f>
        <v>84885</v>
      </c>
      <c r="BP148" s="74">
        <f>(BL148+BM148+BN148+BO148)/4</f>
        <v>83581.875</v>
      </c>
      <c r="BQ148" s="1"/>
      <c r="BR148" s="77">
        <f>BR147-BR146/2</f>
        <v>85722.5</v>
      </c>
      <c r="BS148" s="92">
        <f>BS147-BS146/2</f>
        <v>86397.5</v>
      </c>
      <c r="BT148" s="92">
        <f>BT147-BT146/2</f>
        <v>87072.5</v>
      </c>
      <c r="BU148" s="92">
        <f>BU147-BU146/2</f>
        <v>87785</v>
      </c>
      <c r="BV148" s="74">
        <f>(BR148+BS148+BT148+BU148)/4</f>
        <v>86744.375</v>
      </c>
      <c r="BW148" s="1"/>
      <c r="BX148" s="77">
        <f>BX147-BX146/2</f>
        <v>88422.5</v>
      </c>
      <c r="BY148" s="92">
        <f>BY147-BY146/2</f>
        <v>88947.5</v>
      </c>
      <c r="BZ148" s="92">
        <f>BZ147-BZ146/2</f>
        <v>89472.5</v>
      </c>
      <c r="CA148" s="92">
        <f>CA147-CA146/2</f>
        <v>90035</v>
      </c>
      <c r="CB148" s="74">
        <f>(BX148+BY148+BZ148+CA148)/4</f>
        <v>89219.375</v>
      </c>
      <c r="CC148" s="1"/>
      <c r="CD148" s="77">
        <f>CD147-CD146/2</f>
        <v>90547.5</v>
      </c>
      <c r="CE148" s="92">
        <f>CE147-CE146/2</f>
        <v>90972.5</v>
      </c>
      <c r="CF148" s="92">
        <f>CF147-CF146/2</f>
        <v>91397.5</v>
      </c>
      <c r="CG148" s="92">
        <f>CG147-CG146/2</f>
        <v>91847.5</v>
      </c>
      <c r="CH148" s="74">
        <f>(CD148+CE148+CF148+CG148)/4</f>
        <v>91191.25</v>
      </c>
      <c r="CI148" s="1"/>
      <c r="CJ148" s="77">
        <f>CJ147-CJ146/2</f>
        <v>92210</v>
      </c>
      <c r="CK148" s="92">
        <f>CK147-CK146/2</f>
        <v>92460</v>
      </c>
      <c r="CL148" s="92">
        <f>CL147-CL146/2</f>
        <v>92710</v>
      </c>
      <c r="CM148" s="92">
        <f>CM147-CM146/2</f>
        <v>92985</v>
      </c>
      <c r="CN148" s="74">
        <f>(CJ148+CK148+CL148+CM148)/4</f>
        <v>92591.25</v>
      </c>
      <c r="CO148" s="1"/>
      <c r="CP148" s="77">
        <f>CP147-CP146/2</f>
        <v>93235</v>
      </c>
      <c r="CQ148" s="92">
        <f>CQ147-CQ146/2</f>
        <v>93435</v>
      </c>
      <c r="CR148" s="92">
        <f>CR147-CR146/2</f>
        <v>93635</v>
      </c>
      <c r="CS148" s="92">
        <f>CS147-CS146/2</f>
        <v>93860</v>
      </c>
      <c r="CT148" s="74">
        <f>(CP148+CQ148+CR148+CS148)/4</f>
        <v>93541.25</v>
      </c>
    </row>
    <row r="149" spans="2:98" ht="15" x14ac:dyDescent="0.3">
      <c r="B149" s="6" t="s">
        <v>56</v>
      </c>
      <c r="D149" s="36" t="s">
        <v>35</v>
      </c>
      <c r="E149" s="36" t="s">
        <v>35</v>
      </c>
      <c r="F149" s="36" t="s">
        <v>35</v>
      </c>
      <c r="G149" s="36" t="s">
        <v>35</v>
      </c>
      <c r="H149" s="36" t="s">
        <v>35</v>
      </c>
      <c r="I149" s="1"/>
      <c r="J149" s="36">
        <f>J148/D148-1</f>
        <v>3.5974666764857499E-2</v>
      </c>
      <c r="K149" s="36">
        <f>K148/E148-1</f>
        <v>3.5031227976378476E-2</v>
      </c>
      <c r="L149" s="36">
        <f>L148/F148-1</f>
        <v>3.2063040015446242E-2</v>
      </c>
      <c r="M149" s="36">
        <f>M148/G148-1</f>
        <v>2.2621941726644446E-2</v>
      </c>
      <c r="N149" s="36">
        <f>N148/H148-1</f>
        <v>3.1380341246066035E-2</v>
      </c>
      <c r="O149" s="1"/>
      <c r="P149" s="36">
        <f>P148/J148-1</f>
        <v>1.1586991291985038E-2</v>
      </c>
      <c r="Q149" s="36">
        <f>Q148/K148-1</f>
        <v>1.5261619375213087E-3</v>
      </c>
      <c r="R149" s="36">
        <f>R148/L148-1</f>
        <v>-8.8629055831628278E-3</v>
      </c>
      <c r="S149" s="36">
        <f>S148/M148-1</f>
        <v>-9.4739554056586517E-3</v>
      </c>
      <c r="T149" s="36">
        <f>T148/N148-1</f>
        <v>-1.3480057444428262E-3</v>
      </c>
      <c r="U149" s="1"/>
      <c r="V149" s="36">
        <f>V148/P148-1</f>
        <v>-1.6748064603023805E-3</v>
      </c>
      <c r="W149" s="36">
        <f>W148/Q148-1</f>
        <v>1.9563713940757843E-2</v>
      </c>
      <c r="X149" s="36">
        <f>X148/R148-1</f>
        <v>5.0585723217761558E-2</v>
      </c>
      <c r="Y149" s="36">
        <f>Y148/S148-1</f>
        <v>8.4414125769953774E-2</v>
      </c>
      <c r="Z149" s="36">
        <f>Z148/T148-1</f>
        <v>3.8095070049758206E-2</v>
      </c>
      <c r="AA149" s="1"/>
      <c r="AB149" s="36">
        <f>AB148/V148-1</f>
        <v>0.12340450492726429</v>
      </c>
      <c r="AC149" s="36">
        <f>AC148/W148-1</f>
        <v>0.14532076339388356</v>
      </c>
      <c r="AD149" s="36">
        <f>AD148/X148-1</f>
        <v>0.16147324686991182</v>
      </c>
      <c r="AE149" s="36">
        <f>AE148/Y148-1</f>
        <v>0.17645519662461973</v>
      </c>
      <c r="AF149" s="36">
        <f>AF148/Z148-1</f>
        <v>0.15219349684700756</v>
      </c>
      <c r="AG149" s="1"/>
      <c r="AH149" s="36">
        <f>AH148/AB148-1</f>
        <v>0.16807819630530818</v>
      </c>
      <c r="AI149" s="36">
        <f>AI148/AC148-1</f>
        <v>0.16185504918691018</v>
      </c>
      <c r="AJ149" s="36">
        <f>AJ148/AD148-1</f>
        <v>0.16138637791849963</v>
      </c>
      <c r="AK149" s="36">
        <f>AK148/AE148-1</f>
        <v>0.15377914519776104</v>
      </c>
      <c r="AL149" s="36">
        <f>AL148/AF148-1</f>
        <v>0.16105841336342763</v>
      </c>
      <c r="AM149" s="1"/>
      <c r="AN149" s="36">
        <f>AN148/AH148-1</f>
        <v>0.15136696050208309</v>
      </c>
      <c r="AO149" s="36">
        <f>AO148/AI148-1</f>
        <v>0.14811134918440705</v>
      </c>
      <c r="AP149" s="36">
        <f>AP148/AJ148-1</f>
        <v>0.13826917954182205</v>
      </c>
      <c r="AQ149" s="36">
        <f>AQ148/AK148-1</f>
        <v>0.13097781561741972</v>
      </c>
      <c r="AR149" s="36">
        <f>AR148/AL148-1</f>
        <v>0.141861558399756</v>
      </c>
      <c r="AS149" s="1"/>
      <c r="AT149" s="36">
        <f>AT148/AN148-1</f>
        <v>0.11854641456691395</v>
      </c>
      <c r="AU149" s="36">
        <f>AU148/AO148-1</f>
        <v>6.977356701558457E-2</v>
      </c>
      <c r="AV149" s="36">
        <f>AV148/AP148-1</f>
        <v>2.5998625107870543E-2</v>
      </c>
      <c r="AW149" s="36">
        <f>AW148/AQ148-1</f>
        <v>1.7804259670901823E-2</v>
      </c>
      <c r="AX149" s="36">
        <f>AX148/AR148-1</f>
        <v>5.6750596696333089E-2</v>
      </c>
      <c r="AY149" s="1"/>
      <c r="AZ149" s="36">
        <f>AZ148/AT148-1</f>
        <v>1.8000444284008488E-2</v>
      </c>
      <c r="BA149" s="36">
        <f>BA148/AU148-1</f>
        <v>4.9142157724801017E-2</v>
      </c>
      <c r="BB149" s="36">
        <f>BB148/AV148-1</f>
        <v>7.8421589102806166E-2</v>
      </c>
      <c r="BC149" s="36">
        <f>BC148/AW148-1</f>
        <v>7.3641463618856262E-2</v>
      </c>
      <c r="BD149" s="36">
        <f>BD148/AX148-1</f>
        <v>5.4640061773893578E-2</v>
      </c>
      <c r="BE149" s="1"/>
      <c r="BF149" s="36">
        <f>BF148/AZ148-1</f>
        <v>6.5975655494561636E-2</v>
      </c>
      <c r="BG149" s="36">
        <f>BG148/BA148-1</f>
        <v>6.1517315364242764E-2</v>
      </c>
      <c r="BH149" s="36">
        <f>BH148/BB148-1</f>
        <v>5.9651673882150869E-2</v>
      </c>
      <c r="BI149" s="36">
        <f>BI148/BC148-1</f>
        <v>5.6541236108403226E-2</v>
      </c>
      <c r="BJ149" s="36">
        <f>BJ148/BD148-1</f>
        <v>6.086146217270838E-2</v>
      </c>
      <c r="BK149" s="1"/>
      <c r="BL149" s="36">
        <f>BL148/BF148-1</f>
        <v>5.3256141248720468E-2</v>
      </c>
      <c r="BM149" s="36">
        <f>BM148/BG148-1</f>
        <v>5.0372662961091441E-2</v>
      </c>
      <c r="BN149" s="36">
        <f>BN148/BH148-1</f>
        <v>4.7561127744510934E-2</v>
      </c>
      <c r="BO149" s="36">
        <f>BO148/BI148-1</f>
        <v>4.4288614135449267E-2</v>
      </c>
      <c r="BP149" s="36">
        <f>BP148/BJ148-1</f>
        <v>4.8821231942026255E-2</v>
      </c>
      <c r="BQ149" s="1"/>
      <c r="BR149" s="36">
        <f>BR148/BL148-1</f>
        <v>4.1300980898296258E-2</v>
      </c>
      <c r="BS149" s="36">
        <f>BS148/BM148-1</f>
        <v>3.9087164376559791E-2</v>
      </c>
      <c r="BT149" s="36">
        <f>BT148/BN148-1</f>
        <v>3.6916847777546113E-2</v>
      </c>
      <c r="BU149" s="36">
        <f>BU148/BO148-1</f>
        <v>3.416386876362143E-2</v>
      </c>
      <c r="BV149" s="36">
        <f>BV148/BP148-1</f>
        <v>3.7837150698043054E-2</v>
      </c>
      <c r="BW149" s="1"/>
      <c r="BX149" s="36">
        <f>BX148/BR148-1</f>
        <v>3.1496981539269164E-2</v>
      </c>
      <c r="BY149" s="36">
        <f>BY148/BS148-1</f>
        <v>2.9514742903440583E-2</v>
      </c>
      <c r="BZ149" s="36">
        <f>BZ148/BT148-1</f>
        <v>2.7563237531941676E-2</v>
      </c>
      <c r="CA149" s="36">
        <f>CA148/BU148-1</f>
        <v>2.5630802528905816E-2</v>
      </c>
      <c r="CB149" s="36">
        <f>CB148/BV148-1</f>
        <v>2.8532109430726704E-2</v>
      </c>
      <c r="CC149" s="1"/>
      <c r="CD149" s="36">
        <f>CD148/BX148-1</f>
        <v>2.4032344708643238E-2</v>
      </c>
      <c r="CE149" s="36">
        <f>CE148/BY148-1</f>
        <v>2.2766238511481518E-2</v>
      </c>
      <c r="CF149" s="36">
        <f>CF148/BZ148-1</f>
        <v>2.1514990639581955E-2</v>
      </c>
      <c r="CG149" s="36">
        <f>CG148/CA148-1</f>
        <v>2.013106014327759E-2</v>
      </c>
      <c r="CH149" s="36">
        <f>CH148/CB148-1</f>
        <v>2.2101421356067519E-2</v>
      </c>
      <c r="CI149" s="1"/>
      <c r="CJ149" s="36">
        <f>CJ148/CD148-1</f>
        <v>1.8360529004113779E-2</v>
      </c>
      <c r="CK149" s="36">
        <f>CK148/CE148-1</f>
        <v>1.6351095111160063E-2</v>
      </c>
      <c r="CL149" s="36">
        <f>CL148/CF148-1</f>
        <v>1.4360349024863828E-2</v>
      </c>
      <c r="CM149" s="36">
        <f>CM148/CG148-1</f>
        <v>1.238465935382016E-2</v>
      </c>
      <c r="CN149" s="36">
        <f>CN148/CH148-1</f>
        <v>1.5352350143242877E-2</v>
      </c>
      <c r="CO149" s="1"/>
      <c r="CP149" s="36">
        <f>CP148/CJ148-1</f>
        <v>1.1115931027003478E-2</v>
      </c>
      <c r="CQ149" s="36">
        <f>CQ148/CK148-1</f>
        <v>1.0545100584036238E-2</v>
      </c>
      <c r="CR149" s="36">
        <f>CR148/CL148-1</f>
        <v>9.9773487218206558E-3</v>
      </c>
      <c r="CS149" s="36">
        <f>CS148/CM148-1</f>
        <v>9.4101199118137302E-3</v>
      </c>
      <c r="CT149" s="36">
        <f>CT148/CN148-1</f>
        <v>1.0260148772157196E-2</v>
      </c>
    </row>
    <row r="150" spans="2:98" ht="15.75" thickBot="1" x14ac:dyDescent="0.35">
      <c r="B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</row>
    <row r="151" spans="2:98" ht="15" x14ac:dyDescent="0.3">
      <c r="B151" s="42" t="s">
        <v>46</v>
      </c>
      <c r="D151" s="45">
        <f>D158-D154</f>
        <v>34.199621965289545</v>
      </c>
      <c r="E151" s="19">
        <f>E158-E154</f>
        <v>34.168496601780518</v>
      </c>
      <c r="F151" s="19">
        <f>F158-F154</f>
        <v>33.339926767680751</v>
      </c>
      <c r="G151" s="19">
        <f>G158-G154</f>
        <v>32.705555489024349</v>
      </c>
      <c r="H151" s="57">
        <f>H202*1000/(H148*12)</f>
        <v>33.598180136236429</v>
      </c>
      <c r="I151" s="1"/>
      <c r="J151" s="45">
        <f>J158-J154</f>
        <v>32.026107681906147</v>
      </c>
      <c r="K151" s="19">
        <f>K158-K154</f>
        <v>31.551993989269903</v>
      </c>
      <c r="L151" s="19">
        <f>L158-L154</f>
        <v>31.501370531113999</v>
      </c>
      <c r="M151" s="19">
        <f>M158-M154</f>
        <v>30.602181312847421</v>
      </c>
      <c r="N151" s="57">
        <f>N202*1000/(N148*12)</f>
        <v>31.418607766250162</v>
      </c>
      <c r="O151" s="1"/>
      <c r="P151" s="45">
        <f>P158-P154</f>
        <v>29.595319887563051</v>
      </c>
      <c r="Q151" s="19">
        <f>Q158-Q154</f>
        <v>28.983556544526294</v>
      </c>
      <c r="R151" s="19">
        <f>R158-R154</f>
        <v>27.936381986625499</v>
      </c>
      <c r="S151" s="19">
        <f>S158-S154</f>
        <v>26.492930255714242</v>
      </c>
      <c r="T151" s="57">
        <f>T202*1000/(T148*12)</f>
        <v>28.256602680856712</v>
      </c>
      <c r="U151" s="1"/>
      <c r="V151" s="45">
        <f>V158-V154</f>
        <v>24.846937474941868</v>
      </c>
      <c r="W151" s="19">
        <f>W158-W154</f>
        <v>23.848589624406781</v>
      </c>
      <c r="X151" s="19">
        <f>X158-X154</f>
        <v>23.141331671595736</v>
      </c>
      <c r="Y151" s="19">
        <f>Y158-Y154</f>
        <v>21.826284700218345</v>
      </c>
      <c r="Z151" s="57">
        <f>Z202*1000/(Z148*12)</f>
        <v>23.385761050960721</v>
      </c>
      <c r="AA151" s="1"/>
      <c r="AB151" s="45">
        <f>AB158-AB154</f>
        <v>20.435677064296826</v>
      </c>
      <c r="AC151" s="19">
        <f>AC158-AC154</f>
        <v>19.267215418590645</v>
      </c>
      <c r="AD151" s="19">
        <f>AD158-AD154</f>
        <v>18.683811089089765</v>
      </c>
      <c r="AE151" s="19">
        <f>AE158-AE154</f>
        <v>17.951403047040071</v>
      </c>
      <c r="AF151" s="57">
        <f>AF202*1000/(AF148*12)</f>
        <v>19.044851274334803</v>
      </c>
      <c r="AG151" s="1"/>
      <c r="AH151" s="45">
        <f>AH158-AH154</f>
        <v>16.300594226998289</v>
      </c>
      <c r="AI151" s="19">
        <f>AI158-AI154</f>
        <v>15.570915123030133</v>
      </c>
      <c r="AJ151" s="19">
        <f>AJ158-AJ154</f>
        <v>14.339260344521399</v>
      </c>
      <c r="AK151" s="19">
        <f>AK158-AK154</f>
        <v>13.515499081674726</v>
      </c>
      <c r="AL151" s="57">
        <f>AL202*1000/(AL148*12)</f>
        <v>14.88852842271106</v>
      </c>
      <c r="AM151" s="1"/>
      <c r="AN151" s="45">
        <f>AN158-AN154</f>
        <v>12.59908633251802</v>
      </c>
      <c r="AO151" s="19">
        <f>AO158-AO154</f>
        <v>12.440043044090093</v>
      </c>
      <c r="AP151" s="19">
        <f>AP158-AP154</f>
        <v>12.171939524248319</v>
      </c>
      <c r="AQ151" s="19">
        <f>AQ158-AQ154</f>
        <v>11.148080023293964</v>
      </c>
      <c r="AR151" s="57">
        <f>AR202*1000/(AR148*12)</f>
        <v>12.072664353444519</v>
      </c>
      <c r="AS151" s="1"/>
      <c r="AT151" s="45">
        <f>AT158-AT154</f>
        <v>10.175492183378228</v>
      </c>
      <c r="AU151" s="19">
        <f>AU158-AU154</f>
        <v>10.125047775143795</v>
      </c>
      <c r="AV151" s="19">
        <f>AV158-AV154</f>
        <v>10.332019416506885</v>
      </c>
      <c r="AW151" s="19">
        <f>AW158-AW154</f>
        <v>9.6523184199019418</v>
      </c>
      <c r="AX151" s="57">
        <f>AX202*1000/(AX148*12)</f>
        <v>10.069861242731623</v>
      </c>
      <c r="AY151" s="1"/>
      <c r="AZ151" s="45">
        <f>AT151*(1+AZ152)</f>
        <v>9.1070655041235149</v>
      </c>
      <c r="BA151" s="19">
        <f>AU151*(1+BA152)</f>
        <v>9.0619177587536974</v>
      </c>
      <c r="BB151" s="19">
        <f>AV151*(1+BB152)</f>
        <v>8.7822165040308526</v>
      </c>
      <c r="BC151" s="46">
        <f>AW151*(1+BC152)</f>
        <v>8.2044706569166497</v>
      </c>
      <c r="BD151" s="57">
        <f>BD202*1000/(BD148*12)</f>
        <v>8.7829749164889659</v>
      </c>
      <c r="BE151" s="1"/>
      <c r="BF151" s="45">
        <f>AZ151*(1+BF152)</f>
        <v>7.6954703509843698</v>
      </c>
      <c r="BG151" s="19">
        <f>BA151*(1+BG152)</f>
        <v>7.6573205061468741</v>
      </c>
      <c r="BH151" s="19">
        <f>BB151*(1+BH152)</f>
        <v>7.4209729459060698</v>
      </c>
      <c r="BI151" s="46">
        <f>BC151*(1+BI152)</f>
        <v>6.9327777050945691</v>
      </c>
      <c r="BJ151" s="57">
        <f>BJ202*1000/(BJ148*12)</f>
        <v>7.4224820196758348</v>
      </c>
      <c r="BK151" s="1"/>
      <c r="BL151" s="45">
        <f>BF151*(1+BL152)</f>
        <v>6.9451619917633938</v>
      </c>
      <c r="BM151" s="19">
        <f>BG151*(1+BM152)</f>
        <v>6.9107317567975537</v>
      </c>
      <c r="BN151" s="19">
        <f>BH151*(1+BN152)</f>
        <v>6.6974280836802276</v>
      </c>
      <c r="BO151" s="46">
        <f>BI151*(1+BO152)</f>
        <v>6.2568318788478487</v>
      </c>
      <c r="BP151" s="57">
        <f>BP202*1000/(BP148*12)</f>
        <v>6.6996107726947507</v>
      </c>
      <c r="BQ151" s="1"/>
      <c r="BR151" s="45">
        <f>BL151*(1+BR152)</f>
        <v>6.3895490324223223</v>
      </c>
      <c r="BS151" s="19">
        <f>BM151*(1+BS152)</f>
        <v>6.3578732162537497</v>
      </c>
      <c r="BT151" s="19">
        <f>BN151*(1+BT152)</f>
        <v>6.1616338369858097</v>
      </c>
      <c r="BU151" s="46">
        <f>BO151*(1+BU152)</f>
        <v>5.7562853285400211</v>
      </c>
      <c r="BV151" s="57">
        <f>BV202*1000/(BV148*12)</f>
        <v>6.1642522583451047</v>
      </c>
      <c r="BW151" s="1"/>
      <c r="BX151" s="45">
        <f>BR151*(1+BX152)</f>
        <v>5.7825418743422015</v>
      </c>
      <c r="BY151" s="19">
        <f>BS151*(1+BY152)</f>
        <v>5.7538752607096439</v>
      </c>
      <c r="BZ151" s="19">
        <f>BT151*(1+BZ152)</f>
        <v>5.5762786224721577</v>
      </c>
      <c r="CA151" s="46">
        <f>BU151*(1+CA152)</f>
        <v>5.2094382223287194</v>
      </c>
      <c r="CB151" s="57">
        <f>CB202*1000/(CB148*12)</f>
        <v>5.5790992372242609</v>
      </c>
      <c r="CC151" s="1"/>
      <c r="CD151" s="45">
        <f>BX151*(1+CD152)</f>
        <v>5.3199385243948258</v>
      </c>
      <c r="CE151" s="19">
        <f>BY151*(1+CE152)</f>
        <v>5.2935652398528728</v>
      </c>
      <c r="CF151" s="19">
        <f>BZ151*(1+CF152)</f>
        <v>5.1301763326743854</v>
      </c>
      <c r="CG151" s="46">
        <f>CA151*(1+CG152)</f>
        <v>4.7926831645424217</v>
      </c>
      <c r="CH151" s="57">
        <f>CH202*1000/(CH148*12)</f>
        <v>5.1330507467577027</v>
      </c>
      <c r="CI151" s="1"/>
      <c r="CJ151" s="45">
        <f>CD151*(1+CJ152)</f>
        <v>4.9741425203091625</v>
      </c>
      <c r="CK151" s="19">
        <f>CE151*(1+CK152)</f>
        <v>4.9494834992624366</v>
      </c>
      <c r="CL151" s="19">
        <f>CF151*(1+CL152)</f>
        <v>4.7967148710505505</v>
      </c>
      <c r="CM151" s="46">
        <f>CG151*(1+CM152)</f>
        <v>4.4811587588471644</v>
      </c>
      <c r="CN151" s="57">
        <f>CN202*1000/(CN148*12)</f>
        <v>4.7998026515086858</v>
      </c>
      <c r="CO151" s="1"/>
      <c r="CP151" s="45">
        <f>CJ151*(1+CP152)</f>
        <v>4.7254353942937044</v>
      </c>
      <c r="CQ151" s="19">
        <f>CK151*(1+CQ152)</f>
        <v>4.7020093242993148</v>
      </c>
      <c r="CR151" s="19">
        <f>CL151*(1+CR152)</f>
        <v>4.5568791274980232</v>
      </c>
      <c r="CS151" s="46">
        <f>CM151*(1+CS152)</f>
        <v>4.2571008209048058</v>
      </c>
      <c r="CT151" s="57">
        <f>CT202*1000/(CT148*12)</f>
        <v>4.5599216130751987</v>
      </c>
    </row>
    <row r="152" spans="2:98" ht="15" x14ac:dyDescent="0.3">
      <c r="B152" s="40" t="s">
        <v>23</v>
      </c>
      <c r="D152" s="62" t="s">
        <v>35</v>
      </c>
      <c r="E152" s="9" t="s">
        <v>35</v>
      </c>
      <c r="F152" s="9" t="s">
        <v>35</v>
      </c>
      <c r="G152" s="9" t="s">
        <v>35</v>
      </c>
      <c r="H152" s="66" t="s">
        <v>35</v>
      </c>
      <c r="I152" s="1"/>
      <c r="J152" s="62">
        <f>J151/D151-1</f>
        <v>-6.3553751722442375E-2</v>
      </c>
      <c r="K152" s="9">
        <f>(K151-D151)/D151</f>
        <v>-7.741687842944045E-2</v>
      </c>
      <c r="L152" s="9">
        <f>(L151-E151)/E151</f>
        <v>-7.8058045741688731E-2</v>
      </c>
      <c r="M152" s="9">
        <f>(M151-F151)/F151</f>
        <v>-8.2116120827453704E-2</v>
      </c>
      <c r="N152" s="66">
        <f>N151/H151-1</f>
        <v>-6.4871738920035948E-2</v>
      </c>
      <c r="O152" s="1"/>
      <c r="P152" s="62">
        <f>P151/J151-1</f>
        <v>-7.5900194256713349E-2</v>
      </c>
      <c r="Q152" s="9">
        <f>(Q151-J151)/J151</f>
        <v>-9.5002214056090523E-2</v>
      </c>
      <c r="R152" s="9">
        <f>(R151-K151)/K151</f>
        <v>-0.11459218722829338</v>
      </c>
      <c r="S152" s="9">
        <f>(S151-L151)/L151</f>
        <v>-0.15899118644545657</v>
      </c>
      <c r="T152" s="66">
        <f>T151/N151-1</f>
        <v>-0.10064115854267963</v>
      </c>
      <c r="U152" s="1"/>
      <c r="V152" s="62">
        <f>V151/P151-1</f>
        <v>-0.16044369280889625</v>
      </c>
      <c r="W152" s="9">
        <f>(W151-P151)/P151</f>
        <v>-0.19417699436900626</v>
      </c>
      <c r="X152" s="9">
        <f>(X151-Q151)/Q151</f>
        <v>-0.2015703236404193</v>
      </c>
      <c r="Y152" s="9">
        <f>(Y151-R151)/R151</f>
        <v>-0.21871469574450814</v>
      </c>
      <c r="Z152" s="66">
        <f>Z151/T151-1</f>
        <v>-0.17237888379256183</v>
      </c>
      <c r="AA152" s="1"/>
      <c r="AB152" s="62">
        <f>AB151/V151-1</f>
        <v>-0.17753738926955476</v>
      </c>
      <c r="AC152" s="9">
        <f>AC151/W151-1</f>
        <v>-0.19210252169912523</v>
      </c>
      <c r="AD152" s="9">
        <f>AD151/X151-1</f>
        <v>-0.19262161079421569</v>
      </c>
      <c r="AE152" s="9">
        <f>AE151/Y151-1</f>
        <v>-0.17753280993074882</v>
      </c>
      <c r="AF152" s="66">
        <f>AF151/Z151-1</f>
        <v>-0.18562191613805046</v>
      </c>
      <c r="AG152" s="1"/>
      <c r="AH152" s="62">
        <f>AH151/AB151-1</f>
        <v>-0.20234626062490191</v>
      </c>
      <c r="AI152" s="9">
        <f>AI151/AC151-1</f>
        <v>-0.19184403222034918</v>
      </c>
      <c r="AJ152" s="9">
        <f>AJ151/AD151-1</f>
        <v>-0.23253022222566389</v>
      </c>
      <c r="AK152" s="9">
        <f>AK151/AE151-1</f>
        <v>-0.2471062542432727</v>
      </c>
      <c r="AL152" s="66">
        <f>AL151/AF151-1</f>
        <v>-0.2182386615549412</v>
      </c>
      <c r="AM152" s="1"/>
      <c r="AN152" s="62">
        <f>AN151/AH151-1</f>
        <v>-0.22707809561626591</v>
      </c>
      <c r="AO152" s="9">
        <f>AO151/AI151-1</f>
        <v>-0.2010718094731202</v>
      </c>
      <c r="AP152" s="9">
        <f>AP151/AJ151-1</f>
        <v>-0.15114592860441001</v>
      </c>
      <c r="AQ152" s="9">
        <f>AQ151/AK151-1</f>
        <v>-0.17516327322242031</v>
      </c>
      <c r="AR152" s="66">
        <f>AR151/AL151-1</f>
        <v>-0.18912977759247196</v>
      </c>
      <c r="AS152" s="1"/>
      <c r="AT152" s="62">
        <f>AT151/AN151-1</f>
        <v>-0.19236269084723534</v>
      </c>
      <c r="AU152" s="9">
        <f>AU151/AO151-1</f>
        <v>-0.18609222337426601</v>
      </c>
      <c r="AV152" s="9">
        <f>AV151/AP151-1</f>
        <v>-0.15116079931846849</v>
      </c>
      <c r="AW152" s="9">
        <f>AW151/AQ151-1</f>
        <v>-0.13417212652462318</v>
      </c>
      <c r="AX152" s="66">
        <f>AX151/AR151-1</f>
        <v>-0.16589570057428671</v>
      </c>
      <c r="AY152" s="1"/>
      <c r="AZ152" s="62">
        <v>-0.105</v>
      </c>
      <c r="BA152" s="9">
        <f>AZ152</f>
        <v>-0.105</v>
      </c>
      <c r="BB152" s="9">
        <v>-0.15</v>
      </c>
      <c r="BC152" s="9">
        <v>-0.15</v>
      </c>
      <c r="BD152" s="66">
        <f>BD151/AX151-1</f>
        <v>-0.12779583503909009</v>
      </c>
      <c r="BE152" s="1"/>
      <c r="BF152" s="62">
        <v>-0.155</v>
      </c>
      <c r="BG152" s="9">
        <f>BF152</f>
        <v>-0.155</v>
      </c>
      <c r="BH152" s="9">
        <f>BG152</f>
        <v>-0.155</v>
      </c>
      <c r="BI152" s="9">
        <f>BH152</f>
        <v>-0.155</v>
      </c>
      <c r="BJ152" s="66">
        <f>BJ151/BD151-1</f>
        <v>-0.15490114793097853</v>
      </c>
      <c r="BK152" s="1"/>
      <c r="BL152" s="62">
        <v>-9.7500000000000003E-2</v>
      </c>
      <c r="BM152" s="9">
        <f>BL152</f>
        <v>-9.7500000000000003E-2</v>
      </c>
      <c r="BN152" s="9">
        <f>BM152</f>
        <v>-9.7500000000000003E-2</v>
      </c>
      <c r="BO152" s="9">
        <f>BN152</f>
        <v>-9.7500000000000003E-2</v>
      </c>
      <c r="BP152" s="66">
        <f>BP151/BJ151-1</f>
        <v>-9.7389423789086438E-2</v>
      </c>
      <c r="BQ152" s="1"/>
      <c r="BR152" s="62">
        <v>-0.08</v>
      </c>
      <c r="BS152" s="9">
        <f>BR152</f>
        <v>-0.08</v>
      </c>
      <c r="BT152" s="9">
        <f>BS152</f>
        <v>-0.08</v>
      </c>
      <c r="BU152" s="9">
        <f>BT152</f>
        <v>-0.08</v>
      </c>
      <c r="BV152" s="66">
        <f>BV151/BP151-1</f>
        <v>-7.9908898070851886E-2</v>
      </c>
      <c r="BW152" s="1"/>
      <c r="BX152" s="62">
        <v>-9.5000000000000001E-2</v>
      </c>
      <c r="BY152" s="9">
        <f>BX152</f>
        <v>-9.5000000000000001E-2</v>
      </c>
      <c r="BZ152" s="9">
        <f>BY152</f>
        <v>-9.5000000000000001E-2</v>
      </c>
      <c r="CA152" s="9">
        <f>BZ152</f>
        <v>-9.5000000000000001E-2</v>
      </c>
      <c r="CB152" s="66">
        <f>CB151/BV151-1</f>
        <v>-9.4926845397780291E-2</v>
      </c>
      <c r="CC152" s="1"/>
      <c r="CD152" s="62">
        <v>-0.08</v>
      </c>
      <c r="CE152" s="9">
        <f>CD152</f>
        <v>-0.08</v>
      </c>
      <c r="CF152" s="9">
        <f>CE152</f>
        <v>-0.08</v>
      </c>
      <c r="CG152" s="9">
        <f>CF152</f>
        <v>-0.08</v>
      </c>
      <c r="CH152" s="66">
        <f>CH151/CB151-1</f>
        <v>-7.9949911535984519E-2</v>
      </c>
      <c r="CI152" s="1"/>
      <c r="CJ152" s="62">
        <v>-6.5000000000000002E-2</v>
      </c>
      <c r="CK152" s="9">
        <f>CJ152</f>
        <v>-6.5000000000000002E-2</v>
      </c>
      <c r="CL152" s="9">
        <f>CK152</f>
        <v>-6.5000000000000002E-2</v>
      </c>
      <c r="CM152" s="9">
        <f>CL152</f>
        <v>-6.5000000000000002E-2</v>
      </c>
      <c r="CN152" s="66">
        <f>CN151/CH151-1</f>
        <v>-6.4922034028109588E-2</v>
      </c>
      <c r="CO152" s="1"/>
      <c r="CP152" s="62">
        <v>-0.05</v>
      </c>
      <c r="CQ152" s="9">
        <f>CP152</f>
        <v>-0.05</v>
      </c>
      <c r="CR152" s="9">
        <f>CQ152</f>
        <v>-0.05</v>
      </c>
      <c r="CS152" s="9">
        <f>CR152</f>
        <v>-0.05</v>
      </c>
      <c r="CT152" s="66">
        <f>CT151/CN151-1</f>
        <v>-4.9977271119279632E-2</v>
      </c>
    </row>
    <row r="153" spans="2:98" ht="15" x14ac:dyDescent="0.3">
      <c r="B153" s="40"/>
      <c r="D153" s="47"/>
      <c r="E153" s="8"/>
      <c r="F153" s="8"/>
      <c r="G153" s="8"/>
      <c r="H153" s="58"/>
      <c r="I153" s="1"/>
      <c r="J153" s="47"/>
      <c r="K153" s="8"/>
      <c r="L153" s="8"/>
      <c r="M153" s="48"/>
      <c r="N153" s="58"/>
      <c r="O153" s="1"/>
      <c r="P153" s="47"/>
      <c r="Q153" s="8"/>
      <c r="R153" s="8"/>
      <c r="S153" s="48"/>
      <c r="T153" s="58"/>
      <c r="U153" s="1"/>
      <c r="V153" s="47"/>
      <c r="W153" s="8"/>
      <c r="X153" s="8"/>
      <c r="Y153" s="48"/>
      <c r="Z153" s="58"/>
      <c r="AA153" s="1"/>
      <c r="AB153" s="47"/>
      <c r="AC153" s="8"/>
      <c r="AD153" s="8"/>
      <c r="AE153" s="48"/>
      <c r="AF153" s="58"/>
      <c r="AG153" s="1"/>
      <c r="AH153" s="47"/>
      <c r="AI153" s="8"/>
      <c r="AJ153" s="8"/>
      <c r="AK153" s="8"/>
      <c r="AL153" s="58"/>
      <c r="AM153" s="1"/>
      <c r="AN153" s="47"/>
      <c r="AO153" s="8"/>
      <c r="AP153" s="8"/>
      <c r="AQ153" s="8"/>
      <c r="AR153" s="58"/>
      <c r="AS153" s="1"/>
      <c r="AT153" s="47"/>
      <c r="AU153" s="8"/>
      <c r="AV153" s="8"/>
      <c r="AW153" s="8"/>
      <c r="AX153" s="58"/>
      <c r="AY153" s="1"/>
      <c r="AZ153" s="47"/>
      <c r="BA153" s="8"/>
      <c r="BB153" s="8"/>
      <c r="BC153" s="48"/>
      <c r="BD153" s="58"/>
      <c r="BE153" s="1"/>
      <c r="BF153" s="47"/>
      <c r="BG153" s="8"/>
      <c r="BH153" s="8"/>
      <c r="BI153" s="48"/>
      <c r="BJ153" s="58"/>
      <c r="BK153" s="1"/>
      <c r="BL153" s="47"/>
      <c r="BM153" s="8"/>
      <c r="BN153" s="8"/>
      <c r="BO153" s="48"/>
      <c r="BP153" s="58"/>
      <c r="BQ153" s="1"/>
      <c r="BR153" s="47"/>
      <c r="BS153" s="8"/>
      <c r="BT153" s="8"/>
      <c r="BU153" s="48"/>
      <c r="BV153" s="58"/>
      <c r="BW153" s="1"/>
      <c r="BX153" s="47"/>
      <c r="BY153" s="8"/>
      <c r="BZ153" s="8"/>
      <c r="CA153" s="48"/>
      <c r="CB153" s="58"/>
      <c r="CC153" s="1"/>
      <c r="CD153" s="47"/>
      <c r="CE153" s="8"/>
      <c r="CF153" s="8"/>
      <c r="CG153" s="48"/>
      <c r="CH153" s="58"/>
      <c r="CI153" s="1"/>
      <c r="CJ153" s="47"/>
      <c r="CK153" s="8"/>
      <c r="CL153" s="8"/>
      <c r="CM153" s="48"/>
      <c r="CN153" s="58"/>
      <c r="CO153" s="1"/>
      <c r="CP153" s="47"/>
      <c r="CQ153" s="8"/>
      <c r="CR153" s="8"/>
      <c r="CS153" s="48"/>
      <c r="CT153" s="58"/>
    </row>
    <row r="154" spans="2:98" ht="15" x14ac:dyDescent="0.3">
      <c r="B154" s="39" t="s">
        <v>47</v>
      </c>
      <c r="D154" s="81">
        <f>D156*D158</f>
        <v>10.681771689946077</v>
      </c>
      <c r="E154" s="79">
        <f>E158*E156</f>
        <v>11.365214221487765</v>
      </c>
      <c r="F154" s="79">
        <f>F158*F156</f>
        <v>12.113887330242047</v>
      </c>
      <c r="G154" s="79">
        <f>G158*G156</f>
        <v>12.53034421916977</v>
      </c>
      <c r="H154" s="80">
        <f>H205*1000/(H148*12)</f>
        <v>11.679169375944658</v>
      </c>
      <c r="I154" s="1"/>
      <c r="J154" s="81">
        <f>J156*J158</f>
        <v>12.836953353182606</v>
      </c>
      <c r="K154" s="79">
        <f>K158*K156</f>
        <v>13.317166973855675</v>
      </c>
      <c r="L154" s="79">
        <f>L158*L156</f>
        <v>13.686196457096075</v>
      </c>
      <c r="M154" s="79">
        <f>M158*M156</f>
        <v>13.890667353694335</v>
      </c>
      <c r="N154" s="80">
        <f>N205*1000/(N148*12)</f>
        <v>13.434643649057971</v>
      </c>
      <c r="O154" s="1"/>
      <c r="P154" s="81">
        <f>P156*P158</f>
        <v>14.152654923972422</v>
      </c>
      <c r="Q154" s="79">
        <f>Q158*Q156</f>
        <v>14.309023935521216</v>
      </c>
      <c r="R154" s="79">
        <f>R158*R156</f>
        <v>14.399275364309029</v>
      </c>
      <c r="S154" s="79">
        <f>S158*S156</f>
        <v>14.705261658342565</v>
      </c>
      <c r="T154" s="80">
        <f>T205*1000/(T148*12)</f>
        <v>14.390819417459976</v>
      </c>
      <c r="U154" s="1"/>
      <c r="V154" s="81">
        <f>V156*V158</f>
        <v>15.087365669121949</v>
      </c>
      <c r="W154" s="79">
        <f>W158*W156</f>
        <v>15.411087722273901</v>
      </c>
      <c r="X154" s="79">
        <f>X158*X156</f>
        <v>15.32179220088709</v>
      </c>
      <c r="Y154" s="79">
        <f>Y158*Y156</f>
        <v>15.739935895904248</v>
      </c>
      <c r="Z154" s="80">
        <f>Z205*1000/(Z148*12)</f>
        <v>15.395837382504615</v>
      </c>
      <c r="AA154" s="1"/>
      <c r="AB154" s="81">
        <f>AB156*AB158</f>
        <v>16.72009941624286</v>
      </c>
      <c r="AC154" s="79">
        <f>AC158*AC156</f>
        <v>17.432242521582012</v>
      </c>
      <c r="AD154" s="79">
        <f>AD158*AD156</f>
        <v>17.951112615007816</v>
      </c>
      <c r="AE154" s="79">
        <f>AE158*AE156</f>
        <v>18.314057654050981</v>
      </c>
      <c r="AF154" s="80">
        <f>AF205*1000/(AF148*12)</f>
        <v>17.630486343661435</v>
      </c>
      <c r="AG154" s="1"/>
      <c r="AH154" s="81">
        <f>AH156*AH158</f>
        <v>18.381521149593819</v>
      </c>
      <c r="AI154" s="79">
        <f>AI158*AI156</f>
        <v>19.817528338401992</v>
      </c>
      <c r="AJ154" s="79">
        <f>AJ158*AJ156</f>
        <v>20.634545373823478</v>
      </c>
      <c r="AK154" s="79">
        <f>AK158*AK156</f>
        <v>21.589693338259629</v>
      </c>
      <c r="AL154" s="80">
        <f>AL205*1000/(AL148*12)</f>
        <v>20.152454605261305</v>
      </c>
      <c r="AM154" s="1"/>
      <c r="AN154" s="81">
        <f>AN156*AN158</f>
        <v>21.452498349963115</v>
      </c>
      <c r="AO154" s="79">
        <f>AO158*AO156</f>
        <v>22.115632078382387</v>
      </c>
      <c r="AP154" s="79">
        <f>AP158*AP156</f>
        <v>22.605030545032594</v>
      </c>
      <c r="AQ154" s="79">
        <f>AQ158*AQ156</f>
        <v>23.153704663764394</v>
      </c>
      <c r="AR154" s="80">
        <f>AR205*1000/(AR148*12)</f>
        <v>22.35243317959246</v>
      </c>
      <c r="AS154" s="1"/>
      <c r="AT154" s="81">
        <f>AT156*AT158</f>
        <v>23.74281509454919</v>
      </c>
      <c r="AU154" s="79">
        <f>AU158*AU156</f>
        <v>24.788910070179636</v>
      </c>
      <c r="AV154" s="79">
        <f>AV158*AV156</f>
        <v>25.920680290534808</v>
      </c>
      <c r="AW154" s="79">
        <f>AW158*AW156</f>
        <v>26.431114925525879</v>
      </c>
      <c r="AX154" s="80">
        <f>AX205*1000/(AX148*12)</f>
        <v>25.216135504779292</v>
      </c>
      <c r="AY154" s="1"/>
      <c r="AZ154" s="81">
        <f>AT154*(1+AZ155)</f>
        <v>26.829381056840582</v>
      </c>
      <c r="BA154" s="79">
        <f>AU154*(1+BA155)</f>
        <v>26.833995150969457</v>
      </c>
      <c r="BB154" s="79">
        <f>AV154*(1+BB155)</f>
        <v>27.087110903608874</v>
      </c>
      <c r="BC154" s="82">
        <f>AW154*(1+BC155)</f>
        <v>27.422281735233103</v>
      </c>
      <c r="BD154" s="80">
        <f>BD205*1000/(BD148*12)</f>
        <v>27.047219386865159</v>
      </c>
      <c r="BE154" s="1"/>
      <c r="BF154" s="81">
        <f>AZ154*(1+BF155)</f>
        <v>28.11719134756893</v>
      </c>
      <c r="BG154" s="79">
        <f>BA154*(1+BG155)</f>
        <v>28.122026918215994</v>
      </c>
      <c r="BH154" s="79">
        <f>BB154*(1+BH155)</f>
        <v>28.387292226982101</v>
      </c>
      <c r="BI154" s="82">
        <f>BC154*(1+BI155)</f>
        <v>28.738551258524293</v>
      </c>
      <c r="BJ154" s="80">
        <f>BJ205*1000/(BJ148*12)</f>
        <v>28.34476122076137</v>
      </c>
      <c r="BK154" s="1"/>
      <c r="BL154" s="81">
        <f>BF154*(1+BL155)</f>
        <v>28.932589896648427</v>
      </c>
      <c r="BM154" s="79">
        <f>BG154*(1+BM155)</f>
        <v>28.937565698844256</v>
      </c>
      <c r="BN154" s="79">
        <f>BH154*(1+BN155)</f>
        <v>29.210523701564579</v>
      </c>
      <c r="BO154" s="82">
        <f>BI154*(1+BO155)</f>
        <v>29.571969245021496</v>
      </c>
      <c r="BP154" s="80">
        <f>BP205*1000/(BP148*12)</f>
        <v>29.165972546693808</v>
      </c>
      <c r="BQ154" s="1"/>
      <c r="BR154" s="81">
        <f>BL154*(1+BR155)</f>
        <v>29.670370939012965</v>
      </c>
      <c r="BS154" s="79">
        <f>BM154*(1+BS155)</f>
        <v>29.675473624164788</v>
      </c>
      <c r="BT154" s="79">
        <f>BN154*(1+BT155)</f>
        <v>29.955392055954476</v>
      </c>
      <c r="BU154" s="82">
        <f>BO154*(1+BU155)</f>
        <v>30.326054460769548</v>
      </c>
      <c r="BV154" s="80">
        <f>BV205*1000/(BV148*12)</f>
        <v>29.909053673203786</v>
      </c>
      <c r="BW154" s="1"/>
      <c r="BX154" s="81">
        <f>BR154*(1+BX155)</f>
        <v>30.530811696244339</v>
      </c>
      <c r="BY154" s="79">
        <f>BS154*(1+BY155)</f>
        <v>30.536062359265564</v>
      </c>
      <c r="BZ154" s="79">
        <f>BT154*(1+BZ155)</f>
        <v>30.824098425577155</v>
      </c>
      <c r="CA154" s="82">
        <f>BU154*(1+CA155)</f>
        <v>31.205510040131863</v>
      </c>
      <c r="CB154" s="80">
        <f>CB205*1000/(CB148*12)</f>
        <v>30.775866639834852</v>
      </c>
      <c r="CC154" s="1"/>
      <c r="CD154" s="81">
        <f>BX154*(1+CD155)</f>
        <v>31.324612800346692</v>
      </c>
      <c r="CE154" s="79">
        <f>BY154*(1+CE155)</f>
        <v>31.32999998060647</v>
      </c>
      <c r="CF154" s="79">
        <f>BZ154*(1+CF155)</f>
        <v>31.625524984642162</v>
      </c>
      <c r="CG154" s="82">
        <f>CA154*(1+CG155)</f>
        <v>32.016853301175288</v>
      </c>
      <c r="CH154" s="80">
        <f>CH205*1000/(CH148*12)</f>
        <v>31.57566009386494</v>
      </c>
      <c r="CI154" s="1"/>
      <c r="CJ154" s="81">
        <f>CD154*(1+CJ155)</f>
        <v>32.123390426755535</v>
      </c>
      <c r="CK154" s="79">
        <f>CE154*(1+CK155)</f>
        <v>32.128914980111936</v>
      </c>
      <c r="CL154" s="79">
        <f>CF154*(1+CL155)</f>
        <v>32.431975871750538</v>
      </c>
      <c r="CM154" s="82">
        <f>CG154*(1+CM155)</f>
        <v>32.833283060355264</v>
      </c>
      <c r="CN154" s="80">
        <f>CN205*1000/(CN148*12)</f>
        <v>32.380242784143753</v>
      </c>
      <c r="CO154" s="1"/>
      <c r="CP154" s="81">
        <f>CJ154*(1+CP155)</f>
        <v>32.765858235290644</v>
      </c>
      <c r="CQ154" s="79">
        <f>CK154*(1+CQ155)</f>
        <v>32.771493279714178</v>
      </c>
      <c r="CR154" s="79">
        <f>CL154*(1+CR155)</f>
        <v>33.080615389185546</v>
      </c>
      <c r="CS154" s="82">
        <f>CM154*(1+CS155)</f>
        <v>33.489948721562371</v>
      </c>
      <c r="CT154" s="80">
        <f>CT205*1000/(CT148*12)</f>
        <v>33.027673021607178</v>
      </c>
    </row>
    <row r="155" spans="2:98" ht="15" x14ac:dyDescent="0.3">
      <c r="B155" s="40" t="s">
        <v>23</v>
      </c>
      <c r="D155" s="62" t="s">
        <v>35</v>
      </c>
      <c r="E155" s="9" t="s">
        <v>35</v>
      </c>
      <c r="F155" s="9" t="s">
        <v>35</v>
      </c>
      <c r="G155" s="9" t="s">
        <v>35</v>
      </c>
      <c r="H155" s="66" t="s">
        <v>35</v>
      </c>
      <c r="I155" s="1"/>
      <c r="J155" s="62">
        <f>J154/D154-1</f>
        <v>0.20176256577970442</v>
      </c>
      <c r="K155" s="9">
        <f>(K154-D154)/D154</f>
        <v>0.24671893019302146</v>
      </c>
      <c r="L155" s="9">
        <f>(L154-E154)/E154</f>
        <v>0.20421808074854589</v>
      </c>
      <c r="M155" s="9">
        <f>(M154-F154)/F154</f>
        <v>0.14667298572412807</v>
      </c>
      <c r="N155" s="66">
        <f>N154/H154-1</f>
        <v>0.15030814406451087</v>
      </c>
      <c r="O155" s="1"/>
      <c r="P155" s="62">
        <f>P154/J154-1</f>
        <v>0.10249328906875088</v>
      </c>
      <c r="Q155" s="9">
        <f>(Q154-J154)/J154</f>
        <v>0.1146744513154787</v>
      </c>
      <c r="R155" s="9">
        <f>(R154-K154)/K154</f>
        <v>8.1256651101375643E-2</v>
      </c>
      <c r="S155" s="9">
        <f>(S154-L154)/L154</f>
        <v>7.4459343356723481E-2</v>
      </c>
      <c r="T155" s="66">
        <f>T154/N154-1</f>
        <v>7.117239529230468E-2</v>
      </c>
      <c r="U155" s="1"/>
      <c r="V155" s="62">
        <f>V154/P154-1</f>
        <v>6.6044904660698789E-2</v>
      </c>
      <c r="W155" s="9">
        <f>(W154-P154)/P154</f>
        <v>8.8918496569141053E-2</v>
      </c>
      <c r="X155" s="9">
        <f>(X154-Q154)/Q154</f>
        <v>7.0778291372603233E-2</v>
      </c>
      <c r="Y155" s="9">
        <f>(Y154-R154)/R154</f>
        <v>9.3106111083774867E-2</v>
      </c>
      <c r="Z155" s="66">
        <f>Z154/T154-1</f>
        <v>6.9837438431426424E-2</v>
      </c>
      <c r="AA155" s="1"/>
      <c r="AB155" s="62">
        <f>AB154/V154-1</f>
        <v>0.10821861038753045</v>
      </c>
      <c r="AC155" s="9">
        <f>(AC154-V154)/V154</f>
        <v>0.1554198992643975</v>
      </c>
      <c r="AD155" s="9">
        <f>(AD154-W154)/W154</f>
        <v>0.16481801534766258</v>
      </c>
      <c r="AE155" s="9">
        <f>(AE154-X154)/X154</f>
        <v>0.19529474188996285</v>
      </c>
      <c r="AF155" s="66">
        <f>AF154/Z154-1</f>
        <v>0.14514630842335419</v>
      </c>
      <c r="AG155" s="1"/>
      <c r="AH155" s="62">
        <f>AH154/AB154-1</f>
        <v>9.9366737720288922E-2</v>
      </c>
      <c r="AI155" s="9">
        <f>(AI154-AB154)/AB154</f>
        <v>0.18525182446882538</v>
      </c>
      <c r="AJ155" s="9">
        <f>(AJ154-AC154)/AC154</f>
        <v>0.18369999432240866</v>
      </c>
      <c r="AK155" s="9">
        <f>(AK154-AD154)/AD154</f>
        <v>0.20269388317523121</v>
      </c>
      <c r="AL155" s="66">
        <f>AL154/AF154-1</f>
        <v>0.14304587022958537</v>
      </c>
      <c r="AM155" s="1"/>
      <c r="AN155" s="62">
        <f>AN154/AH154-1</f>
        <v>0.16706871946977886</v>
      </c>
      <c r="AO155" s="9">
        <f>(AO154-AH154)/AH154</f>
        <v>0.20314482672023479</v>
      </c>
      <c r="AP155" s="9">
        <f>(AP154-AI154)/AI154</f>
        <v>0.14065841910411395</v>
      </c>
      <c r="AQ155" s="9">
        <f>(AQ154-AJ154)/AJ154</f>
        <v>0.12208455501697968</v>
      </c>
      <c r="AR155" s="66">
        <f>AR154/AL154-1</f>
        <v>0.10916677980045142</v>
      </c>
      <c r="AS155" s="1"/>
      <c r="AT155" s="62">
        <f>AT154/AN154-1</f>
        <v>0.10676223846860311</v>
      </c>
      <c r="AU155" s="9">
        <f>(AU154-AN154)/AN154</f>
        <v>0.15552555538232951</v>
      </c>
      <c r="AV155" s="9">
        <f>(AV154-AO154)/AO154</f>
        <v>0.17205242873757989</v>
      </c>
      <c r="AW155" s="9">
        <f>(AW154-AP154)/AP154</f>
        <v>0.16925809380664864</v>
      </c>
      <c r="AX155" s="66">
        <f>AX154/AR154-1</f>
        <v>0.12811591034310132</v>
      </c>
      <c r="AY155" s="1"/>
      <c r="AZ155" s="62">
        <v>0.13</v>
      </c>
      <c r="BA155" s="9">
        <v>8.2500000000000004E-2</v>
      </c>
      <c r="BB155" s="9">
        <v>4.4999999999999998E-2</v>
      </c>
      <c r="BC155" s="9">
        <v>3.7499999999999999E-2</v>
      </c>
      <c r="BD155" s="66">
        <f>BD154/AX154-1</f>
        <v>7.2615563226919422E-2</v>
      </c>
      <c r="BE155" s="1"/>
      <c r="BF155" s="62">
        <v>4.8000000000000001E-2</v>
      </c>
      <c r="BG155" s="9">
        <f>BF155</f>
        <v>4.8000000000000001E-2</v>
      </c>
      <c r="BH155" s="9">
        <f>BG155</f>
        <v>4.8000000000000001E-2</v>
      </c>
      <c r="BI155" s="9">
        <f>BH155</f>
        <v>4.8000000000000001E-2</v>
      </c>
      <c r="BJ155" s="66">
        <f>BJ154/BD154-1</f>
        <v>4.7973206241168409E-2</v>
      </c>
      <c r="BK155" s="1"/>
      <c r="BL155" s="62">
        <v>2.9000000000000001E-2</v>
      </c>
      <c r="BM155" s="9">
        <f>BL155</f>
        <v>2.9000000000000001E-2</v>
      </c>
      <c r="BN155" s="9">
        <f>BM155</f>
        <v>2.9000000000000001E-2</v>
      </c>
      <c r="BO155" s="9">
        <f>BN155</f>
        <v>2.9000000000000001E-2</v>
      </c>
      <c r="BP155" s="66">
        <f>BP154/BJ154-1</f>
        <v>2.8972243566861788E-2</v>
      </c>
      <c r="BQ155" s="1"/>
      <c r="BR155" s="62">
        <v>2.5499999999999998E-2</v>
      </c>
      <c r="BS155" s="9">
        <f>BR155</f>
        <v>2.5499999999999998E-2</v>
      </c>
      <c r="BT155" s="9">
        <f>BS155</f>
        <v>2.5499999999999998E-2</v>
      </c>
      <c r="BU155" s="9">
        <f>BT155</f>
        <v>2.5499999999999998E-2</v>
      </c>
      <c r="BV155" s="66">
        <f>BV154/BP154-1</f>
        <v>2.5477673522469546E-2</v>
      </c>
      <c r="BW155" s="1"/>
      <c r="BX155" s="62">
        <v>2.9000000000000001E-2</v>
      </c>
      <c r="BY155" s="9">
        <f>BX155</f>
        <v>2.9000000000000001E-2</v>
      </c>
      <c r="BZ155" s="9">
        <f>BY155</f>
        <v>2.9000000000000001E-2</v>
      </c>
      <c r="CA155" s="9">
        <f>BZ155</f>
        <v>2.9000000000000001E-2</v>
      </c>
      <c r="CB155" s="66">
        <f>CB154/BV154-1</f>
        <v>2.8981624631195357E-2</v>
      </c>
      <c r="CC155" s="1"/>
      <c r="CD155" s="62">
        <v>2.5999999999999999E-2</v>
      </c>
      <c r="CE155" s="9">
        <f>CD155</f>
        <v>2.5999999999999999E-2</v>
      </c>
      <c r="CF155" s="9">
        <f>CE155</f>
        <v>2.5999999999999999E-2</v>
      </c>
      <c r="CG155" s="9">
        <f>CF155</f>
        <v>2.5999999999999999E-2</v>
      </c>
      <c r="CH155" s="66">
        <f>CH154/CB154-1</f>
        <v>2.5987682601758877E-2</v>
      </c>
      <c r="CI155" s="1"/>
      <c r="CJ155" s="62">
        <v>2.5499999999999998E-2</v>
      </c>
      <c r="CK155" s="9">
        <f>CJ155</f>
        <v>2.5499999999999998E-2</v>
      </c>
      <c r="CL155" s="9">
        <f>CK155</f>
        <v>2.5499999999999998E-2</v>
      </c>
      <c r="CM155" s="9">
        <f>CL155</f>
        <v>2.5499999999999998E-2</v>
      </c>
      <c r="CN155" s="66">
        <f>CN154/CH154-1</f>
        <v>2.5481104366053886E-2</v>
      </c>
      <c r="CO155" s="1"/>
      <c r="CP155" s="62">
        <v>0.02</v>
      </c>
      <c r="CQ155" s="9">
        <f>CP155</f>
        <v>0.02</v>
      </c>
      <c r="CR155" s="9">
        <f>CQ155</f>
        <v>0.02</v>
      </c>
      <c r="CS155" s="9">
        <f>CR155</f>
        <v>0.02</v>
      </c>
      <c r="CT155" s="66">
        <f>CT154/CN154-1</f>
        <v>1.9994607260340302E-2</v>
      </c>
    </row>
    <row r="156" spans="2:98" ht="15.75" thickBot="1" x14ac:dyDescent="0.35">
      <c r="B156" s="41" t="s">
        <v>48</v>
      </c>
      <c r="D156" s="52">
        <f>D205/D208</f>
        <v>0.23799999999999996</v>
      </c>
      <c r="E156" s="10">
        <f>E205/E208</f>
        <v>0.24960000000000002</v>
      </c>
      <c r="F156" s="10">
        <f>F205/F208</f>
        <v>0.26650980936703483</v>
      </c>
      <c r="G156" s="10">
        <f>G205/G208</f>
        <v>0.27699999999999997</v>
      </c>
      <c r="H156" s="61">
        <f>H154/H158</f>
        <v>0.25794728493995839</v>
      </c>
      <c r="I156" s="1"/>
      <c r="J156" s="52">
        <f>J205/J208</f>
        <v>0.28613636825053995</v>
      </c>
      <c r="K156" s="10">
        <f>K205/K208</f>
        <v>0.29680000000000006</v>
      </c>
      <c r="L156" s="10">
        <f>L205/L208</f>
        <v>0.30287526789541364</v>
      </c>
      <c r="M156" s="10">
        <f>M205/M208</f>
        <v>0.31219999999999998</v>
      </c>
      <c r="N156" s="61">
        <f>N154/N158</f>
        <v>0.29952440960551657</v>
      </c>
      <c r="O156" s="1"/>
      <c r="P156" s="52">
        <f>P205/P208</f>
        <v>0.32350423042304233</v>
      </c>
      <c r="Q156" s="10">
        <f>Q205/Q208</f>
        <v>0.33051908148824471</v>
      </c>
      <c r="R156" s="10">
        <f>R205/R208</f>
        <v>0.34012169091762495</v>
      </c>
      <c r="S156" s="10">
        <f>S205/S208</f>
        <v>0.35693949115580326</v>
      </c>
      <c r="T156" s="61">
        <f>T154/T158</f>
        <v>0.33743702923670943</v>
      </c>
      <c r="U156" s="1"/>
      <c r="V156" s="52">
        <f>V205/V208</f>
        <v>0.37780465617977527</v>
      </c>
      <c r="W156" s="10">
        <f>W205/W208</f>
        <v>0.39254239371829364</v>
      </c>
      <c r="X156" s="10">
        <f>X205/X208</f>
        <v>0.39835017695607822</v>
      </c>
      <c r="Y156" s="10">
        <f>Y205/Y208</f>
        <v>0.41899173369409565</v>
      </c>
      <c r="Z156" s="61">
        <f>Z154/Z158</f>
        <v>0.39698821101760651</v>
      </c>
      <c r="AA156" s="1"/>
      <c r="AB156" s="52">
        <v>0.45</v>
      </c>
      <c r="AC156" s="10">
        <v>0.47499999999999998</v>
      </c>
      <c r="AD156" s="10">
        <v>0.49</v>
      </c>
      <c r="AE156" s="83">
        <v>0.505</v>
      </c>
      <c r="AF156" s="61">
        <f>AF154/AF158</f>
        <v>0.48071776536312844</v>
      </c>
      <c r="AG156" s="1"/>
      <c r="AH156" s="52">
        <v>0.53</v>
      </c>
      <c r="AI156" s="10">
        <v>0.56000000000000005</v>
      </c>
      <c r="AJ156" s="10">
        <v>0.59</v>
      </c>
      <c r="AK156" s="83">
        <v>0.61499999999999999</v>
      </c>
      <c r="AL156" s="61">
        <f>AL154/AL158</f>
        <v>0.57511099472221106</v>
      </c>
      <c r="AM156" s="1"/>
      <c r="AN156" s="52">
        <v>0.63</v>
      </c>
      <c r="AO156" s="10">
        <v>0.64</v>
      </c>
      <c r="AP156" s="10">
        <v>0.65</v>
      </c>
      <c r="AQ156" s="83">
        <v>0.67500000000000004</v>
      </c>
      <c r="AR156" s="61">
        <f>AR154/AR158</f>
        <v>0.64930631374802472</v>
      </c>
      <c r="AS156" s="1"/>
      <c r="AT156" s="52">
        <v>0.7</v>
      </c>
      <c r="AU156" s="10">
        <v>0.71</v>
      </c>
      <c r="AV156" s="10">
        <v>0.71499999999999997</v>
      </c>
      <c r="AW156" s="83">
        <v>0.73250000000000004</v>
      </c>
      <c r="AX156" s="61">
        <f>AX154/AX158</f>
        <v>0.71462160145888609</v>
      </c>
      <c r="AY156" s="1"/>
      <c r="AZ156" s="52">
        <f>AZ154/AZ158</f>
        <v>0.74657857479943346</v>
      </c>
      <c r="BA156" s="10">
        <f>BA154/BA158</f>
        <v>0.74755015197568397</v>
      </c>
      <c r="BB156" s="10">
        <f>BB154/BB158</f>
        <v>0.75516082573211696</v>
      </c>
      <c r="BC156" s="83">
        <f>BC154/BC158</f>
        <v>0.76971039721474921</v>
      </c>
      <c r="BD156" s="61">
        <f>BD154/BD158</f>
        <v>0.7548722498647803</v>
      </c>
      <c r="BE156" s="1"/>
      <c r="BF156" s="52">
        <f>BF154/BF158</f>
        <v>0.7851187265621411</v>
      </c>
      <c r="BG156" s="10">
        <f>BG154/BG158</f>
        <v>0.78598490309711877</v>
      </c>
      <c r="BH156" s="10">
        <f>BH154/BH158</f>
        <v>0.7927580990009877</v>
      </c>
      <c r="BI156" s="83">
        <f>BI154/BI158</f>
        <v>0.80564846035971072</v>
      </c>
      <c r="BJ156" s="61">
        <f>BJ154/BJ158</f>
        <v>0.79247821897315718</v>
      </c>
      <c r="BK156" s="1"/>
      <c r="BL156" s="52">
        <f>BL154/BL158</f>
        <v>0.80642148333695851</v>
      </c>
      <c r="BM156" s="10">
        <f>BM154/BM158</f>
        <v>0.80722287396357384</v>
      </c>
      <c r="BN156" s="10">
        <f>BN154/BN158</f>
        <v>0.81348342774504023</v>
      </c>
      <c r="BO156" s="83">
        <f>BO154/BO158</f>
        <v>0.825368650845548</v>
      </c>
      <c r="BP156" s="61">
        <f>BP154/BP158</f>
        <v>0.8132022358863179</v>
      </c>
      <c r="BQ156" s="1"/>
      <c r="BR156" s="52">
        <f>BR154/BR158</f>
        <v>0.822807453885539</v>
      </c>
      <c r="BS156" s="10">
        <f>BS154/BS158</f>
        <v>0.82355585107286966</v>
      </c>
      <c r="BT156" s="10">
        <f>BT154/BT158</f>
        <v>0.82939808346206578</v>
      </c>
      <c r="BU156" s="83">
        <f>BU154/BU158</f>
        <v>0.84046806936158036</v>
      </c>
      <c r="BV156" s="61">
        <f>BV154/BV158</f>
        <v>0.82911873200526398</v>
      </c>
      <c r="BW156" s="1"/>
      <c r="BX156" s="52">
        <f>BX154/BX158</f>
        <v>0.84075990494510522</v>
      </c>
      <c r="BY156" s="10">
        <f>BY154/BY158</f>
        <v>0.8414470886953932</v>
      </c>
      <c r="BZ156" s="10">
        <f>BZ154/BZ158</f>
        <v>0.84680711919243734</v>
      </c>
      <c r="CA156" s="83">
        <f>CA154/CA158</f>
        <v>0.85694231432702528</v>
      </c>
      <c r="CB156" s="61">
        <f>CB154/CB158</f>
        <v>0.84653817978839552</v>
      </c>
      <c r="CC156" s="1"/>
      <c r="CD156" s="52">
        <f>CD154/CD158</f>
        <v>0.85482320475833107</v>
      </c>
      <c r="CE156" s="10">
        <f>CE154/CE158</f>
        <v>0.85546013316869329</v>
      </c>
      <c r="CF156" s="10">
        <f>CF154/CF158</f>
        <v>0.86042501846489239</v>
      </c>
      <c r="CG156" s="83">
        <f>CG154/CG158</f>
        <v>0.8697977854460065</v>
      </c>
      <c r="CH156" s="61">
        <f>CH154/CH158</f>
        <v>0.86016804651506962</v>
      </c>
      <c r="CI156" s="1"/>
      <c r="CJ156" s="52">
        <f>CJ154/CJ158</f>
        <v>0.86591716146173703</v>
      </c>
      <c r="CK156" s="10">
        <f>CK154/CK158</f>
        <v>0.86651301830051564</v>
      </c>
      <c r="CL156" s="10">
        <f>CL154/CL158</f>
        <v>0.87115542407362001</v>
      </c>
      <c r="CM156" s="83">
        <f>CM154/CM158</f>
        <v>0.8799081926359914</v>
      </c>
      <c r="CN156" s="61">
        <f>CN154/CN158</f>
        <v>0.8709037981189206</v>
      </c>
      <c r="CO156" s="1"/>
      <c r="CP156" s="52">
        <f>CP154/CP158</f>
        <v>0.87395912659133035</v>
      </c>
      <c r="CQ156" s="10">
        <f>CQ154/CQ158</f>
        <v>0.87452442399137476</v>
      </c>
      <c r="CR156" s="10">
        <f>CR154/CR158</f>
        <v>0.8789271393854845</v>
      </c>
      <c r="CS156" s="83">
        <f>CS154/CS158</f>
        <v>0.88722030271225916</v>
      </c>
      <c r="CT156" s="61">
        <f>CT154/CT158</f>
        <v>0.87868546371765643</v>
      </c>
    </row>
    <row r="157" spans="2:98" ht="15.75" thickBot="1" x14ac:dyDescent="0.35">
      <c r="B157" s="1"/>
      <c r="D157" s="36"/>
      <c r="E157" s="36"/>
      <c r="F157" s="36"/>
      <c r="G157" s="36"/>
      <c r="H157" s="36"/>
      <c r="I157" s="1"/>
      <c r="J157" s="36"/>
      <c r="K157" s="36"/>
      <c r="L157" s="36"/>
      <c r="M157" s="36"/>
      <c r="N157" s="36"/>
      <c r="O157" s="1"/>
      <c r="P157" s="36"/>
      <c r="Q157" s="36"/>
      <c r="R157" s="36"/>
      <c r="S157" s="36"/>
      <c r="T157" s="36"/>
      <c r="U157" s="1"/>
      <c r="V157" s="36"/>
      <c r="W157" s="36"/>
      <c r="X157" s="36"/>
      <c r="Y157" s="36"/>
      <c r="Z157" s="36"/>
      <c r="AA157" s="1"/>
      <c r="AB157" s="36"/>
      <c r="AC157" s="36"/>
      <c r="AD157" s="36"/>
      <c r="AE157" s="36"/>
      <c r="AF157" s="36"/>
      <c r="AG157" s="1"/>
      <c r="AH157" s="36"/>
      <c r="AI157" s="36"/>
      <c r="AJ157" s="36"/>
      <c r="AK157" s="36"/>
      <c r="AL157" s="36"/>
      <c r="AM157" s="1"/>
      <c r="AN157" s="36"/>
      <c r="AO157" s="36"/>
      <c r="AP157" s="36"/>
      <c r="AQ157" s="36"/>
      <c r="AR157" s="36"/>
      <c r="AS157" s="1"/>
      <c r="AT157" s="36"/>
      <c r="AU157" s="36"/>
      <c r="AV157" s="36"/>
      <c r="AW157" s="36"/>
      <c r="AX157" s="36"/>
      <c r="AY157" s="1"/>
      <c r="AZ157" s="36"/>
      <c r="BA157" s="36"/>
      <c r="BB157" s="36"/>
      <c r="BC157" s="36"/>
      <c r="BD157" s="36"/>
      <c r="BE157" s="1"/>
      <c r="BF157" s="36"/>
      <c r="BG157" s="36"/>
      <c r="BH157" s="36"/>
      <c r="BI157" s="36"/>
      <c r="BJ157" s="36"/>
      <c r="BK157" s="1"/>
      <c r="BL157" s="36"/>
      <c r="BM157" s="36"/>
      <c r="BN157" s="36"/>
      <c r="BO157" s="36"/>
      <c r="BP157" s="36"/>
      <c r="BQ157" s="1"/>
      <c r="BR157" s="36"/>
      <c r="BS157" s="36"/>
      <c r="BT157" s="36"/>
      <c r="BU157" s="36"/>
      <c r="BV157" s="36"/>
      <c r="BW157" s="1"/>
      <c r="BX157" s="36"/>
      <c r="BY157" s="36"/>
      <c r="BZ157" s="36"/>
      <c r="CA157" s="36"/>
      <c r="CB157" s="36"/>
      <c r="CC157" s="1"/>
      <c r="CD157" s="36"/>
      <c r="CE157" s="36"/>
      <c r="CF157" s="36"/>
      <c r="CG157" s="36"/>
      <c r="CH157" s="36"/>
      <c r="CI157" s="1"/>
      <c r="CJ157" s="36"/>
      <c r="CK157" s="36"/>
      <c r="CL157" s="36"/>
      <c r="CM157" s="36"/>
      <c r="CN157" s="36"/>
      <c r="CO157" s="1"/>
      <c r="CP157" s="36"/>
      <c r="CQ157" s="36"/>
      <c r="CR157" s="36"/>
      <c r="CS157" s="36"/>
      <c r="CT157" s="36"/>
    </row>
    <row r="158" spans="2:98" ht="15" x14ac:dyDescent="0.3">
      <c r="B158" s="42" t="s">
        <v>29</v>
      </c>
      <c r="D158" s="45">
        <f>D161*1000/(D148*3)</f>
        <v>44.88139365523562</v>
      </c>
      <c r="E158" s="19">
        <f>E161*1000/(E148*3)</f>
        <v>45.533710823268287</v>
      </c>
      <c r="F158" s="19">
        <f>F161*1000/(F148*3)</f>
        <v>45.453814097922802</v>
      </c>
      <c r="G158" s="19">
        <f>G161*1000/(G148*3)</f>
        <v>45.235899708194118</v>
      </c>
      <c r="H158" s="57">
        <f>H161*1000/(H148*12)</f>
        <v>45.277349512181083</v>
      </c>
      <c r="I158" s="13"/>
      <c r="J158" s="45">
        <f>J161*1000/(J148*3)</f>
        <v>44.863061035088755</v>
      </c>
      <c r="K158" s="19">
        <f>K161*1000/(K148*3)</f>
        <v>44.86916096312558</v>
      </c>
      <c r="L158" s="19">
        <f>L161*1000/(L148*3)</f>
        <v>45.187566988210072</v>
      </c>
      <c r="M158" s="19">
        <f>M161*1000/(M148*3)</f>
        <v>44.492848666541754</v>
      </c>
      <c r="N158" s="57">
        <f>N161*1000/(N148*12)</f>
        <v>44.853251415308137</v>
      </c>
      <c r="O158" s="13"/>
      <c r="P158" s="45">
        <f>P161*1000/(P148*3)</f>
        <v>43.747974811535471</v>
      </c>
      <c r="Q158" s="19">
        <f>Q161*1000/(Q148*3)</f>
        <v>43.292580480047512</v>
      </c>
      <c r="R158" s="19">
        <f>R161*1000/(R148*3)</f>
        <v>42.335657350934525</v>
      </c>
      <c r="S158" s="19">
        <f>S161*1000/(S148*3)</f>
        <v>41.198191914056807</v>
      </c>
      <c r="T158" s="57">
        <f>T161*1000/(T148*12)</f>
        <v>42.647422098316689</v>
      </c>
      <c r="U158" s="13"/>
      <c r="V158" s="45">
        <f>V161*1000/(V148*3)</f>
        <v>39.934303144063819</v>
      </c>
      <c r="W158" s="19">
        <f>W161*1000/(W148*3)</f>
        <v>39.259677346680682</v>
      </c>
      <c r="X158" s="19">
        <f>X161*1000/(X148*3)</f>
        <v>38.463123872482825</v>
      </c>
      <c r="Y158" s="19">
        <f>Y161*1000/(Y148*3)</f>
        <v>37.566220596122591</v>
      </c>
      <c r="Z158" s="57">
        <f>Z161*1000/(Z148*12)</f>
        <v>38.781598433465334</v>
      </c>
      <c r="AA158" s="13"/>
      <c r="AB158" s="45">
        <f>AB161*1000/(AB148*3)</f>
        <v>37.155776480539686</v>
      </c>
      <c r="AC158" s="19">
        <f>AC161*1000/(AC148*3)</f>
        <v>36.699457940172657</v>
      </c>
      <c r="AD158" s="19">
        <f>AD161*1000/(AD148*3)</f>
        <v>36.634923704097581</v>
      </c>
      <c r="AE158" s="19">
        <f>AE161*1000/(AE148*3)</f>
        <v>36.265460701091051</v>
      </c>
      <c r="AF158" s="57">
        <f>AF161*1000/(AF148*12)</f>
        <v>36.675337617996242</v>
      </c>
      <c r="AG158" s="13"/>
      <c r="AH158" s="45">
        <f>AH161*1000/(AH148*3)</f>
        <v>34.682115376592108</v>
      </c>
      <c r="AI158" s="19">
        <f>AI161*1000/(AI148*3)</f>
        <v>35.388443461432125</v>
      </c>
      <c r="AJ158" s="19">
        <f>AJ161*1000/(AJ148*3)</f>
        <v>34.973805718344877</v>
      </c>
      <c r="AK158" s="19">
        <f>AK161*1000/(AK148*3)</f>
        <v>35.105192419934355</v>
      </c>
      <c r="AL158" s="57">
        <f>AL161*1000/(AL148*12)</f>
        <v>35.040983027972366</v>
      </c>
      <c r="AM158" s="13"/>
      <c r="AN158" s="45">
        <f>AN161*1000/(AN148*3)</f>
        <v>34.051584682481135</v>
      </c>
      <c r="AO158" s="19">
        <f>AO161*1000/(AO148*3)</f>
        <v>34.555675122472479</v>
      </c>
      <c r="AP158" s="19">
        <f>AP161*1000/(AP148*3)</f>
        <v>34.776970069280914</v>
      </c>
      <c r="AQ158" s="19">
        <f>AQ161*1000/(AQ148*3)</f>
        <v>34.301784687058358</v>
      </c>
      <c r="AR158" s="57">
        <f>AR161*1000/(AR148*12)</f>
        <v>34.425097533036976</v>
      </c>
      <c r="AS158" s="13"/>
      <c r="AT158" s="45">
        <f>AT161*1000/(AT148*3)</f>
        <v>33.918307277927418</v>
      </c>
      <c r="AU158" s="19">
        <f>AU161*1000/(AU148*3)</f>
        <v>34.913957845323431</v>
      </c>
      <c r="AV158" s="19">
        <f>AV161*1000/(AV148*3)</f>
        <v>36.252699707041693</v>
      </c>
      <c r="AW158" s="19">
        <f>AW161*1000/(AW148*3)</f>
        <v>36.083433345427821</v>
      </c>
      <c r="AX158" s="57">
        <f>AX161*1000/(AX148*12)</f>
        <v>35.285996747510907</v>
      </c>
      <c r="AY158" s="13"/>
      <c r="AZ158" s="45">
        <f>AZ151+AZ154</f>
        <v>35.9364465609641</v>
      </c>
      <c r="BA158" s="19">
        <f>BA151+BA154</f>
        <v>35.895912909723151</v>
      </c>
      <c r="BB158" s="19">
        <f>BB151+BB154</f>
        <v>35.86932740763973</v>
      </c>
      <c r="BC158" s="46">
        <f>BC151+BC154</f>
        <v>35.626752392149754</v>
      </c>
      <c r="BD158" s="57">
        <f>BD161*1000/(BD148*12)</f>
        <v>35.830194303354119</v>
      </c>
      <c r="BE158" s="13"/>
      <c r="BF158" s="45">
        <f>BF151+BF154</f>
        <v>35.812661698553299</v>
      </c>
      <c r="BG158" s="19">
        <f>BG151+BG154</f>
        <v>35.779347424362868</v>
      </c>
      <c r="BH158" s="19">
        <f>BH151+BH154</f>
        <v>35.80826517288817</v>
      </c>
      <c r="BI158" s="46">
        <f>BI151+BI154</f>
        <v>35.671328963618862</v>
      </c>
      <c r="BJ158" s="57">
        <f>BJ161*1000/(BJ148*12)</f>
        <v>35.767243240437203</v>
      </c>
      <c r="BK158" s="13"/>
      <c r="BL158" s="45">
        <f>BL151+BL154</f>
        <v>35.877751888411822</v>
      </c>
      <c r="BM158" s="19">
        <f>BM151+BM154</f>
        <v>35.848297455641813</v>
      </c>
      <c r="BN158" s="19">
        <f>BN151+BN154</f>
        <v>35.907951785244805</v>
      </c>
      <c r="BO158" s="46">
        <f>BO151+BO154</f>
        <v>35.828801123869347</v>
      </c>
      <c r="BP158" s="57">
        <f>BP161*1000/(BP148*12)</f>
        <v>35.865583319388563</v>
      </c>
      <c r="BQ158" s="13"/>
      <c r="BR158" s="45">
        <f>BR151+BR154</f>
        <v>36.059919971435285</v>
      </c>
      <c r="BS158" s="19">
        <f>BS151+BS154</f>
        <v>36.033346840418538</v>
      </c>
      <c r="BT158" s="19">
        <f>BT151+BT154</f>
        <v>36.117025892940283</v>
      </c>
      <c r="BU158" s="46">
        <f>BU151+BU154</f>
        <v>36.082339789309572</v>
      </c>
      <c r="BV158" s="57">
        <f>BV161*1000/(BV148*12)</f>
        <v>36.073305931548894</v>
      </c>
      <c r="BW158" s="13"/>
      <c r="BX158" s="45">
        <f>BX151+BX154</f>
        <v>36.313353570586543</v>
      </c>
      <c r="BY158" s="19">
        <f>BY151+BY154</f>
        <v>36.289937619975206</v>
      </c>
      <c r="BZ158" s="19">
        <f>BZ151+BZ154</f>
        <v>36.400377048049315</v>
      </c>
      <c r="CA158" s="46">
        <f>CA151+CA154</f>
        <v>36.414948262460584</v>
      </c>
      <c r="CB158" s="57">
        <f>CB161*1000/(CB148*12)</f>
        <v>36.354965877059115</v>
      </c>
      <c r="CC158" s="13"/>
      <c r="CD158" s="45">
        <f>CD151+CD154</f>
        <v>36.644551324741521</v>
      </c>
      <c r="CE158" s="19">
        <f>CE151+CE154</f>
        <v>36.623565220459341</v>
      </c>
      <c r="CF158" s="19">
        <f>CF151+CF154</f>
        <v>36.75570131731655</v>
      </c>
      <c r="CG158" s="46">
        <f>CG151+CG154</f>
        <v>36.809536465717713</v>
      </c>
      <c r="CH158" s="57">
        <f>CH161*1000/(CH148*12)</f>
        <v>36.708710840622643</v>
      </c>
      <c r="CI158" s="13"/>
      <c r="CJ158" s="45">
        <f>CJ151+CJ154</f>
        <v>37.0975329470647</v>
      </c>
      <c r="CK158" s="19">
        <f>CK151+CK154</f>
        <v>37.078398479374371</v>
      </c>
      <c r="CL158" s="19">
        <f>CL151+CL154</f>
        <v>37.228690742801092</v>
      </c>
      <c r="CM158" s="46">
        <f>CM151+CM154</f>
        <v>37.314441819202429</v>
      </c>
      <c r="CN158" s="57">
        <f>CN161*1000/(CN148*12)</f>
        <v>37.180045435652445</v>
      </c>
      <c r="CO158" s="13"/>
      <c r="CP158" s="45">
        <f>CP151+CP154</f>
        <v>37.491293629584348</v>
      </c>
      <c r="CQ158" s="19">
        <f>CQ151+CQ154</f>
        <v>37.47350260401349</v>
      </c>
      <c r="CR158" s="19">
        <f>CR151+CR154</f>
        <v>37.637494516683567</v>
      </c>
      <c r="CS158" s="46">
        <f>CS151+CS154</f>
        <v>37.747049542467174</v>
      </c>
      <c r="CT158" s="57">
        <f>CT161*1000/(CT148*12)</f>
        <v>37.587594634682375</v>
      </c>
    </row>
    <row r="159" spans="2:98" ht="15.75" thickBot="1" x14ac:dyDescent="0.35">
      <c r="B159" s="41" t="s">
        <v>23</v>
      </c>
      <c r="D159" s="52" t="s">
        <v>35</v>
      </c>
      <c r="E159" s="10" t="s">
        <v>35</v>
      </c>
      <c r="F159" s="10" t="s">
        <v>35</v>
      </c>
      <c r="G159" s="10" t="s">
        <v>35</v>
      </c>
      <c r="H159" s="61" t="s">
        <v>35</v>
      </c>
      <c r="I159" s="1"/>
      <c r="J159" s="52">
        <f>(J158-D158)/D158</f>
        <v>-4.0846815693135142E-4</v>
      </c>
      <c r="K159" s="10">
        <f>(K158-E158)/E158</f>
        <v>-1.4594678275224458E-2</v>
      </c>
      <c r="L159" s="10">
        <f>(L158-F158)/F158</f>
        <v>-5.8575306604445486E-3</v>
      </c>
      <c r="M159" s="10">
        <f>(M158-G158)/G158</f>
        <v>-1.6426136021292993E-2</v>
      </c>
      <c r="N159" s="61">
        <f>(N158-H158)/H158</f>
        <v>-9.3666723304739775E-3</v>
      </c>
      <c r="O159" s="1"/>
      <c r="P159" s="52">
        <f>(P158-J158)/J158</f>
        <v>-2.4855330818401838E-2</v>
      </c>
      <c r="Q159" s="10">
        <f>(Q158-K158)/K158</f>
        <v>-3.5137284701484278E-2</v>
      </c>
      <c r="R159" s="10">
        <f>(R158-L158)/L158</f>
        <v>-6.3112706156975465E-2</v>
      </c>
      <c r="S159" s="10">
        <f>(S158-M158)/M158</f>
        <v>-7.4049130393453566E-2</v>
      </c>
      <c r="T159" s="61">
        <f>(T158-N158)/N158</f>
        <v>-4.9178805268030402E-2</v>
      </c>
      <c r="U159" s="1"/>
      <c r="V159" s="52">
        <f>(V158-P158)/P158</f>
        <v>-8.7173673384900618E-2</v>
      </c>
      <c r="W159" s="10">
        <f>(W158-Q158)/Q158</f>
        <v>-9.3154602674365775E-2</v>
      </c>
      <c r="X159" s="10">
        <f>(X158-R158)/R158</f>
        <v>-9.1472147139489673E-2</v>
      </c>
      <c r="Y159" s="10">
        <f>(Y158-S158)/S158</f>
        <v>-8.815851252673515E-2</v>
      </c>
      <c r="Z159" s="61">
        <f>(Z158-T158)/T158</f>
        <v>-9.0646127588657713E-2</v>
      </c>
      <c r="AA159" s="1"/>
      <c r="AB159" s="52">
        <f>(AB158-V158)/V158</f>
        <v>-6.9577442067801726E-2</v>
      </c>
      <c r="AC159" s="10">
        <f>(AC158-W158)/W158</f>
        <v>-6.5212441352997683E-2</v>
      </c>
      <c r="AD159" s="10">
        <f>(AD158-X158)/X158</f>
        <v>-4.7531245107555339E-2</v>
      </c>
      <c r="AE159" s="83">
        <f>(AE158-Y158)/Y158</f>
        <v>-3.4625785463385107E-2</v>
      </c>
      <c r="AF159" s="61">
        <f>(AF158-Z158)/Z158</f>
        <v>-5.4310830407948374E-2</v>
      </c>
      <c r="AG159" s="1"/>
      <c r="AH159" s="52">
        <f>(AH158-AB158)/AB158</f>
        <v>-6.6575411369566073E-2</v>
      </c>
      <c r="AI159" s="10">
        <f>(AI158-AC158)/AC158</f>
        <v>-3.5722992990189217E-2</v>
      </c>
      <c r="AJ159" s="10">
        <f>(AJ158-AD158)/AD158</f>
        <v>-4.5342471548996538E-2</v>
      </c>
      <c r="AK159" s="10">
        <f>(AK158-AE158)/AE158</f>
        <v>-3.1993755455636319E-2</v>
      </c>
      <c r="AL159" s="61">
        <f>(AL158-AF158)/AF158</f>
        <v>-4.4562768775219475E-2</v>
      </c>
      <c r="AM159" s="1"/>
      <c r="AN159" s="52">
        <f>(AN158-AH158)/AH158</f>
        <v>-1.818028362066218E-2</v>
      </c>
      <c r="AO159" s="10">
        <f>(AO158-AI158)/AI158</f>
        <v>-2.3532211578258119E-2</v>
      </c>
      <c r="AP159" s="10">
        <f>(AP158-AJ158)/AJ158</f>
        <v>-5.6280877937374997E-3</v>
      </c>
      <c r="AQ159" s="10">
        <f>(AQ158-AK158)/AK158</f>
        <v>-2.2885723663482446E-2</v>
      </c>
      <c r="AR159" s="61">
        <f>(AR158-AL158)/AL158</f>
        <v>-1.7576147748016784E-2</v>
      </c>
      <c r="AS159" s="1"/>
      <c r="AT159" s="52">
        <f>(AT158-AN158)/AN158</f>
        <v>-3.9139853782571531E-3</v>
      </c>
      <c r="AU159" s="10">
        <f>(AU158-AO158)/AO158</f>
        <v>1.0368274431945643E-2</v>
      </c>
      <c r="AV159" s="10">
        <f>(AV158-AP158)/AP158</f>
        <v>4.2434106100126177E-2</v>
      </c>
      <c r="AW159" s="10">
        <f>(AW158-AQ158)/AQ158</f>
        <v>5.1940407026158521E-2</v>
      </c>
      <c r="AX159" s="61">
        <f>(AX158-AR158)/AR158</f>
        <v>2.5007894709600943E-2</v>
      </c>
      <c r="AY159" s="1"/>
      <c r="AZ159" s="52">
        <f>(AZ158-AT158)/AT158</f>
        <v>5.9500000000000011E-2</v>
      </c>
      <c r="BA159" s="10">
        <f>(BA158-AU158)/AU158</f>
        <v>2.8124999999999966E-2</v>
      </c>
      <c r="BB159" s="10">
        <f>(BB158-AV158)/AV158</f>
        <v>-1.0574999999999902E-2</v>
      </c>
      <c r="BC159" s="83">
        <f>(BC158-AW158)/AW158</f>
        <v>-1.2656249999999885E-2</v>
      </c>
      <c r="BD159" s="61">
        <f>(BD158-AX158)/AX158</f>
        <v>1.5422479340380258E-2</v>
      </c>
      <c r="BE159" s="1"/>
      <c r="BF159" s="52">
        <f>(BF158-AZ158)/AZ158</f>
        <v>-3.4445493157150989E-3</v>
      </c>
      <c r="BG159" s="10">
        <f>(BG158-BA158)/BA158</f>
        <v>-3.247319148936004E-3</v>
      </c>
      <c r="BH159" s="10">
        <f>(BH158-BB158)/BB158</f>
        <v>-1.7023523763803452E-3</v>
      </c>
      <c r="BI159" s="83">
        <f>(BI158-BC158)/BC158</f>
        <v>1.2512106345940776E-3</v>
      </c>
      <c r="BJ159" s="61">
        <f>(BJ158-BD158)/BD158</f>
        <v>-1.7569277571855969E-3</v>
      </c>
      <c r="BK159" s="1"/>
      <c r="BL159" s="52">
        <f>(BL158-BF158)/BF158</f>
        <v>1.8175189101108512E-3</v>
      </c>
      <c r="BM159" s="10">
        <f>(BM158-BG158)/BG158</f>
        <v>1.9270902417855556E-3</v>
      </c>
      <c r="BN159" s="10">
        <f>(BN158-BH158)/BH158</f>
        <v>2.7838995236248278E-3</v>
      </c>
      <c r="BO159" s="83">
        <f>(BO158-BI158)/BI158</f>
        <v>4.414530235503443E-3</v>
      </c>
      <c r="BP159" s="61">
        <f>(BP158-BJ158)/BJ158</f>
        <v>2.7494453036341271E-3</v>
      </c>
      <c r="BQ159" s="1"/>
      <c r="BR159" s="52">
        <f>(BR158-BL158)/BL158</f>
        <v>5.077466492049109E-3</v>
      </c>
      <c r="BS159" s="10">
        <f>(BS158-BM158)/BM158</f>
        <v>5.1620132031570797E-3</v>
      </c>
      <c r="BT159" s="10">
        <f>(BT158-BN158)/BN158</f>
        <v>5.822501627101735E-3</v>
      </c>
      <c r="BU159" s="83">
        <f>(BU158-BO158)/BO158</f>
        <v>7.0763926642054354E-3</v>
      </c>
      <c r="BV159" s="61">
        <f>(BV158-BP158)/BP158</f>
        <v>5.7916975812307234E-3</v>
      </c>
      <c r="BW159" s="1"/>
      <c r="BX159" s="52">
        <f>(BX158-BR158)/BR158</f>
        <v>7.0281242818068957E-3</v>
      </c>
      <c r="BY159" s="10">
        <f>(BY158-BS158)/BS158</f>
        <v>7.1209255330356913E-3</v>
      </c>
      <c r="BZ159" s="10">
        <f>(BZ158-BT158)/BT158</f>
        <v>7.8453623492962393E-3</v>
      </c>
      <c r="CA159" s="83">
        <f>(CA158-BU158)/BU158</f>
        <v>9.2180406008358952E-3</v>
      </c>
      <c r="CB159" s="61">
        <f>(CB158-BV158)/BV158</f>
        <v>7.8079881573561924E-3</v>
      </c>
      <c r="CC159" s="1"/>
      <c r="CD159" s="52">
        <f>(CD158-BX158)/BX158</f>
        <v>9.1205499241811937E-3</v>
      </c>
      <c r="CE159" s="10">
        <f>(CE158-BY158)/BY158</f>
        <v>9.193391401711732E-3</v>
      </c>
      <c r="CF159" s="10">
        <f>(CF158-BZ158)/BZ158</f>
        <v>9.7615546343984179E-3</v>
      </c>
      <c r="CG159" s="83">
        <f>(CG158-CA158)/CA158</f>
        <v>1.083588531866464E-2</v>
      </c>
      <c r="CH159" s="61">
        <f>(CH158-CB158)/CB158</f>
        <v>9.7303065765425509E-3</v>
      </c>
      <c r="CI159" s="1"/>
      <c r="CJ159" s="52">
        <f>(CJ158-CD158)/CD158</f>
        <v>1.2361500030629021E-2</v>
      </c>
      <c r="CK159" s="10">
        <f>(CK158-CE158)/CE158</f>
        <v>1.2419142051766799E-2</v>
      </c>
      <c r="CL159" s="10">
        <f>(CL158-CF158)/CF158</f>
        <v>1.2868464171072815E-2</v>
      </c>
      <c r="CM159" s="83">
        <f>(CM158-CG158)/CG158</f>
        <v>1.3716699582863694E-2</v>
      </c>
      <c r="CN159" s="61">
        <f>(CN158-CH158)/CH158</f>
        <v>1.2839856923229597E-2</v>
      </c>
      <c r="CO159" s="1"/>
      <c r="CP159" s="52">
        <f>(CP158-CJ158)/CJ158</f>
        <v>1.0614201302321482E-2</v>
      </c>
      <c r="CQ159" s="10">
        <f>(CQ158-CK158)/CK158</f>
        <v>1.0655911281036136E-2</v>
      </c>
      <c r="CR159" s="10">
        <f>(CR158-CL158)/CL158</f>
        <v>1.0980879685153194E-2</v>
      </c>
      <c r="CS159" s="83">
        <f>(CS158-CM158)/CM158</f>
        <v>1.1593573484519342E-2</v>
      </c>
      <c r="CT159" s="61">
        <f>(CT158-CN158)/CN158</f>
        <v>1.0961503523046407E-2</v>
      </c>
    </row>
    <row r="160" spans="2:98" ht="15.75" thickBot="1" x14ac:dyDescent="0.35">
      <c r="B160" s="6"/>
      <c r="D160" s="8"/>
      <c r="E160" s="8"/>
      <c r="F160" s="37"/>
      <c r="G160" s="12"/>
      <c r="H160" s="8"/>
      <c r="I160" s="1"/>
      <c r="J160" s="8"/>
      <c r="K160" s="8"/>
      <c r="L160" s="12"/>
      <c r="M160" s="12"/>
      <c r="N160" s="8"/>
      <c r="O160" s="1"/>
      <c r="P160" s="8"/>
      <c r="Q160" s="8"/>
      <c r="R160" s="12"/>
      <c r="S160" s="12"/>
      <c r="T160" s="8"/>
      <c r="U160" s="1"/>
      <c r="V160" s="8"/>
      <c r="W160" s="8"/>
      <c r="X160" s="12"/>
      <c r="Y160" s="12"/>
      <c r="Z160" s="8"/>
      <c r="AA160" s="1"/>
      <c r="AB160" s="8"/>
      <c r="AC160" s="8"/>
      <c r="AD160" s="12"/>
      <c r="AE160" s="12"/>
      <c r="AF160" s="8"/>
      <c r="AG160" s="1"/>
      <c r="AH160" s="8"/>
      <c r="AI160" s="8"/>
      <c r="AJ160" s="12"/>
      <c r="AK160" s="12"/>
      <c r="AL160" s="8"/>
      <c r="AM160" s="1"/>
      <c r="AN160" s="8"/>
      <c r="AO160" s="8"/>
      <c r="AP160" s="12"/>
      <c r="AQ160" s="12"/>
      <c r="AR160" s="8"/>
      <c r="AS160" s="1"/>
      <c r="AT160" s="8"/>
      <c r="AU160" s="8"/>
      <c r="AV160" s="12"/>
      <c r="AW160" s="12"/>
      <c r="AX160" s="8"/>
      <c r="AY160" s="1"/>
      <c r="AZ160" s="8"/>
      <c r="BA160" s="8"/>
      <c r="BB160" s="12"/>
      <c r="BC160" s="12"/>
      <c r="BD160" s="8"/>
      <c r="BE160" s="1"/>
      <c r="BF160" s="8"/>
      <c r="BG160" s="8"/>
      <c r="BH160" s="12"/>
      <c r="BI160" s="12"/>
      <c r="BJ160" s="8"/>
      <c r="BK160" s="1"/>
      <c r="BL160" s="8"/>
      <c r="BM160" s="8"/>
      <c r="BN160" s="12"/>
      <c r="BO160" s="12"/>
      <c r="BP160" s="8"/>
      <c r="BQ160" s="1"/>
      <c r="BR160" s="8"/>
      <c r="BS160" s="8"/>
      <c r="BT160" s="12"/>
      <c r="BU160" s="12"/>
      <c r="BV160" s="8"/>
      <c r="BW160" s="1"/>
      <c r="BX160" s="8"/>
      <c r="BY160" s="8"/>
      <c r="BZ160" s="12"/>
      <c r="CA160" s="12"/>
      <c r="CB160" s="8"/>
      <c r="CC160" s="1"/>
      <c r="CD160" s="8"/>
      <c r="CE160" s="8"/>
      <c r="CF160" s="12"/>
      <c r="CG160" s="12"/>
      <c r="CH160" s="8"/>
      <c r="CI160" s="1"/>
      <c r="CJ160" s="8"/>
      <c r="CK160" s="8"/>
      <c r="CL160" s="12"/>
      <c r="CM160" s="12"/>
      <c r="CN160" s="8"/>
      <c r="CO160" s="1"/>
      <c r="CP160" s="8"/>
      <c r="CQ160" s="8"/>
      <c r="CR160" s="12"/>
      <c r="CS160" s="12"/>
      <c r="CT160" s="8"/>
    </row>
    <row r="161" spans="2:98" ht="15" x14ac:dyDescent="0.3">
      <c r="B161" s="42" t="s">
        <v>30</v>
      </c>
      <c r="D161" s="49">
        <f>D21+D91</f>
        <v>5485</v>
      </c>
      <c r="E161" s="14">
        <f>E21+E91</f>
        <v>5621</v>
      </c>
      <c r="F161" s="14">
        <f>F21+F91</f>
        <v>5650</v>
      </c>
      <c r="G161" s="14">
        <f>G21+G91</f>
        <v>5666</v>
      </c>
      <c r="H161" s="59">
        <f>D161+E161+F161+G161</f>
        <v>22422</v>
      </c>
      <c r="I161" s="13"/>
      <c r="J161" s="49">
        <f>J21+J91</f>
        <v>5680</v>
      </c>
      <c r="K161" s="14">
        <f>K21+K91</f>
        <v>5733</v>
      </c>
      <c r="L161" s="14">
        <f>L21+L91</f>
        <v>5797</v>
      </c>
      <c r="M161" s="14">
        <f>M21+M91</f>
        <v>5699</v>
      </c>
      <c r="N161" s="59">
        <f>J161+K161+L161+M161</f>
        <v>22909</v>
      </c>
      <c r="O161" s="13"/>
      <c r="P161" s="49">
        <f>P21+P91</f>
        <v>5603</v>
      </c>
      <c r="Q161" s="14">
        <f>Q21+Q91</f>
        <v>5540</v>
      </c>
      <c r="R161" s="14">
        <f>R21+R91</f>
        <v>5383</v>
      </c>
      <c r="S161" s="14">
        <f>S21+S91</f>
        <v>5227</v>
      </c>
      <c r="T161" s="59">
        <f>P161+Q161+R161+S161</f>
        <v>21753</v>
      </c>
      <c r="U161" s="13"/>
      <c r="V161" s="49">
        <f>V21+V91</f>
        <v>5106</v>
      </c>
      <c r="W161" s="14">
        <f>W21+W91</f>
        <v>5122.2101034214284</v>
      </c>
      <c r="X161" s="14">
        <f>X21+X91</f>
        <v>5138.000244695937</v>
      </c>
      <c r="Y161" s="14">
        <f>Y21+Y91</f>
        <v>5168.5296776072291</v>
      </c>
      <c r="Z161" s="59">
        <f>V161+W161+X161+Y161</f>
        <v>20534.740025724594</v>
      </c>
      <c r="AA161" s="13"/>
      <c r="AB161" s="49">
        <v>5337</v>
      </c>
      <c r="AC161" s="14">
        <v>5484</v>
      </c>
      <c r="AD161" s="14">
        <v>5684</v>
      </c>
      <c r="AE161" s="35">
        <v>5870</v>
      </c>
      <c r="AF161" s="35">
        <f>(AB161+AC161+AD161+AE161)</f>
        <v>22375</v>
      </c>
      <c r="AG161" s="13"/>
      <c r="AH161" s="49">
        <v>5819</v>
      </c>
      <c r="AI161" s="14">
        <v>6144</v>
      </c>
      <c r="AJ161" s="14">
        <v>6302</v>
      </c>
      <c r="AK161" s="35">
        <v>6556</v>
      </c>
      <c r="AL161" s="35">
        <f>(AH161+AI161+AJ161+AK161)</f>
        <v>24821</v>
      </c>
      <c r="AM161" s="13"/>
      <c r="AN161" s="49">
        <v>6578</v>
      </c>
      <c r="AO161" s="14">
        <v>6888</v>
      </c>
      <c r="AP161" s="14">
        <v>7133</v>
      </c>
      <c r="AQ161" s="35">
        <v>7245</v>
      </c>
      <c r="AR161" s="35">
        <f>(AN161+AO161+AP161+AQ161)</f>
        <v>27844</v>
      </c>
      <c r="AS161" s="13"/>
      <c r="AT161" s="49">
        <v>7329</v>
      </c>
      <c r="AU161" s="14">
        <v>7445</v>
      </c>
      <c r="AV161" s="14">
        <v>7629</v>
      </c>
      <c r="AW161" s="35">
        <v>7757</v>
      </c>
      <c r="AX161" s="35">
        <f>(AT161+AU161+AV161+AW161)</f>
        <v>30160</v>
      </c>
      <c r="AY161" s="13"/>
      <c r="AZ161" s="49">
        <f>AZ158*3/1000*AZ148</f>
        <v>7904.8503088988709</v>
      </c>
      <c r="BA161" s="14">
        <f>BA158*3/1000*BA148</f>
        <v>8030.5438963809893</v>
      </c>
      <c r="BB161" s="14">
        <f>BB158*3/1000*BB148</f>
        <v>8140.274835208279</v>
      </c>
      <c r="BC161" s="35">
        <f>BC158*3/1000*BC148</f>
        <v>8222.8325858701246</v>
      </c>
      <c r="BD161" s="35">
        <f>(AZ161+BA161+BB161+BC161)</f>
        <v>32298.501626358262</v>
      </c>
      <c r="BE161" s="13"/>
      <c r="BF161" s="49">
        <f>BF158*3/1000*BF148</f>
        <v>8397.3529150767772</v>
      </c>
      <c r="BG161" s="14">
        <f>BG158*3/1000*BG148</f>
        <v>8496.8794263376931</v>
      </c>
      <c r="BH161" s="14">
        <f>BH158*3/1000*BH148</f>
        <v>8611.171608776147</v>
      </c>
      <c r="BI161" s="35">
        <f>BI158*3/1000*BI148</f>
        <v>8698.6319244232782</v>
      </c>
      <c r="BJ161" s="35">
        <f>(BF161+BG161+BH161+BI161)</f>
        <v>34204.035874613895</v>
      </c>
      <c r="BK161" s="13"/>
      <c r="BL161" s="49">
        <f>BL158*3/1000*BL148</f>
        <v>8860.6386895013457</v>
      </c>
      <c r="BM161" s="14">
        <f>BM158*3/1000*BM148</f>
        <v>8942.0889380789322</v>
      </c>
      <c r="BN161" s="14">
        <f>BN158*3/1000*BN148</f>
        <v>9045.8414438594082</v>
      </c>
      <c r="BO161" s="35">
        <f>BO158*3/1000*BO148</f>
        <v>9123.9833501989488</v>
      </c>
      <c r="BP161" s="35">
        <f>(BL161+BM161+BN161+BO161)</f>
        <v>35972.55242163864</v>
      </c>
      <c r="BQ161" s="13"/>
      <c r="BR161" s="49">
        <f>BR158*3/1000*BR148</f>
        <v>9273.4394692540845</v>
      </c>
      <c r="BS161" s="14">
        <f>BS158*3/1000*BS148</f>
        <v>9339.5732509351801</v>
      </c>
      <c r="BT161" s="14">
        <f>BT158*3/1000*BT148</f>
        <v>9434.3992111891275</v>
      </c>
      <c r="BU161" s="35">
        <f>BU158*3/1000*BU148</f>
        <v>9502.4645952136216</v>
      </c>
      <c r="BV161" s="35">
        <f>(BR161+BS161+BT161+BU161)</f>
        <v>37549.876526592016</v>
      </c>
      <c r="BW161" s="13"/>
      <c r="BX161" s="49">
        <f>BX158*3/1000*BX148</f>
        <v>9632.7525182855661</v>
      </c>
      <c r="BY161" s="14">
        <f>BY158*3/1000*BY148</f>
        <v>9683.6976793582344</v>
      </c>
      <c r="BZ161" s="14">
        <f>BZ158*3/1000*BZ148</f>
        <v>9770.4982062947784</v>
      </c>
      <c r="CA161" s="35">
        <f>CA158*3/1000*CA148</f>
        <v>9835.8596004319152</v>
      </c>
      <c r="CB161" s="35">
        <f>(BX161+BY161+BZ161+CA161)</f>
        <v>38922.808004370498</v>
      </c>
      <c r="CC161" s="13"/>
      <c r="CD161" s="49">
        <f>CD158*3/1000*CD148</f>
        <v>9954.2175332310999</v>
      </c>
      <c r="CE161" s="14">
        <f>CE158*3/1000*CE148</f>
        <v>9995.2118610547132</v>
      </c>
      <c r="CF161" s="14">
        <f>CF158*3/1000*CF148</f>
        <v>10078.137633448318</v>
      </c>
      <c r="CG161" s="35">
        <f>CG158*3/1000*CG148</f>
        <v>10142.591701605023</v>
      </c>
      <c r="CH161" s="35">
        <f>(CD161+CE161+CF161+CG161)</f>
        <v>40170.158729339149</v>
      </c>
      <c r="CI161" s="13"/>
      <c r="CJ161" s="49">
        <f>CJ158*3/1000*CJ148</f>
        <v>10262.290539146506</v>
      </c>
      <c r="CK161" s="14">
        <f>CK158*3/1000*CK148</f>
        <v>10284.806170208863</v>
      </c>
      <c r="CL161" s="14">
        <f>CL158*3/1000*CL148</f>
        <v>10354.415756295268</v>
      </c>
      <c r="CM161" s="35">
        <f>CM158*3/1000*CM148</f>
        <v>10409.050117675613</v>
      </c>
      <c r="CN161" s="35">
        <f>(CJ161+CK161+CL161+CM161)</f>
        <v>41310.562583326253</v>
      </c>
      <c r="CO161" s="13"/>
      <c r="CP161" s="49">
        <f>CP158*3/1000*CP148</f>
        <v>10486.502284662889</v>
      </c>
      <c r="CQ161" s="14">
        <f>CQ158*3/1000*CQ148</f>
        <v>10504.010147418001</v>
      </c>
      <c r="CR161" s="14">
        <f>CR158*3/1000*CR148</f>
        <v>10572.560397208998</v>
      </c>
      <c r="CS161" s="35">
        <f>CS158*3/1000*CS148</f>
        <v>10628.814210167906</v>
      </c>
      <c r="CT161" s="35">
        <f>(CP161+CQ161+CR161+CS161)</f>
        <v>42191.88703945779</v>
      </c>
    </row>
    <row r="162" spans="2:98" ht="15.75" thickBot="1" x14ac:dyDescent="0.35">
      <c r="B162" s="41" t="s">
        <v>23</v>
      </c>
      <c r="D162" s="52" t="s">
        <v>35</v>
      </c>
      <c r="E162" s="10" t="s">
        <v>35</v>
      </c>
      <c r="F162" s="10" t="s">
        <v>35</v>
      </c>
      <c r="G162" s="10" t="s">
        <v>35</v>
      </c>
      <c r="H162" s="61" t="s">
        <v>35</v>
      </c>
      <c r="I162" s="1"/>
      <c r="J162" s="52">
        <f>(J161-D161)/D161</f>
        <v>3.5551504102096627E-2</v>
      </c>
      <c r="K162" s="10">
        <f>(K161-E161)/E161</f>
        <v>1.9925280199252802E-2</v>
      </c>
      <c r="L162" s="10">
        <f>(L161-F161)/F161</f>
        <v>2.6017699115044247E-2</v>
      </c>
      <c r="M162" s="83">
        <f>(M161-G161)/G161</f>
        <v>5.8242146134839393E-3</v>
      </c>
      <c r="N162" s="83">
        <f>(N161-H161)/H161</f>
        <v>2.1719739541521718E-2</v>
      </c>
      <c r="O162" s="1"/>
      <c r="P162" s="52">
        <f>(P161-J161)/J161</f>
        <v>-1.3556338028169013E-2</v>
      </c>
      <c r="Q162" s="10">
        <f>(Q161-K161)/K161</f>
        <v>-3.3664747950462239E-2</v>
      </c>
      <c r="R162" s="10">
        <f>(R161-L161)/L161</f>
        <v>-7.1416249784371222E-2</v>
      </c>
      <c r="S162" s="83">
        <f>(S161-M161)/M161</f>
        <v>-8.2821547639936835E-2</v>
      </c>
      <c r="T162" s="83">
        <f>(T161-N161)/N161</f>
        <v>-5.0460517700467063E-2</v>
      </c>
      <c r="U162" s="1"/>
      <c r="V162" s="52">
        <f>(V161-P161)/P161</f>
        <v>-8.8702480813849724E-2</v>
      </c>
      <c r="W162" s="10">
        <f>(W161-Q161)/Q161</f>
        <v>-7.5413338732594162E-2</v>
      </c>
      <c r="X162" s="10">
        <f>(X161-R161)/R161</f>
        <v>-4.5513608639060558E-2</v>
      </c>
      <c r="Y162" s="83">
        <f>(Y161-S161)/S161</f>
        <v>-1.1186210520905083E-2</v>
      </c>
      <c r="Z162" s="83">
        <f>(Z161-T161)/T161</f>
        <v>-5.6004228119128689E-2</v>
      </c>
      <c r="AA162" s="1"/>
      <c r="AB162" s="52">
        <f>(AB161-V161)/V161</f>
        <v>4.5240893066980023E-2</v>
      </c>
      <c r="AC162" s="10">
        <f>(AC161-W161)/W161</f>
        <v>7.0631600280689516E-2</v>
      </c>
      <c r="AD162" s="10">
        <f>(AD161-X161)/X161</f>
        <v>0.10626697728706995</v>
      </c>
      <c r="AE162" s="83">
        <f>(AE161-Y161)/Y161</f>
        <v>0.13571951137901109</v>
      </c>
      <c r="AF162" s="83">
        <f>(AF161-Z161)/Z161</f>
        <v>8.961691124260876E-2</v>
      </c>
      <c r="AG162" s="1"/>
      <c r="AH162" s="52">
        <f>(AH161-AB161)/AB161</f>
        <v>9.0312909874461306E-2</v>
      </c>
      <c r="AI162" s="10">
        <f>(AI161-AC161)/AC161</f>
        <v>0.12035010940919037</v>
      </c>
      <c r="AJ162" s="10">
        <f>(AJ161-AD161)/AD161</f>
        <v>0.10872624912033779</v>
      </c>
      <c r="AK162" s="83">
        <f>(AK161-AE161)/AE161</f>
        <v>0.11686541737649063</v>
      </c>
      <c r="AL162" s="83">
        <f>(AL161-AF161)/AF161</f>
        <v>0.10931843575418994</v>
      </c>
      <c r="AM162" s="1"/>
      <c r="AN162" s="52">
        <f>(AN161-AH161)/AH161</f>
        <v>0.13043478260869565</v>
      </c>
      <c r="AO162" s="10">
        <f>(AO161-AI161)/AI161</f>
        <v>0.12109375</v>
      </c>
      <c r="AP162" s="10">
        <f>(AP161-AJ161)/AJ161</f>
        <v>0.13186290066645509</v>
      </c>
      <c r="AQ162" s="83">
        <f>(AQ161-AK161)/AK161</f>
        <v>0.10509456985967053</v>
      </c>
      <c r="AR162" s="83">
        <f>(AR161-AL161)/AL161</f>
        <v>0.12179203094154144</v>
      </c>
      <c r="AS162" s="1"/>
      <c r="AT162" s="52">
        <f>(AT161-AN161)/AN161</f>
        <v>0.11416844025539678</v>
      </c>
      <c r="AU162" s="10">
        <f>(AU161-AO161)/AO161</f>
        <v>8.0865272938443672E-2</v>
      </c>
      <c r="AV162" s="10">
        <f>(AV161-AP161)/AP161</f>
        <v>6.953595962428151E-2</v>
      </c>
      <c r="AW162" s="83">
        <f>(AW161-AQ161)/AQ161</f>
        <v>7.0669427191166326E-2</v>
      </c>
      <c r="AX162" s="83">
        <f>(AX161-AR161)/AR161</f>
        <v>8.3177704352822873E-2</v>
      </c>
      <c r="AY162" s="1"/>
      <c r="AZ162" s="52">
        <f>(AZ161-AT161)/AT161</f>
        <v>7.8571470718907216E-2</v>
      </c>
      <c r="BA162" s="10">
        <f>(BA161-AU161)/AU161</f>
        <v>7.8649280910811192E-2</v>
      </c>
      <c r="BB162" s="10">
        <f>(BB161-AV161)/AV161</f>
        <v>6.7017280798044171E-2</v>
      </c>
      <c r="BC162" s="83">
        <f>(BC161-AW161)/AW161</f>
        <v>6.0053188844930334E-2</v>
      </c>
      <c r="BD162" s="83">
        <f>(BD161-AX161)/AX161</f>
        <v>7.0905226338138658E-2</v>
      </c>
      <c r="BE162" s="1"/>
      <c r="BF162" s="52">
        <f>(BF161-AZ161)/AZ161</f>
        <v>6.2303849779858873E-2</v>
      </c>
      <c r="BG162" s="10">
        <f>(BG161-BA161)/BA161</f>
        <v>5.8070229859133272E-2</v>
      </c>
      <c r="BH162" s="10">
        <f>(BH161-BB161)/BB161</f>
        <v>5.7847773336982114E-2</v>
      </c>
      <c r="BI162" s="83">
        <f>(BI161-BC161)/BC161</f>
        <v>5.7863191738909199E-2</v>
      </c>
      <c r="BJ162" s="83">
        <f>(BJ161-BD161)/BD161</f>
        <v>5.8997605223288722E-2</v>
      </c>
      <c r="BK162" s="1"/>
      <c r="BL162" s="52">
        <f>(BL161-BF161)/BF161</f>
        <v>5.5170454202630427E-2</v>
      </c>
      <c r="BM162" s="10">
        <f>(BM161-BG161)/BG161</f>
        <v>5.2396825870122107E-2</v>
      </c>
      <c r="BN162" s="10">
        <f>(BN161-BH161)/BH161</f>
        <v>5.0477432669006832E-2</v>
      </c>
      <c r="BO162" s="83">
        <f>(BO161-BI161)/BI161</f>
        <v>4.8898657797142218E-2</v>
      </c>
      <c r="BP162" s="83">
        <f>(BP161-BJ161)/BJ161</f>
        <v>5.1704908552541048E-2</v>
      </c>
      <c r="BQ162" s="1"/>
      <c r="BR162" s="52">
        <f>(BR161-BL161)/BL161</f>
        <v>4.6588151736945534E-2</v>
      </c>
      <c r="BS162" s="10">
        <f>(BS161-BM161)/BM161</f>
        <v>4.4450946038302457E-2</v>
      </c>
      <c r="BT162" s="10">
        <f>(BT161-BN161)/BN161</f>
        <v>4.2954297810900079E-2</v>
      </c>
      <c r="BU162" s="83">
        <f>(BU161-BO161)/BO161</f>
        <v>4.1482018378126484E-2</v>
      </c>
      <c r="BV162" s="83">
        <f>(BV161-BP161)/BP161</f>
        <v>4.3847989613452189E-2</v>
      </c>
      <c r="BW162" s="1"/>
      <c r="BX162" s="52">
        <f>(BX161-BR161)/BR161</f>
        <v>3.8746470521835753E-2</v>
      </c>
      <c r="BY162" s="10">
        <f>(BY161-BS161)/BS161</f>
        <v>3.6845840722818546E-2</v>
      </c>
      <c r="BZ162" s="10">
        <f>(BZ161-BT161)/BT161</f>
        <v>3.5624843467196077E-2</v>
      </c>
      <c r="CA162" s="83">
        <f>(CA161-BU161)/BU161</f>
        <v>3.5085108908085194E-2</v>
      </c>
      <c r="CB162" s="83">
        <f>(CB161-BV161)/BV161</f>
        <v>3.6562875960622708E-2</v>
      </c>
      <c r="CC162" s="1"/>
      <c r="CD162" s="52">
        <f>(CD161-BX161)/BX161</f>
        <v>3.3372082832534768E-2</v>
      </c>
      <c r="CE162" s="10">
        <f>(CE161-BY161)/BY161</f>
        <v>3.2168928854574043E-2</v>
      </c>
      <c r="CF162" s="10">
        <f>(CF161-BZ161)/BZ161</f>
        <v>3.1486565030567036E-2</v>
      </c>
      <c r="CG162" s="83">
        <f>(CG161-CA161)/CA161</f>
        <v>3.1185083320998001E-2</v>
      </c>
      <c r="CH162" s="83">
        <f>(CH161-CB161)/CB161</f>
        <v>3.2046781538181711E-2</v>
      </c>
      <c r="CI162" s="1"/>
      <c r="CJ162" s="52">
        <f>(CJ161-CD161)/CD161</f>
        <v>3.0948992714589323E-2</v>
      </c>
      <c r="CK162" s="10">
        <f>(CK161-CE161)/CE161</f>
        <v>2.8973303735814141E-2</v>
      </c>
      <c r="CL162" s="10">
        <f>(CL161-CF161)/CF161</f>
        <v>2.741360883284737E-2</v>
      </c>
      <c r="CM162" s="83">
        <f>(CM161-CG161)/CG161</f>
        <v>2.6271235588476355E-2</v>
      </c>
      <c r="CN162" s="83">
        <f>(CN161-CH161)/CH161</f>
        <v>2.8389329045747203E-2</v>
      </c>
      <c r="CO162" s="1"/>
      <c r="CP162" s="52">
        <f>(CP161-CJ161)/CJ161</f>
        <v>2.1848119058908436E-2</v>
      </c>
      <c r="CQ162" s="10">
        <f>(CQ161-CK161)/CK161</f>
        <v>2.1313379521345509E-2</v>
      </c>
      <c r="CR162" s="10">
        <f>(CR161-CL161)/CL161</f>
        <v>2.1067788472865057E-2</v>
      </c>
      <c r="CS162" s="83">
        <f>(CS161-CM161)/CM161</f>
        <v>2.1112790313028758E-2</v>
      </c>
      <c r="CT162" s="83">
        <f>(CT161-CN161)/CN161</f>
        <v>2.1334118952116538E-2</v>
      </c>
    </row>
    <row r="163" spans="2:98" ht="15.75" thickBot="1" x14ac:dyDescent="0.35">
      <c r="B163" s="1"/>
      <c r="D163" s="2"/>
      <c r="E163" s="2"/>
      <c r="F163" s="11"/>
      <c r="G163" s="11"/>
      <c r="H163" s="2"/>
      <c r="I163" s="1"/>
      <c r="J163" s="2"/>
      <c r="K163" s="2"/>
      <c r="L163" s="11"/>
      <c r="M163" s="11"/>
      <c r="N163" s="2"/>
      <c r="O163" s="1"/>
      <c r="P163" s="2"/>
      <c r="Q163" s="2"/>
      <c r="R163" s="11"/>
      <c r="S163" s="11"/>
      <c r="T163" s="2"/>
      <c r="U163" s="1"/>
      <c r="V163" s="2"/>
      <c r="W163" s="2"/>
      <c r="X163" s="11"/>
      <c r="Y163" s="11"/>
      <c r="Z163" s="2"/>
      <c r="AA163" s="1"/>
      <c r="AB163" s="2"/>
      <c r="AC163" s="2"/>
      <c r="AD163" s="11"/>
      <c r="AE163" s="11"/>
      <c r="AF163" s="2"/>
      <c r="AG163" s="1"/>
      <c r="AH163" s="2"/>
      <c r="AI163" s="2"/>
      <c r="AJ163" s="11"/>
      <c r="AK163" s="11"/>
      <c r="AL163" s="2"/>
      <c r="AM163" s="1"/>
      <c r="AN163" s="2"/>
      <c r="AO163" s="2"/>
      <c r="AP163" s="11"/>
      <c r="AQ163" s="11"/>
      <c r="AR163" s="2"/>
      <c r="AS163" s="1"/>
      <c r="AT163" s="2"/>
      <c r="AU163" s="2"/>
      <c r="AV163" s="11"/>
      <c r="AW163" s="11"/>
      <c r="AX163" s="2"/>
      <c r="AY163" s="1"/>
      <c r="AZ163" s="2"/>
      <c r="BA163" s="2"/>
      <c r="BB163" s="11"/>
      <c r="BC163" s="11"/>
      <c r="BD163" s="2"/>
      <c r="BE163" s="1"/>
      <c r="BF163" s="2"/>
      <c r="BG163" s="2"/>
      <c r="BH163" s="11"/>
      <c r="BI163" s="11"/>
      <c r="BJ163" s="2"/>
      <c r="BK163" s="1"/>
      <c r="BL163" s="2"/>
      <c r="BM163" s="2"/>
      <c r="BN163" s="11"/>
      <c r="BO163" s="11"/>
      <c r="BP163" s="2"/>
      <c r="BQ163" s="1"/>
      <c r="BR163" s="2"/>
      <c r="BS163" s="2"/>
      <c r="BT163" s="11"/>
      <c r="BU163" s="11"/>
      <c r="BV163" s="2"/>
      <c r="BW163" s="1"/>
      <c r="BX163" s="2"/>
      <c r="BY163" s="2"/>
      <c r="BZ163" s="11"/>
      <c r="CA163" s="11"/>
      <c r="CB163" s="2"/>
      <c r="CC163" s="1"/>
      <c r="CD163" s="2"/>
      <c r="CE163" s="2"/>
      <c r="CF163" s="11"/>
      <c r="CG163" s="11"/>
      <c r="CH163" s="2"/>
      <c r="CI163" s="1"/>
      <c r="CJ163" s="2"/>
      <c r="CK163" s="2"/>
      <c r="CL163" s="11"/>
      <c r="CM163" s="11"/>
      <c r="CN163" s="2"/>
      <c r="CO163" s="1"/>
      <c r="CP163" s="2"/>
      <c r="CQ163" s="2"/>
      <c r="CR163" s="11"/>
      <c r="CS163" s="11"/>
      <c r="CT163" s="2"/>
    </row>
    <row r="164" spans="2:98" ht="15" x14ac:dyDescent="0.3">
      <c r="B164" s="38" t="s">
        <v>41</v>
      </c>
      <c r="D164" s="69">
        <f>D165/D148/3</f>
        <v>3.2028868105162381E-2</v>
      </c>
      <c r="E164" s="70">
        <f>E165/E148/3</f>
        <v>3.3818160830153828E-2</v>
      </c>
      <c r="F164" s="70">
        <f>F165/F148/3</f>
        <v>3.4747743399140801E-2</v>
      </c>
      <c r="G164" s="70">
        <f>G165/G148/3</f>
        <v>3.5808246410308615E-2</v>
      </c>
      <c r="H164" s="67">
        <f>(D164+E164+F164+G164)/4</f>
        <v>3.4100754686191406E-2</v>
      </c>
      <c r="I164" s="1"/>
      <c r="J164" s="69">
        <f>J165/J148/3</f>
        <v>3.3394490847698598E-2</v>
      </c>
      <c r="K164" s="70">
        <f>K165/K148/3</f>
        <v>3.4265141287376295E-2</v>
      </c>
      <c r="L164" s="70">
        <f>L165/L148/3</f>
        <v>3.7131423560362468E-2</v>
      </c>
      <c r="M164" s="70">
        <f>M165/M148/3</f>
        <v>3.9350196739741425E-2</v>
      </c>
      <c r="N164" s="67">
        <f>(J164+K164+L164+M164)/4</f>
        <v>3.6035313108794695E-2</v>
      </c>
      <c r="O164" s="1"/>
      <c r="P164" s="69">
        <f>P165/P148/3</f>
        <v>3.255904571167563E-2</v>
      </c>
      <c r="Q164" s="70">
        <f>Q165/Q148/3</f>
        <v>3.1660055561416468E-2</v>
      </c>
      <c r="R164" s="70">
        <f>R165/R148/3</f>
        <v>3.464666674531363E-2</v>
      </c>
      <c r="S164" s="70">
        <f>S165/S148/3</f>
        <v>3.6788763699561376E-2</v>
      </c>
      <c r="T164" s="67">
        <f>(P164+Q164+R164+S164)/4</f>
        <v>3.3913632929491781E-2</v>
      </c>
      <c r="U164" s="1"/>
      <c r="V164" s="69">
        <f>V165/V148/3</f>
        <v>3.216081651806664E-2</v>
      </c>
      <c r="W164" s="70">
        <f>W165/W148/3</f>
        <v>3.279314785008048E-2</v>
      </c>
      <c r="X164" s="70">
        <f>X165/X148/3</f>
        <v>3.2609466060299817E-2</v>
      </c>
      <c r="Y164" s="70">
        <f>Y165/Y148/3</f>
        <v>3.4000000000000002E-2</v>
      </c>
      <c r="Z164" s="67">
        <f>(V164+W164+X164+Y164)/4</f>
        <v>3.2890857607111738E-2</v>
      </c>
      <c r="AA164" s="1"/>
      <c r="AB164" s="69">
        <v>2.5999999999999999E-2</v>
      </c>
      <c r="AC164" s="70">
        <v>2.7E-2</v>
      </c>
      <c r="AD164" s="70">
        <v>2.8000000000000001E-2</v>
      </c>
      <c r="AE164" s="70">
        <v>3.1E-2</v>
      </c>
      <c r="AF164" s="559">
        <f>(AB164+AC164+AD164+AE164)/4</f>
        <v>2.8000000000000001E-2</v>
      </c>
      <c r="AG164" s="1"/>
      <c r="AH164" s="69">
        <v>2.5000000000000001E-2</v>
      </c>
      <c r="AI164" s="70">
        <v>2.5999999999999999E-2</v>
      </c>
      <c r="AJ164" s="70">
        <v>2.8000000000000001E-2</v>
      </c>
      <c r="AK164" s="70">
        <v>2.9000000000000001E-2</v>
      </c>
      <c r="AL164" s="559">
        <f>(AH164+AI164+AJ164+AK164)/4</f>
        <v>2.7E-2</v>
      </c>
      <c r="AM164" s="1"/>
      <c r="AN164" s="69">
        <v>2.63E-2</v>
      </c>
      <c r="AO164" s="70">
        <v>2.7E-2</v>
      </c>
      <c r="AP164" s="70">
        <v>2.7E-2</v>
      </c>
      <c r="AQ164" s="70">
        <v>2.7E-2</v>
      </c>
      <c r="AR164" s="559">
        <f>(AN164+AO164+AP164+AQ164)/4</f>
        <v>2.6824999999999998E-2</v>
      </c>
      <c r="AS164" s="1"/>
      <c r="AT164" s="69">
        <f>AN164-0.05%</f>
        <v>2.58E-2</v>
      </c>
      <c r="AU164" s="70">
        <v>2.5000000000000001E-2</v>
      </c>
      <c r="AV164" s="70">
        <v>2.7E-2</v>
      </c>
      <c r="AW164" s="70">
        <v>2.7E-2</v>
      </c>
      <c r="AX164" s="559">
        <f>(AT164+AU164+AV164+AW164)/4</f>
        <v>2.6199999999999998E-2</v>
      </c>
      <c r="AY164" s="1"/>
      <c r="AZ164" s="69">
        <f>AT164-0.05%</f>
        <v>2.53E-2</v>
      </c>
      <c r="BA164" s="70">
        <f>AU164-0.05%</f>
        <v>2.4500000000000001E-2</v>
      </c>
      <c r="BB164" s="70">
        <f>AV164-0.05%</f>
        <v>2.6499999999999999E-2</v>
      </c>
      <c r="BC164" s="101">
        <f>AW164-0.05%</f>
        <v>2.6499999999999999E-2</v>
      </c>
      <c r="BD164" s="240">
        <f>(AZ164+BA164+BB164+BC164)/4</f>
        <v>2.5699999999999997E-2</v>
      </c>
      <c r="BE164" s="1"/>
      <c r="BF164" s="69">
        <f>AZ164-0.05%</f>
        <v>2.4799999999999999E-2</v>
      </c>
      <c r="BG164" s="70">
        <f>BA164-0.05%</f>
        <v>2.4E-2</v>
      </c>
      <c r="BH164" s="70">
        <f>BB164-0.05%</f>
        <v>2.5999999999999999E-2</v>
      </c>
      <c r="BI164" s="101">
        <f>BC164-0.05%</f>
        <v>2.5999999999999999E-2</v>
      </c>
      <c r="BJ164" s="240">
        <f>(BF164+BG164+BH164+BI164)/4</f>
        <v>2.5199999999999997E-2</v>
      </c>
      <c r="BK164" s="1"/>
      <c r="BL164" s="69">
        <f>BF164-0.05%</f>
        <v>2.4299999999999999E-2</v>
      </c>
      <c r="BM164" s="70">
        <f>BG164-0.05%</f>
        <v>2.35E-2</v>
      </c>
      <c r="BN164" s="70">
        <f>BH164-0.05%</f>
        <v>2.5499999999999998E-2</v>
      </c>
      <c r="BO164" s="101">
        <f>BI164-0.05%</f>
        <v>2.5499999999999998E-2</v>
      </c>
      <c r="BP164" s="240">
        <f>(BL164+BM164+BN164+BO164)/4</f>
        <v>2.4699999999999996E-2</v>
      </c>
      <c r="BQ164" s="1"/>
      <c r="BR164" s="69">
        <f>BL164-0.05%</f>
        <v>2.3799999999999998E-2</v>
      </c>
      <c r="BS164" s="70">
        <f>BM164-0.05%</f>
        <v>2.3E-2</v>
      </c>
      <c r="BT164" s="70">
        <f>BN164-0.05%</f>
        <v>2.4999999999999998E-2</v>
      </c>
      <c r="BU164" s="101">
        <f>BO164-0.05%</f>
        <v>2.4999999999999998E-2</v>
      </c>
      <c r="BV164" s="240">
        <f>(BR164+BS164+BT164+BU164)/4</f>
        <v>2.4199999999999996E-2</v>
      </c>
      <c r="BW164" s="1"/>
      <c r="BX164" s="69">
        <f>BR164-0.05%</f>
        <v>2.3299999999999998E-2</v>
      </c>
      <c r="BY164" s="70">
        <f>BS164-0.05%</f>
        <v>2.2499999999999999E-2</v>
      </c>
      <c r="BZ164" s="70">
        <f>BT164-0.05%</f>
        <v>2.4499999999999997E-2</v>
      </c>
      <c r="CA164" s="101">
        <f>BU164-0.05%</f>
        <v>2.4499999999999997E-2</v>
      </c>
      <c r="CB164" s="240">
        <f>(BX164+BY164+BZ164+CA164)/4</f>
        <v>2.3699999999999995E-2</v>
      </c>
      <c r="CC164" s="1"/>
      <c r="CD164" s="69">
        <f>BX164-0.05%</f>
        <v>2.2799999999999997E-2</v>
      </c>
      <c r="CE164" s="70">
        <f>BY164-0.05%</f>
        <v>2.1999999999999999E-2</v>
      </c>
      <c r="CF164" s="70">
        <f>BZ164-0.05%</f>
        <v>2.3999999999999997E-2</v>
      </c>
      <c r="CG164" s="101">
        <f>CA164-0.05%</f>
        <v>2.3999999999999997E-2</v>
      </c>
      <c r="CH164" s="240">
        <f>(CD164+CE164+CF164+CG164)/4</f>
        <v>2.3199999999999995E-2</v>
      </c>
      <c r="CI164" s="1"/>
      <c r="CJ164" s="69">
        <f>CD164-0.05%</f>
        <v>2.2299999999999997E-2</v>
      </c>
      <c r="CK164" s="70">
        <f>CE164-0.05%</f>
        <v>2.1499999999999998E-2</v>
      </c>
      <c r="CL164" s="70">
        <f>CF164-0.05%</f>
        <v>2.3499999999999997E-2</v>
      </c>
      <c r="CM164" s="101">
        <f>CG164-0.05%</f>
        <v>2.3499999999999997E-2</v>
      </c>
      <c r="CN164" s="240">
        <f>(CJ164+CK164+CL164+CM164)/4</f>
        <v>2.2699999999999994E-2</v>
      </c>
      <c r="CO164" s="1"/>
      <c r="CP164" s="69">
        <f>CJ164-0.05%</f>
        <v>2.1799999999999996E-2</v>
      </c>
      <c r="CQ164" s="70">
        <f>CK164-0.05%</f>
        <v>2.0999999999999998E-2</v>
      </c>
      <c r="CR164" s="70">
        <f>CL164-0.05%</f>
        <v>2.2999999999999996E-2</v>
      </c>
      <c r="CS164" s="101">
        <f>CM164-0.05%</f>
        <v>2.2999999999999996E-2</v>
      </c>
      <c r="CT164" s="240">
        <f>(CP164+CQ164+CR164+CS164)/4</f>
        <v>2.2199999999999994E-2</v>
      </c>
    </row>
    <row r="165" spans="2:98" ht="15" x14ac:dyDescent="0.3">
      <c r="B165" s="40" t="s">
        <v>45</v>
      </c>
      <c r="D165" s="33">
        <f>D25+D95</f>
        <v>3914.2799999999997</v>
      </c>
      <c r="E165" s="7">
        <f>E25+E95</f>
        <v>4174.7505000000001</v>
      </c>
      <c r="F165" s="7">
        <f>F25+F95</f>
        <v>4319.2139999999999</v>
      </c>
      <c r="G165" s="7">
        <f>G25+G95</f>
        <v>4485.1440000000002</v>
      </c>
      <c r="H165" s="55">
        <f>D165+E165+F165+G165</f>
        <v>16893.388500000001</v>
      </c>
      <c r="I165" s="1"/>
      <c r="J165" s="33">
        <f>J25+J95</f>
        <v>4227.9930000000004</v>
      </c>
      <c r="K165" s="7">
        <f>K25+K95</f>
        <v>4378.1085000000003</v>
      </c>
      <c r="L165" s="7">
        <f>L25+L95</f>
        <v>4763.4975000000004</v>
      </c>
      <c r="M165" s="7">
        <f>M25+M95</f>
        <v>5040.2879999999996</v>
      </c>
      <c r="N165" s="55">
        <f>J165+K165+L165+M165</f>
        <v>18409.887000000002</v>
      </c>
      <c r="O165" s="1"/>
      <c r="P165" s="33">
        <f>P25+P95</f>
        <v>4169.9835000000003</v>
      </c>
      <c r="Q165" s="7">
        <f>Q25+Q95</f>
        <v>4051.4265</v>
      </c>
      <c r="R165" s="7">
        <f>R25+R95</f>
        <v>4405.3410000000003</v>
      </c>
      <c r="S165" s="7">
        <f>S25+S95</f>
        <v>4667.5559999999996</v>
      </c>
      <c r="T165" s="55">
        <f>P165+Q165+R165+S165</f>
        <v>17294.307000000001</v>
      </c>
      <c r="U165" s="1"/>
      <c r="V165" s="33">
        <f>V25+V95</f>
        <v>4112.0820000000003</v>
      </c>
      <c r="W165" s="7">
        <f>W25+W95</f>
        <v>4278.5219999999999</v>
      </c>
      <c r="X165" s="7">
        <f>X25+X95</f>
        <v>4356.0540000000001</v>
      </c>
      <c r="Y165" s="7">
        <f>Y25+Y95</f>
        <v>4677.8730000000005</v>
      </c>
      <c r="Z165" s="55">
        <f>V165+W165+X165+Y165</f>
        <v>17424.530999999999</v>
      </c>
      <c r="AA165" s="1"/>
      <c r="AB165" s="33">
        <f>AB25+AB95</f>
        <v>3731.1120000000001</v>
      </c>
      <c r="AC165" s="7">
        <f>AC25+AC95</f>
        <v>3661.248</v>
      </c>
      <c r="AD165" s="7">
        <f>AD25+AD95</f>
        <v>3817.7370000000001</v>
      </c>
      <c r="AE165" s="7">
        <f>AE25+AE95</f>
        <v>4098.9900000000007</v>
      </c>
      <c r="AF165" s="55">
        <f>AB165+AC165+AD165+AE165</f>
        <v>15309.087000000003</v>
      </c>
      <c r="AG165" s="1"/>
      <c r="AH165" s="33">
        <f>AH164*3*AH148</f>
        <v>4194.5250000000005</v>
      </c>
      <c r="AI165" s="7">
        <f>AI25+AI95</f>
        <v>3807.6480000000001</v>
      </c>
      <c r="AJ165" s="7">
        <f>AJ25+AJ95</f>
        <v>3841.2143999999998</v>
      </c>
      <c r="AK165" s="7">
        <f>AK25+AK95</f>
        <v>3973.6620000000003</v>
      </c>
      <c r="AL165" s="55">
        <f>AH165+AI165+AJ165+AK165</f>
        <v>15817.0494</v>
      </c>
      <c r="AM165" s="1"/>
      <c r="AN165" s="33">
        <f>AN164*3*AN148</f>
        <v>5080.5682500000003</v>
      </c>
      <c r="AO165" s="7">
        <f>AO25+AO95</f>
        <v>3760.7339999999999</v>
      </c>
      <c r="AP165" s="7">
        <f>AP25+AP95</f>
        <v>3770.0340000000001</v>
      </c>
      <c r="AQ165" s="7">
        <f>AQ25+AQ95</f>
        <v>3904.848</v>
      </c>
      <c r="AR165" s="55">
        <f>AN165+AO165+AP165+AQ165</f>
        <v>16516.184249999998</v>
      </c>
      <c r="AS165" s="1"/>
      <c r="AT165" s="33">
        <f>AT164*3*AT148</f>
        <v>5574.8123999999998</v>
      </c>
      <c r="AU165" s="7">
        <f>AU25+AU95</f>
        <v>3678.7950000000001</v>
      </c>
      <c r="AV165" s="7">
        <f>AV25+AV95</f>
        <v>3686.67</v>
      </c>
      <c r="AW165" s="7">
        <f>AW25+AW95</f>
        <v>3700.17</v>
      </c>
      <c r="AX165" s="55">
        <f>AT165+AU165+AV165+AW165</f>
        <v>16640.447400000001</v>
      </c>
      <c r="AY165" s="1"/>
      <c r="AZ165" s="33">
        <f>AZ164*3*AZ148</f>
        <v>5565.1777499999998</v>
      </c>
      <c r="BA165" s="7">
        <f>BA164*3*BA148</f>
        <v>5481.0787500000006</v>
      </c>
      <c r="BB165" s="7">
        <f>BB164*3*BB148</f>
        <v>6013.9762499999997</v>
      </c>
      <c r="BC165" s="34">
        <f>BC164*3*BC148</f>
        <v>6116.3325000000004</v>
      </c>
      <c r="BD165" s="34">
        <f>AZ165+BA165+BB165+BC165</f>
        <v>23176.56525</v>
      </c>
      <c r="BE165" s="1"/>
      <c r="BF165" s="33">
        <f>BF164*3*BF148</f>
        <v>5815.1039999999994</v>
      </c>
      <c r="BG165" s="7">
        <f>BG164*3*BG148</f>
        <v>5699.52</v>
      </c>
      <c r="BH165" s="7">
        <f>BH164*3*BH148</f>
        <v>6252.48</v>
      </c>
      <c r="BI165" s="7">
        <f>BI164*3*BI148</f>
        <v>6340.23</v>
      </c>
      <c r="BJ165" s="55">
        <f>BF165+BG165+BH165+BI165</f>
        <v>24107.333999999999</v>
      </c>
      <c r="BK165" s="1"/>
      <c r="BL165" s="33">
        <f>BL164*3*BL148</f>
        <v>6001.3102499999995</v>
      </c>
      <c r="BM165" s="7">
        <f>BM164*3*BM148</f>
        <v>5861.8987500000003</v>
      </c>
      <c r="BN165" s="7">
        <f>BN164*3*BN148</f>
        <v>6423.8962499999998</v>
      </c>
      <c r="BO165" s="7">
        <f>BO164*3*BO148</f>
        <v>6493.7025000000003</v>
      </c>
      <c r="BP165" s="55">
        <f>BL165+BM165+BN165+BO165</f>
        <v>24780.80775</v>
      </c>
      <c r="BQ165" s="1"/>
      <c r="BR165" s="33">
        <f>BR164*3*BR148</f>
        <v>6120.5864999999994</v>
      </c>
      <c r="BS165" s="7">
        <f>BS164*3*BS148</f>
        <v>5961.4275000000007</v>
      </c>
      <c r="BT165" s="7">
        <f>BT164*3*BT148</f>
        <v>6530.4375</v>
      </c>
      <c r="BU165" s="34">
        <f>BU164*3*BU148</f>
        <v>6583.875</v>
      </c>
      <c r="BV165" s="34">
        <f>BR165+BS165+BT165+BU165</f>
        <v>25196.326499999999</v>
      </c>
      <c r="BW165" s="1"/>
      <c r="BX165" s="33">
        <f>BX164*3*BX148</f>
        <v>6180.7327499999992</v>
      </c>
      <c r="BY165" s="7">
        <f>BY164*3*BY148</f>
        <v>6003.9562500000002</v>
      </c>
      <c r="BZ165" s="7">
        <f>BZ164*3*BZ148</f>
        <v>6576.2287499999993</v>
      </c>
      <c r="CA165" s="34">
        <f>CA164*3*CA148</f>
        <v>6617.5724999999993</v>
      </c>
      <c r="CB165" s="34">
        <f>BX165+BY165+BZ165+CA165</f>
        <v>25378.490249999995</v>
      </c>
      <c r="CC165" s="1"/>
      <c r="CD165" s="33">
        <f>CD164*3*CD148</f>
        <v>6193.4489999999987</v>
      </c>
      <c r="CE165" s="7">
        <f>CE164*3*CE148</f>
        <v>6004.1850000000004</v>
      </c>
      <c r="CF165" s="7">
        <f>CF164*3*CF148</f>
        <v>6580.62</v>
      </c>
      <c r="CG165" s="34">
        <f>CG164*3*CG148</f>
        <v>6613.0199999999995</v>
      </c>
      <c r="CH165" s="34">
        <f>CD165+CE165+CF165+CG165</f>
        <v>25391.273999999998</v>
      </c>
      <c r="CI165" s="1"/>
      <c r="CJ165" s="33">
        <f>CJ164*3*CJ148</f>
        <v>6168.8489999999993</v>
      </c>
      <c r="CK165" s="7">
        <f>CK164*3*CK148</f>
        <v>5963.67</v>
      </c>
      <c r="CL165" s="7">
        <f>CL164*3*CL148</f>
        <v>6536.0549999999994</v>
      </c>
      <c r="CM165" s="34">
        <f>CM164*3*CM148</f>
        <v>6555.4424999999992</v>
      </c>
      <c r="CN165" s="34">
        <f>CJ165+CK165+CL165+CM165</f>
        <v>25224.016499999998</v>
      </c>
      <c r="CO165" s="1"/>
      <c r="CP165" s="33">
        <f>CP164*3*CP148</f>
        <v>6097.5689999999986</v>
      </c>
      <c r="CQ165" s="7">
        <f>CQ164*3*CQ148</f>
        <v>5886.4049999999997</v>
      </c>
      <c r="CR165" s="7">
        <f>CR164*3*CR148</f>
        <v>6460.8149999999996</v>
      </c>
      <c r="CS165" s="34">
        <f>CS164*3*CS148</f>
        <v>6476.3399999999992</v>
      </c>
      <c r="CT165" s="34">
        <f>CP165+CQ165+CR165+CS165</f>
        <v>24921.128999999997</v>
      </c>
    </row>
    <row r="166" spans="2:98" ht="15" x14ac:dyDescent="0.3">
      <c r="B166" s="40" t="s">
        <v>42</v>
      </c>
      <c r="D166" s="33">
        <f>D165+D146</f>
        <v>4528.28</v>
      </c>
      <c r="E166" s="7">
        <f>E165+E146</f>
        <v>4384.7505000000001</v>
      </c>
      <c r="F166" s="7">
        <f>F165+F146</f>
        <v>4679.2139999999999</v>
      </c>
      <c r="G166" s="7">
        <f>G165+G146</f>
        <v>4760.1440000000002</v>
      </c>
      <c r="H166" s="55">
        <f>D166+E166+F166+G166</f>
        <v>18352.388500000001</v>
      </c>
      <c r="I166" s="1"/>
      <c r="J166" s="33">
        <f>J165+J146</f>
        <v>4854.9930000000004</v>
      </c>
      <c r="K166" s="7">
        <f>K165+K146</f>
        <v>4527.1085000000003</v>
      </c>
      <c r="L166" s="7">
        <f>L165+L146</f>
        <v>4958.4975000000004</v>
      </c>
      <c r="M166" s="7">
        <f>M165+M146</f>
        <v>4712.2879999999996</v>
      </c>
      <c r="N166" s="55">
        <f>J166+K166+L166+M166</f>
        <v>19052.887000000002</v>
      </c>
      <c r="O166" s="1"/>
      <c r="P166" s="33">
        <f>P165+P146</f>
        <v>4488.9835000000003</v>
      </c>
      <c r="Q166" s="7">
        <f>Q165+Q146</f>
        <v>3660.4265</v>
      </c>
      <c r="R166" s="7">
        <f>R165+R146</f>
        <v>4252.3410000000003</v>
      </c>
      <c r="S166" s="7">
        <f>S165+S146</f>
        <v>4636.5559999999996</v>
      </c>
      <c r="T166" s="55">
        <f>P166+Q166+R166+S166</f>
        <v>17038.307000000001</v>
      </c>
      <c r="U166" s="1"/>
      <c r="V166" s="33">
        <f>V165+V146</f>
        <v>4800.0820000000003</v>
      </c>
      <c r="W166" s="7">
        <f>W165+W146</f>
        <v>5330.5219999999999</v>
      </c>
      <c r="X166" s="7">
        <f>X165+X146</f>
        <v>5379.0540000000001</v>
      </c>
      <c r="Y166" s="7">
        <f>Y165+Y146</f>
        <v>6322.8730000000005</v>
      </c>
      <c r="Z166" s="55">
        <f>V166+W166+X166+Y166</f>
        <v>21832.530999999999</v>
      </c>
      <c r="AA166" s="1"/>
      <c r="AB166" s="33">
        <f>AB165+AB146</f>
        <v>6122.1120000000001</v>
      </c>
      <c r="AC166" s="7">
        <f>AC165+AC146</f>
        <v>5131.2479999999996</v>
      </c>
      <c r="AD166" s="7">
        <f>AD165+AD146</f>
        <v>6162.7370000000001</v>
      </c>
      <c r="AE166" s="7">
        <f>AE165+AE146</f>
        <v>6226.9900000000007</v>
      </c>
      <c r="AF166" s="55">
        <f>AB166+AC166+AD166+AE166</f>
        <v>23643.087000000003</v>
      </c>
      <c r="AG166" s="1"/>
      <c r="AH166" s="33">
        <f>AH165</f>
        <v>4194.5250000000005</v>
      </c>
      <c r="AI166" s="7">
        <f>AI165+AI146</f>
        <v>5879.6480000000001</v>
      </c>
      <c r="AJ166" s="7">
        <f>AJ165+AJ146</f>
        <v>6153.2143999999998</v>
      </c>
      <c r="AK166" s="7">
        <f>AK165+AK146</f>
        <v>6035.6620000000003</v>
      </c>
      <c r="AL166" s="55">
        <f>AH166+AI166+AJ166+AK166</f>
        <v>22263.0494</v>
      </c>
      <c r="AM166" s="1"/>
      <c r="AN166" s="33">
        <f>AN165</f>
        <v>5080.5682500000003</v>
      </c>
      <c r="AO166" s="7">
        <f>AO165+AO146</f>
        <v>5641.7340000000004</v>
      </c>
      <c r="AP166" s="7">
        <f>AP165+AP146</f>
        <v>5740.0339999999997</v>
      </c>
      <c r="AQ166" s="7">
        <f>AQ165+AQ146</f>
        <v>6005.848</v>
      </c>
      <c r="AR166" s="55">
        <f>AN166+AO166+AP166+AQ166</f>
        <v>22468.184249999998</v>
      </c>
      <c r="AS166" s="1"/>
      <c r="AT166" s="33">
        <f>AT165</f>
        <v>5574.8123999999998</v>
      </c>
      <c r="AU166" s="7">
        <f>AU165+1500</f>
        <v>5178.7950000000001</v>
      </c>
      <c r="AV166" s="7">
        <f>AV165+1500</f>
        <v>5186.67</v>
      </c>
      <c r="AW166" s="7">
        <f>AW165+1500</f>
        <v>5200.17</v>
      </c>
      <c r="AX166" s="55">
        <f>AT166+AU166+AV166+AW166</f>
        <v>21140.447400000001</v>
      </c>
      <c r="AY166" s="1"/>
      <c r="AZ166" s="33">
        <f>AZ165</f>
        <v>5565.1777499999998</v>
      </c>
      <c r="BA166" s="7">
        <f>BA165+BA146</f>
        <v>6506.0787500000006</v>
      </c>
      <c r="BB166" s="7">
        <f>BB165+BB146</f>
        <v>7138.9762499999997</v>
      </c>
      <c r="BC166" s="34">
        <f>BC165+BC146</f>
        <v>7566.3325000000004</v>
      </c>
      <c r="BD166" s="34">
        <f>AZ166+BA166+BB166+BC166</f>
        <v>26776.56525</v>
      </c>
      <c r="BE166" s="1"/>
      <c r="BF166" s="33">
        <f>BF165</f>
        <v>5815.1039999999994</v>
      </c>
      <c r="BG166" s="7">
        <f>BG165+BG146</f>
        <v>6699.52</v>
      </c>
      <c r="BH166" s="7">
        <f>BH165+BH146</f>
        <v>7252.48</v>
      </c>
      <c r="BI166" s="7">
        <f>BI165+BI146</f>
        <v>7590.23</v>
      </c>
      <c r="BJ166" s="55">
        <f>BF166+BG166+BH166+BI166</f>
        <v>27357.333999999999</v>
      </c>
      <c r="BK166" s="1"/>
      <c r="BL166" s="33">
        <f>BL165</f>
        <v>6001.3102499999995</v>
      </c>
      <c r="BM166" s="7">
        <f>BM165+BM146</f>
        <v>6686.8987500000003</v>
      </c>
      <c r="BN166" s="7">
        <f>BN165+BN146</f>
        <v>7248.8962499999998</v>
      </c>
      <c r="BO166" s="7">
        <f>BO165+BO146</f>
        <v>7493.7025000000003</v>
      </c>
      <c r="BP166" s="55">
        <f>BL166+BM166+BN166+BO166</f>
        <v>27430.80775</v>
      </c>
      <c r="BQ166" s="1"/>
      <c r="BR166" s="33">
        <f>BR165</f>
        <v>6120.5864999999994</v>
      </c>
      <c r="BS166" s="7">
        <f>BS165+BS146</f>
        <v>6636.4275000000007</v>
      </c>
      <c r="BT166" s="7">
        <f>BT165+BT146</f>
        <v>7205.4375</v>
      </c>
      <c r="BU166" s="34">
        <f>BU165+BU146</f>
        <v>7333.875</v>
      </c>
      <c r="BV166" s="34">
        <f>BR166+BS166+BT166+BU166</f>
        <v>27296.326499999999</v>
      </c>
      <c r="BW166" s="1"/>
      <c r="BX166" s="33">
        <f>BX165</f>
        <v>6180.7327499999992</v>
      </c>
      <c r="BY166" s="7">
        <f>BY165+BY146</f>
        <v>6528.9562500000002</v>
      </c>
      <c r="BZ166" s="7">
        <f>BZ165+BZ146</f>
        <v>7101.2287499999993</v>
      </c>
      <c r="CA166" s="34">
        <f>CA165+CA146</f>
        <v>7217.5724999999993</v>
      </c>
      <c r="CB166" s="34">
        <f>BX166+BY166+BZ166+CA166</f>
        <v>27028.490249999995</v>
      </c>
      <c r="CC166" s="1"/>
      <c r="CD166" s="33">
        <f>CD165</f>
        <v>6193.4489999999987</v>
      </c>
      <c r="CE166" s="7">
        <f>CE165+CE146</f>
        <v>6429.1850000000004</v>
      </c>
      <c r="CF166" s="7">
        <f>CF165+CF146</f>
        <v>7005.62</v>
      </c>
      <c r="CG166" s="34">
        <f>CG165+CG146</f>
        <v>7088.0199999999995</v>
      </c>
      <c r="CH166" s="34">
        <f>CD166+CE166+CF166+CG166</f>
        <v>26716.273999999998</v>
      </c>
      <c r="CI166" s="1"/>
      <c r="CJ166" s="33">
        <f>CJ165</f>
        <v>6168.8489999999993</v>
      </c>
      <c r="CK166" s="7">
        <f>CK165+CK146</f>
        <v>6213.67</v>
      </c>
      <c r="CL166" s="7">
        <f>CL165+CL146</f>
        <v>6786.0549999999994</v>
      </c>
      <c r="CM166" s="34">
        <f>CM165+CM146</f>
        <v>6855.4424999999992</v>
      </c>
      <c r="CN166" s="34">
        <f>CJ166+CK166+CL166+CM166</f>
        <v>26024.016499999998</v>
      </c>
      <c r="CO166" s="1"/>
      <c r="CP166" s="33">
        <f>CP165</f>
        <v>6097.5689999999986</v>
      </c>
      <c r="CQ166" s="7">
        <f>CQ165+CQ146</f>
        <v>6086.4049999999997</v>
      </c>
      <c r="CR166" s="7">
        <f>CR165+CR146</f>
        <v>6660.8149999999996</v>
      </c>
      <c r="CS166" s="34">
        <f>CS165+CS146</f>
        <v>6726.3399999999992</v>
      </c>
      <c r="CT166" s="34">
        <f>CP166+CQ166+CR166+CS166</f>
        <v>25571.128999999997</v>
      </c>
    </row>
    <row r="167" spans="2:98" ht="15" x14ac:dyDescent="0.3">
      <c r="B167" s="39" t="s">
        <v>43</v>
      </c>
      <c r="D167" s="44">
        <f>D170*1000/D166</f>
        <v>168.717482134497</v>
      </c>
      <c r="E167" s="17">
        <f>E170*1000/E166</f>
        <v>170.59123432450718</v>
      </c>
      <c r="F167" s="17">
        <f>F170*1000/F166</f>
        <v>154.08570755686745</v>
      </c>
      <c r="G167" s="17">
        <f>G170*1000/G166</f>
        <v>160.28926855994271</v>
      </c>
      <c r="H167" s="96">
        <f>H170*1000/H166</f>
        <v>163.24850577351279</v>
      </c>
      <c r="I167" s="1"/>
      <c r="J167" s="44">
        <f>J170*1000/J166</f>
        <v>139.03212630790611</v>
      </c>
      <c r="K167" s="17">
        <f>K170*1000/K166</f>
        <v>116.1889537217851</v>
      </c>
      <c r="L167" s="17">
        <f>L170*1000/L166</f>
        <v>128.26466081711243</v>
      </c>
      <c r="M167" s="17">
        <f>M170*1000/M166</f>
        <v>152.36759722665508</v>
      </c>
      <c r="N167" s="96">
        <f>N170*1000/N166</f>
        <v>134.1004121842532</v>
      </c>
      <c r="O167" s="1"/>
      <c r="P167" s="44">
        <f>P170*1000/P166</f>
        <v>157.71944806658342</v>
      </c>
      <c r="Q167" s="17">
        <f>Q170*1000/Q166</f>
        <v>170.47193817441766</v>
      </c>
      <c r="R167" s="17">
        <f>R170*1000/R166</f>
        <v>180.84156468166591</v>
      </c>
      <c r="S167" s="17">
        <f>S170*1000/S166</f>
        <v>208.34429693073912</v>
      </c>
      <c r="T167" s="96">
        <f>T170*1000/T166</f>
        <v>180.0061473243791</v>
      </c>
      <c r="U167" s="1"/>
      <c r="V167" s="44">
        <f>V170*1000/V166</f>
        <v>178.7469464063322</v>
      </c>
      <c r="W167" s="17">
        <f>W170*1000/W166</f>
        <v>286.82534690099254</v>
      </c>
      <c r="X167" s="17">
        <f>X170*1000/X166</f>
        <v>288.09407694111832</v>
      </c>
      <c r="Y167" s="17">
        <f>Y170*1000/Y166</f>
        <v>262.30903595718945</v>
      </c>
      <c r="Z167" s="96">
        <f>Z170*1000/Z166</f>
        <v>256.27579046467611</v>
      </c>
      <c r="AA167" s="1"/>
      <c r="AB167" s="44">
        <f>AB170*1000/AB166</f>
        <v>251.22049384264776</v>
      </c>
      <c r="AC167" s="17">
        <f>AC170*1000/AC166</f>
        <v>331.49830216742595</v>
      </c>
      <c r="AD167" s="17">
        <f>AD170*1000/AD166</f>
        <v>270.33443095170213</v>
      </c>
      <c r="AE167" s="17">
        <f>AE170*1000/AE166</f>
        <v>366.79037544624282</v>
      </c>
      <c r="AF167" s="96">
        <f>AF170*1000/AF166</f>
        <v>304.06350913482657</v>
      </c>
      <c r="AG167" s="1"/>
      <c r="AH167" s="44">
        <f>AH170*1000/AH166</f>
        <v>467.03738802367366</v>
      </c>
      <c r="AI167" s="17">
        <f>AI170*1000/AI166</f>
        <v>346.10915483375874</v>
      </c>
      <c r="AJ167" s="17">
        <f>AJ170*1000/AJ166</f>
        <v>251.41331009041389</v>
      </c>
      <c r="AK167" s="17">
        <f>AK170*1000/AK166</f>
        <v>280.16810749177142</v>
      </c>
      <c r="AL167" s="96">
        <f>AL170*1000/AL166</f>
        <v>324.84319061880177</v>
      </c>
      <c r="AM167" s="1"/>
      <c r="AN167" s="44">
        <f>AN170*1000/AN166</f>
        <v>397.7901487692838</v>
      </c>
      <c r="AO167" s="17">
        <f>AO170*1000/AO166</f>
        <v>413.70259569132469</v>
      </c>
      <c r="AP167" s="17">
        <f>AP170*1000/AP166</f>
        <v>368.11628641920936</v>
      </c>
      <c r="AQ167" s="17">
        <f>AQ170*1000/AQ166</f>
        <v>487.85783456391169</v>
      </c>
      <c r="AR167" s="96">
        <f>AR170*1000/AR166</f>
        <v>418.28035124823231</v>
      </c>
      <c r="AS167" s="1"/>
      <c r="AT167" s="44">
        <f>AT170*1000/AT166</f>
        <v>409.69988514770472</v>
      </c>
      <c r="AU167" s="17">
        <f>AU170*1000/AU166</f>
        <v>534.48726972201064</v>
      </c>
      <c r="AV167" s="17">
        <f>AV170*1000/AV166</f>
        <v>460.7966190253091</v>
      </c>
      <c r="AW167" s="17">
        <f>AW170*1000/AW166</f>
        <v>577.28881940398105</v>
      </c>
      <c r="AX167" s="96">
        <f>AX170*1000/AX166</f>
        <v>494.0292796263148</v>
      </c>
      <c r="AY167" s="1"/>
      <c r="AZ167" s="44">
        <f>AT167*(1+AZ168)</f>
        <v>425.67818066846519</v>
      </c>
      <c r="BA167" s="17">
        <f>AU167*(1+BA168)</f>
        <v>423.31391761983247</v>
      </c>
      <c r="BB167" s="17">
        <f>AV167*(1+BB168)</f>
        <v>352.50941355436146</v>
      </c>
      <c r="BC167" s="99">
        <f>AW167*(1+BC168)</f>
        <v>373.50586615437572</v>
      </c>
      <c r="BD167" s="87">
        <f>BD170*1000/BD166</f>
        <v>390.85350310241091</v>
      </c>
      <c r="BE167" s="1"/>
      <c r="BF167" s="44">
        <f>AZ167*(1+BF168)</f>
        <v>426.10385884913359</v>
      </c>
      <c r="BG167" s="17">
        <f>BA167*(1+BG168)</f>
        <v>423.73723153745226</v>
      </c>
      <c r="BH167" s="17">
        <f>BB167*(1+BH168)</f>
        <v>352.8619229679158</v>
      </c>
      <c r="BI167" s="17">
        <f>BC167*(1+BI168)</f>
        <v>373.87937202053007</v>
      </c>
      <c r="BJ167" s="96">
        <f>BJ170*1000/BJ166</f>
        <v>391.61815900688867</v>
      </c>
      <c r="BK167" s="1"/>
      <c r="BL167" s="44">
        <f>BF167*(1+BL168)</f>
        <v>436.75645532036191</v>
      </c>
      <c r="BM167" s="17">
        <f>BG167*(1+BM168)</f>
        <v>434.33066232588851</v>
      </c>
      <c r="BN167" s="17">
        <f>BH167*(1+BN168)</f>
        <v>361.68347104211364</v>
      </c>
      <c r="BO167" s="17">
        <f>BI167*(1+BO168)</f>
        <v>383.22635632104328</v>
      </c>
      <c r="BP167" s="96">
        <f>BP170*1000/BP166</f>
        <v>401.70258626140765</v>
      </c>
      <c r="BQ167" s="1"/>
      <c r="BR167" s="44">
        <f>BL167*(1+BR168)</f>
        <v>448.54887961401164</v>
      </c>
      <c r="BS167" s="17">
        <f>BM167*(1+BS168)</f>
        <v>446.05759020868749</v>
      </c>
      <c r="BT167" s="17">
        <f>BN167*(1+BT168)</f>
        <v>371.44892476025069</v>
      </c>
      <c r="BU167" s="99">
        <f>BO167*(1+BU168)</f>
        <v>393.57346794171144</v>
      </c>
      <c r="BV167" s="87">
        <f>BV170*1000/BV166</f>
        <v>412.82044689799267</v>
      </c>
      <c r="BW167" s="1"/>
      <c r="BX167" s="44">
        <f>BR167*(1+BX168)</f>
        <v>462.90244376166004</v>
      </c>
      <c r="BY167" s="17">
        <f>BS167*(1+BY168)</f>
        <v>460.33143309536553</v>
      </c>
      <c r="BZ167" s="17">
        <f>BT167*(1+BZ168)</f>
        <v>383.33529035257874</v>
      </c>
      <c r="CA167" s="99">
        <f>BU167*(1+CA168)</f>
        <v>406.16781891584623</v>
      </c>
      <c r="CB167" s="87">
        <f>CB170*1000/CB166</f>
        <v>426.22644623391398</v>
      </c>
      <c r="CC167" s="1"/>
      <c r="CD167" s="44">
        <f>BX167*(1+CD168)</f>
        <v>476.78951707450983</v>
      </c>
      <c r="CE167" s="17">
        <f>BY167*(1+CE168)</f>
        <v>474.14137608822648</v>
      </c>
      <c r="CF167" s="17">
        <f>BZ167*(1+CF168)</f>
        <v>394.83534906315612</v>
      </c>
      <c r="CG167" s="99">
        <f>CA167*(1+CG168)</f>
        <v>418.35285348332161</v>
      </c>
      <c r="CH167" s="87">
        <f>CH170*1000/CH166</f>
        <v>439.1583194352653</v>
      </c>
      <c r="CI167" s="1"/>
      <c r="CJ167" s="44">
        <f>CD167*(1+CJ168)</f>
        <v>495.86109775749026</v>
      </c>
      <c r="CK167" s="17">
        <f>CE167*(1+CK168)</f>
        <v>493.10703113175555</v>
      </c>
      <c r="CL167" s="17">
        <f>CF167*(1+CL168)</f>
        <v>410.62876302568236</v>
      </c>
      <c r="CM167" s="99">
        <f>CG167*(1+CM168)</f>
        <v>435.08696762265447</v>
      </c>
      <c r="CN167" s="87">
        <f>CN170*1000/CN166</f>
        <v>456.96864904321615</v>
      </c>
      <c r="CO167" s="1"/>
      <c r="CP167" s="44">
        <f>CJ167*(1+CP168)</f>
        <v>510.73693069021499</v>
      </c>
      <c r="CQ167" s="17">
        <f>CK167*(1+CQ168)</f>
        <v>507.90024206570826</v>
      </c>
      <c r="CR167" s="17">
        <f>CL167*(1+CR168)</f>
        <v>422.94762591645286</v>
      </c>
      <c r="CS167" s="99">
        <f>CM167*(1+CS168)</f>
        <v>448.1395766513341</v>
      </c>
      <c r="CT167" s="87">
        <f>CT170*1000/CT166</f>
        <v>470.72834756233772</v>
      </c>
    </row>
    <row r="168" spans="2:98" ht="15.75" thickBot="1" x14ac:dyDescent="0.35">
      <c r="B168" s="41" t="s">
        <v>23</v>
      </c>
      <c r="D168" s="52" t="s">
        <v>35</v>
      </c>
      <c r="E168" s="10" t="s">
        <v>35</v>
      </c>
      <c r="F168" s="10" t="s">
        <v>35</v>
      </c>
      <c r="G168" s="10" t="s">
        <v>35</v>
      </c>
      <c r="H168" s="61" t="s">
        <v>35</v>
      </c>
      <c r="I168" s="1"/>
      <c r="J168" s="52">
        <f>(J167-D167)/D167</f>
        <v>-0.17594712445344896</v>
      </c>
      <c r="K168" s="10">
        <f>(K167-E167)/E167</f>
        <v>-0.31890431426995447</v>
      </c>
      <c r="L168" s="10">
        <f>(L167-F167)/F167</f>
        <v>-0.16757587156631906</v>
      </c>
      <c r="M168" s="83">
        <f>(M167-G167)/G167</f>
        <v>-4.9421096025060465E-2</v>
      </c>
      <c r="N168" s="83">
        <f>(N167-H167)/H167</f>
        <v>-0.17855044645675949</v>
      </c>
      <c r="O168" s="1"/>
      <c r="P168" s="52">
        <f>(P167-J167)/J167</f>
        <v>0.13441009826240896</v>
      </c>
      <c r="Q168" s="10">
        <f>(Q167-K167)/K167</f>
        <v>0.46719574205490633</v>
      </c>
      <c r="R168" s="10">
        <f>(R167-L167)/L167</f>
        <v>0.40990950687127176</v>
      </c>
      <c r="S168" s="83">
        <f>(S167-M167)/M167</f>
        <v>0.36737929010467796</v>
      </c>
      <c r="T168" s="83">
        <f>(T167-N167)/N167</f>
        <v>0.34232359462886425</v>
      </c>
      <c r="U168" s="1"/>
      <c r="V168" s="52">
        <f>(V167-P167)/P167</f>
        <v>0.13332216538617184</v>
      </c>
      <c r="W168" s="10">
        <f>(W167-Q167)/Q167</f>
        <v>0.68253702030141983</v>
      </c>
      <c r="X168" s="10">
        <f>(X167-R167)/R167</f>
        <v>0.59307445414027582</v>
      </c>
      <c r="Y168" s="83">
        <f>(Y167-S167)/S167</f>
        <v>0.25901711648190728</v>
      </c>
      <c r="Z168" s="83">
        <f>(Z167-T167)/T167</f>
        <v>0.42370576935273058</v>
      </c>
      <c r="AA168" s="1"/>
      <c r="AB168" s="52">
        <f>(AB167-V167)/V167</f>
        <v>0.40545334560047142</v>
      </c>
      <c r="AC168" s="10">
        <f>(AC167-W167)/W167</f>
        <v>0.15574967745738938</v>
      </c>
      <c r="AD168" s="10">
        <f>(AD167-X167)/X167</f>
        <v>-6.1645300653112578E-2</v>
      </c>
      <c r="AE168" s="10">
        <f>(AE167-Y167)/Y167</f>
        <v>0.39831391666623872</v>
      </c>
      <c r="AF168" s="68">
        <f>AF167/Z167-1</f>
        <v>0.18646989082933807</v>
      </c>
      <c r="AG168" s="1"/>
      <c r="AH168" s="52">
        <f>(AH167-AB167)/AB167</f>
        <v>0.85907360056462212</v>
      </c>
      <c r="AI168" s="10">
        <f>(AI167-AC167)/AC167</f>
        <v>4.4075196074317924E-2</v>
      </c>
      <c r="AJ168" s="10">
        <f>(AJ167-AD167)/AD167</f>
        <v>-6.999153158063201E-2</v>
      </c>
      <c r="AK168" s="10">
        <f>(AK167-AE167)/AE167</f>
        <v>-0.236162870547204</v>
      </c>
      <c r="AL168" s="68">
        <f>AL167/AF167-1</f>
        <v>6.833993840004382E-2</v>
      </c>
      <c r="AM168" s="1"/>
      <c r="AN168" s="52">
        <f>(AN167-AH167)/AH167</f>
        <v>-0.14826915581088293</v>
      </c>
      <c r="AO168" s="10">
        <f>(AO167-AI167)/AI167</f>
        <v>0.19529515447238621</v>
      </c>
      <c r="AP168" s="10">
        <f>(AP167-AJ167)/AJ167</f>
        <v>0.46418774044550964</v>
      </c>
      <c r="AQ168" s="10">
        <f>(AQ167-AK167)/AK167</f>
        <v>0.74130395829668139</v>
      </c>
      <c r="AR168" s="68">
        <f>AR167/AL167-1</f>
        <v>0.28763773823129801</v>
      </c>
      <c r="AS168" s="1"/>
      <c r="AT168" s="52">
        <f>(AT167-AN167)/AN167</f>
        <v>2.9939746912456853E-2</v>
      </c>
      <c r="AU168" s="10">
        <f>(AU167-AO167)/AO167</f>
        <v>0.2919601551661688</v>
      </c>
      <c r="AV168" s="10">
        <f>(AV167-AP167)/AP167</f>
        <v>0.25176917193105591</v>
      </c>
      <c r="AW168" s="10">
        <f>(AW167-AQ167)/AQ167</f>
        <v>0.18331361823882625</v>
      </c>
      <c r="AX168" s="68">
        <f>AX167/AR167-1</f>
        <v>0.18109607145550233</v>
      </c>
      <c r="AY168" s="1"/>
      <c r="AZ168" s="52">
        <v>3.9E-2</v>
      </c>
      <c r="BA168" s="10">
        <v>-0.20799999999999999</v>
      </c>
      <c r="BB168" s="10">
        <v>-0.23499999999999999</v>
      </c>
      <c r="BC168" s="10">
        <v>-0.35299999999999998</v>
      </c>
      <c r="BD168" s="68">
        <f>BD167/AX167-1</f>
        <v>-0.20884546883930921</v>
      </c>
      <c r="BE168" s="1"/>
      <c r="BF168" s="52">
        <v>1E-3</v>
      </c>
      <c r="BG168" s="10">
        <f>BF168</f>
        <v>1E-3</v>
      </c>
      <c r="BH168" s="10">
        <f>BG168</f>
        <v>1E-3</v>
      </c>
      <c r="BI168" s="10">
        <f>BH168</f>
        <v>1E-3</v>
      </c>
      <c r="BJ168" s="68">
        <f>BJ167/BD167-1</f>
        <v>1.9563746989812447E-3</v>
      </c>
      <c r="BK168" s="1"/>
      <c r="BL168" s="52">
        <v>2.5000000000000001E-2</v>
      </c>
      <c r="BM168" s="10">
        <f>BL168</f>
        <v>2.5000000000000001E-2</v>
      </c>
      <c r="BN168" s="10">
        <f>BM168</f>
        <v>2.5000000000000001E-2</v>
      </c>
      <c r="BO168" s="10">
        <f>BN168</f>
        <v>2.5000000000000001E-2</v>
      </c>
      <c r="BP168" s="68">
        <f>BP167/BJ167-1</f>
        <v>2.5750663044053601E-2</v>
      </c>
      <c r="BQ168" s="1"/>
      <c r="BR168" s="52">
        <v>2.7E-2</v>
      </c>
      <c r="BS168" s="10">
        <f>BR168</f>
        <v>2.7E-2</v>
      </c>
      <c r="BT168" s="10">
        <f>BS168</f>
        <v>2.7E-2</v>
      </c>
      <c r="BU168" s="10">
        <f>BT168</f>
        <v>2.7E-2</v>
      </c>
      <c r="BV168" s="68">
        <f>BV167/BP167-1</f>
        <v>2.7676846046866377E-2</v>
      </c>
      <c r="BW168" s="1"/>
      <c r="BX168" s="52">
        <v>3.2000000000000001E-2</v>
      </c>
      <c r="BY168" s="10">
        <f>BX168</f>
        <v>3.2000000000000001E-2</v>
      </c>
      <c r="BZ168" s="10">
        <f>BY168</f>
        <v>3.2000000000000001E-2</v>
      </c>
      <c r="CA168" s="10">
        <f>BZ168</f>
        <v>3.2000000000000001E-2</v>
      </c>
      <c r="CB168" s="68">
        <f>CB167/BV167-1</f>
        <v>3.247416506778289E-2</v>
      </c>
      <c r="CC168" s="1"/>
      <c r="CD168" s="52">
        <v>0.03</v>
      </c>
      <c r="CE168" s="10">
        <f>CD168</f>
        <v>0.03</v>
      </c>
      <c r="CF168" s="10">
        <f>CE168</f>
        <v>0.03</v>
      </c>
      <c r="CG168" s="10">
        <f>CF168</f>
        <v>0.03</v>
      </c>
      <c r="CH168" s="68">
        <f>CH167/CB167-1</f>
        <v>3.0340382009647282E-2</v>
      </c>
      <c r="CI168" s="1"/>
      <c r="CJ168" s="52">
        <v>0.04</v>
      </c>
      <c r="CK168" s="10">
        <f>CJ168</f>
        <v>0.04</v>
      </c>
      <c r="CL168" s="10">
        <f>CK168</f>
        <v>0.04</v>
      </c>
      <c r="CM168" s="10">
        <f>CL168</f>
        <v>0.04</v>
      </c>
      <c r="CN168" s="68">
        <f>CN167/CH167-1</f>
        <v>4.055560106627154E-2</v>
      </c>
      <c r="CO168" s="1"/>
      <c r="CP168" s="52">
        <v>0.03</v>
      </c>
      <c r="CQ168" s="10">
        <f>CP168</f>
        <v>0.03</v>
      </c>
      <c r="CR168" s="10">
        <f>CQ168</f>
        <v>0.03</v>
      </c>
      <c r="CS168" s="10">
        <f>CR168</f>
        <v>0.03</v>
      </c>
      <c r="CT168" s="68">
        <f>CT167/CN167-1</f>
        <v>3.0110815146577652E-2</v>
      </c>
    </row>
    <row r="169" spans="2:98" ht="15.75" thickBot="1" x14ac:dyDescent="0.35">
      <c r="B169" s="1"/>
      <c r="D169" s="2"/>
      <c r="E169" s="2"/>
      <c r="F169" s="11"/>
      <c r="G169" s="11"/>
      <c r="H169" s="2"/>
      <c r="I169" s="1"/>
      <c r="J169" s="2"/>
      <c r="K169" s="2"/>
      <c r="L169" s="11"/>
      <c r="M169" s="11"/>
      <c r="N169" s="2"/>
      <c r="O169" s="1"/>
      <c r="P169" s="2"/>
      <c r="Q169" s="2"/>
      <c r="R169" s="11"/>
      <c r="S169" s="11"/>
      <c r="T169" s="2"/>
      <c r="U169" s="1"/>
      <c r="V169" s="2">
        <v>858</v>
      </c>
      <c r="W169" s="2">
        <v>1529</v>
      </c>
      <c r="X169" s="11">
        <v>1550</v>
      </c>
      <c r="Y169" s="11">
        <v>1659</v>
      </c>
      <c r="Z169" s="2"/>
      <c r="AA169" s="1"/>
      <c r="AB169" s="2"/>
      <c r="AC169" s="2"/>
      <c r="AD169" s="11"/>
      <c r="AE169" s="11"/>
      <c r="AF169" s="2"/>
      <c r="AG169" s="1"/>
      <c r="AH169" s="2"/>
      <c r="AI169" s="2"/>
      <c r="AJ169" s="11"/>
      <c r="AK169" s="11"/>
      <c r="AL169" s="2"/>
      <c r="AM169" s="1"/>
      <c r="AN169" s="2"/>
      <c r="AO169" s="2"/>
      <c r="AP169" s="11"/>
      <c r="AQ169" s="11"/>
      <c r="AR169" s="2"/>
      <c r="AS169" s="1"/>
      <c r="AT169" s="2"/>
      <c r="AU169" s="2"/>
      <c r="AV169" s="11"/>
      <c r="AW169" s="11"/>
      <c r="AX169" s="2"/>
      <c r="AY169" s="1"/>
      <c r="AZ169" s="2"/>
      <c r="BA169" s="2"/>
      <c r="BB169" s="11"/>
      <c r="BC169" s="11"/>
      <c r="BD169" s="2"/>
      <c r="BE169" s="1"/>
      <c r="BF169" s="2"/>
      <c r="BG169" s="2"/>
      <c r="BH169" s="11"/>
      <c r="BI169" s="11"/>
      <c r="BJ169" s="2"/>
      <c r="BK169" s="1"/>
      <c r="BL169" s="2"/>
      <c r="BM169" s="2"/>
      <c r="BN169" s="11"/>
      <c r="BO169" s="11"/>
      <c r="BP169" s="2"/>
      <c r="BQ169" s="1"/>
      <c r="BR169" s="2"/>
      <c r="BS169" s="2"/>
      <c r="BT169" s="11"/>
      <c r="BU169" s="11"/>
      <c r="BV169" s="2"/>
      <c r="BW169" s="1"/>
      <c r="BX169" s="2"/>
      <c r="BY169" s="2"/>
      <c r="BZ169" s="11"/>
      <c r="CA169" s="11"/>
      <c r="CB169" s="2"/>
      <c r="CC169" s="1"/>
      <c r="CD169" s="2"/>
      <c r="CE169" s="2"/>
      <c r="CF169" s="11"/>
      <c r="CG169" s="11"/>
      <c r="CH169" s="2"/>
      <c r="CI169" s="1"/>
      <c r="CJ169" s="2"/>
      <c r="CK169" s="2"/>
      <c r="CL169" s="11"/>
      <c r="CM169" s="11"/>
      <c r="CN169" s="2"/>
      <c r="CO169" s="1"/>
      <c r="CP169" s="2"/>
      <c r="CQ169" s="2"/>
      <c r="CR169" s="11"/>
      <c r="CS169" s="11"/>
      <c r="CT169" s="2"/>
    </row>
    <row r="170" spans="2:98" ht="15" x14ac:dyDescent="0.3">
      <c r="B170" s="42" t="s">
        <v>34</v>
      </c>
      <c r="D170" s="49">
        <f>D30+D100</f>
        <v>764</v>
      </c>
      <c r="E170" s="14">
        <f>E30+E100</f>
        <v>748</v>
      </c>
      <c r="F170" s="14">
        <f>F30+F100</f>
        <v>721</v>
      </c>
      <c r="G170" s="14">
        <f>G30+G100</f>
        <v>763</v>
      </c>
      <c r="H170" s="59">
        <f>D170+E170+F170+G170</f>
        <v>2996</v>
      </c>
      <c r="I170" s="13"/>
      <c r="J170" s="49">
        <f>J30+J100</f>
        <v>675</v>
      </c>
      <c r="K170" s="14">
        <f>K30+K100</f>
        <v>526</v>
      </c>
      <c r="L170" s="14">
        <f>L30+L100</f>
        <v>636</v>
      </c>
      <c r="M170" s="14">
        <f>M30+M100</f>
        <v>718</v>
      </c>
      <c r="N170" s="59">
        <f>J170+K170+L170+M170</f>
        <v>2555</v>
      </c>
      <c r="O170" s="13"/>
      <c r="P170" s="49">
        <f>P30+P100</f>
        <v>708</v>
      </c>
      <c r="Q170" s="14">
        <f>Q30+Q100</f>
        <v>624</v>
      </c>
      <c r="R170" s="14">
        <f>R30+R100</f>
        <v>769</v>
      </c>
      <c r="S170" s="14">
        <f>S30+S100</f>
        <v>966</v>
      </c>
      <c r="T170" s="59">
        <f>P170+Q170+R170+S170</f>
        <v>3067</v>
      </c>
      <c r="U170" s="13"/>
      <c r="V170" s="49">
        <f>V30+V100</f>
        <v>858</v>
      </c>
      <c r="W170" s="14">
        <f>W30+W100</f>
        <v>1528.9288218133727</v>
      </c>
      <c r="X170" s="14">
        <f>X30+X100</f>
        <v>1549.6735969464305</v>
      </c>
      <c r="Y170" s="14">
        <f>Y30+Y100</f>
        <v>1658.5467211097423</v>
      </c>
      <c r="Z170" s="59">
        <f>V170+W170+X170+Y170</f>
        <v>5595.1491398695453</v>
      </c>
      <c r="AA170" s="1"/>
      <c r="AB170" s="49">
        <f>AB173-AB161</f>
        <v>1538</v>
      </c>
      <c r="AC170" s="14">
        <f>AC173-AC161</f>
        <v>1701</v>
      </c>
      <c r="AD170" s="14">
        <f>AD173-AD161</f>
        <v>1666</v>
      </c>
      <c r="AE170" s="35">
        <f>AE173-AE161</f>
        <v>2284</v>
      </c>
      <c r="AF170" s="35">
        <f>AB170+AC170+AD170+AE170</f>
        <v>7189</v>
      </c>
      <c r="AG170" s="1"/>
      <c r="AH170" s="49">
        <f>AH173-AH161</f>
        <v>1959</v>
      </c>
      <c r="AI170" s="14">
        <f>AI173-AI161</f>
        <v>2035</v>
      </c>
      <c r="AJ170" s="14">
        <f>AJ173-AJ161</f>
        <v>1547</v>
      </c>
      <c r="AK170" s="14">
        <f>AK173-AK161</f>
        <v>1691</v>
      </c>
      <c r="AL170" s="59">
        <f>AH170+AI170+AJ170+AK170</f>
        <v>7232</v>
      </c>
      <c r="AM170" s="322"/>
      <c r="AN170" s="49">
        <f>AN173-AN161</f>
        <v>2021</v>
      </c>
      <c r="AO170" s="14">
        <f>AO173-AO161</f>
        <v>2334</v>
      </c>
      <c r="AP170" s="14">
        <f>AP173-AP161</f>
        <v>2113</v>
      </c>
      <c r="AQ170" s="14">
        <f>AQ173-AQ161</f>
        <v>2930</v>
      </c>
      <c r="AR170" s="59">
        <f>AN170+AO170+AP170+AQ170</f>
        <v>9398</v>
      </c>
      <c r="AS170" s="322"/>
      <c r="AT170" s="49">
        <f>AT173-AT161</f>
        <v>2284</v>
      </c>
      <c r="AU170" s="14">
        <f>AU173-AU161</f>
        <v>2768</v>
      </c>
      <c r="AV170" s="14">
        <f>AV173-AV161</f>
        <v>2390</v>
      </c>
      <c r="AW170" s="14">
        <f>AW173-AW161</f>
        <v>3002</v>
      </c>
      <c r="AX170" s="35">
        <f>AT170+AU170+AV170+AW170</f>
        <v>10444</v>
      </c>
      <c r="AY170" s="322"/>
      <c r="AZ170" s="49">
        <f>AZ167*AZ166/1000</f>
        <v>2368.9747397166225</v>
      </c>
      <c r="BA170" s="14">
        <f>BA167*BA166/1000</f>
        <v>2754.1136840056429</v>
      </c>
      <c r="BB170" s="14">
        <f>BB167*BB166/1000</f>
        <v>2516.5563312660142</v>
      </c>
      <c r="BC170" s="35">
        <f>BC167*BC166/1000</f>
        <v>2826.0695740245033</v>
      </c>
      <c r="BD170" s="35">
        <f>AZ170+BA170+BB170+BC170</f>
        <v>10465.714329012782</v>
      </c>
      <c r="BE170" s="322"/>
      <c r="BF170" s="49">
        <f>BF167*BF166/1000</f>
        <v>2477.8382540090315</v>
      </c>
      <c r="BG170" s="14">
        <f>BG167*BG166/1000</f>
        <v>2838.8360574297922</v>
      </c>
      <c r="BH170" s="14">
        <f>BH167*BH166/1000</f>
        <v>2559.12403908635</v>
      </c>
      <c r="BI170" s="35">
        <f>BI167*BI166/1000</f>
        <v>2837.8304258913877</v>
      </c>
      <c r="BJ170" s="35">
        <f>BF170+BG170+BH170+BI170</f>
        <v>10713.628776416561</v>
      </c>
      <c r="BK170" s="322"/>
      <c r="BL170" s="49">
        <f>BL167*BL166/1000</f>
        <v>2621.1109920677545</v>
      </c>
      <c r="BM170" s="14">
        <f>BM167*BM166/1000</f>
        <v>2904.3251629936558</v>
      </c>
      <c r="BN170" s="14">
        <f>BN167*BN166/1000</f>
        <v>2621.8059569241609</v>
      </c>
      <c r="BO170" s="35">
        <f>BO167*BO166/1000</f>
        <v>2871.7843044288929</v>
      </c>
      <c r="BP170" s="35">
        <f>BL170+BM170+BN170+BO170</f>
        <v>11019.026416414465</v>
      </c>
      <c r="BQ170" s="322"/>
      <c r="BR170" s="49">
        <f>BR167*BR166/1000</f>
        <v>2745.3822171556449</v>
      </c>
      <c r="BS170" s="14">
        <f>BS167*BS166/1000</f>
        <v>2960.2288582446645</v>
      </c>
      <c r="BT170" s="14">
        <f>BT167*BT166/1000</f>
        <v>2676.4520118021892</v>
      </c>
      <c r="BU170" s="35">
        <f>BU167*BU166/1000</f>
        <v>2886.4186172010191</v>
      </c>
      <c r="BV170" s="35">
        <f>BR170+BS170+BT170+BU170</f>
        <v>11268.481704403519</v>
      </c>
      <c r="BW170" s="322"/>
      <c r="BX170" s="49">
        <f>BX167*BX166/1000</f>
        <v>2861.0762942127249</v>
      </c>
      <c r="BY170" s="14">
        <f>BY167*BY166/1000</f>
        <v>3005.4837871794434</v>
      </c>
      <c r="BZ170" s="14">
        <f>BZ167*BZ166/1000</f>
        <v>2722.1515847413293</v>
      </c>
      <c r="CA170" s="35">
        <f>CA167*CA166/1000</f>
        <v>2931.5456801919913</v>
      </c>
      <c r="CB170" s="35">
        <f>BX170+BY170+BZ170+CA170</f>
        <v>11520.25734632549</v>
      </c>
      <c r="CC170" s="322"/>
      <c r="CD170" s="49">
        <f>CD167*CD166/1000</f>
        <v>2952.9715577356051</v>
      </c>
      <c r="CE170" s="14">
        <f>CE167*CE166/1000</f>
        <v>3048.3426230257846</v>
      </c>
      <c r="CF170" s="14">
        <f>CF167*CF166/1000</f>
        <v>2766.0664181038278</v>
      </c>
      <c r="CG170" s="35">
        <f>CG167*CG166/1000</f>
        <v>2965.2933925468528</v>
      </c>
      <c r="CH170" s="35">
        <f>CD170+CE170+CF170+CG170</f>
        <v>11732.673991412072</v>
      </c>
      <c r="CI170" s="322"/>
      <c r="CJ170" s="49">
        <f>CJ167*CJ166/1000</f>
        <v>3058.8922370401956</v>
      </c>
      <c r="CK170" s="14">
        <f>CK167*CK166/1000</f>
        <v>3064.0043661324553</v>
      </c>
      <c r="CL170" s="14">
        <f>CL167*CL166/1000</f>
        <v>2786.5493704742466</v>
      </c>
      <c r="CM170" s="35">
        <f>CM167*CM166/1000</f>
        <v>2982.7136890364691</v>
      </c>
      <c r="CN170" s="35">
        <f>CJ170+CK170+CL170+CM170</f>
        <v>11892.159662683365</v>
      </c>
      <c r="CO170" s="322"/>
      <c r="CP170" s="49">
        <f>CP167*CP166/1000</f>
        <v>3114.253675731803</v>
      </c>
      <c r="CQ170" s="14">
        <f>CQ167*CQ166/1000</f>
        <v>3091.2865728099368</v>
      </c>
      <c r="CR170" s="14">
        <f>CR167*CR166/1000</f>
        <v>2817.1758909186979</v>
      </c>
      <c r="CS170" s="35">
        <f>CS167*CS166/1000</f>
        <v>3014.3391600129344</v>
      </c>
      <c r="CT170" s="35">
        <f>CP170+CQ170+CR170+CS170</f>
        <v>12037.055299473372</v>
      </c>
    </row>
    <row r="171" spans="2:98" ht="15.75" thickBot="1" x14ac:dyDescent="0.35">
      <c r="B171" s="41" t="s">
        <v>23</v>
      </c>
      <c r="D171" s="52" t="s">
        <v>35</v>
      </c>
      <c r="E171" s="10" t="s">
        <v>35</v>
      </c>
      <c r="F171" s="10" t="s">
        <v>35</v>
      </c>
      <c r="G171" s="10" t="s">
        <v>35</v>
      </c>
      <c r="H171" s="61" t="s">
        <v>35</v>
      </c>
      <c r="I171" s="1"/>
      <c r="J171" s="52">
        <f>(J170-D170)/D170</f>
        <v>-0.11649214659685864</v>
      </c>
      <c r="K171" s="10">
        <f>(K170-E170)/E170</f>
        <v>-0.2967914438502674</v>
      </c>
      <c r="L171" s="10">
        <f>(L170-F170)/F170</f>
        <v>-0.11789181692094314</v>
      </c>
      <c r="M171" s="83">
        <f>(M170-G170)/G170</f>
        <v>-5.8977719528178242E-2</v>
      </c>
      <c r="N171" s="83">
        <f>(N170-H170)/H170</f>
        <v>-0.14719626168224298</v>
      </c>
      <c r="O171" s="1"/>
      <c r="P171" s="52">
        <f>(P170-J170)/J170</f>
        <v>4.8888888888888891E-2</v>
      </c>
      <c r="Q171" s="10">
        <f>(Q170-K170)/K170</f>
        <v>0.18631178707224336</v>
      </c>
      <c r="R171" s="10">
        <f>(R170-L170)/L170</f>
        <v>0.20911949685534592</v>
      </c>
      <c r="S171" s="83">
        <f>(S170-M170)/M170</f>
        <v>0.34540389972144847</v>
      </c>
      <c r="T171" s="83">
        <f>(T170-N170)/N170</f>
        <v>0.20039138943248533</v>
      </c>
      <c r="U171" s="1"/>
      <c r="V171" s="52">
        <f>(V170-P170)/P170</f>
        <v>0.21186440677966101</v>
      </c>
      <c r="W171" s="10">
        <f>(W170-Q170)/Q170</f>
        <v>1.4502064452137382</v>
      </c>
      <c r="X171" s="10">
        <f>(X170-R170)/R170</f>
        <v>1.0151802300993895</v>
      </c>
      <c r="Y171" s="83">
        <f>(Y170-S170)/S170</f>
        <v>0.71692207154217624</v>
      </c>
      <c r="Z171" s="83">
        <f>(Z170-T170)/T170</f>
        <v>0.82430686008136456</v>
      </c>
      <c r="AA171" s="1"/>
      <c r="AB171" s="52">
        <f>AB170/V170-1</f>
        <v>0.79254079254079257</v>
      </c>
      <c r="AC171" s="10">
        <f>(AC170-W170)/W170</f>
        <v>0.11254361598242606</v>
      </c>
      <c r="AD171" s="10">
        <f>AD170/X170-1</f>
        <v>7.5065099697630533E-2</v>
      </c>
      <c r="AE171" s="83">
        <f>AE170/Y170-1</f>
        <v>0.37710923118992001</v>
      </c>
      <c r="AF171" s="83">
        <f>AF170/Z170-1</f>
        <v>0.28486298046518499</v>
      </c>
      <c r="AG171" s="1"/>
      <c r="AH171" s="52">
        <f>AH170/AB170-1</f>
        <v>0.27373211963589084</v>
      </c>
      <c r="AI171" s="10">
        <f>(AI170-AC170)/AC170</f>
        <v>0.19635508524397413</v>
      </c>
      <c r="AJ171" s="10">
        <f>AJ170/AD170-1</f>
        <v>-7.1428571428571397E-2</v>
      </c>
      <c r="AK171" s="10">
        <f>AK170/AE170-1</f>
        <v>-0.25963222416812615</v>
      </c>
      <c r="AL171" s="61">
        <f>AL170/AF170-1</f>
        <v>5.9813604117402441E-3</v>
      </c>
      <c r="AM171" s="1"/>
      <c r="AN171" s="52">
        <f>AN170/AH170-1</f>
        <v>3.1648800408371702E-2</v>
      </c>
      <c r="AO171" s="10">
        <f>(AO170-AI170)/AI170</f>
        <v>0.14692874692874694</v>
      </c>
      <c r="AP171" s="10">
        <f>(AP170-AJ170)/AJ170</f>
        <v>0.36586942469295408</v>
      </c>
      <c r="AQ171" s="10">
        <f>(AQ170-AK170)/AK170</f>
        <v>0.73270254287403902</v>
      </c>
      <c r="AR171" s="61">
        <f>AR170/AL170-1</f>
        <v>0.29950221238938046</v>
      </c>
      <c r="AS171" s="1"/>
      <c r="AT171" s="52">
        <f>AT170/AN170-1</f>
        <v>0.13013359722909446</v>
      </c>
      <c r="AU171" s="10">
        <f>(AU170-AO170)/AO170</f>
        <v>0.18594687232219365</v>
      </c>
      <c r="AV171" s="10">
        <f>(AV170-AP170)/AP170</f>
        <v>0.13109323237103643</v>
      </c>
      <c r="AW171" s="10">
        <f>(AW170-AQ170)/AQ170</f>
        <v>2.4573378839590442E-2</v>
      </c>
      <c r="AX171" s="83">
        <f>AX170/AR170-1</f>
        <v>0.1113002766546074</v>
      </c>
      <c r="AY171" s="1"/>
      <c r="AZ171" s="52">
        <f>AZ170/AT170-1</f>
        <v>3.7204351889939868E-2</v>
      </c>
      <c r="BA171" s="10">
        <f>BA170/AU170-1</f>
        <v>-5.0167326569209303E-3</v>
      </c>
      <c r="BB171" s="10">
        <f>BB170/AV170-1</f>
        <v>5.2952439860256995E-2</v>
      </c>
      <c r="BC171" s="83">
        <f>BC170/AW170-1</f>
        <v>-5.8604405721351394E-2</v>
      </c>
      <c r="BD171" s="83">
        <f>BD170/AX170-1</f>
        <v>2.0791199744143452E-3</v>
      </c>
      <c r="BE171" s="1"/>
      <c r="BF171" s="52">
        <f>BF170/AZ170-1</f>
        <v>4.5953851878315577E-2</v>
      </c>
      <c r="BG171" s="10">
        <f>BG170/BA170-1</f>
        <v>3.0762119195067994E-2</v>
      </c>
      <c r="BH171" s="10">
        <f>BH170/BB170-1</f>
        <v>1.6915062576374318E-2</v>
      </c>
      <c r="BI171" s="83">
        <f>BI170/BC170-1</f>
        <v>4.1615577956688465E-3</v>
      </c>
      <c r="BJ171" s="83">
        <f>BJ170/BD170-1</f>
        <v>2.36882490396777E-2</v>
      </c>
      <c r="BK171" s="1"/>
      <c r="BL171" s="52">
        <f>BL170/BF170-1</f>
        <v>5.782166686098833E-2</v>
      </c>
      <c r="BM171" s="10">
        <f>BM170/BG170-1</f>
        <v>2.3068998786480055E-2</v>
      </c>
      <c r="BN171" s="10">
        <f>BN170/BH170-1</f>
        <v>2.4493505152719974E-2</v>
      </c>
      <c r="BO171" s="83">
        <f>BO170/BI170-1</f>
        <v>1.1964731305902587E-2</v>
      </c>
      <c r="BP171" s="83">
        <f>BP170/BJ170-1</f>
        <v>2.850552752678559E-2</v>
      </c>
      <c r="BQ171" s="1"/>
      <c r="BR171" s="52">
        <f>BR170/BL170-1</f>
        <v>4.7411660728588378E-2</v>
      </c>
      <c r="BS171" s="10">
        <f>BS170/BM170-1</f>
        <v>1.9248428503572113E-2</v>
      </c>
      <c r="BT171" s="10">
        <f>BT170/BN170-1</f>
        <v>2.0842905911365728E-2</v>
      </c>
      <c r="BU171" s="83">
        <f>BU170/BO170-1</f>
        <v>5.095895520271787E-3</v>
      </c>
      <c r="BV171" s="83">
        <f>BV170/BP170-1</f>
        <v>2.2638596057583893E-2</v>
      </c>
      <c r="BW171" s="1"/>
      <c r="BX171" s="52">
        <f>BX170/BR170-1</f>
        <v>4.2141336945405339E-2</v>
      </c>
      <c r="BY171" s="10">
        <f>BY170/BS170-1</f>
        <v>1.528764534834437E-2</v>
      </c>
      <c r="BZ171" s="10">
        <f>BZ170/BT170-1</f>
        <v>1.7074684222852188E-2</v>
      </c>
      <c r="CA171" s="83">
        <f>CA170/BU170-1</f>
        <v>1.5634275195582026E-2</v>
      </c>
      <c r="CB171" s="83">
        <f>CB170/BV170-1</f>
        <v>2.2343350996752553E-2</v>
      </c>
      <c r="CC171" s="1"/>
      <c r="CD171" s="52">
        <f>CD170/BX170-1</f>
        <v>3.2119123739818622E-2</v>
      </c>
      <c r="CE171" s="10">
        <f>CE170/BY170-1</f>
        <v>1.4260211959606917E-2</v>
      </c>
      <c r="CF171" s="10">
        <f>CF170/BZ170-1</f>
        <v>1.6132398213478449E-2</v>
      </c>
      <c r="CG171" s="83">
        <f>CG170/CA170-1</f>
        <v>1.1511917614959843E-2</v>
      </c>
      <c r="CH171" s="83">
        <f>CH170/CB170-1</f>
        <v>1.8438532985926237E-2</v>
      </c>
      <c r="CI171" s="1"/>
      <c r="CJ171" s="52">
        <f>CJ170/CD170-1</f>
        <v>3.5869183713307606E-2</v>
      </c>
      <c r="CK171" s="10">
        <f>CK170/CE170-1</f>
        <v>5.1377896265232259E-3</v>
      </c>
      <c r="CL171" s="10">
        <f>CL170/CF170-1</f>
        <v>7.4050833473695565E-3</v>
      </c>
      <c r="CM171" s="83">
        <f>CM170/CG170-1</f>
        <v>5.8747294731109623E-3</v>
      </c>
      <c r="CN171" s="83">
        <f>CN170/CH170-1</f>
        <v>1.3593292661846057E-2</v>
      </c>
      <c r="CO171" s="1"/>
      <c r="CP171" s="52">
        <f>CP170/CJ170-1</f>
        <v>1.8098525348894112E-2</v>
      </c>
      <c r="CQ171" s="10">
        <f>CQ170/CK170-1</f>
        <v>8.9041017627264907E-3</v>
      </c>
      <c r="CR171" s="10">
        <f>CR170/CL170-1</f>
        <v>1.0990840775679134E-2</v>
      </c>
      <c r="CS171" s="83">
        <f>CS170/CM170-1</f>
        <v>1.0602918775848513E-2</v>
      </c>
      <c r="CT171" s="83">
        <f>CT170/CN170-1</f>
        <v>1.2184131469801684E-2</v>
      </c>
    </row>
    <row r="172" spans="2:98" ht="15.75" thickBot="1" x14ac:dyDescent="0.35">
      <c r="B172" s="6"/>
      <c r="D172" s="8"/>
      <c r="E172" s="8"/>
      <c r="F172" s="12"/>
      <c r="G172" s="12"/>
      <c r="H172" s="8"/>
      <c r="I172" s="1"/>
      <c r="J172" s="8"/>
      <c r="K172" s="8"/>
      <c r="L172" s="12"/>
      <c r="M172" s="12"/>
      <c r="N172" s="8"/>
      <c r="O172" s="1"/>
      <c r="P172" s="8"/>
      <c r="Q172" s="8"/>
      <c r="R172" s="12"/>
      <c r="S172" s="12"/>
      <c r="T172" s="8"/>
      <c r="U172" s="1"/>
      <c r="V172" s="8"/>
      <c r="W172" s="8"/>
      <c r="X172" s="12"/>
      <c r="Y172" s="12"/>
      <c r="Z172" s="8"/>
      <c r="AA172" s="1"/>
      <c r="AB172" s="8"/>
      <c r="AC172" s="8"/>
      <c r="AD172" s="12"/>
      <c r="AE172" s="12"/>
      <c r="AF172" s="8"/>
      <c r="AG172" s="1"/>
      <c r="AH172" s="8"/>
      <c r="AI172" s="8"/>
      <c r="AJ172" s="12"/>
      <c r="AK172" s="12"/>
      <c r="AL172" s="8"/>
      <c r="AM172" s="1"/>
      <c r="AN172" s="8"/>
      <c r="AO172" s="8"/>
      <c r="AP172" s="12"/>
      <c r="AQ172" s="12"/>
      <c r="AR172" s="8"/>
      <c r="AS172" s="1"/>
      <c r="AT172" s="8"/>
      <c r="AU172" s="8"/>
      <c r="AV172" s="12"/>
      <c r="AW172" s="12"/>
      <c r="AX172" s="8"/>
      <c r="AY172" s="1"/>
      <c r="AZ172" s="8"/>
      <c r="BA172" s="8"/>
      <c r="BB172" s="12"/>
      <c r="BC172" s="12"/>
      <c r="BD172" s="8"/>
      <c r="BE172" s="1"/>
      <c r="BF172" s="8"/>
      <c r="BG172" s="8"/>
      <c r="BH172" s="12"/>
      <c r="BI172" s="12"/>
      <c r="BJ172" s="8"/>
      <c r="BK172" s="1"/>
      <c r="BL172" s="8"/>
      <c r="BM172" s="8"/>
      <c r="BN172" s="12"/>
      <c r="BO172" s="12"/>
      <c r="BP172" s="8"/>
      <c r="BQ172" s="1"/>
      <c r="BR172" s="8"/>
      <c r="BS172" s="8"/>
      <c r="BT172" s="12"/>
      <c r="BU172" s="12"/>
      <c r="BV172" s="8"/>
      <c r="BW172" s="1"/>
      <c r="BX172" s="8"/>
      <c r="BY172" s="8"/>
      <c r="BZ172" s="12"/>
      <c r="CA172" s="12"/>
      <c r="CB172" s="8"/>
      <c r="CC172" s="1"/>
      <c r="CD172" s="8"/>
      <c r="CE172" s="8"/>
      <c r="CF172" s="12"/>
      <c r="CG172" s="12"/>
      <c r="CH172" s="8"/>
      <c r="CI172" s="1"/>
      <c r="CJ172" s="8"/>
      <c r="CK172" s="8"/>
      <c r="CL172" s="12"/>
      <c r="CM172" s="12"/>
      <c r="CN172" s="8"/>
      <c r="CO172" s="1"/>
      <c r="CP172" s="8"/>
      <c r="CQ172" s="8"/>
      <c r="CR172" s="12"/>
      <c r="CS172" s="12"/>
      <c r="CT172" s="8"/>
    </row>
    <row r="173" spans="2:98" ht="15" x14ac:dyDescent="0.3">
      <c r="B173" s="42" t="s">
        <v>31</v>
      </c>
      <c r="D173" s="49">
        <f>D33+D103</f>
        <v>6249</v>
      </c>
      <c r="E173" s="14">
        <f>E33+E103</f>
        <v>6369</v>
      </c>
      <c r="F173" s="14">
        <f>F33+F103</f>
        <v>6371</v>
      </c>
      <c r="G173" s="14">
        <f>G33+G103</f>
        <v>6429</v>
      </c>
      <c r="H173" s="59">
        <f>D173+E173+F173+G173</f>
        <v>25418</v>
      </c>
      <c r="I173" s="13"/>
      <c r="J173" s="49">
        <f>J33+J103</f>
        <v>6355</v>
      </c>
      <c r="K173" s="14">
        <f>K33+K103</f>
        <v>6259</v>
      </c>
      <c r="L173" s="14">
        <f>L33+L103</f>
        <v>6433</v>
      </c>
      <c r="M173" s="14">
        <f>M33+M103</f>
        <v>6417</v>
      </c>
      <c r="N173" s="59">
        <f>J173+K173+L173+M173</f>
        <v>25464</v>
      </c>
      <c r="O173" s="13"/>
      <c r="P173" s="49">
        <f>P33+P103</f>
        <v>6311</v>
      </c>
      <c r="Q173" s="14">
        <f>Q33+Q103</f>
        <v>6164</v>
      </c>
      <c r="R173" s="14">
        <f>R33+R103</f>
        <v>6152</v>
      </c>
      <c r="S173" s="14">
        <f>S33+S103</f>
        <v>6193</v>
      </c>
      <c r="T173" s="59">
        <f>P173+Q173+R173+S173</f>
        <v>24820</v>
      </c>
      <c r="U173" s="13"/>
      <c r="V173" s="49">
        <f>V33+V103</f>
        <v>5964</v>
      </c>
      <c r="W173" s="14">
        <f>W33+W103</f>
        <v>6651.1389252348008</v>
      </c>
      <c r="X173" s="14">
        <f>X33+X103</f>
        <v>6687.6738416423677</v>
      </c>
      <c r="Y173" s="14">
        <f>Y33+Y103</f>
        <v>6827.0763987169721</v>
      </c>
      <c r="Z173" s="59">
        <f>V173+W173+X173+Y173</f>
        <v>26129.889165594141</v>
      </c>
      <c r="AA173" s="1"/>
      <c r="AB173" s="49">
        <v>6875</v>
      </c>
      <c r="AC173" s="14">
        <v>7185</v>
      </c>
      <c r="AD173" s="14">
        <v>7350</v>
      </c>
      <c r="AE173" s="35">
        <v>8154</v>
      </c>
      <c r="AF173" s="35">
        <f>AB173+AC173+AD173+AE173</f>
        <v>29564</v>
      </c>
      <c r="AG173" s="1"/>
      <c r="AH173" s="49">
        <v>7778</v>
      </c>
      <c r="AI173" s="14">
        <v>8179</v>
      </c>
      <c r="AJ173" s="14">
        <v>7849</v>
      </c>
      <c r="AK173" s="35">
        <v>8247</v>
      </c>
      <c r="AL173" s="35">
        <f>AH173+AI173+AJ173+AK173</f>
        <v>32053</v>
      </c>
      <c r="AM173" s="1"/>
      <c r="AN173" s="49">
        <v>8599</v>
      </c>
      <c r="AO173" s="14">
        <v>9222</v>
      </c>
      <c r="AP173" s="14">
        <v>9246</v>
      </c>
      <c r="AQ173" s="35">
        <v>10175</v>
      </c>
      <c r="AR173" s="35">
        <f>AN173+AO173+AP173+AQ173</f>
        <v>37242</v>
      </c>
      <c r="AS173" s="1"/>
      <c r="AT173" s="49">
        <v>9613</v>
      </c>
      <c r="AU173" s="14">
        <v>10213</v>
      </c>
      <c r="AV173" s="14">
        <v>10019</v>
      </c>
      <c r="AW173" s="35">
        <v>10759</v>
      </c>
      <c r="AX173" s="35">
        <f>AT173+AU173+AV173+AW173</f>
        <v>40604</v>
      </c>
      <c r="AY173" s="1"/>
      <c r="AZ173" s="49">
        <f>AZ170+AZ161</f>
        <v>10273.825048615494</v>
      </c>
      <c r="BA173" s="14">
        <f>BA170+BA161</f>
        <v>10784.657580386633</v>
      </c>
      <c r="BB173" s="14">
        <f>BB170+BB161</f>
        <v>10656.831166474294</v>
      </c>
      <c r="BC173" s="35">
        <f>BC170+BC161</f>
        <v>11048.902159894627</v>
      </c>
      <c r="BD173" s="35">
        <f>AZ173+BA173+BB173+BC173</f>
        <v>42764.215955371052</v>
      </c>
      <c r="BE173" s="1"/>
      <c r="BF173" s="49">
        <f>BF170+BF161</f>
        <v>10875.191169085809</v>
      </c>
      <c r="BG173" s="14">
        <f>BG170+BG161</f>
        <v>11335.715483767486</v>
      </c>
      <c r="BH173" s="14">
        <f>BH170+BH161</f>
        <v>11170.295647862496</v>
      </c>
      <c r="BI173" s="35">
        <f>BI170+BI161</f>
        <v>11536.462350314665</v>
      </c>
      <c r="BJ173" s="35">
        <f>BF173+BG173+BH173+BI173</f>
        <v>44917.664651030456</v>
      </c>
      <c r="BK173" s="1"/>
      <c r="BL173" s="49">
        <f>BL170+BL161</f>
        <v>11481.749681569101</v>
      </c>
      <c r="BM173" s="14">
        <f>BM170+BM161</f>
        <v>11846.414101072587</v>
      </c>
      <c r="BN173" s="14">
        <f>BN170+BN161</f>
        <v>11667.64740078357</v>
      </c>
      <c r="BO173" s="35">
        <f>BO170+BO161</f>
        <v>11995.767654627842</v>
      </c>
      <c r="BP173" s="35">
        <f>BL173+BM173+BN173+BO173</f>
        <v>46991.578838053101</v>
      </c>
      <c r="BQ173" s="1"/>
      <c r="BR173" s="49">
        <f>BR170+BR161</f>
        <v>12018.82168640973</v>
      </c>
      <c r="BS173" s="14">
        <f>BS170+BS161</f>
        <v>12299.802109179844</v>
      </c>
      <c r="BT173" s="14">
        <f>BT170+BT161</f>
        <v>12110.851222991318</v>
      </c>
      <c r="BU173" s="35">
        <f>BU170+BU161</f>
        <v>12388.883212414641</v>
      </c>
      <c r="BV173" s="35">
        <f>BR173+BS173+BT173+BU173</f>
        <v>48818.358230995538</v>
      </c>
      <c r="BW173" s="1"/>
      <c r="BX173" s="49">
        <f>BX170+BX161</f>
        <v>12493.82881249829</v>
      </c>
      <c r="BY173" s="14">
        <f>BY170+BY161</f>
        <v>12689.181466537677</v>
      </c>
      <c r="BZ173" s="14">
        <f>BZ170+BZ161</f>
        <v>12492.649791036107</v>
      </c>
      <c r="CA173" s="35">
        <f>CA170+CA161</f>
        <v>12767.405280623907</v>
      </c>
      <c r="CB173" s="35">
        <f>BX173+BY173+BZ173+CA173</f>
        <v>50443.065350695979</v>
      </c>
      <c r="CC173" s="1"/>
      <c r="CD173" s="49">
        <f>CD170+CD161</f>
        <v>12907.189090966705</v>
      </c>
      <c r="CE173" s="14">
        <f>CE170+CE161</f>
        <v>13043.554484080498</v>
      </c>
      <c r="CF173" s="14">
        <f>CF170+CF161</f>
        <v>12844.204051552146</v>
      </c>
      <c r="CG173" s="35">
        <f>CG170+CG161</f>
        <v>13107.885094151876</v>
      </c>
      <c r="CH173" s="35">
        <f>CD173+CE173+CF173+CG173</f>
        <v>51902.832720751227</v>
      </c>
      <c r="CI173" s="1"/>
      <c r="CJ173" s="49">
        <f>CJ170+CJ161</f>
        <v>13321.182776186703</v>
      </c>
      <c r="CK173" s="14">
        <f>CK170+CK161</f>
        <v>13348.81053634132</v>
      </c>
      <c r="CL173" s="14">
        <f>CL170+CL161</f>
        <v>13140.965126769515</v>
      </c>
      <c r="CM173" s="35">
        <f>CM170+CM161</f>
        <v>13391.763806712082</v>
      </c>
      <c r="CN173" s="35">
        <f>CJ173+CK173+CL173+CM173</f>
        <v>53202.722246009624</v>
      </c>
      <c r="CO173" s="1"/>
      <c r="CP173" s="49">
        <f>CP170+CP161</f>
        <v>13600.755960394692</v>
      </c>
      <c r="CQ173" s="14">
        <f>CQ170+CQ161</f>
        <v>13595.296720227938</v>
      </c>
      <c r="CR173" s="14">
        <f>CR170+CR161</f>
        <v>13389.736288127695</v>
      </c>
      <c r="CS173" s="35">
        <f>CS170+CS161</f>
        <v>13643.15337018084</v>
      </c>
      <c r="CT173" s="35">
        <f>CP173+CQ173+CR173+CS173</f>
        <v>54228.942338931171</v>
      </c>
    </row>
    <row r="174" spans="2:98" ht="15.75" thickBot="1" x14ac:dyDescent="0.35">
      <c r="B174" s="41" t="s">
        <v>23</v>
      </c>
      <c r="D174" s="52" t="s">
        <v>35</v>
      </c>
      <c r="E174" s="10" t="s">
        <v>35</v>
      </c>
      <c r="F174" s="10" t="s">
        <v>35</v>
      </c>
      <c r="G174" s="10" t="s">
        <v>35</v>
      </c>
      <c r="H174" s="61" t="s">
        <v>35</v>
      </c>
      <c r="I174" s="1"/>
      <c r="J174" s="52">
        <f>(J173-D173)/D173</f>
        <v>1.6962714034245478E-2</v>
      </c>
      <c r="K174" s="10">
        <f>(K173-E173)/E173</f>
        <v>-1.7271157167530225E-2</v>
      </c>
      <c r="L174" s="10">
        <f>(L173-F173)/F173</f>
        <v>9.7315962957149581E-3</v>
      </c>
      <c r="M174" s="83">
        <f>(M173-G173)/G173</f>
        <v>-1.8665422305179655E-3</v>
      </c>
      <c r="N174" s="83">
        <f>(N173-H173)/H173</f>
        <v>1.8097411283342513E-3</v>
      </c>
      <c r="O174" s="1"/>
      <c r="P174" s="52">
        <f>(P173-J173)/J173</f>
        <v>-6.9236821400472069E-3</v>
      </c>
      <c r="Q174" s="10">
        <f>(Q173-K173)/K173</f>
        <v>-1.5178143473398307E-2</v>
      </c>
      <c r="R174" s="10">
        <f>(R173-L173)/L173</f>
        <v>-4.368101974195554E-2</v>
      </c>
      <c r="S174" s="83">
        <f>(S173-M173)/M173</f>
        <v>-3.4907277544023688E-2</v>
      </c>
      <c r="T174" s="83">
        <f>(T173-N173)/N173</f>
        <v>-2.5290606346214262E-2</v>
      </c>
      <c r="U174" s="1"/>
      <c r="V174" s="52">
        <f>(V173-P173)/P173</f>
        <v>-5.4983362383140548E-2</v>
      </c>
      <c r="W174" s="10">
        <f>(W173-Q173)/Q173</f>
        <v>7.9029676384620509E-2</v>
      </c>
      <c r="X174" s="10">
        <f>(X173-R173)/R173</f>
        <v>8.7073121203245729E-2</v>
      </c>
      <c r="Y174" s="83">
        <f>(Y173-S173)/S173</f>
        <v>0.10238598396850833</v>
      </c>
      <c r="Z174" s="83">
        <f>(Z173-T173)/T173</f>
        <v>5.2775550587999223E-2</v>
      </c>
      <c r="AA174" s="1"/>
      <c r="AB174" s="52">
        <f>AB173/V173-1</f>
        <v>0.15274983232729711</v>
      </c>
      <c r="AC174" s="10">
        <f>AC173/W173-1</f>
        <v>8.0266113934216454E-2</v>
      </c>
      <c r="AD174" s="10">
        <f>AD173/X173-1</f>
        <v>9.903685108467819E-2</v>
      </c>
      <c r="AE174" s="83">
        <f>AE173/Y173-1</f>
        <v>0.19436190893255567</v>
      </c>
      <c r="AF174" s="83">
        <f>AF173/Z173-1</f>
        <v>0.13142462306834557</v>
      </c>
      <c r="AG174" s="1"/>
      <c r="AH174" s="52">
        <f>AH173/AB173-1</f>
        <v>0.13134545454545465</v>
      </c>
      <c r="AI174" s="10">
        <f>AI173/AC173-1</f>
        <v>0.13834377174669443</v>
      </c>
      <c r="AJ174" s="10">
        <f>AJ173/AD173-1</f>
        <v>6.7891156462585034E-2</v>
      </c>
      <c r="AK174" s="83">
        <f>AK173/AE173-1</f>
        <v>1.1405445180279639E-2</v>
      </c>
      <c r="AL174" s="83">
        <f>AL173/AF173-1</f>
        <v>8.4190231362467838E-2</v>
      </c>
      <c r="AM174" s="1"/>
      <c r="AN174" s="52">
        <f>AN173/AH173-1</f>
        <v>0.10555412702494205</v>
      </c>
      <c r="AO174" s="10">
        <f>AO173/AI173-1</f>
        <v>0.12752170191955003</v>
      </c>
      <c r="AP174" s="10">
        <f>AP173/AJ173-1</f>
        <v>0.17798445661867746</v>
      </c>
      <c r="AQ174" s="83">
        <f>AQ173/AK173-1</f>
        <v>0.23378198132654293</v>
      </c>
      <c r="AR174" s="83">
        <f>AR173/AL173-1</f>
        <v>0.16188812279661802</v>
      </c>
      <c r="AS174" s="1"/>
      <c r="AT174" s="52">
        <f>AT173/AN173-1</f>
        <v>0.11792068845214554</v>
      </c>
      <c r="AU174" s="10">
        <f>AU173/AO173-1</f>
        <v>0.10746042073302964</v>
      </c>
      <c r="AV174" s="10">
        <f>AV173/AP173-1</f>
        <v>8.3603720527795744E-2</v>
      </c>
      <c r="AW174" s="83">
        <f>AW173/AQ173-1</f>
        <v>5.7395577395577435E-2</v>
      </c>
      <c r="AX174" s="83">
        <f>AX173/AR173-1</f>
        <v>9.0274421352236622E-2</v>
      </c>
      <c r="AY174" s="1"/>
      <c r="AZ174" s="52">
        <f>AZ173/AT173-1</f>
        <v>6.8742853283625616E-2</v>
      </c>
      <c r="BA174" s="10">
        <f>BA173/AU173-1</f>
        <v>5.5973522019644895E-2</v>
      </c>
      <c r="BB174" s="10">
        <f>BB173/AV173-1</f>
        <v>6.3662158546191616E-2</v>
      </c>
      <c r="BC174" s="83">
        <f>BC173/AW173-1</f>
        <v>2.6945084105830297E-2</v>
      </c>
      <c r="BD174" s="83">
        <f>BD173/AX173-1</f>
        <v>5.3202047960078991E-2</v>
      </c>
      <c r="BE174" s="1"/>
      <c r="BF174" s="52">
        <f>BF173/AZ173-1</f>
        <v>5.8533809717866925E-2</v>
      </c>
      <c r="BG174" s="10">
        <f>BG173/BA173-1</f>
        <v>5.1096467298417325E-2</v>
      </c>
      <c r="BH174" s="10">
        <f>BH173/BB173-1</f>
        <v>4.8181722443302766E-2</v>
      </c>
      <c r="BI174" s="83">
        <f>BI173/BC173-1</f>
        <v>4.4127478310902912E-2</v>
      </c>
      <c r="BJ174" s="83">
        <f>BJ173/BD173-1</f>
        <v>5.0356323565168504E-2</v>
      </c>
      <c r="BK174" s="1"/>
      <c r="BL174" s="52">
        <f>BL173/BF173-1</f>
        <v>5.5774514953586873E-2</v>
      </c>
      <c r="BM174" s="10">
        <f>BM173/BG173-1</f>
        <v>4.5052173198631529E-2</v>
      </c>
      <c r="BN174" s="10">
        <f>BN173/BH173-1</f>
        <v>4.4524493227378947E-2</v>
      </c>
      <c r="BO174" s="83">
        <f>BO173/BI173-1</f>
        <v>3.9813357887883871E-2</v>
      </c>
      <c r="BP174" s="83">
        <f>BP173/BJ173-1</f>
        <v>4.6171460674437892E-2</v>
      </c>
      <c r="BQ174" s="1"/>
      <c r="BR174" s="52">
        <f>BR173/BL173-1</f>
        <v>4.6776146470320246E-2</v>
      </c>
      <c r="BS174" s="10">
        <f>BS173/BM173-1</f>
        <v>3.8272172848170749E-2</v>
      </c>
      <c r="BT174" s="10">
        <f>BT173/BN173-1</f>
        <v>3.7985705856862229E-2</v>
      </c>
      <c r="BU174" s="83">
        <f>BU173/BO173-1</f>
        <v>3.2771188064411927E-2</v>
      </c>
      <c r="BV174" s="83">
        <f>BV173/BP173-1</f>
        <v>3.8874611964796024E-2</v>
      </c>
      <c r="BW174" s="1"/>
      <c r="BX174" s="52">
        <f>BX173/BR173-1</f>
        <v>3.9521938047027749E-2</v>
      </c>
      <c r="BY174" s="10">
        <f>BY173/BS173-1</f>
        <v>3.1657367647177415E-2</v>
      </c>
      <c r="BZ174" s="10">
        <f>BZ173/BT173-1</f>
        <v>3.1525328898432958E-2</v>
      </c>
      <c r="CA174" s="83">
        <f>CA173/BU173-1</f>
        <v>3.0553364796429561E-2</v>
      </c>
      <c r="CB174" s="83">
        <f>CB173/BV173-1</f>
        <v>3.3280658722949275E-2</v>
      </c>
      <c r="CC174" s="1"/>
      <c r="CD174" s="52">
        <f>CD173/BX173-1</f>
        <v>3.3085156253694459E-2</v>
      </c>
      <c r="CE174" s="10">
        <f>CE173/BY173-1</f>
        <v>2.7927177058451713E-2</v>
      </c>
      <c r="CF174" s="10">
        <f>CF173/BZ173-1</f>
        <v>2.8140888153951993E-2</v>
      </c>
      <c r="CG174" s="83">
        <f>CG173/CA173-1</f>
        <v>2.6667894223165955E-2</v>
      </c>
      <c r="CH174" s="83">
        <f>CH173/CB173-1</f>
        <v>2.8938910827613018E-2</v>
      </c>
      <c r="CI174" s="1"/>
      <c r="CJ174" s="52">
        <f>CJ173/CD173-1</f>
        <v>3.2074658727184513E-2</v>
      </c>
      <c r="CK174" s="10">
        <f>CK173/CE173-1</f>
        <v>2.3402827245700752E-2</v>
      </c>
      <c r="CL174" s="10">
        <f>CL173/CF173-1</f>
        <v>2.3104668380093729E-2</v>
      </c>
      <c r="CM174" s="83">
        <f>CM173/CG173-1</f>
        <v>2.1657094986807568E-2</v>
      </c>
      <c r="CN174" s="83">
        <f>CN173/CH173-1</f>
        <v>2.5044674001746481E-2</v>
      </c>
      <c r="CO174" s="1"/>
      <c r="CP174" s="52">
        <f>CP173/CJ173-1</f>
        <v>2.0987114200381907E-2</v>
      </c>
      <c r="CQ174" s="10">
        <f>CQ173/CK173-1</f>
        <v>1.8465029765429186E-2</v>
      </c>
      <c r="CR174" s="10">
        <f>CR173/CL173-1</f>
        <v>1.893096579728426E-2</v>
      </c>
      <c r="CS174" s="83">
        <f>CS173/CM173-1</f>
        <v>1.8771953201770053E-2</v>
      </c>
      <c r="CT174" s="83">
        <f>CT173/CN173-1</f>
        <v>1.9288864358787849E-2</v>
      </c>
    </row>
    <row r="175" spans="2:98" ht="15.75" thickBot="1" x14ac:dyDescent="0.35">
      <c r="B175" s="1"/>
      <c r="D175" s="2"/>
      <c r="E175" s="2"/>
      <c r="F175" s="11"/>
      <c r="G175" s="11"/>
      <c r="H175" s="36"/>
      <c r="I175" s="1"/>
      <c r="J175" s="2"/>
      <c r="K175" s="2"/>
      <c r="L175" s="11"/>
      <c r="M175" s="11"/>
      <c r="N175" s="36"/>
      <c r="O175" s="1"/>
      <c r="P175" s="2"/>
      <c r="Q175" s="2"/>
      <c r="R175" s="11"/>
      <c r="S175" s="11"/>
      <c r="T175" s="36"/>
      <c r="U175" s="1"/>
      <c r="V175" s="2"/>
      <c r="W175" s="2"/>
      <c r="X175" s="11"/>
      <c r="Y175" s="11"/>
      <c r="Z175" s="36"/>
      <c r="AA175" s="1"/>
      <c r="AB175" s="2"/>
      <c r="AC175" s="2"/>
      <c r="AD175" s="11"/>
      <c r="AE175" s="11"/>
      <c r="AF175" s="36"/>
      <c r="AG175" s="1"/>
      <c r="AH175" s="2"/>
      <c r="AI175" s="2"/>
      <c r="AJ175" s="11"/>
      <c r="AK175" s="11"/>
      <c r="AL175" s="36"/>
      <c r="AM175" s="1"/>
      <c r="AN175" s="2"/>
      <c r="AO175" s="2"/>
      <c r="AP175" s="11"/>
      <c r="AQ175" s="11"/>
      <c r="AR175" s="36"/>
      <c r="AS175" s="1"/>
      <c r="AT175" s="2"/>
      <c r="AU175" s="2"/>
      <c r="AV175" s="11"/>
      <c r="AW175" s="11"/>
      <c r="AX175" s="36"/>
      <c r="AY175" s="1"/>
      <c r="AZ175" s="2"/>
      <c r="BA175" s="2"/>
      <c r="BB175" s="11"/>
      <c r="BC175" s="11"/>
      <c r="BD175" s="36"/>
      <c r="BE175" s="1"/>
      <c r="BF175" s="2"/>
      <c r="BG175" s="2"/>
      <c r="BH175" s="11"/>
      <c r="BI175" s="11"/>
      <c r="BJ175" s="36"/>
      <c r="BK175" s="1"/>
      <c r="BL175" s="2"/>
      <c r="BM175" s="2"/>
      <c r="BN175" s="11"/>
      <c r="BO175" s="11"/>
      <c r="BP175" s="36"/>
      <c r="BQ175" s="1"/>
      <c r="BR175" s="2"/>
      <c r="BS175" s="2"/>
      <c r="BT175" s="11"/>
      <c r="BU175" s="11"/>
      <c r="BV175" s="36"/>
      <c r="BW175" s="1"/>
      <c r="BX175" s="2"/>
      <c r="BY175" s="2"/>
      <c r="BZ175" s="11"/>
      <c r="CA175" s="11"/>
      <c r="CB175" s="36"/>
      <c r="CC175" s="1"/>
      <c r="CD175" s="2"/>
      <c r="CE175" s="2"/>
      <c r="CF175" s="11"/>
      <c r="CG175" s="11"/>
      <c r="CH175" s="36"/>
      <c r="CI175" s="1"/>
      <c r="CJ175" s="2"/>
      <c r="CK175" s="2"/>
      <c r="CL175" s="11"/>
      <c r="CM175" s="11"/>
      <c r="CN175" s="36"/>
      <c r="CO175" s="1"/>
      <c r="CP175" s="2"/>
      <c r="CQ175" s="2"/>
      <c r="CR175" s="11"/>
      <c r="CS175" s="11"/>
      <c r="CT175" s="36"/>
    </row>
    <row r="176" spans="2:98" ht="15" x14ac:dyDescent="0.3">
      <c r="B176" s="42" t="s">
        <v>52</v>
      </c>
      <c r="D176" s="72">
        <f>D178*1000/D166</f>
        <v>262.1632845142085</v>
      </c>
      <c r="E176" s="73">
        <f>E178*1000/E166</f>
        <v>290.4845463841101</v>
      </c>
      <c r="F176" s="73">
        <f>F178*1000/F166</f>
        <v>259.50934003018455</v>
      </c>
      <c r="G176" s="73">
        <f>G178*1000/G166</f>
        <v>259.38230440087523</v>
      </c>
      <c r="H176" s="93">
        <f>H178*1000/H166</f>
        <v>267.5318188147553</v>
      </c>
      <c r="I176" s="1"/>
      <c r="J176" s="72">
        <f>J178*1000/J166</f>
        <v>261.40079254491201</v>
      </c>
      <c r="K176" s="73">
        <f>K178*1000/K166</f>
        <v>280.80058010538073</v>
      </c>
      <c r="L176" s="73">
        <f>L178*1000/L166</f>
        <v>242.70359216678034</v>
      </c>
      <c r="M176" s="73">
        <f>M178*1000/M166</f>
        <v>242.97471801383958</v>
      </c>
      <c r="N176" s="93">
        <f>N178*1000/N166</f>
        <v>256.58713632217518</v>
      </c>
      <c r="O176" s="1"/>
      <c r="P176" s="72">
        <f>P178*1000/P166</f>
        <v>273.79075296222402</v>
      </c>
      <c r="Q176" s="73">
        <f>Q178*1000/Q166</f>
        <v>304.65848651789616</v>
      </c>
      <c r="R176" s="73">
        <f>R178*1000/R166</f>
        <v>267.12156715559735</v>
      </c>
      <c r="S176" s="73">
        <f>S178*1000/S166</f>
        <v>282.40189787419797</v>
      </c>
      <c r="T176" s="93">
        <f>T178*1000/T166</f>
        <v>281.10107277677292</v>
      </c>
      <c r="U176" s="1"/>
      <c r="V176" s="72">
        <f>V178*1000/V166</f>
        <v>247.01272283082875</v>
      </c>
      <c r="W176" s="73">
        <f>W178*1000/W166</f>
        <v>212.64252752357086</v>
      </c>
      <c r="X176" s="73">
        <f>X178*1000/X166</f>
        <v>229.00266273586396</v>
      </c>
      <c r="Y176" s="73">
        <f>Y178*1000/Y166</f>
        <v>232.8308544549289</v>
      </c>
      <c r="Z176" s="93">
        <f>Z178*1000/Z166</f>
        <v>230.07660485773499</v>
      </c>
      <c r="AA176" s="1"/>
      <c r="AB176" s="72">
        <f>V176*(1+AB177)</f>
        <v>222.31145054774589</v>
      </c>
      <c r="AC176" s="73">
        <f>W176*(1+AC177)</f>
        <v>212.64252752357086</v>
      </c>
      <c r="AD176" s="73">
        <f>X176*(1+AD177)</f>
        <v>234.72772930426055</v>
      </c>
      <c r="AE176" s="88">
        <f>Y176*(1+AE177)</f>
        <v>244.47239717767536</v>
      </c>
      <c r="AF176" s="93">
        <f>AF178*1000/AF166</f>
        <v>184.53339658800735</v>
      </c>
      <c r="AG176" s="1"/>
      <c r="AH176" s="72">
        <f>AB176*(1+AH177)</f>
        <v>233.42702307513321</v>
      </c>
      <c r="AI176" s="73">
        <f>AC176*(1+AI177)</f>
        <v>223.27465389974941</v>
      </c>
      <c r="AJ176" s="73">
        <f>AD176*(1+AJ177)</f>
        <v>246.46411576947358</v>
      </c>
      <c r="AK176" s="88">
        <f>AE176*(1+AK177)</f>
        <v>256.69601703655911</v>
      </c>
      <c r="AL176" s="93">
        <f>AL178*1000/AL166</f>
        <v>169.84673915915684</v>
      </c>
      <c r="AM176" s="1"/>
      <c r="AN176" s="72">
        <f>AH176*(1+AN177)</f>
        <v>239.26269865201152</v>
      </c>
      <c r="AO176" s="73">
        <f>AI176*(1+AO177)</f>
        <v>228.85652024724314</v>
      </c>
      <c r="AP176" s="73">
        <f>AJ176*(1+AP177)</f>
        <v>252.62571866371039</v>
      </c>
      <c r="AQ176" s="88">
        <f>AK176*(1+AQ177)</f>
        <v>263.11341746247308</v>
      </c>
      <c r="AR176" s="93">
        <f>AR178*1000/AR166</f>
        <v>246.43902802361873</v>
      </c>
      <c r="AS176" s="1"/>
      <c r="AT176" s="72">
        <f>AN176*(1+AT177)</f>
        <v>245.2442661183118</v>
      </c>
      <c r="AU176" s="73">
        <f>AO176*(1+AU177)</f>
        <v>234.57793325342419</v>
      </c>
      <c r="AV176" s="73">
        <f>AP176*(1+AV177)</f>
        <v>258.94136163030311</v>
      </c>
      <c r="AW176" s="88">
        <f>AQ176*(1+AW177)</f>
        <v>269.69125289903491</v>
      </c>
      <c r="AX176" s="93">
        <f>AX178*1000/AX166</f>
        <v>252.00533638391443</v>
      </c>
      <c r="AY176" s="1"/>
      <c r="AZ176" s="72">
        <f>AT176*(1+AZ177)</f>
        <v>251.37537277126958</v>
      </c>
      <c r="BA176" s="73">
        <f>AU176*(1+BA177)</f>
        <v>240.44238158475977</v>
      </c>
      <c r="BB176" s="73">
        <f>AV176*(1+BB177)</f>
        <v>265.41489567106066</v>
      </c>
      <c r="BC176" s="88">
        <f>AW176*(1+BC177)</f>
        <v>276.43353422151074</v>
      </c>
      <c r="BD176" s="93">
        <f>BD178*1000/BD166</f>
        <v>259.54278700979512</v>
      </c>
      <c r="BE176" s="1"/>
      <c r="BF176" s="72">
        <f>AZ176*(1+BF177)</f>
        <v>257.6597570905513</v>
      </c>
      <c r="BG176" s="73">
        <f>BA176*(1+BG177)</f>
        <v>246.45344112437874</v>
      </c>
      <c r="BH176" s="73">
        <f>BB176*(1+BH177)</f>
        <v>272.05026806283718</v>
      </c>
      <c r="BI176" s="88">
        <f>BC176*(1+BI177)</f>
        <v>283.34437257704849</v>
      </c>
      <c r="BJ176" s="93">
        <f>BJ178*1000/BJ166</f>
        <v>265.8565387681324</v>
      </c>
      <c r="BK176" s="1"/>
      <c r="BL176" s="72">
        <f>BF176*(1+BL177)</f>
        <v>264.10125101781506</v>
      </c>
      <c r="BM176" s="73">
        <f>BG176*(1+BM177)</f>
        <v>252.61477715248819</v>
      </c>
      <c r="BN176" s="73">
        <f>BH176*(1+BN177)</f>
        <v>278.85152476440805</v>
      </c>
      <c r="BO176" s="88">
        <f>BI176*(1+BO177)</f>
        <v>290.4279818914747</v>
      </c>
      <c r="BP176" s="93">
        <f>BP178*1000/BP166</f>
        <v>272.39116385426661</v>
      </c>
      <c r="BQ176" s="1"/>
      <c r="BR176" s="72">
        <f>BL176*(1+BR177)</f>
        <v>270.70378229326042</v>
      </c>
      <c r="BS176" s="73">
        <f>BM176*(1+BS177)</f>
        <v>258.93014658130039</v>
      </c>
      <c r="BT176" s="73">
        <f>BN176*(1+BT177)</f>
        <v>285.82281288351822</v>
      </c>
      <c r="BU176" s="88">
        <f>BO176*(1+BU177)</f>
        <v>297.68868143876153</v>
      </c>
      <c r="BV176" s="93">
        <f>BV178*1000/BV166</f>
        <v>279.08250048398725</v>
      </c>
      <c r="BW176" s="1"/>
      <c r="BX176" s="72">
        <f>BR176*(1+BX177)</f>
        <v>277.47137685059192</v>
      </c>
      <c r="BY176" s="73">
        <f>BS176*(1+BY177)</f>
        <v>265.40340024583287</v>
      </c>
      <c r="BZ176" s="73">
        <f>BT176*(1+BZ177)</f>
        <v>292.96838320560613</v>
      </c>
      <c r="CA176" s="88">
        <f>BU176*(1+CA177)</f>
        <v>305.13089847473054</v>
      </c>
      <c r="CB176" s="93">
        <f>CB178*1000/CB166</f>
        <v>286.01388500737676</v>
      </c>
      <c r="CC176" s="1"/>
      <c r="CD176" s="72">
        <f>BX176*(1+CD177)</f>
        <v>284.40816127185667</v>
      </c>
      <c r="CE176" s="73">
        <f>BY176*(1+CE177)</f>
        <v>272.03848525197867</v>
      </c>
      <c r="CF176" s="73">
        <f>BZ176*(1+CF177)</f>
        <v>300.29259278574625</v>
      </c>
      <c r="CG176" s="88">
        <f>CA176*(1+CG177)</f>
        <v>312.75917093659876</v>
      </c>
      <c r="CH176" s="93">
        <f>CH178*1000/CH166</f>
        <v>293.11842824637421</v>
      </c>
      <c r="CI176" s="1"/>
      <c r="CJ176" s="72">
        <f>CD176*(1+CJ177)</f>
        <v>291.51836530365307</v>
      </c>
      <c r="CK176" s="73">
        <f>CE176*(1+CK177)</f>
        <v>278.83944738327813</v>
      </c>
      <c r="CL176" s="73">
        <f>CF176*(1+CL177)</f>
        <v>307.79990760538988</v>
      </c>
      <c r="CM176" s="88">
        <f>CG176*(1+CM177)</f>
        <v>320.57815021001369</v>
      </c>
      <c r="CN176" s="93">
        <f>CN178*1000/CN166</f>
        <v>300.39180396436245</v>
      </c>
      <c r="CO176" s="1"/>
      <c r="CP176" s="72">
        <f>CJ176*(1+CP177)</f>
        <v>298.80632443624438</v>
      </c>
      <c r="CQ176" s="73">
        <f>CK176*(1+CQ177)</f>
        <v>285.81043356786006</v>
      </c>
      <c r="CR176" s="73">
        <f>CL176*(1+CR177)</f>
        <v>315.49490529552457</v>
      </c>
      <c r="CS176" s="88">
        <f>CM176*(1+CS177)</f>
        <v>328.592603965264</v>
      </c>
      <c r="CT176" s="93">
        <f>CT178*1000/CT166</f>
        <v>307.89524413168073</v>
      </c>
    </row>
    <row r="177" spans="2:98" ht="15" x14ac:dyDescent="0.3">
      <c r="B177" s="40" t="s">
        <v>23</v>
      </c>
      <c r="D177" s="62" t="s">
        <v>35</v>
      </c>
      <c r="E177" s="9" t="s">
        <v>35</v>
      </c>
      <c r="F177" s="9" t="s">
        <v>35</v>
      </c>
      <c r="G177" s="9" t="s">
        <v>35</v>
      </c>
      <c r="H177" s="66" t="s">
        <v>35</v>
      </c>
      <c r="I177" s="1"/>
      <c r="J177" s="62">
        <f>J176/D176-1</f>
        <v>-2.9084620705351893E-3</v>
      </c>
      <c r="K177" s="9">
        <f>(K176-D176)/D176</f>
        <v>7.1090410793820155E-2</v>
      </c>
      <c r="L177" s="9">
        <f>(L176-E176)/E176</f>
        <v>-0.1644870779258206</v>
      </c>
      <c r="M177" s="9">
        <f>(M176-F176)/F176</f>
        <v>-6.3714939949451391E-2</v>
      </c>
      <c r="N177" s="66">
        <f>N176/H176-1</f>
        <v>-4.0909834729447425E-2</v>
      </c>
      <c r="O177" s="1"/>
      <c r="P177" s="62">
        <f>P176/J176-1</f>
        <v>4.7398327666444473E-2</v>
      </c>
      <c r="Q177" s="9">
        <f>(Q176-J176)/J176</f>
        <v>0.16548417298907742</v>
      </c>
      <c r="R177" s="9">
        <f>(R176-K176)/K176</f>
        <v>-4.8714332942794605E-2</v>
      </c>
      <c r="S177" s="9">
        <f>(S176-L176)/L176</f>
        <v>0.16356702986141988</v>
      </c>
      <c r="T177" s="66">
        <f>T176/N176-1</f>
        <v>9.5538446727966964E-2</v>
      </c>
      <c r="U177" s="1"/>
      <c r="V177" s="62">
        <f>V176/P176-1</f>
        <v>-9.7804728032907406E-2</v>
      </c>
      <c r="W177" s="9">
        <f>(W176-P176)/P176</f>
        <v>-0.22333926466497581</v>
      </c>
      <c r="X177" s="9">
        <f>(X176-Q176)/Q176</f>
        <v>-0.24832994034317848</v>
      </c>
      <c r="Y177" s="9">
        <f>(Y176-R176)/R176</f>
        <v>-0.12837118719318621</v>
      </c>
      <c r="Z177" s="66">
        <f>Z176/T176-1</f>
        <v>-0.1815164467890783</v>
      </c>
      <c r="AA177" s="1"/>
      <c r="AB177" s="62">
        <v>-0.1</v>
      </c>
      <c r="AC177" s="9">
        <v>0</v>
      </c>
      <c r="AD177" s="9">
        <v>2.5000000000000001E-2</v>
      </c>
      <c r="AE177" s="9">
        <v>0.05</v>
      </c>
      <c r="AF177" s="66">
        <f>AF176/Z176-1</f>
        <v>-0.1979480195211013</v>
      </c>
      <c r="AG177" s="1"/>
      <c r="AH177" s="62">
        <v>0.05</v>
      </c>
      <c r="AI177" s="9">
        <v>0.05</v>
      </c>
      <c r="AJ177" s="9">
        <v>0.05</v>
      </c>
      <c r="AK177" s="9">
        <v>0.05</v>
      </c>
      <c r="AL177" s="66">
        <f>AL176/AF176-1</f>
        <v>-7.9588072947252009E-2</v>
      </c>
      <c r="AM177" s="1"/>
      <c r="AN177" s="62">
        <v>2.5000000000000001E-2</v>
      </c>
      <c r="AO177" s="9">
        <v>2.5000000000000001E-2</v>
      </c>
      <c r="AP177" s="9">
        <v>2.5000000000000001E-2</v>
      </c>
      <c r="AQ177" s="9">
        <v>2.5000000000000001E-2</v>
      </c>
      <c r="AR177" s="66">
        <f>AR176/AL176-1</f>
        <v>0.45094942207097777</v>
      </c>
      <c r="AS177" s="1"/>
      <c r="AT177" s="62">
        <v>2.5000000000000001E-2</v>
      </c>
      <c r="AU177" s="9">
        <v>2.5000000000000001E-2</v>
      </c>
      <c r="AV177" s="9">
        <v>2.5000000000000001E-2</v>
      </c>
      <c r="AW177" s="9">
        <v>2.5000000000000001E-2</v>
      </c>
      <c r="AX177" s="66">
        <f>AX176/AR176-1</f>
        <v>2.2586959561300635E-2</v>
      </c>
      <c r="AY177" s="1"/>
      <c r="AZ177" s="62">
        <v>2.5000000000000001E-2</v>
      </c>
      <c r="BA177" s="9">
        <v>2.5000000000000001E-2</v>
      </c>
      <c r="BB177" s="9">
        <v>2.5000000000000001E-2</v>
      </c>
      <c r="BC177" s="9">
        <v>2.5000000000000001E-2</v>
      </c>
      <c r="BD177" s="66">
        <f>BD176/AX176-1</f>
        <v>2.9909884981157209E-2</v>
      </c>
      <c r="BE177" s="1"/>
      <c r="BF177" s="62">
        <v>2.5000000000000001E-2</v>
      </c>
      <c r="BG177" s="9">
        <v>2.5000000000000001E-2</v>
      </c>
      <c r="BH177" s="9">
        <v>2.5000000000000001E-2</v>
      </c>
      <c r="BI177" s="9">
        <v>2.5000000000000001E-2</v>
      </c>
      <c r="BJ177" s="66">
        <f>BJ176/BD176-1</f>
        <v>2.4326438931624006E-2</v>
      </c>
      <c r="BK177" s="1"/>
      <c r="BL177" s="62">
        <v>2.5000000000000001E-2</v>
      </c>
      <c r="BM177" s="9">
        <v>2.5000000000000001E-2</v>
      </c>
      <c r="BN177" s="9">
        <v>2.5000000000000001E-2</v>
      </c>
      <c r="BO177" s="9">
        <v>2.5000000000000001E-2</v>
      </c>
      <c r="BP177" s="66">
        <f>BP176/BJ176-1</f>
        <v>2.4579516142100299E-2</v>
      </c>
      <c r="BQ177" s="1"/>
      <c r="BR177" s="62">
        <v>2.5000000000000001E-2</v>
      </c>
      <c r="BS177" s="9">
        <v>2.5000000000000001E-2</v>
      </c>
      <c r="BT177" s="9">
        <v>2.5000000000000001E-2</v>
      </c>
      <c r="BU177" s="9">
        <v>2.5000000000000001E-2</v>
      </c>
      <c r="BV177" s="66">
        <f>BV176/BP176-1</f>
        <v>2.456517507778111E-2</v>
      </c>
      <c r="BW177" s="1"/>
      <c r="BX177" s="62">
        <v>2.5000000000000001E-2</v>
      </c>
      <c r="BY177" s="9">
        <v>2.5000000000000001E-2</v>
      </c>
      <c r="BZ177" s="9">
        <v>2.5000000000000001E-2</v>
      </c>
      <c r="CA177" s="9">
        <v>2.5000000000000001E-2</v>
      </c>
      <c r="CB177" s="66">
        <f>CB176/BV176-1</f>
        <v>2.4836328008273734E-2</v>
      </c>
      <c r="CC177" s="1"/>
      <c r="CD177" s="62">
        <v>2.5000000000000001E-2</v>
      </c>
      <c r="CE177" s="9">
        <v>2.5000000000000001E-2</v>
      </c>
      <c r="CF177" s="9">
        <v>2.5000000000000001E-2</v>
      </c>
      <c r="CG177" s="9">
        <v>2.5000000000000001E-2</v>
      </c>
      <c r="CH177" s="66">
        <f>CH176/CB176-1</f>
        <v>2.4839854326702326E-2</v>
      </c>
      <c r="CI177" s="1"/>
      <c r="CJ177" s="62">
        <v>2.5000000000000001E-2</v>
      </c>
      <c r="CK177" s="9">
        <v>2.5000000000000001E-2</v>
      </c>
      <c r="CL177" s="9">
        <v>2.5000000000000001E-2</v>
      </c>
      <c r="CM177" s="9">
        <v>2.5000000000000001E-2</v>
      </c>
      <c r="CN177" s="66">
        <f>CN176/CH176-1</f>
        <v>2.4813778381326479E-2</v>
      </c>
      <c r="CO177" s="1"/>
      <c r="CP177" s="62">
        <v>2.5000000000000001E-2</v>
      </c>
      <c r="CQ177" s="9">
        <v>2.5000000000000001E-2</v>
      </c>
      <c r="CR177" s="9">
        <v>2.5000000000000001E-2</v>
      </c>
      <c r="CS177" s="9">
        <v>2.5000000000000001E-2</v>
      </c>
      <c r="CT177" s="66">
        <f>CT176/CN176-1</f>
        <v>2.4978844523362742E-2</v>
      </c>
    </row>
    <row r="178" spans="2:98" ht="15" x14ac:dyDescent="0.3">
      <c r="B178" s="39" t="s">
        <v>55</v>
      </c>
      <c r="D178" s="44">
        <f>D38+D108</f>
        <v>1187.1487579999998</v>
      </c>
      <c r="E178" s="17">
        <f>E38+E108</f>
        <v>1273.70226</v>
      </c>
      <c r="F178" s="17">
        <f>F38+F108</f>
        <v>1214.2997370000001</v>
      </c>
      <c r="G178" s="17">
        <f>G38+G108</f>
        <v>1234.6971199999998</v>
      </c>
      <c r="H178" s="54">
        <f>D178+E178+F178+G178</f>
        <v>4909.8478749999995</v>
      </c>
      <c r="I178" s="1"/>
      <c r="J178" s="44">
        <f>J38+J108</f>
        <v>1269.0990180000001</v>
      </c>
      <c r="K178" s="17">
        <f>K38+K108</f>
        <v>1271.2146930000001</v>
      </c>
      <c r="L178" s="17">
        <f>L38+L108</f>
        <v>1203.4451550000001</v>
      </c>
      <c r="M178" s="17">
        <f>M38+M108</f>
        <v>1144.966848</v>
      </c>
      <c r="N178" s="54">
        <f>J178+K178+L178+M178</f>
        <v>4888.7257140000002</v>
      </c>
      <c r="O178" s="1"/>
      <c r="P178" s="44">
        <f>P38+P108</f>
        <v>1229.0421724999999</v>
      </c>
      <c r="Q178" s="17">
        <f>Q38+Q108</f>
        <v>1115.1799974999999</v>
      </c>
      <c r="R178" s="17">
        <f>R38+R108</f>
        <v>1135.8919920000001</v>
      </c>
      <c r="S178" s="17">
        <f>S38+S108</f>
        <v>1309.3722139999998</v>
      </c>
      <c r="T178" s="54">
        <f>P178+Q178+R178+S178</f>
        <v>4789.4863759999998</v>
      </c>
      <c r="U178" s="1"/>
      <c r="V178" s="44">
        <f>V38+V108</f>
        <v>1185.6813246312502</v>
      </c>
      <c r="W178" s="17">
        <f>W38+W108</f>
        <v>1133.4956711</v>
      </c>
      <c r="X178" s="17">
        <f>X38+X108</f>
        <v>1231.817689</v>
      </c>
      <c r="Y178" s="17">
        <f>Y38+Y108</f>
        <v>1472.1599231999999</v>
      </c>
      <c r="Z178" s="54">
        <f>V178+W178+X178+Y178</f>
        <v>5023.1546079312502</v>
      </c>
      <c r="AA178" s="1"/>
      <c r="AB178" s="44">
        <f>AB176*AB166/1000</f>
        <v>1361.0155991357617</v>
      </c>
      <c r="AC178" s="17">
        <f>AC38+AC108</f>
        <v>928.76454579999984</v>
      </c>
      <c r="AD178" s="17">
        <f>AD38+AD108</f>
        <v>991.92140600000005</v>
      </c>
      <c r="AE178" s="17">
        <f>AE38+AE108</f>
        <v>1081.2375990000003</v>
      </c>
      <c r="AF178" s="54">
        <f>AB178+AC178+AD178+AE178</f>
        <v>4362.9391499357616</v>
      </c>
      <c r="AG178" s="1"/>
      <c r="AH178" s="44">
        <f>AH176*AH166/1000</f>
        <v>979.11548396422324</v>
      </c>
      <c r="AI178" s="17">
        <f>AI38+AI108</f>
        <v>905.64167329999998</v>
      </c>
      <c r="AJ178" s="17">
        <f>AJ38+AJ108</f>
        <v>937.7638015199999</v>
      </c>
      <c r="AK178" s="17">
        <f>AK38+AK108</f>
        <v>958.78538554500005</v>
      </c>
      <c r="AL178" s="54">
        <f>AH178+AI178+AJ178+AK178</f>
        <v>3781.3063443292231</v>
      </c>
      <c r="AM178" s="1"/>
      <c r="AN178" s="44">
        <f>AN176*AN166/1000</f>
        <v>1215.5904701807276</v>
      </c>
      <c r="AO178" s="17">
        <f>AO176*AO166/1000</f>
        <v>1291.14761140056</v>
      </c>
      <c r="AP178" s="17">
        <f>AP176*AP166/1000</f>
        <v>1450.080214404132</v>
      </c>
      <c r="AQ178" s="99">
        <f>AQ176*AQ166/1000</f>
        <v>1580.219192040159</v>
      </c>
      <c r="AR178" s="54">
        <f>AN178+AO178+AP178+AQ178</f>
        <v>5537.0374880255786</v>
      </c>
      <c r="AS178" s="1"/>
      <c r="AT178" s="44">
        <f>AT176*AT166/1000</f>
        <v>1367.1907757852643</v>
      </c>
      <c r="AU178" s="17">
        <f>AU176*AU166/1000</f>
        <v>1214.8310278431668</v>
      </c>
      <c r="AV178" s="17">
        <f>AV176*AV166/1000</f>
        <v>1343.0433921270442</v>
      </c>
      <c r="AW178" s="17">
        <f>AW176*AW166/1000</f>
        <v>1402.4403625879745</v>
      </c>
      <c r="AX178" s="54">
        <f>AT178+AU178+AV178+AW178</f>
        <v>5327.5055583434496</v>
      </c>
      <c r="AY178" s="1"/>
      <c r="AZ178" s="44">
        <f>AZ176*AZ166/1000</f>
        <v>1398.9486314446253</v>
      </c>
      <c r="BA178" s="17">
        <f>BA176*BA166/1000</f>
        <v>1564.337069427997</v>
      </c>
      <c r="BB178" s="17">
        <f>BB176*BB166/1000</f>
        <v>1894.7906365919298</v>
      </c>
      <c r="BC178" s="99">
        <f>BC176*BC166/1000</f>
        <v>2091.5880340700792</v>
      </c>
      <c r="BD178" s="54">
        <f>AZ178+BA178+BB178+BC178</f>
        <v>6949.6643715346308</v>
      </c>
      <c r="BE178" s="1"/>
      <c r="BF178" s="44">
        <f>BF176*BF166/1000</f>
        <v>1498.3182840962929</v>
      </c>
      <c r="BG178" s="17">
        <f>BG176*BG166/1000</f>
        <v>1651.1197578815982</v>
      </c>
      <c r="BH178" s="17">
        <f>BH176*BH166/1000</f>
        <v>1973.0391281203654</v>
      </c>
      <c r="BI178" s="99">
        <f>BI176*BI166/1000</f>
        <v>2150.6489570654903</v>
      </c>
      <c r="BJ178" s="54">
        <f>BF178+BG178+BH178+BI178</f>
        <v>7273.1261271637468</v>
      </c>
      <c r="BK178" s="1"/>
      <c r="BL178" s="44">
        <f>BL176*BL166/1000</f>
        <v>1584.9535447710364</v>
      </c>
      <c r="BM178" s="17">
        <f>BM176*BM166/1000</f>
        <v>1689.2094375725019</v>
      </c>
      <c r="BN178" s="17">
        <f>BN176*BN166/1000</f>
        <v>2021.3657721714997</v>
      </c>
      <c r="BO178" s="99">
        <f>BO176*BO166/1000</f>
        <v>2176.3808939700989</v>
      </c>
      <c r="BP178" s="54">
        <f>BL178+BM178+BN178+BO178</f>
        <v>7471.9096484851361</v>
      </c>
      <c r="BQ178" s="1"/>
      <c r="BR178" s="44">
        <f>BR176*BR166/1000</f>
        <v>1656.8659154030686</v>
      </c>
      <c r="BS178" s="17">
        <f>BS176*BS166/1000</f>
        <v>1718.371145351173</v>
      </c>
      <c r="BT178" s="17">
        <f>BT176*BT166/1000</f>
        <v>2059.4784143063853</v>
      </c>
      <c r="BU178" s="99">
        <f>BU176*BU166/1000</f>
        <v>2183.2115785866972</v>
      </c>
      <c r="BV178" s="54">
        <f>BR178+BS178+BT178+BU178</f>
        <v>7617.9270536473241</v>
      </c>
      <c r="BW178" s="1"/>
      <c r="BX178" s="44">
        <f>BX176*BX166/1000</f>
        <v>1714.9764260880452</v>
      </c>
      <c r="BY178" s="17">
        <f>BY176*BY166/1000</f>
        <v>1732.8071888062821</v>
      </c>
      <c r="BZ178" s="17">
        <f>BZ176*BZ166/1000</f>
        <v>2080.4355056606673</v>
      </c>
      <c r="CA178" s="99">
        <f>CA176*CA166/1000</f>
        <v>2202.304381731507</v>
      </c>
      <c r="CB178" s="54">
        <f>BX178+BY178+BZ178+CA178</f>
        <v>7730.5235022865018</v>
      </c>
      <c r="CC178" s="1"/>
      <c r="CD178" s="44">
        <f>CD176*CD166/1000</f>
        <v>1761.467442021019</v>
      </c>
      <c r="CE178" s="17">
        <f>CE176*CE166/1000</f>
        <v>1748.9857488047428</v>
      </c>
      <c r="CF178" s="17">
        <f>CF176*CF166/1000</f>
        <v>2103.73579387168</v>
      </c>
      <c r="CG178" s="99">
        <f>CG176*CG166/1000</f>
        <v>2216.8432587820307</v>
      </c>
      <c r="CH178" s="54">
        <f>CD178+CE178+CF178+CG178</f>
        <v>7831.0322434794725</v>
      </c>
      <c r="CI178" s="1"/>
      <c r="CJ178" s="44">
        <f>CJ176*CJ166/1000</f>
        <v>1798.3327762850747</v>
      </c>
      <c r="CK178" s="17">
        <f>CK176*CK166/1000</f>
        <v>1732.6163090220539</v>
      </c>
      <c r="CL178" s="17">
        <f>CL176*CL166/1000</f>
        <v>2088.7471020050939</v>
      </c>
      <c r="CM178" s="99">
        <f>CM176*CM166/1000</f>
        <v>2197.7050755211117</v>
      </c>
      <c r="CN178" s="54">
        <f>CJ178+CK178+CL178+CM178</f>
        <v>7817.401262833333</v>
      </c>
      <c r="CO178" s="1"/>
      <c r="CP178" s="44">
        <f>CP176*CP166/1000</f>
        <v>1821.9921808863858</v>
      </c>
      <c r="CQ178" s="17">
        <f>CQ176*CQ166/1000</f>
        <v>1739.5580519195912</v>
      </c>
      <c r="CR178" s="17">
        <f>CR176*CR166/1000</f>
        <v>2101.4531976160097</v>
      </c>
      <c r="CS178" s="99">
        <f>CS176*CS166/1000</f>
        <v>2210.2255757557136</v>
      </c>
      <c r="CT178" s="54">
        <f>CP178+CQ178+CR178+CS178</f>
        <v>7873.2290061777003</v>
      </c>
    </row>
    <row r="179" spans="2:98" ht="15" x14ac:dyDescent="0.3">
      <c r="B179" s="40" t="s">
        <v>23</v>
      </c>
      <c r="D179" s="62" t="s">
        <v>35</v>
      </c>
      <c r="E179" s="9" t="s">
        <v>35</v>
      </c>
      <c r="F179" s="9" t="s">
        <v>35</v>
      </c>
      <c r="G179" s="9" t="s">
        <v>35</v>
      </c>
      <c r="H179" s="66" t="s">
        <v>35</v>
      </c>
      <c r="I179" s="1"/>
      <c r="J179" s="62">
        <f>J178/D178-1</f>
        <v>6.9031163489622571E-2</v>
      </c>
      <c r="K179" s="9">
        <f>(K178-D178)/D178</f>
        <v>7.0813311670920628E-2</v>
      </c>
      <c r="L179" s="9">
        <f>(L178-E178)/E178</f>
        <v>-5.5159755310475705E-2</v>
      </c>
      <c r="M179" s="9">
        <f>(M178-F178)/F178</f>
        <v>-5.709701393108349E-2</v>
      </c>
      <c r="N179" s="66">
        <f>N178/H178-1</f>
        <v>-4.3019990716106626E-3</v>
      </c>
      <c r="O179" s="1"/>
      <c r="P179" s="62">
        <f>P178/J178-1</f>
        <v>-3.1563215266785627E-2</v>
      </c>
      <c r="Q179" s="9">
        <f>(Q178-J178)/J178</f>
        <v>-0.12128212087230548</v>
      </c>
      <c r="R179" s="9">
        <f>(R178-K178)/K178</f>
        <v>-0.10645149221855324</v>
      </c>
      <c r="S179" s="9">
        <f>(S178-L178)/L178</f>
        <v>8.8019847485280397E-2</v>
      </c>
      <c r="T179" s="66">
        <f>T178/N178-1</f>
        <v>-2.0299633034392861E-2</v>
      </c>
      <c r="U179" s="1"/>
      <c r="V179" s="62">
        <f>V178/P178-1</f>
        <v>-3.528019529268811E-2</v>
      </c>
      <c r="W179" s="9">
        <f>(W178-P178)/P178</f>
        <v>-7.7740620735290436E-2</v>
      </c>
      <c r="X179" s="9">
        <f>(X178-Q178)/Q178</f>
        <v>0.10459091067045442</v>
      </c>
      <c r="Y179" s="9">
        <f>(Y178-R178)/R178</f>
        <v>0.29603864942116764</v>
      </c>
      <c r="Z179" s="66">
        <f>Z178/T178-1</f>
        <v>4.8787743316727195E-2</v>
      </c>
      <c r="AA179" s="1"/>
      <c r="AB179" s="62">
        <f>AB178/V178-1</f>
        <v>0.14787639044499667</v>
      </c>
      <c r="AC179" s="9">
        <f>(AC178-V178)/V178</f>
        <v>-0.21668282488226934</v>
      </c>
      <c r="AD179" s="9">
        <f>(AD178-W178)/W178</f>
        <v>-0.1249005785461971</v>
      </c>
      <c r="AE179" s="9">
        <f>(AE178-X178)/X178</f>
        <v>-0.12224218838929152</v>
      </c>
      <c r="AF179" s="65">
        <f>AF178/Z178-1</f>
        <v>-0.13143442906436709</v>
      </c>
      <c r="AG179" s="1"/>
      <c r="AH179" s="62">
        <f>AH178/AB178-1</f>
        <v>-0.28059936668914243</v>
      </c>
      <c r="AI179" s="9">
        <f>(AI178-AB178)/AB178</f>
        <v>-0.33458391375155577</v>
      </c>
      <c r="AJ179" s="9">
        <f>(AJ178-AC178)/AC178</f>
        <v>9.6894910132992573E-3</v>
      </c>
      <c r="AK179" s="9">
        <f>(AK178-AD178)/AD178</f>
        <v>-3.3405893102583163E-2</v>
      </c>
      <c r="AL179" s="65">
        <f>AL178/AF178-1</f>
        <v>-0.13331215165242505</v>
      </c>
      <c r="AM179" s="1"/>
      <c r="AN179" s="62">
        <f>AN178/AH178-1</f>
        <v>0.24151899350939598</v>
      </c>
      <c r="AO179" s="9">
        <f>AO178/AI178-1</f>
        <v>0.42567159779192121</v>
      </c>
      <c r="AP179" s="9">
        <f>AP178/AJ178-1</f>
        <v>0.54631711317256015</v>
      </c>
      <c r="AQ179" s="100">
        <f>AQ178/AK178-1</f>
        <v>0.64814693242525689</v>
      </c>
      <c r="AR179" s="65">
        <f>AR178/AL178-1</f>
        <v>0.46431867291826356</v>
      </c>
      <c r="AS179" s="1"/>
      <c r="AT179" s="62">
        <f>AT178/AN178-1</f>
        <v>0.12471330544570458</v>
      </c>
      <c r="AU179" s="9">
        <f>AU178/AO178-1</f>
        <v>-5.9107558952620098E-2</v>
      </c>
      <c r="AV179" s="9">
        <f>AV178/AP178-1</f>
        <v>-7.3814414688135987E-2</v>
      </c>
      <c r="AW179" s="9">
        <f>AW178/AQ178-1</f>
        <v>-0.11250263909442915</v>
      </c>
      <c r="AX179" s="65">
        <f>AX178/AR178-1</f>
        <v>-3.7841883883803162E-2</v>
      </c>
      <c r="AY179" s="1"/>
      <c r="AZ179" s="62">
        <f>AZ178/AT178-1</f>
        <v>2.3228547340893524E-2</v>
      </c>
      <c r="BA179" s="9">
        <f>BA178/AU178-1</f>
        <v>0.28769930432658564</v>
      </c>
      <c r="BB179" s="9">
        <f>BB178/AV178-1</f>
        <v>0.41081862857093276</v>
      </c>
      <c r="BC179" s="100">
        <f>BC178/AW178-1</f>
        <v>0.49139178382629778</v>
      </c>
      <c r="BD179" s="65">
        <f>BD178/AX178-1</f>
        <v>0.30448749333554526</v>
      </c>
      <c r="BE179" s="1"/>
      <c r="BF179" s="62">
        <f>BF178/AZ178-1</f>
        <v>7.1031666508764912E-2</v>
      </c>
      <c r="BG179" s="9">
        <f>BG178/BA178-1</f>
        <v>5.5475696478466396E-2</v>
      </c>
      <c r="BH179" s="9">
        <f>BH178/BB178-1</f>
        <v>4.1296642498285463E-2</v>
      </c>
      <c r="BI179" s="100">
        <f>BI178/BC178-1</f>
        <v>2.8237359381179328E-2</v>
      </c>
      <c r="BJ179" s="65">
        <f>BJ178/BD178-1</f>
        <v>4.6543507475554469E-2</v>
      </c>
      <c r="BK179" s="1"/>
      <c r="BL179" s="62">
        <f>BL178/BF178-1</f>
        <v>5.782166686098833E-2</v>
      </c>
      <c r="BM179" s="9">
        <f>BM178/BG178-1</f>
        <v>2.3068998786480055E-2</v>
      </c>
      <c r="BN179" s="9">
        <f>BN178/BH178-1</f>
        <v>2.4493505152719974E-2</v>
      </c>
      <c r="BO179" s="100">
        <f>BO178/BI178-1</f>
        <v>1.1964731305902809E-2</v>
      </c>
      <c r="BP179" s="65">
        <f>BP178/BJ178-1</f>
        <v>2.7331235268830412E-2</v>
      </c>
      <c r="BQ179" s="1"/>
      <c r="BR179" s="62">
        <f>BR178/BL178-1</f>
        <v>4.5371910659009806E-2</v>
      </c>
      <c r="BS179" s="9">
        <f>BS178/BM178-1</f>
        <v>1.726352406636944E-2</v>
      </c>
      <c r="BT179" s="9">
        <f>BT178/BN178-1</f>
        <v>1.8854896357497042E-2</v>
      </c>
      <c r="BU179" s="100">
        <f>BU178/BO178-1</f>
        <v>3.1385520041660175E-3</v>
      </c>
      <c r="BV179" s="65">
        <f>BV178/BP178-1</f>
        <v>1.9542180249970231E-2</v>
      </c>
      <c r="BW179" s="1"/>
      <c r="BX179" s="62">
        <f>BX178/BR178-1</f>
        <v>3.5072548807209891E-2</v>
      </c>
      <c r="BY179" s="9">
        <f>BY178/BS178-1</f>
        <v>8.4010043430744474E-3</v>
      </c>
      <c r="BZ179" s="9">
        <f>BZ178/BT178-1</f>
        <v>1.0175921829867818E-2</v>
      </c>
      <c r="CA179" s="100">
        <f>CA178/BU178-1</f>
        <v>8.7452830188676778E-3</v>
      </c>
      <c r="CB179" s="65">
        <f>CB178/BV178-1</f>
        <v>1.478045770801506E-2</v>
      </c>
      <c r="CC179" s="1"/>
      <c r="CD179" s="62">
        <f>CD178/BX178-1</f>
        <v>2.7108836731372765E-2</v>
      </c>
      <c r="CE179" s="9">
        <f>CE178/BY178-1</f>
        <v>9.3366186976671095E-3</v>
      </c>
      <c r="CF179" s="9">
        <f>CF178/BZ178-1</f>
        <v>1.1199716668752746E-2</v>
      </c>
      <c r="CG179" s="100">
        <f>CG178/CA178-1</f>
        <v>6.6016655877025876E-3</v>
      </c>
      <c r="CH179" s="65">
        <f>CH178/CB178-1</f>
        <v>1.3001543965714957E-2</v>
      </c>
      <c r="CI179" s="1"/>
      <c r="CJ179" s="62">
        <f>CJ178/CD178-1</f>
        <v>2.0928762794365507E-2</v>
      </c>
      <c r="CK179" s="9">
        <f>CK178/CE178-1</f>
        <v>-9.3593900315516176E-3</v>
      </c>
      <c r="CL179" s="9">
        <f>CL178/CF178-1</f>
        <v>-7.1247976624484455E-3</v>
      </c>
      <c r="CM179" s="100">
        <f>CM178/CG178-1</f>
        <v>-8.6330791250590622E-3</v>
      </c>
      <c r="CN179" s="65">
        <f>CN178/CH178-1</f>
        <v>-1.740636511551763E-3</v>
      </c>
      <c r="CO179" s="1"/>
      <c r="CP179" s="62">
        <f>CP178/CJ178-1</f>
        <v>1.3156299497685708E-2</v>
      </c>
      <c r="CQ179" s="9">
        <f>CQ178/CK178-1</f>
        <v>4.0065090357226385E-3</v>
      </c>
      <c r="CR179" s="9">
        <f>CR178/CL178-1</f>
        <v>6.0831182476417389E-3</v>
      </c>
      <c r="CS179" s="100">
        <f>CS178/CM178-1</f>
        <v>5.6970793643151829E-3</v>
      </c>
      <c r="CT179" s="65">
        <f>CT178/CN178-1</f>
        <v>7.1414708631871715E-3</v>
      </c>
    </row>
    <row r="180" spans="2:98" ht="15" x14ac:dyDescent="0.3">
      <c r="B180" s="40"/>
      <c r="D180" s="47"/>
      <c r="E180" s="8"/>
      <c r="F180" s="12"/>
      <c r="G180" s="12"/>
      <c r="H180" s="58"/>
      <c r="I180" s="1"/>
      <c r="J180" s="47"/>
      <c r="K180" s="8"/>
      <c r="L180" s="12"/>
      <c r="M180" s="20"/>
      <c r="N180" s="58"/>
      <c r="O180" s="1"/>
      <c r="P180" s="47"/>
      <c r="Q180" s="8"/>
      <c r="R180" s="12"/>
      <c r="S180" s="20"/>
      <c r="T180" s="58"/>
      <c r="U180" s="1"/>
      <c r="V180" s="47"/>
      <c r="W180" s="8"/>
      <c r="X180" s="12"/>
      <c r="Y180" s="20"/>
      <c r="Z180" s="58"/>
      <c r="AA180" s="1"/>
      <c r="AB180" s="47"/>
      <c r="AC180" s="8"/>
      <c r="AD180" s="8"/>
      <c r="AE180" s="8"/>
      <c r="AF180" s="58"/>
      <c r="AG180" s="1"/>
      <c r="AH180" s="47"/>
      <c r="AI180" s="8"/>
      <c r="AJ180" s="8"/>
      <c r="AK180" s="8"/>
      <c r="AL180" s="58"/>
      <c r="AM180" s="1"/>
      <c r="AN180" s="47"/>
      <c r="AO180" s="8"/>
      <c r="AP180" s="8"/>
      <c r="AQ180" s="20"/>
      <c r="AR180" s="58"/>
      <c r="AS180" s="1"/>
      <c r="AT180" s="47"/>
      <c r="AU180" s="8"/>
      <c r="AV180" s="8"/>
      <c r="AW180" s="8"/>
      <c r="AX180" s="58"/>
      <c r="AY180" s="1"/>
      <c r="AZ180" s="47"/>
      <c r="BA180" s="8"/>
      <c r="BB180" s="12"/>
      <c r="BC180" s="20"/>
      <c r="BD180" s="58"/>
      <c r="BE180" s="1"/>
      <c r="BF180" s="47"/>
      <c r="BG180" s="8"/>
      <c r="BH180" s="12"/>
      <c r="BI180" s="20"/>
      <c r="BJ180" s="58"/>
      <c r="BK180" s="1"/>
      <c r="BL180" s="47"/>
      <c r="BM180" s="8"/>
      <c r="BN180" s="12"/>
      <c r="BO180" s="20"/>
      <c r="BP180" s="58"/>
      <c r="BQ180" s="1"/>
      <c r="BR180" s="47"/>
      <c r="BS180" s="8"/>
      <c r="BT180" s="12"/>
      <c r="BU180" s="20"/>
      <c r="BV180" s="58"/>
      <c r="BW180" s="1"/>
      <c r="BX180" s="47"/>
      <c r="BY180" s="8"/>
      <c r="BZ180" s="12"/>
      <c r="CA180" s="20"/>
      <c r="CB180" s="58"/>
      <c r="CC180" s="1"/>
      <c r="CD180" s="47"/>
      <c r="CE180" s="8"/>
      <c r="CF180" s="12"/>
      <c r="CG180" s="20"/>
      <c r="CH180" s="58"/>
      <c r="CI180" s="1"/>
      <c r="CJ180" s="47"/>
      <c r="CK180" s="8"/>
      <c r="CL180" s="12"/>
      <c r="CM180" s="20"/>
      <c r="CN180" s="58"/>
      <c r="CO180" s="1"/>
      <c r="CP180" s="47"/>
      <c r="CQ180" s="8"/>
      <c r="CR180" s="12"/>
      <c r="CS180" s="20"/>
      <c r="CT180" s="58"/>
    </row>
    <row r="181" spans="2:98" ht="15" x14ac:dyDescent="0.3">
      <c r="B181" s="39" t="s">
        <v>53</v>
      </c>
      <c r="D181" s="44">
        <f>D41+D111</f>
        <v>3455.8512420000002</v>
      </c>
      <c r="E181" s="17">
        <f>E41+E111</f>
        <v>3366.2977399999995</v>
      </c>
      <c r="F181" s="17">
        <f>F41+F111</f>
        <v>3530.7002630000006</v>
      </c>
      <c r="G181" s="17">
        <f>G41+G111</f>
        <v>3548.3028800000002</v>
      </c>
      <c r="H181" s="54">
        <f>D181+E181+F181+G181</f>
        <v>13901.152125000001</v>
      </c>
      <c r="I181" s="1"/>
      <c r="J181" s="44">
        <f>J41+J111</f>
        <v>3623.9009819999997</v>
      </c>
      <c r="K181" s="17">
        <f>K41+K111</f>
        <v>3364.7853070000001</v>
      </c>
      <c r="L181" s="17">
        <f>L41+L111</f>
        <v>3467.5548449999997</v>
      </c>
      <c r="M181" s="17">
        <f>M41+M111</f>
        <v>3520.033152</v>
      </c>
      <c r="N181" s="54">
        <f>J181+K181+L181+M181</f>
        <v>13976.274286</v>
      </c>
      <c r="O181" s="1"/>
      <c r="P181" s="44">
        <f>P41+P111</f>
        <v>3555.9578275000003</v>
      </c>
      <c r="Q181" s="17">
        <f>Q41+Q111</f>
        <v>3243.8200025000001</v>
      </c>
      <c r="R181" s="17">
        <f>R41+R111</f>
        <v>3333.1080080000002</v>
      </c>
      <c r="S181" s="17">
        <f>S41+S111</f>
        <v>3537.627786</v>
      </c>
      <c r="T181" s="54">
        <f>P181+Q181+R181+S181</f>
        <v>13670.513624000003</v>
      </c>
      <c r="U181" s="1"/>
      <c r="V181" s="44">
        <f>V41+V111</f>
        <v>3309.3186753687496</v>
      </c>
      <c r="W181" s="17">
        <f>W41+W111</f>
        <v>4252.2326231740499</v>
      </c>
      <c r="X181" s="17">
        <f>X41+X111</f>
        <v>4111.7873052091963</v>
      </c>
      <c r="Y181" s="17">
        <f>Y41+Y111</f>
        <v>4115.6497924638179</v>
      </c>
      <c r="Z181" s="54">
        <f>V181+W181+X181+Y181</f>
        <v>15788.988396215813</v>
      </c>
      <c r="AA181" s="1"/>
      <c r="AB181" s="44">
        <f>AB173-AB187-AB178</f>
        <v>4425.9844008642385</v>
      </c>
      <c r="AC181" s="17">
        <f>AC173-AC187-AC178</f>
        <v>4805.2354542000003</v>
      </c>
      <c r="AD181" s="17">
        <f>AD173-AD187-AD178</f>
        <v>5012.0785939999996</v>
      </c>
      <c r="AE181" s="17">
        <f>AE173-AE187-AE178</f>
        <v>5321.762401</v>
      </c>
      <c r="AF181" s="54">
        <f>AB181+AC181+AD181+AE181</f>
        <v>19565.060850064237</v>
      </c>
      <c r="AG181" s="1"/>
      <c r="AH181" s="44">
        <f>AH173-AH187-AH178</f>
        <v>5410.8845160357769</v>
      </c>
      <c r="AI181" s="17">
        <f>AI173-AI187-AI178</f>
        <v>5456.3583267000004</v>
      </c>
      <c r="AJ181" s="17">
        <f>AJ173-AJ187-AJ178</f>
        <v>5003.23619848</v>
      </c>
      <c r="AK181" s="17">
        <f>AK173-AK187-AK178</f>
        <v>5008.2146144549997</v>
      </c>
      <c r="AL181" s="54">
        <f>AH181+AI181+AJ181+AK181</f>
        <v>20878.693655670777</v>
      </c>
      <c r="AM181" s="1"/>
      <c r="AN181" s="44">
        <f>AN173-AN187-AN178</f>
        <v>4634.4095298192724</v>
      </c>
      <c r="AO181" s="17">
        <f>AO173-AO187-AO178</f>
        <v>5466.85238859944</v>
      </c>
      <c r="AP181" s="17">
        <f>AP173-AP187-AP178</f>
        <v>5165.9197855958682</v>
      </c>
      <c r="AQ181" s="17">
        <f>AQ173-AQ187-AQ178</f>
        <v>6046.7808079598408</v>
      </c>
      <c r="AR181" s="54">
        <f>AN181+AO181+AP181+AQ181</f>
        <v>21313.962511974423</v>
      </c>
      <c r="AS181" s="1"/>
      <c r="AT181" s="44">
        <f>AT173-AT187-AT178</f>
        <v>5577.8092242147359</v>
      </c>
      <c r="AU181" s="17">
        <f>AU173-AU187-AU178</f>
        <v>5986.1689721568328</v>
      </c>
      <c r="AV181" s="17">
        <f>AV173-AV187-AV178</f>
        <v>5853.9566078729558</v>
      </c>
      <c r="AW181" s="17">
        <f>AW173-AW187-AW178</f>
        <v>6645.559637412025</v>
      </c>
      <c r="AX181" s="54">
        <f>AT181+AU181+AV181+AW181</f>
        <v>24063.494441656549</v>
      </c>
      <c r="AY181" s="1"/>
      <c r="AZ181" s="44">
        <f>AZ184*AZ173</f>
        <v>5992.06522050483</v>
      </c>
      <c r="BA181" s="17">
        <f>BA184*BA173</f>
        <v>5986.9115479411812</v>
      </c>
      <c r="BB181" s="17">
        <f>BB184*BB173</f>
        <v>5736.4178879080728</v>
      </c>
      <c r="BC181" s="99">
        <f>BC184*BC173</f>
        <v>6216.9351819781978</v>
      </c>
      <c r="BD181" s="54">
        <f>AZ181+BA181+BB181+BC181</f>
        <v>23932.329838332284</v>
      </c>
      <c r="BE181" s="1"/>
      <c r="BF181" s="44">
        <f>BF184*BF173</f>
        <v>6331.9284347698231</v>
      </c>
      <c r="BG181" s="17">
        <f>BG184*BG173</f>
        <v>6281.4858625853076</v>
      </c>
      <c r="BH181" s="17">
        <f>BH184*BH173</f>
        <v>6001.6380867541939</v>
      </c>
      <c r="BI181" s="99">
        <f>BI184*BI173</f>
        <v>6479.7363920309144</v>
      </c>
      <c r="BJ181" s="54">
        <f>BF181+BG181+BH181+BI181</f>
        <v>25094.788776140238</v>
      </c>
      <c r="BK181" s="1"/>
      <c r="BL181" s="44">
        <f>BL184*BL173</f>
        <v>6679.3477970991507</v>
      </c>
      <c r="BM181" s="17">
        <f>BM184*BM173</f>
        <v>6558.5572445607195</v>
      </c>
      <c r="BN181" s="17">
        <f>BN184*BN173</f>
        <v>6263.0241574006686</v>
      </c>
      <c r="BO181" s="99">
        <f>BO184*BO173</f>
        <v>6731.7185721986743</v>
      </c>
      <c r="BP181" s="54">
        <f>BL181+BM181+BN181+BO181</f>
        <v>26232.647771259213</v>
      </c>
      <c r="BQ181" s="1"/>
      <c r="BR181" s="44">
        <f>BR184*BR173</f>
        <v>6973.7537154528573</v>
      </c>
      <c r="BS181" s="17">
        <f>BS184*BS173</f>
        <v>6791.1177778954006</v>
      </c>
      <c r="BT181" s="17">
        <f>BT184*BT173</f>
        <v>6482.7632739836272</v>
      </c>
      <c r="BU181" s="99">
        <f>BU184*BU173</f>
        <v>6933.7416627062703</v>
      </c>
      <c r="BV181" s="54">
        <f>BR181+BS181+BT181+BU181</f>
        <v>27181.376430038155</v>
      </c>
      <c r="BW181" s="1"/>
      <c r="BX181" s="44">
        <f>BX184*BX173</f>
        <v>7236.8761489377166</v>
      </c>
      <c r="BY181" s="17">
        <f>BY184*BY173</f>
        <v>6993.4175086589794</v>
      </c>
      <c r="BZ181" s="17">
        <f>BZ184*BZ173</f>
        <v>6674.6418685756062</v>
      </c>
      <c r="CA181" s="99">
        <f>CA184*CA173</f>
        <v>7132.8233958505125</v>
      </c>
      <c r="CB181" s="54">
        <f>BX181+BY181+BZ181+CA181</f>
        <v>28037.758922022815</v>
      </c>
      <c r="CC181" s="1"/>
      <c r="CD181" s="44">
        <f>CD184*CD173</f>
        <v>7463.4021380229888</v>
      </c>
      <c r="CE181" s="17">
        <f>CE184*CE173</f>
        <v>7175.6803631828943</v>
      </c>
      <c r="CF181" s="17">
        <f>CF184*CF173</f>
        <v>6849.6280148153255</v>
      </c>
      <c r="CG181" s="99">
        <f>CG184*CG173</f>
        <v>7309.9328905894254</v>
      </c>
      <c r="CH181" s="54">
        <f>CD181+CE181+CF181+CG181</f>
        <v>28798.643406610634</v>
      </c>
      <c r="CI181" s="1"/>
      <c r="CJ181" s="44">
        <f>CJ184*CJ173</f>
        <v>7689.4670317676291</v>
      </c>
      <c r="CK181" s="17">
        <f>CK184*CK173</f>
        <v>7330.2627605564894</v>
      </c>
      <c r="CL181" s="17">
        <f>CL184*CL173</f>
        <v>6994.7454334978638</v>
      </c>
      <c r="CM181" s="99">
        <f>CM184*CM173</f>
        <v>7454.8530377413981</v>
      </c>
      <c r="CN181" s="54">
        <f>CJ181+CK181+CL181+CM181</f>
        <v>29469.32826356338</v>
      </c>
      <c r="CO181" s="1"/>
      <c r="CP181" s="44">
        <f>CP184*CP173</f>
        <v>7837.2459985430123</v>
      </c>
      <c r="CQ181" s="17">
        <f>CQ184*CQ173</f>
        <v>7452.0209838983546</v>
      </c>
      <c r="CR181" s="17">
        <f>CR184*CR173</f>
        <v>7113.7729837719944</v>
      </c>
      <c r="CS181" s="99">
        <f>CS184*CS173</f>
        <v>7581.1520367217718</v>
      </c>
      <c r="CT181" s="54">
        <f>CP181+CQ181+CR181+CS181</f>
        <v>29984.192002935135</v>
      </c>
    </row>
    <row r="182" spans="2:98" ht="15" x14ac:dyDescent="0.3">
      <c r="B182" s="40" t="s">
        <v>23</v>
      </c>
      <c r="D182" s="62" t="s">
        <v>35</v>
      </c>
      <c r="E182" s="9" t="s">
        <v>35</v>
      </c>
      <c r="F182" s="9" t="s">
        <v>35</v>
      </c>
      <c r="G182" s="9" t="s">
        <v>35</v>
      </c>
      <c r="H182" s="66" t="s">
        <v>35</v>
      </c>
      <c r="I182" s="1"/>
      <c r="J182" s="62">
        <f>J181/D181-1</f>
        <v>4.8627596569447373E-2</v>
      </c>
      <c r="K182" s="9">
        <f>(K181-D181)/D181</f>
        <v>-2.6351231179527743E-2</v>
      </c>
      <c r="L182" s="9">
        <f>(L181-E181)/E181</f>
        <v>3.0079664016885253E-2</v>
      </c>
      <c r="M182" s="9">
        <f>(M181-F181)/F181</f>
        <v>-3.0212451370587095E-3</v>
      </c>
      <c r="N182" s="66">
        <f>N181/H181-1</f>
        <v>5.4040240927151206E-3</v>
      </c>
      <c r="O182" s="1"/>
      <c r="P182" s="62">
        <f>P181/J181-1</f>
        <v>-1.8748623330900771E-2</v>
      </c>
      <c r="Q182" s="9">
        <f>(Q181-J181)/J181</f>
        <v>-0.10488172314527097</v>
      </c>
      <c r="R182" s="9">
        <f>(R181-K181)/K181</f>
        <v>-9.4143596425303663E-3</v>
      </c>
      <c r="S182" s="9">
        <f>(S181-L181)/L181</f>
        <v>2.0208170925123569E-2</v>
      </c>
      <c r="T182" s="66">
        <f>T181/N181-1</f>
        <v>-2.1877122310505648E-2</v>
      </c>
      <c r="U182" s="1"/>
      <c r="V182" s="62">
        <f>V181/P181-1</f>
        <v>-6.9359414283225451E-2</v>
      </c>
      <c r="W182" s="9">
        <f>(W181-P181)/P181</f>
        <v>0.19580513308943326</v>
      </c>
      <c r="X182" s="9">
        <f>(X181-Q181)/Q181</f>
        <v>0.26757566758952628</v>
      </c>
      <c r="Y182" s="9">
        <f>(Y181-R181)/R181</f>
        <v>0.23477840579590895</v>
      </c>
      <c r="Z182" s="66">
        <f>Z181/T181-1</f>
        <v>0.15496672842610737</v>
      </c>
      <c r="AA182" s="1"/>
      <c r="AB182" s="62">
        <f>AB181/V181-1</f>
        <v>0.33743070252098395</v>
      </c>
      <c r="AC182" s="9">
        <f>(AC181-V181)/V181</f>
        <v>0.45203164928338735</v>
      </c>
      <c r="AD182" s="9">
        <f>(AD181-W181)/W181</f>
        <v>0.17869341547423809</v>
      </c>
      <c r="AE182" s="9">
        <f>(AE181-X181)/X181</f>
        <v>0.29426986514061515</v>
      </c>
      <c r="AF182" s="65">
        <f>AF181/Z181-1</f>
        <v>0.23915860592775195</v>
      </c>
      <c r="AG182" s="1"/>
      <c r="AH182" s="62">
        <f>AH181/AB181-1</f>
        <v>0.22252679313086188</v>
      </c>
      <c r="AI182" s="9">
        <f>(AI181-AB181)/AB181</f>
        <v>0.23280107486022006</v>
      </c>
      <c r="AJ182" s="9">
        <f>(AJ181-AC181)/AC181</f>
        <v>4.120521172525226E-2</v>
      </c>
      <c r="AK182" s="9">
        <f>(AK181-AD181)/AD181</f>
        <v>-7.7093355032889835E-4</v>
      </c>
      <c r="AL182" s="65">
        <f>AL181/AF181-1</f>
        <v>6.7141769487633729E-2</v>
      </c>
      <c r="AM182" s="1"/>
      <c r="AN182" s="62">
        <f>AN181/AH181-1</f>
        <v>-0.14350241331437252</v>
      </c>
      <c r="AO182" s="9">
        <f>(AO181-AH181)/AH181</f>
        <v>1.0343571813036471E-2</v>
      </c>
      <c r="AP182" s="9">
        <f>(AP181-AI181)/AI181</f>
        <v>-5.322937455975129E-2</v>
      </c>
      <c r="AQ182" s="9">
        <f>(AQ181-AJ181)/AJ181</f>
        <v>0.20857392457243437</v>
      </c>
      <c r="AR182" s="65">
        <f>AR181/AL181-1</f>
        <v>2.0847513904943327E-2</v>
      </c>
      <c r="AS182" s="1"/>
      <c r="AT182" s="62">
        <f>AT181/AN181-1</f>
        <v>0.20356416245161935</v>
      </c>
      <c r="AU182" s="9">
        <f>(AU181-AN181)/AN181</f>
        <v>0.29167889320956814</v>
      </c>
      <c r="AV182" s="9">
        <f>(AV181-AO181)/AO181</f>
        <v>7.0809341785189217E-2</v>
      </c>
      <c r="AW182" s="9">
        <f>(AW181-AP181)/AP181</f>
        <v>0.28642331147723893</v>
      </c>
      <c r="AX182" s="65">
        <f>AX181/AR181-1</f>
        <v>0.12900144344991737</v>
      </c>
      <c r="AY182" s="1"/>
      <c r="AZ182" s="62">
        <f>AZ181/AT181-1</f>
        <v>7.4268584606963506E-2</v>
      </c>
      <c r="BA182" s="9">
        <f>BA181/AU181-1</f>
        <v>1.2404858396108942E-4</v>
      </c>
      <c r="BB182" s="9">
        <f>BB181/AV181-1</f>
        <v>-2.0078508919387228E-2</v>
      </c>
      <c r="BC182" s="9">
        <f>BC181/AW181-1</f>
        <v>-6.4497872086021313E-2</v>
      </c>
      <c r="BD182" s="65">
        <f>BD181/AX181-1</f>
        <v>-5.45077123533666E-3</v>
      </c>
      <c r="BE182" s="1"/>
      <c r="BF182" s="62">
        <f>BF181/AZ181-1</f>
        <v>5.6718877675426826E-2</v>
      </c>
      <c r="BG182" s="9">
        <f>BG181/BA181-1</f>
        <v>4.9203051069866888E-2</v>
      </c>
      <c r="BH182" s="9">
        <f>BH181/BB181-1</f>
        <v>4.6234462695820211E-2</v>
      </c>
      <c r="BI182" s="9">
        <f>BI181/BC181-1</f>
        <v>4.227182725252332E-2</v>
      </c>
      <c r="BJ182" s="65">
        <f>BJ181/BD181-1</f>
        <v>4.857274430281544E-2</v>
      </c>
      <c r="BK182" s="1"/>
      <c r="BL182" s="62">
        <f>BL181/BF181-1</f>
        <v>5.4867859911615913E-2</v>
      </c>
      <c r="BM182" s="9">
        <f>BM181/BG181-1</f>
        <v>4.4109210469730487E-2</v>
      </c>
      <c r="BN182" s="9">
        <f>BN181/BH181-1</f>
        <v>4.355245465789781E-2</v>
      </c>
      <c r="BO182" s="9">
        <f>BO181/BI181-1</f>
        <v>3.8887720876679355E-2</v>
      </c>
      <c r="BP182" s="65">
        <f>BP181/BJ181-1</f>
        <v>4.5342441622813645E-2</v>
      </c>
      <c r="BQ182" s="1"/>
      <c r="BR182" s="62">
        <f>BR181/BL181-1</f>
        <v>4.4077045738143417E-2</v>
      </c>
      <c r="BS182" s="9">
        <f>BS181/BM181-1</f>
        <v>3.545909941207781E-2</v>
      </c>
      <c r="BT182" s="9">
        <f>BT181/BN181-1</f>
        <v>3.5085145939171447E-2</v>
      </c>
      <c r="BU182" s="9">
        <f>BU181/BO181-1</f>
        <v>3.0010626311969046E-2</v>
      </c>
      <c r="BV182" s="65">
        <f>BV181/BP181-1</f>
        <v>3.6165951186154288E-2</v>
      </c>
      <c r="BW182" s="1"/>
      <c r="BX182" s="62">
        <f>BX181/BR181-1</f>
        <v>3.7730387997760406E-2</v>
      </c>
      <c r="BY182" s="9">
        <f>BY181/BS181-1</f>
        <v>2.978887090164295E-2</v>
      </c>
      <c r="BZ182" s="9">
        <f>BZ181/BT181-1</f>
        <v>2.9598272601132791E-2</v>
      </c>
      <c r="CA182" s="9">
        <f>CA181/BU181-1</f>
        <v>2.8712020555224926E-2</v>
      </c>
      <c r="CB182" s="65">
        <f>CB181/BV181-1</f>
        <v>3.1506222438326237E-2</v>
      </c>
      <c r="CC182" s="1"/>
      <c r="CD182" s="62">
        <f>CD181/BX181-1</f>
        <v>3.1301625787602205E-2</v>
      </c>
      <c r="CE182" s="9">
        <f>CE181/BY181-1</f>
        <v>2.6062058256674181E-2</v>
      </c>
      <c r="CF182" s="9">
        <f>CF181/BZ181-1</f>
        <v>2.6216559582553645E-2</v>
      </c>
      <c r="CG182" s="9">
        <f>CG181/CA181-1</f>
        <v>2.4830208868194648E-2</v>
      </c>
      <c r="CH182" s="65">
        <f>CH181/CB181-1</f>
        <v>2.7137849594325747E-2</v>
      </c>
      <c r="CI182" s="1"/>
      <c r="CJ182" s="62">
        <f>CJ181/CD181-1</f>
        <v>3.0289791379849662E-2</v>
      </c>
      <c r="CK182" s="9">
        <f>CK181/CE181-1</f>
        <v>2.1542542246827168E-2</v>
      </c>
      <c r="CL182" s="9">
        <f>CL181/CF181-1</f>
        <v>2.1186175127854812E-2</v>
      </c>
      <c r="CM182" s="9">
        <f>CM181/CG181-1</f>
        <v>1.9825099535255353E-2</v>
      </c>
      <c r="CN182" s="65">
        <f>CN181/CH181-1</f>
        <v>2.328876563674509E-2</v>
      </c>
      <c r="CO182" s="1"/>
      <c r="CP182" s="62">
        <f>CP181/CJ181-1</f>
        <v>1.9218362750612172E-2</v>
      </c>
      <c r="CQ182" s="9">
        <f>CQ181/CK181-1</f>
        <v>1.6610349085579346E-2</v>
      </c>
      <c r="CR182" s="9">
        <f>CR181/CL181-1</f>
        <v>1.7016709386464157E-2</v>
      </c>
      <c r="CS182" s="9">
        <f>CS181/CM181-1</f>
        <v>1.6941849603334225E-2</v>
      </c>
      <c r="CT182" s="65">
        <f>CT181/CN181-1</f>
        <v>1.7471173240428017E-2</v>
      </c>
    </row>
    <row r="183" spans="2:98" ht="15" x14ac:dyDescent="0.3">
      <c r="B183" s="39"/>
      <c r="D183" s="44"/>
      <c r="E183" s="17"/>
      <c r="F183" s="17"/>
      <c r="G183" s="17"/>
      <c r="H183" s="54"/>
      <c r="I183" s="1"/>
      <c r="J183" s="44"/>
      <c r="K183" s="17"/>
      <c r="L183" s="17"/>
      <c r="M183" s="17"/>
      <c r="N183" s="54"/>
      <c r="O183" s="1"/>
      <c r="P183" s="44"/>
      <c r="Q183" s="17"/>
      <c r="R183" s="17"/>
      <c r="S183" s="17"/>
      <c r="T183" s="54"/>
      <c r="U183" s="1"/>
      <c r="V183" s="44"/>
      <c r="W183" s="17"/>
      <c r="X183" s="17"/>
      <c r="Y183" s="99"/>
      <c r="Z183" s="54"/>
      <c r="AA183" s="1"/>
      <c r="AB183" s="44"/>
      <c r="AC183" s="17"/>
      <c r="AD183" s="17"/>
      <c r="AE183" s="17"/>
      <c r="AF183" s="54"/>
      <c r="AG183" s="1"/>
      <c r="AH183" s="44"/>
      <c r="AI183" s="17"/>
      <c r="AJ183" s="17"/>
      <c r="AK183" s="17"/>
      <c r="AL183" s="54"/>
      <c r="AM183" s="1"/>
      <c r="AN183" s="44"/>
      <c r="AO183" s="17"/>
      <c r="AP183" s="17"/>
      <c r="AQ183" s="99"/>
      <c r="AR183" s="54"/>
      <c r="AS183" s="1"/>
      <c r="AT183" s="44"/>
      <c r="AU183" s="17"/>
      <c r="AV183" s="17"/>
      <c r="AW183" s="17"/>
      <c r="AX183" s="54"/>
      <c r="AY183" s="1"/>
      <c r="AZ183" s="44"/>
      <c r="BA183" s="17"/>
      <c r="BB183" s="17"/>
      <c r="BC183" s="99"/>
      <c r="BD183" s="54"/>
      <c r="BE183" s="1"/>
      <c r="BF183" s="44"/>
      <c r="BG183" s="17"/>
      <c r="BH183" s="17"/>
      <c r="BI183" s="99"/>
      <c r="BJ183" s="54"/>
      <c r="BK183" s="1"/>
      <c r="BL183" s="44"/>
      <c r="BM183" s="17"/>
      <c r="BN183" s="17"/>
      <c r="BO183" s="99"/>
      <c r="BP183" s="54"/>
      <c r="BQ183" s="1"/>
      <c r="BR183" s="44"/>
      <c r="BS183" s="17"/>
      <c r="BT183" s="17"/>
      <c r="BU183" s="99"/>
      <c r="BV183" s="54"/>
      <c r="BW183" s="1"/>
      <c r="BX183" s="44"/>
      <c r="BY183" s="17"/>
      <c r="BZ183" s="17"/>
      <c r="CA183" s="99"/>
      <c r="CB183" s="54"/>
      <c r="CC183" s="1"/>
      <c r="CD183" s="44"/>
      <c r="CE183" s="17"/>
      <c r="CF183" s="17"/>
      <c r="CG183" s="99"/>
      <c r="CH183" s="54"/>
      <c r="CI183" s="1"/>
      <c r="CJ183" s="44"/>
      <c r="CK183" s="17"/>
      <c r="CL183" s="17"/>
      <c r="CM183" s="99"/>
      <c r="CN183" s="54"/>
      <c r="CO183" s="1"/>
      <c r="CP183" s="44"/>
      <c r="CQ183" s="17"/>
      <c r="CR183" s="17"/>
      <c r="CS183" s="99"/>
      <c r="CT183" s="54"/>
    </row>
    <row r="184" spans="2:98" ht="15" x14ac:dyDescent="0.3">
      <c r="B184" s="40" t="s">
        <v>54</v>
      </c>
      <c r="D184" s="62">
        <f>D181/D173</f>
        <v>0.55302468266922711</v>
      </c>
      <c r="E184" s="9">
        <f>E181/E173</f>
        <v>0.52854415763856166</v>
      </c>
      <c r="F184" s="9">
        <f>F181/F173</f>
        <v>0.55418305807565538</v>
      </c>
      <c r="G184" s="9">
        <f>G181/G173</f>
        <v>0.55192143101571012</v>
      </c>
      <c r="H184" s="65">
        <f>H181/H173</f>
        <v>0.54690188547486041</v>
      </c>
      <c r="I184" s="1"/>
      <c r="J184" s="62">
        <f>J181/J173</f>
        <v>0.57024405696302116</v>
      </c>
      <c r="K184" s="9">
        <f>K181/K173</f>
        <v>0.53759151733503752</v>
      </c>
      <c r="L184" s="9">
        <f>L181/L173</f>
        <v>0.53902609124825118</v>
      </c>
      <c r="M184" s="9">
        <f>M181/M173</f>
        <v>0.54854809911173441</v>
      </c>
      <c r="N184" s="65">
        <f>N181/N173</f>
        <v>0.54886405458686771</v>
      </c>
      <c r="O184" s="1"/>
      <c r="P184" s="62">
        <f>P181/P173</f>
        <v>0.56345394192679454</v>
      </c>
      <c r="Q184" s="9">
        <f>Q181/Q173</f>
        <v>0.52625243389033094</v>
      </c>
      <c r="R184" s="9">
        <f>R181/R173</f>
        <v>0.54179258907672301</v>
      </c>
      <c r="S184" s="9">
        <f>S181/S173</f>
        <v>0.57123006394316167</v>
      </c>
      <c r="T184" s="65">
        <f>T181/T173</f>
        <v>0.55078620564061254</v>
      </c>
      <c r="U184" s="1"/>
      <c r="V184" s="62">
        <f>V181/V173</f>
        <v>0.55488240700347913</v>
      </c>
      <c r="W184" s="9">
        <f>W181/W173</f>
        <v>0.63932398209889085</v>
      </c>
      <c r="X184" s="9">
        <f>X181/X173</f>
        <v>0.61483071731252648</v>
      </c>
      <c r="Y184" s="9">
        <f>Y181/Y173</f>
        <v>0.60284220537465805</v>
      </c>
      <c r="Z184" s="65">
        <f>Z181/Z173</f>
        <v>0.60425010975574889</v>
      </c>
      <c r="AA184" s="1"/>
      <c r="AB184" s="62">
        <f>AB181/AB173</f>
        <v>0.64377954921661651</v>
      </c>
      <c r="AC184" s="9">
        <f>AC181/AC173</f>
        <v>0.66878711958246351</v>
      </c>
      <c r="AD184" s="9">
        <f>AD181/AD173</f>
        <v>0.68191545496598638</v>
      </c>
      <c r="AE184" s="9">
        <f>AE181/AE173</f>
        <v>0.65265665943095408</v>
      </c>
      <c r="AF184" s="65">
        <f>AF181/AF173</f>
        <v>0.66178666114410223</v>
      </c>
      <c r="AG184" s="1"/>
      <c r="AH184" s="62">
        <f>AH181/AH173</f>
        <v>0.69566527591100247</v>
      </c>
      <c r="AI184" s="9">
        <f>AI181/AI173</f>
        <v>0.6671180250275095</v>
      </c>
      <c r="AJ184" s="9">
        <f>AJ181/AJ173</f>
        <v>0.63743613179768122</v>
      </c>
      <c r="AK184" s="9">
        <f>AK181/AK173</f>
        <v>0.60727714495634777</v>
      </c>
      <c r="AL184" s="65">
        <f>AL181/AL173</f>
        <v>0.65138032807134361</v>
      </c>
      <c r="AM184" s="1"/>
      <c r="AN184" s="62">
        <f>AN181/AN173</f>
        <v>0.53894749736239944</v>
      </c>
      <c r="AO184" s="9">
        <f>AO181/AO173</f>
        <v>0.5928055073302364</v>
      </c>
      <c r="AP184" s="9">
        <f>AP181/AP173</f>
        <v>0.55871942305817313</v>
      </c>
      <c r="AQ184" s="9">
        <f>AQ181/AQ173</f>
        <v>0.59427821208450526</v>
      </c>
      <c r="AR184" s="65">
        <f>AR181/AR173</f>
        <v>0.57230982525037388</v>
      </c>
      <c r="AS184" s="1"/>
      <c r="AT184" s="62">
        <f>AT181/AT173</f>
        <v>0.580236057860682</v>
      </c>
      <c r="AU184" s="9">
        <f>AU181/AU173</f>
        <v>0.58613227965894765</v>
      </c>
      <c r="AV184" s="9">
        <f>AV181/AV173</f>
        <v>0.58428551830252085</v>
      </c>
      <c r="AW184" s="9">
        <f>AW181/AW173</f>
        <v>0.61767447136462728</v>
      </c>
      <c r="AX184" s="65">
        <f>AX181/AX173</f>
        <v>0.59263851939849643</v>
      </c>
      <c r="AY184" s="1"/>
      <c r="AZ184" s="62">
        <f>AT184+AZ185</f>
        <v>0.583236057860682</v>
      </c>
      <c r="BA184" s="9">
        <f>AU184+BA185</f>
        <v>0.55513227965894762</v>
      </c>
      <c r="BB184" s="9">
        <f>AV184+BB185</f>
        <v>0.5382855183025208</v>
      </c>
      <c r="BC184" s="100">
        <f>AW184+BC185</f>
        <v>0.56267447136462723</v>
      </c>
      <c r="BD184" s="65">
        <f>BD181/BD173</f>
        <v>0.55963448185997799</v>
      </c>
      <c r="BE184" s="1"/>
      <c r="BF184" s="62">
        <f>AZ184+BF185</f>
        <v>0.582236057860682</v>
      </c>
      <c r="BG184" s="9">
        <f>BA184+BG185</f>
        <v>0.55413227965894762</v>
      </c>
      <c r="BH184" s="9">
        <f>BB184+BH185</f>
        <v>0.5372855183025208</v>
      </c>
      <c r="BI184" s="100">
        <f>BC184+BI185</f>
        <v>0.56167447136462723</v>
      </c>
      <c r="BJ184" s="65">
        <f>BJ181/BJ173</f>
        <v>0.55868418296240474</v>
      </c>
      <c r="BK184" s="1"/>
      <c r="BL184" s="62">
        <f>BF184+BL185</f>
        <v>0.58173605786068205</v>
      </c>
      <c r="BM184" s="9">
        <f>BG184+BM185</f>
        <v>0.55363227965894768</v>
      </c>
      <c r="BN184" s="9">
        <f>BH184+BN185</f>
        <v>0.53678551830252086</v>
      </c>
      <c r="BO184" s="100">
        <f>BI184+BO185</f>
        <v>0.56117447136462728</v>
      </c>
      <c r="BP184" s="65">
        <f>BP181/BP173</f>
        <v>0.55824146410710496</v>
      </c>
      <c r="BQ184" s="1"/>
      <c r="BR184" s="62">
        <f>BL184+BR185</f>
        <v>0.58023605786068211</v>
      </c>
      <c r="BS184" s="9">
        <f>BM184+BS185</f>
        <v>0.55213227965894773</v>
      </c>
      <c r="BT184" s="9">
        <f>BN184+BT185</f>
        <v>0.53528551830252091</v>
      </c>
      <c r="BU184" s="100">
        <f>BO184+BU185</f>
        <v>0.55967447136462734</v>
      </c>
      <c r="BV184" s="65">
        <f>BV181/BV173</f>
        <v>0.55678595952414223</v>
      </c>
      <c r="BW184" s="1"/>
      <c r="BX184" s="62">
        <f>BR184+BX185</f>
        <v>0.57923605786068211</v>
      </c>
      <c r="BY184" s="9">
        <f>BS184+BY185</f>
        <v>0.55113227965894773</v>
      </c>
      <c r="BZ184" s="9">
        <f>BT184+BZ185</f>
        <v>0.53428551830252091</v>
      </c>
      <c r="CA184" s="100">
        <f>BU184+CA185</f>
        <v>0.55867447136462733</v>
      </c>
      <c r="CB184" s="65">
        <f>CB181/CB173</f>
        <v>0.55582979993574022</v>
      </c>
      <c r="CC184" s="1"/>
      <c r="CD184" s="62">
        <f>BX184+CD185</f>
        <v>0.57823605786068211</v>
      </c>
      <c r="CE184" s="9">
        <f>BY184+CE185</f>
        <v>0.55013227965894773</v>
      </c>
      <c r="CF184" s="9">
        <f>BZ184+CF185</f>
        <v>0.53328551830252091</v>
      </c>
      <c r="CG184" s="100">
        <f>CA184+CG185</f>
        <v>0.55767447136462733</v>
      </c>
      <c r="CH184" s="65">
        <f>CH181/CH173</f>
        <v>0.55485687190820077</v>
      </c>
      <c r="CI184" s="1"/>
      <c r="CJ184" s="62">
        <f>CD184+CJ185</f>
        <v>0.57723605786068211</v>
      </c>
      <c r="CK184" s="9">
        <f>CE184+CK185</f>
        <v>0.54913227965894773</v>
      </c>
      <c r="CL184" s="9">
        <f>CF184+CL185</f>
        <v>0.53228551830252091</v>
      </c>
      <c r="CM184" s="100">
        <f>CG184+CM185</f>
        <v>0.55667447136462733</v>
      </c>
      <c r="CN184" s="65">
        <f>CN181/CN173</f>
        <v>0.55390639838497502</v>
      </c>
      <c r="CO184" s="1"/>
      <c r="CP184" s="62">
        <f>CJ184+CP185</f>
        <v>0.5762360578606821</v>
      </c>
      <c r="CQ184" s="9">
        <f>CK184+CQ185</f>
        <v>0.54813227965894773</v>
      </c>
      <c r="CR184" s="9">
        <f>CL184+CR185</f>
        <v>0.53128551830252091</v>
      </c>
      <c r="CS184" s="100">
        <f>CM184+CS185</f>
        <v>0.55567447136462733</v>
      </c>
      <c r="CT184" s="65">
        <f>CT181/CT173</f>
        <v>0.55291862075298792</v>
      </c>
    </row>
    <row r="185" spans="2:98" ht="15.75" thickBot="1" x14ac:dyDescent="0.35">
      <c r="B185" s="41" t="s">
        <v>23</v>
      </c>
      <c r="D185" s="52" t="s">
        <v>35</v>
      </c>
      <c r="E185" s="10" t="s">
        <v>35</v>
      </c>
      <c r="F185" s="10" t="s">
        <v>35</v>
      </c>
      <c r="G185" s="10" t="s">
        <v>35</v>
      </c>
      <c r="H185" s="61" t="s">
        <v>35</v>
      </c>
      <c r="I185" s="1"/>
      <c r="J185" s="52">
        <f>J184-D184</f>
        <v>1.7219374293794054E-2</v>
      </c>
      <c r="K185" s="10">
        <f>K184-E184</f>
        <v>9.047359696475854E-3</v>
      </c>
      <c r="L185" s="10">
        <f>L184-F184</f>
        <v>-1.5156966827404195E-2</v>
      </c>
      <c r="M185" s="10">
        <f>M184-G184</f>
        <v>-3.373331903975707E-3</v>
      </c>
      <c r="N185" s="68">
        <f>N184-H184</f>
        <v>1.9621691120073059E-3</v>
      </c>
      <c r="O185" s="1"/>
      <c r="P185" s="52">
        <f>P184-J184</f>
        <v>-6.7901150362266183E-3</v>
      </c>
      <c r="Q185" s="10">
        <f>Q184-K184</f>
        <v>-1.1339083444706577E-2</v>
      </c>
      <c r="R185" s="10">
        <f>R184-L184</f>
        <v>2.7664978284718256E-3</v>
      </c>
      <c r="S185" s="10">
        <f>S184-M184</f>
        <v>2.2681964831427259E-2</v>
      </c>
      <c r="T185" s="68">
        <f>T184-N184</f>
        <v>1.922151053744825E-3</v>
      </c>
      <c r="U185" s="1"/>
      <c r="V185" s="52">
        <f>V184-P184</f>
        <v>-8.5715349233154159E-3</v>
      </c>
      <c r="W185" s="10">
        <f>W184-Q184</f>
        <v>0.11307154820855991</v>
      </c>
      <c r="X185" s="10">
        <f>X184-R184</f>
        <v>7.3038128235803468E-2</v>
      </c>
      <c r="Y185" s="10">
        <f>Y184-S184</f>
        <v>3.1612141431496377E-2</v>
      </c>
      <c r="Z185" s="68">
        <f>Z184-T184</f>
        <v>5.3463904115136351E-2</v>
      </c>
      <c r="AA185" s="1"/>
      <c r="AB185" s="52">
        <f>AB184-V184</f>
        <v>8.8897142213137381E-2</v>
      </c>
      <c r="AC185" s="10">
        <f>AC184-W184</f>
        <v>2.9463137483572654E-2</v>
      </c>
      <c r="AD185" s="10">
        <f>AD184-X184</f>
        <v>6.7084737653459903E-2</v>
      </c>
      <c r="AE185" s="10">
        <f>AE184-Y184</f>
        <v>4.9814454056296031E-2</v>
      </c>
      <c r="AF185" s="68">
        <f>AF184-Z184</f>
        <v>5.7536551388353341E-2</v>
      </c>
      <c r="AG185" s="1"/>
      <c r="AH185" s="52">
        <f>AH184-AB184</f>
        <v>5.1885726694385959E-2</v>
      </c>
      <c r="AI185" s="10">
        <f>AI184-AC184</f>
        <v>-1.6690945549540093E-3</v>
      </c>
      <c r="AJ185" s="10">
        <f>AJ184-AD184</f>
        <v>-4.4479323168305163E-2</v>
      </c>
      <c r="AK185" s="10">
        <f>AK184-AE184</f>
        <v>-4.5379514474606308E-2</v>
      </c>
      <c r="AL185" s="68">
        <f>AL184-AF184</f>
        <v>-1.0406333072758622E-2</v>
      </c>
      <c r="AM185" s="1"/>
      <c r="AN185" s="52">
        <f>AN184-AH184</f>
        <v>-0.15671777854860303</v>
      </c>
      <c r="AO185" s="10">
        <f>AO184-AI184</f>
        <v>-7.4312517697273095E-2</v>
      </c>
      <c r="AP185" s="10">
        <f>AP184-AJ184</f>
        <v>-7.871670873950809E-2</v>
      </c>
      <c r="AQ185" s="10">
        <f>AQ184-AK184</f>
        <v>-1.2998932871842506E-2</v>
      </c>
      <c r="AR185" s="68">
        <f>AR184-AL184</f>
        <v>-7.9070502820969724E-2</v>
      </c>
      <c r="AS185" s="1"/>
      <c r="AT185" s="52">
        <f>AT184-AN184</f>
        <v>4.1288560498282556E-2</v>
      </c>
      <c r="AU185" s="10">
        <f>AU184-AO184</f>
        <v>-6.6732276712887506E-3</v>
      </c>
      <c r="AV185" s="10">
        <f>AV184-AP184</f>
        <v>2.556609524434772E-2</v>
      </c>
      <c r="AW185" s="10">
        <f>AW184-AQ184</f>
        <v>2.3396259280122012E-2</v>
      </c>
      <c r="AX185" s="68">
        <f>AX184-AR184</f>
        <v>2.032869414812255E-2</v>
      </c>
      <c r="AY185" s="1"/>
      <c r="AZ185" s="52">
        <v>3.0000000000000001E-3</v>
      </c>
      <c r="BA185" s="10">
        <v>-3.1E-2</v>
      </c>
      <c r="BB185" s="10">
        <v>-4.5999999999999999E-2</v>
      </c>
      <c r="BC185" s="10">
        <v>-5.5E-2</v>
      </c>
      <c r="BD185" s="68">
        <f>BD184-AX184</f>
        <v>-3.3004037538518438E-2</v>
      </c>
      <c r="BE185" s="1"/>
      <c r="BF185" s="52">
        <v>-1E-3</v>
      </c>
      <c r="BG185" s="10">
        <f>BF185</f>
        <v>-1E-3</v>
      </c>
      <c r="BH185" s="10">
        <f>BG185</f>
        <v>-1E-3</v>
      </c>
      <c r="BI185" s="10">
        <f>BH185</f>
        <v>-1E-3</v>
      </c>
      <c r="BJ185" s="68">
        <f>BJ184-BD184</f>
        <v>-9.5029889757325403E-4</v>
      </c>
      <c r="BK185" s="1"/>
      <c r="BL185" s="52">
        <v>-5.0000000000000001E-4</v>
      </c>
      <c r="BM185" s="10">
        <f>BL185</f>
        <v>-5.0000000000000001E-4</v>
      </c>
      <c r="BN185" s="10">
        <f>BM185</f>
        <v>-5.0000000000000001E-4</v>
      </c>
      <c r="BO185" s="10">
        <f>BN185</f>
        <v>-5.0000000000000001E-4</v>
      </c>
      <c r="BP185" s="68">
        <f>BP184-BJ184</f>
        <v>-4.4271885529978405E-4</v>
      </c>
      <c r="BQ185" s="1"/>
      <c r="BR185" s="52">
        <v>-1.5E-3</v>
      </c>
      <c r="BS185" s="10">
        <f>BR185</f>
        <v>-1.5E-3</v>
      </c>
      <c r="BT185" s="10">
        <f>BS185</f>
        <v>-1.5E-3</v>
      </c>
      <c r="BU185" s="10">
        <f>BT185</f>
        <v>-1.5E-3</v>
      </c>
      <c r="BV185" s="68">
        <f>BV184-BP184</f>
        <v>-1.45550458296273E-3</v>
      </c>
      <c r="BW185" s="1"/>
      <c r="BX185" s="52">
        <v>-1E-3</v>
      </c>
      <c r="BY185" s="10">
        <f>BX185</f>
        <v>-1E-3</v>
      </c>
      <c r="BZ185" s="10">
        <f>BY185</f>
        <v>-1E-3</v>
      </c>
      <c r="CA185" s="10">
        <f>BZ185</f>
        <v>-1E-3</v>
      </c>
      <c r="CB185" s="68">
        <f>CB184-BV184</f>
        <v>-9.5615958840200577E-4</v>
      </c>
      <c r="CC185" s="1"/>
      <c r="CD185" s="52">
        <v>-1E-3</v>
      </c>
      <c r="CE185" s="10">
        <f>CD185</f>
        <v>-1E-3</v>
      </c>
      <c r="CF185" s="10">
        <f>CE185</f>
        <v>-1E-3</v>
      </c>
      <c r="CG185" s="10">
        <f>CF185</f>
        <v>-1E-3</v>
      </c>
      <c r="CH185" s="68">
        <f>CH184-CB184</f>
        <v>-9.7292802753945473E-4</v>
      </c>
      <c r="CI185" s="1"/>
      <c r="CJ185" s="52">
        <v>-1E-3</v>
      </c>
      <c r="CK185" s="10">
        <f>CJ185</f>
        <v>-1E-3</v>
      </c>
      <c r="CL185" s="10">
        <f>CK185</f>
        <v>-1E-3</v>
      </c>
      <c r="CM185" s="10">
        <f>CL185</f>
        <v>-1E-3</v>
      </c>
      <c r="CN185" s="68">
        <f>CN184-CH184</f>
        <v>-9.5047352322574774E-4</v>
      </c>
      <c r="CO185" s="1"/>
      <c r="CP185" s="52">
        <v>-1E-3</v>
      </c>
      <c r="CQ185" s="10">
        <f>CP185</f>
        <v>-1E-3</v>
      </c>
      <c r="CR185" s="10">
        <f>CQ185</f>
        <v>-1E-3</v>
      </c>
      <c r="CS185" s="10">
        <f>CR185</f>
        <v>-1E-3</v>
      </c>
      <c r="CT185" s="68">
        <f>CT184-CN184</f>
        <v>-9.8777763198709678E-4</v>
      </c>
    </row>
    <row r="186" spans="2:98" ht="15.75" thickBot="1" x14ac:dyDescent="0.35">
      <c r="B186" s="1"/>
      <c r="D186" s="36"/>
      <c r="E186" s="36"/>
      <c r="F186" s="11"/>
      <c r="G186" s="11"/>
      <c r="H186" s="2"/>
      <c r="I186" s="1"/>
      <c r="J186" s="36"/>
      <c r="K186" s="2"/>
      <c r="L186" s="11"/>
      <c r="M186" s="11"/>
      <c r="N186" s="2"/>
      <c r="O186" s="1"/>
      <c r="P186" s="98"/>
      <c r="Q186" s="2"/>
      <c r="R186" s="85"/>
      <c r="S186" s="11"/>
      <c r="T186" s="2"/>
      <c r="U186" s="1"/>
      <c r="V186" s="98"/>
      <c r="W186" s="2"/>
      <c r="X186" s="11"/>
      <c r="Y186" s="11"/>
      <c r="Z186" s="98"/>
      <c r="AA186" s="322"/>
      <c r="AB186" s="84"/>
      <c r="AC186" s="84"/>
      <c r="AD186" s="84"/>
      <c r="AE186" s="84"/>
      <c r="AF186" s="98"/>
      <c r="AG186" s="322"/>
      <c r="AH186" s="98"/>
      <c r="AI186" s="98"/>
      <c r="AJ186" s="84"/>
      <c r="AK186" s="84"/>
      <c r="AL186" s="98"/>
      <c r="AM186" s="322"/>
      <c r="AN186" s="98"/>
      <c r="AO186" s="98"/>
      <c r="AP186" s="84"/>
      <c r="AQ186" s="84"/>
      <c r="AR186" s="98"/>
      <c r="AS186" s="322"/>
      <c r="AT186" s="98"/>
      <c r="AU186" s="98"/>
      <c r="AV186" s="84"/>
      <c r="AW186" s="84"/>
      <c r="AX186" s="36"/>
      <c r="AY186" s="322"/>
      <c r="AZ186" s="98"/>
      <c r="BA186" s="98"/>
      <c r="BB186" s="84"/>
      <c r="BC186" s="84"/>
      <c r="BD186" s="567">
        <f>BD187/AF187-1</f>
        <v>1.1082721336948431</v>
      </c>
      <c r="BE186" s="322"/>
      <c r="BF186" s="98"/>
      <c r="BG186" s="98"/>
      <c r="BH186" s="84"/>
      <c r="BI186" s="84"/>
      <c r="BJ186" s="567">
        <f>BJ187/AR187-1</f>
        <v>0.20775187640520376</v>
      </c>
      <c r="BK186" s="322"/>
      <c r="BL186" s="98"/>
      <c r="BM186" s="98"/>
      <c r="BN186" s="84"/>
      <c r="BO186" s="84"/>
      <c r="BP186" s="567">
        <f>BP187/AR187-1</f>
        <v>0.27870478474725702</v>
      </c>
      <c r="BQ186" s="322"/>
      <c r="BR186" s="98"/>
      <c r="BS186" s="98"/>
      <c r="BT186" s="84"/>
      <c r="BU186" s="84"/>
      <c r="BV186" s="98"/>
      <c r="BW186" s="322"/>
      <c r="BX186" s="98"/>
      <c r="BY186" s="98"/>
      <c r="BZ186" s="84"/>
      <c r="CA186" s="84"/>
      <c r="CB186" s="98"/>
      <c r="CC186" s="322"/>
      <c r="CD186" s="98"/>
      <c r="CE186" s="98"/>
      <c r="CF186" s="84"/>
      <c r="CG186" s="84"/>
      <c r="CH186" s="98"/>
      <c r="CI186" s="322"/>
      <c r="CJ186" s="98"/>
      <c r="CK186" s="98"/>
      <c r="CL186" s="84"/>
      <c r="CM186" s="84"/>
      <c r="CN186" s="98"/>
      <c r="CO186" s="322"/>
      <c r="CP186" s="98"/>
      <c r="CQ186" s="98"/>
      <c r="CR186" s="84"/>
      <c r="CS186" s="84"/>
      <c r="CT186" s="98"/>
    </row>
    <row r="187" spans="2:98" ht="15" x14ac:dyDescent="0.3">
      <c r="B187" s="42" t="s">
        <v>32</v>
      </c>
      <c r="D187" s="49">
        <f>D47+D117</f>
        <v>1606</v>
      </c>
      <c r="E187" s="14">
        <f>E47+E117</f>
        <v>1729</v>
      </c>
      <c r="F187" s="14">
        <f>F47+F117</f>
        <v>1626</v>
      </c>
      <c r="G187" s="14">
        <f>G47+G117</f>
        <v>1646</v>
      </c>
      <c r="H187" s="59">
        <f>D187+E187+F187+G187</f>
        <v>6607</v>
      </c>
      <c r="I187" s="13"/>
      <c r="J187" s="49">
        <f>J47+J117</f>
        <v>1462</v>
      </c>
      <c r="K187" s="14">
        <f>K47+K117</f>
        <v>1623</v>
      </c>
      <c r="L187" s="14">
        <f>L47+L117</f>
        <v>1762</v>
      </c>
      <c r="M187" s="14">
        <f>M47+M117</f>
        <v>1752</v>
      </c>
      <c r="N187" s="59">
        <f>J187+K187+L187+M187</f>
        <v>6599</v>
      </c>
      <c r="O187" s="13"/>
      <c r="P187" s="49">
        <f>P47+P117</f>
        <v>1526</v>
      </c>
      <c r="Q187" s="14">
        <f>Q47+Q117</f>
        <v>1805</v>
      </c>
      <c r="R187" s="14">
        <f>R47+R117</f>
        <v>1683</v>
      </c>
      <c r="S187" s="14">
        <f>S47+S117</f>
        <v>1346</v>
      </c>
      <c r="T187" s="59">
        <f>P187+Q187+R187+S187</f>
        <v>6360</v>
      </c>
      <c r="U187" s="13"/>
      <c r="V187" s="49">
        <f>V47+V117</f>
        <v>1469</v>
      </c>
      <c r="W187" s="14">
        <f>W47+W117</f>
        <v>1265.4106309607514</v>
      </c>
      <c r="X187" s="14">
        <f>X47+X117</f>
        <v>1344.0688474331714</v>
      </c>
      <c r="Y187" s="14">
        <f>Y47+Y117</f>
        <v>1239.2666830531541</v>
      </c>
      <c r="Z187" s="59">
        <f>V187+W187+X187+Y187</f>
        <v>5317.7461614470767</v>
      </c>
      <c r="AA187" s="432"/>
      <c r="AB187" s="49">
        <v>1088</v>
      </c>
      <c r="AC187" s="14">
        <v>1451</v>
      </c>
      <c r="AD187" s="14">
        <v>1346</v>
      </c>
      <c r="AE187" s="35">
        <v>1751</v>
      </c>
      <c r="AF187" s="35">
        <f>(AB187+AC187+AD187+AE187)</f>
        <v>5636</v>
      </c>
      <c r="AG187" s="13"/>
      <c r="AH187" s="49">
        <v>1388</v>
      </c>
      <c r="AI187" s="14">
        <v>1817</v>
      </c>
      <c r="AJ187" s="14">
        <v>1908</v>
      </c>
      <c r="AK187" s="14">
        <v>2280</v>
      </c>
      <c r="AL187" s="59">
        <f>(AH187+AI187+AJ187+AK187)</f>
        <v>7393</v>
      </c>
      <c r="AM187" s="13"/>
      <c r="AN187" s="49">
        <v>2749</v>
      </c>
      <c r="AO187" s="14">
        <v>2464</v>
      </c>
      <c r="AP187" s="14">
        <v>2630</v>
      </c>
      <c r="AQ187" s="35">
        <v>2548</v>
      </c>
      <c r="AR187" s="35">
        <f>(AN187+AO187+AP187+AQ187)</f>
        <v>10391</v>
      </c>
      <c r="AS187" s="13"/>
      <c r="AT187" s="49">
        <v>2668</v>
      </c>
      <c r="AU187" s="14">
        <v>3012</v>
      </c>
      <c r="AV187" s="14">
        <v>2822</v>
      </c>
      <c r="AW187" s="35">
        <v>2711</v>
      </c>
      <c r="AX187" s="35">
        <f>(AT187+AU187+AV187+AW187)</f>
        <v>11213</v>
      </c>
      <c r="AY187" s="13"/>
      <c r="AZ187" s="49">
        <f>AZ173-AZ181-AZ178</f>
        <v>2882.8111966660385</v>
      </c>
      <c r="BA187" s="14">
        <f>BA173-BA181-BA178</f>
        <v>3233.4089630174544</v>
      </c>
      <c r="BB187" s="14">
        <f>BB173-BB181-BB178</f>
        <v>3025.6226419742916</v>
      </c>
      <c r="BC187" s="35">
        <f>BC173-BC181-BC178</f>
        <v>2740.3789438463505</v>
      </c>
      <c r="BD187" s="35">
        <f>(AZ187+BA187+BB187+BC187)</f>
        <v>11882.221745504135</v>
      </c>
      <c r="BE187" s="13"/>
      <c r="BF187" s="49">
        <f>BF173-BF181-BF178</f>
        <v>3044.944450219693</v>
      </c>
      <c r="BG187" s="14">
        <f>BG173-BG181-BG178</f>
        <v>3403.1098633005804</v>
      </c>
      <c r="BH187" s="14">
        <f>BH173-BH181-BH178</f>
        <v>3195.618432987937</v>
      </c>
      <c r="BI187" s="35">
        <f>BI173-BI181-BI178</f>
        <v>2906.0770012182602</v>
      </c>
      <c r="BJ187" s="35">
        <f>(BF187+BG187+BH187+BI187)</f>
        <v>12549.749747726471</v>
      </c>
      <c r="BK187" s="13"/>
      <c r="BL187" s="49">
        <f>BL173-BL181-BL178</f>
        <v>3217.448339698914</v>
      </c>
      <c r="BM187" s="14">
        <f>BM173-BM181-BM178</f>
        <v>3598.6474189393657</v>
      </c>
      <c r="BN187" s="14">
        <f>BN173-BN181-BN178</f>
        <v>3383.257471211401</v>
      </c>
      <c r="BO187" s="35">
        <f>BO173-BO181-BO178</f>
        <v>3087.6681884590685</v>
      </c>
      <c r="BP187" s="35">
        <f>(BL187+BM187+BN187+BO187)</f>
        <v>13287.021418308748</v>
      </c>
      <c r="BQ187" s="13"/>
      <c r="BR187" s="49">
        <f>BR173-BR181-BR178</f>
        <v>3388.2020555538047</v>
      </c>
      <c r="BS187" s="14">
        <f>BS173-BS181-BS178</f>
        <v>3790.3131859332698</v>
      </c>
      <c r="BT187" s="14">
        <f>BT173-BT181-BT178</f>
        <v>3568.6095347013052</v>
      </c>
      <c r="BU187" s="35">
        <f>BU173-BU181-BU178</f>
        <v>3271.9299711216736</v>
      </c>
      <c r="BV187" s="35">
        <f>(BR187+BS187+BT187+BU187)</f>
        <v>14019.054747310052</v>
      </c>
      <c r="BW187" s="13"/>
      <c r="BX187" s="49">
        <f>BX173-BX181-BX178</f>
        <v>3541.9762374725283</v>
      </c>
      <c r="BY187" s="14">
        <f>BY173-BY181-BY178</f>
        <v>3962.9567690724152</v>
      </c>
      <c r="BZ187" s="14">
        <f>BZ173-BZ181-BZ178</f>
        <v>3737.5724167998333</v>
      </c>
      <c r="CA187" s="35">
        <f>CA173-CA181-CA178</f>
        <v>3432.2775030418875</v>
      </c>
      <c r="CB187" s="35">
        <f>(BX187+BY187+BZ187+CA187)</f>
        <v>14674.782926386664</v>
      </c>
      <c r="CC187" s="13"/>
      <c r="CD187" s="49">
        <f>CD173-CD181-CD178</f>
        <v>3682.3195109226976</v>
      </c>
      <c r="CE187" s="14">
        <f>CE173-CE181-CE178</f>
        <v>4118.8883720928607</v>
      </c>
      <c r="CF187" s="14">
        <f>CF173-CF181-CF178</f>
        <v>3890.8402428651402</v>
      </c>
      <c r="CG187" s="35">
        <f>CG173-CG181-CG178</f>
        <v>3581.1089447804197</v>
      </c>
      <c r="CH187" s="35">
        <f>(CD187+CE187+CF187+CG187)</f>
        <v>15273.15707066112</v>
      </c>
      <c r="CI187" s="13"/>
      <c r="CJ187" s="49">
        <f>CJ173-CJ181-CJ178</f>
        <v>3833.3829681339985</v>
      </c>
      <c r="CK187" s="14">
        <f>CK173-CK181-CK178</f>
        <v>4285.9314667627768</v>
      </c>
      <c r="CL187" s="14">
        <f>CL173-CL181-CL178</f>
        <v>4057.4725912665576</v>
      </c>
      <c r="CM187" s="35">
        <f>CM173-CM181-CM178</f>
        <v>3739.2056934495727</v>
      </c>
      <c r="CN187" s="35">
        <f>(CJ187+CK187+CL187+CM187)</f>
        <v>15915.992719612905</v>
      </c>
      <c r="CO187" s="13"/>
      <c r="CP187" s="49">
        <f>CP173-CP181-CP178</f>
        <v>3941.5177809652942</v>
      </c>
      <c r="CQ187" s="14">
        <f>CQ173-CQ181-CQ178</f>
        <v>4403.7176844099922</v>
      </c>
      <c r="CR187" s="14">
        <f>CR173-CR181-CR178</f>
        <v>4174.5101067396909</v>
      </c>
      <c r="CS187" s="35">
        <f>CS173-CS181-CS178</f>
        <v>3851.7757577033549</v>
      </c>
      <c r="CT187" s="35">
        <f>(CP187+CQ187+CR187+CS187)</f>
        <v>16371.521329818333</v>
      </c>
    </row>
    <row r="188" spans="2:98" ht="15.75" thickBot="1" x14ac:dyDescent="0.35">
      <c r="B188" s="41" t="s">
        <v>23</v>
      </c>
      <c r="D188" s="52" t="s">
        <v>35</v>
      </c>
      <c r="E188" s="10" t="s">
        <v>35</v>
      </c>
      <c r="F188" s="10" t="s">
        <v>35</v>
      </c>
      <c r="G188" s="10" t="s">
        <v>35</v>
      </c>
      <c r="H188" s="61" t="s">
        <v>35</v>
      </c>
      <c r="I188" s="1"/>
      <c r="J188" s="52">
        <f>(J187-D187)/D187</f>
        <v>-8.9663760896637607E-2</v>
      </c>
      <c r="K188" s="10">
        <f>(K187-E187)/E187</f>
        <v>-6.1307113938692884E-2</v>
      </c>
      <c r="L188" s="10">
        <f>(L187-F187)/F187</f>
        <v>8.3640836408364089E-2</v>
      </c>
      <c r="M188" s="83">
        <f>(M187-G187)/G187</f>
        <v>6.4398541919805583E-2</v>
      </c>
      <c r="N188" s="83">
        <f>(N187-H187)/H187</f>
        <v>-1.2108369910700772E-3</v>
      </c>
      <c r="O188" s="1"/>
      <c r="P188" s="52">
        <f>(P187-J187)/J187</f>
        <v>4.3775649794801641E-2</v>
      </c>
      <c r="Q188" s="10">
        <f>(Q187-K187)/K187</f>
        <v>0.11213801601971657</v>
      </c>
      <c r="R188" s="10">
        <f>(R187-L187)/L187</f>
        <v>-4.4835414301929624E-2</v>
      </c>
      <c r="S188" s="83">
        <f>(S187-M187)/M187</f>
        <v>-0.2317351598173516</v>
      </c>
      <c r="T188" s="83">
        <f>(T187-N187)/N187</f>
        <v>-3.6217608728595245E-2</v>
      </c>
      <c r="U188" s="1"/>
      <c r="V188" s="52">
        <f>(V187-P187)/P187</f>
        <v>-3.7352555701179554E-2</v>
      </c>
      <c r="W188" s="10">
        <f>(W187-Q187)/Q187</f>
        <v>-0.29894147869210447</v>
      </c>
      <c r="X188" s="10">
        <f>(X187-R187)/R187</f>
        <v>-0.20138511738967829</v>
      </c>
      <c r="Y188" s="83">
        <f>(Y187-S187)/S187</f>
        <v>-7.9296669351297089E-2</v>
      </c>
      <c r="Z188" s="83">
        <f>(Z187-T187)/T187</f>
        <v>-0.16387638970957913</v>
      </c>
      <c r="AA188" s="1"/>
      <c r="AB188" s="52">
        <f>AB187/V187-1</f>
        <v>-0.25936010891763106</v>
      </c>
      <c r="AC188" s="10">
        <f>AC187/W187-1</f>
        <v>0.14666335535551922</v>
      </c>
      <c r="AD188" s="10">
        <f>AD187/X187-1</f>
        <v>1.4367958683936255E-3</v>
      </c>
      <c r="AE188" s="83">
        <f>AE187/Y187-1</f>
        <v>0.41293236068131822</v>
      </c>
      <c r="AF188" s="83">
        <f>AF187/Z187-1</f>
        <v>5.9847504730522694E-2</v>
      </c>
      <c r="AG188" s="1"/>
      <c r="AH188" s="52">
        <f>AH187/AB187-1</f>
        <v>0.27573529411764697</v>
      </c>
      <c r="AI188" s="10">
        <f>AI187/AC187-1</f>
        <v>0.25223983459682975</v>
      </c>
      <c r="AJ188" s="10">
        <f>AJ187/AD187-1</f>
        <v>0.41753343239227347</v>
      </c>
      <c r="AK188" s="10">
        <f>AK187/AE187-1</f>
        <v>0.30211307824100508</v>
      </c>
      <c r="AL188" s="61">
        <f>AL187/AF187-1</f>
        <v>0.31174591909155436</v>
      </c>
      <c r="AM188" s="1"/>
      <c r="AN188" s="52">
        <f>AN187/AH187-1</f>
        <v>0.9805475504322767</v>
      </c>
      <c r="AO188" s="10">
        <f>AO187/AI187-1</f>
        <v>0.35608145294441385</v>
      </c>
      <c r="AP188" s="10">
        <f>AP187/AJ187-1</f>
        <v>0.37840670859538794</v>
      </c>
      <c r="AQ188" s="83">
        <f>AQ187/AK187-1</f>
        <v>0.11754385964912273</v>
      </c>
      <c r="AR188" s="83">
        <f>AR187/AL187-1</f>
        <v>0.40551873393750837</v>
      </c>
      <c r="AS188" s="1"/>
      <c r="AT188" s="52">
        <f>AT187/AN187-1</f>
        <v>-2.9465260094579837E-2</v>
      </c>
      <c r="AU188" s="10">
        <f>AU187/AO187-1</f>
        <v>0.22240259740259738</v>
      </c>
      <c r="AV188" s="10">
        <f>AV187/AP187-1</f>
        <v>7.3003802281368824E-2</v>
      </c>
      <c r="AW188" s="83">
        <f>AW187/AQ187-1</f>
        <v>6.3971742543171173E-2</v>
      </c>
      <c r="AX188" s="83">
        <f>AX187/AR187-1</f>
        <v>7.9106919449523527E-2</v>
      </c>
      <c r="AY188" s="1"/>
      <c r="AZ188" s="52">
        <f>AZ187/AT187-1</f>
        <v>8.0513941778874942E-2</v>
      </c>
      <c r="BA188" s="10">
        <f>BA187/AU187-1</f>
        <v>7.3508951865024708E-2</v>
      </c>
      <c r="BB188" s="10">
        <f>BB187/AV187-1</f>
        <v>7.2155436560698671E-2</v>
      </c>
      <c r="BC188" s="83">
        <f>BC187/AW187-1</f>
        <v>1.0836939817908675E-2</v>
      </c>
      <c r="BD188" s="83">
        <f>BD187/AX187-1</f>
        <v>5.9682667038627901E-2</v>
      </c>
      <c r="BE188" s="1"/>
      <c r="BF188" s="52">
        <f>BF187/AZ187-1</f>
        <v>5.6241370833151061E-2</v>
      </c>
      <c r="BG188" s="10">
        <f>BG187/BA187-1</f>
        <v>5.2483586896709511E-2</v>
      </c>
      <c r="BH188" s="10">
        <f>BH187/BB187-1</f>
        <v>5.6185390952362413E-2</v>
      </c>
      <c r="BI188" s="83">
        <f>BI187/BC187-1</f>
        <v>6.0465381163430809E-2</v>
      </c>
      <c r="BJ188" s="83">
        <f>BJ187/BD187-1</f>
        <v>5.6178719478527483E-2</v>
      </c>
      <c r="BK188" s="1"/>
      <c r="BL188" s="52">
        <f>BL187/BF187-1</f>
        <v>5.6652557148218152E-2</v>
      </c>
      <c r="BM188" s="10">
        <f>BM187/BG187-1</f>
        <v>5.7458490467051426E-2</v>
      </c>
      <c r="BN188" s="10">
        <f>BN187/BH187-1</f>
        <v>5.8717597910467489E-2</v>
      </c>
      <c r="BO188" s="83">
        <f>BO187/BI187-1</f>
        <v>6.2486708770856048E-2</v>
      </c>
      <c r="BP188" s="83">
        <f>BP187/BJ187-1</f>
        <v>5.8747918118115638E-2</v>
      </c>
      <c r="BQ188" s="1"/>
      <c r="BR188" s="52">
        <f>BR187/BL187-1</f>
        <v>5.3071160070551349E-2</v>
      </c>
      <c r="BS188" s="10">
        <f>BS187/BM187-1</f>
        <v>5.3260501705497454E-2</v>
      </c>
      <c r="BT188" s="10">
        <f>BT187/BN187-1</f>
        <v>5.4785089537846332E-2</v>
      </c>
      <c r="BU188" s="83">
        <f>BU187/BO187-1</f>
        <v>5.9676678780229642E-2</v>
      </c>
      <c r="BV188" s="83">
        <f>BV187/BP187-1</f>
        <v>5.5093862345446665E-2</v>
      </c>
      <c r="BW188" s="1"/>
      <c r="BX188" s="52">
        <f>BX187/BR187-1</f>
        <v>4.5385186419641954E-2</v>
      </c>
      <c r="BY188" s="10">
        <f>BY187/BS187-1</f>
        <v>4.5548632703984904E-2</v>
      </c>
      <c r="BZ188" s="10">
        <f>BZ187/BT187-1</f>
        <v>4.7346979392260735E-2</v>
      </c>
      <c r="CA188" s="83">
        <f>CA187/BU187-1</f>
        <v>4.9007018284454196E-2</v>
      </c>
      <c r="CB188" s="83">
        <f>CB187/BV187-1</f>
        <v>4.6774065077563876E-2</v>
      </c>
      <c r="CC188" s="1"/>
      <c r="CD188" s="52">
        <f>CD187/BX187-1</f>
        <v>3.9622872667919085E-2</v>
      </c>
      <c r="CE188" s="10">
        <f>CE187/BY187-1</f>
        <v>3.9347288428014604E-2</v>
      </c>
      <c r="CF188" s="10">
        <f>CF187/BZ187-1</f>
        <v>4.1007319450558466E-2</v>
      </c>
      <c r="CG188" s="83">
        <f>CG187/CA187-1</f>
        <v>4.3362298534028509E-2</v>
      </c>
      <c r="CH188" s="83">
        <f>CH187/CB187-1</f>
        <v>4.0775672613086567E-2</v>
      </c>
      <c r="CI188" s="1"/>
      <c r="CJ188" s="52">
        <f>CJ187/CD187-1</f>
        <v>4.1023995001848279E-2</v>
      </c>
      <c r="CK188" s="10">
        <f>CK187/CE187-1</f>
        <v>4.0555382807094587E-2</v>
      </c>
      <c r="CL188" s="10">
        <f>CL187/CF187-1</f>
        <v>4.2826828654037197E-2</v>
      </c>
      <c r="CM188" s="83">
        <f>CM187/CG187-1</f>
        <v>4.4147427823882257E-2</v>
      </c>
      <c r="CN188" s="83">
        <f>CN187/CH187-1</f>
        <v>4.2089244939845116E-2</v>
      </c>
      <c r="CO188" s="1"/>
      <c r="CP188" s="52">
        <f>CP187/CJ187-1</f>
        <v>2.820871635581268E-2</v>
      </c>
      <c r="CQ188" s="10">
        <f>CQ187/CK187-1</f>
        <v>2.7482058115171126E-2</v>
      </c>
      <c r="CR188" s="10">
        <f>CR187/CL187-1</f>
        <v>2.8844930641071631E-2</v>
      </c>
      <c r="CS188" s="83">
        <f>CS187/CM187-1</f>
        <v>3.0105341476930558E-2</v>
      </c>
      <c r="CT188" s="83">
        <f>CT187/CN187-1</f>
        <v>2.8620810415682874E-2</v>
      </c>
    </row>
    <row r="189" spans="2:98" ht="15.75" thickBot="1" x14ac:dyDescent="0.35">
      <c r="B189" s="1"/>
      <c r="D189" s="2"/>
      <c r="E189" s="2"/>
      <c r="F189" s="357"/>
      <c r="G189" s="357"/>
      <c r="H189" s="2"/>
      <c r="I189" s="1"/>
      <c r="J189" s="357"/>
      <c r="K189" s="357"/>
      <c r="L189" s="11"/>
      <c r="M189" s="2"/>
      <c r="N189" s="2"/>
      <c r="O189" s="1"/>
      <c r="P189" s="2"/>
      <c r="Q189" s="2"/>
      <c r="R189" s="11"/>
      <c r="S189" s="2"/>
      <c r="T189" s="2"/>
      <c r="U189" s="1"/>
      <c r="V189" s="2"/>
      <c r="W189" s="2"/>
      <c r="X189" s="11"/>
      <c r="Y189" s="2"/>
      <c r="Z189" s="2"/>
      <c r="AA189" s="1"/>
      <c r="AB189" s="2"/>
      <c r="AC189" s="2"/>
      <c r="AD189" s="11"/>
      <c r="AE189" s="2"/>
      <c r="AF189" s="2"/>
      <c r="AG189" s="1"/>
      <c r="AH189" s="2"/>
      <c r="AI189" s="2"/>
      <c r="AJ189" s="11"/>
      <c r="AK189" s="11"/>
      <c r="AL189" s="2"/>
      <c r="AM189" s="1"/>
      <c r="AN189" s="2"/>
      <c r="AO189" s="2"/>
      <c r="AP189" s="11"/>
      <c r="AQ189" s="2"/>
      <c r="AR189" s="2"/>
      <c r="AS189" s="1"/>
      <c r="AT189" s="2"/>
      <c r="AU189" s="2"/>
      <c r="AV189" s="11"/>
      <c r="AW189" s="2"/>
      <c r="AX189" s="2"/>
      <c r="AY189" s="1"/>
      <c r="AZ189" s="2"/>
      <c r="BA189" s="2"/>
      <c r="BB189" s="11"/>
      <c r="BC189" s="2"/>
      <c r="BD189" s="2"/>
      <c r="BE189" s="1"/>
      <c r="BF189" s="2"/>
      <c r="BG189" s="2"/>
      <c r="BH189" s="11"/>
      <c r="BI189" s="2"/>
      <c r="BJ189" s="2"/>
      <c r="BK189" s="1"/>
      <c r="BL189" s="2"/>
      <c r="BM189" s="2"/>
      <c r="BN189" s="11"/>
      <c r="BO189" s="2"/>
      <c r="BP189" s="2"/>
      <c r="BQ189" s="1"/>
      <c r="BR189" s="2"/>
      <c r="BS189" s="2"/>
      <c r="BT189" s="11"/>
      <c r="BU189" s="2"/>
      <c r="BV189" s="2"/>
      <c r="BW189" s="1"/>
      <c r="BX189" s="2"/>
      <c r="BY189" s="2"/>
      <c r="BZ189" s="11"/>
      <c r="CA189" s="2"/>
      <c r="CB189" s="2"/>
      <c r="CC189" s="1"/>
      <c r="CD189" s="2"/>
      <c r="CE189" s="2"/>
      <c r="CF189" s="11"/>
      <c r="CG189" s="2"/>
      <c r="CH189" s="2"/>
      <c r="CI189" s="1"/>
      <c r="CJ189" s="2"/>
      <c r="CK189" s="2"/>
      <c r="CL189" s="11"/>
      <c r="CM189" s="2"/>
      <c r="CN189" s="2"/>
      <c r="CO189" s="1"/>
      <c r="CP189" s="2"/>
      <c r="CQ189" s="2"/>
      <c r="CR189" s="11"/>
      <c r="CS189" s="2"/>
      <c r="CT189" s="2"/>
    </row>
    <row r="190" spans="2:98" ht="15" x14ac:dyDescent="0.3">
      <c r="B190" s="42" t="s">
        <v>36</v>
      </c>
      <c r="D190" s="50">
        <f>D187/D173</f>
        <v>0.25700112017922866</v>
      </c>
      <c r="E190" s="24">
        <f>E187/E173</f>
        <v>0.27147118856963415</v>
      </c>
      <c r="F190" s="24">
        <f>F187/F173</f>
        <v>0.25521896091665358</v>
      </c>
      <c r="G190" s="25">
        <f>G187/G173</f>
        <v>0.25602737595271424</v>
      </c>
      <c r="H190" s="60">
        <f>H187/H173</f>
        <v>0.25993390510661735</v>
      </c>
      <c r="I190" s="1"/>
      <c r="J190" s="50">
        <f>J187/J173</f>
        <v>0.23005507474429582</v>
      </c>
      <c r="K190" s="24">
        <f>K187/K173</f>
        <v>0.25930659849816262</v>
      </c>
      <c r="L190" s="24">
        <f>L187/L173</f>
        <v>0.27390020208300947</v>
      </c>
      <c r="M190" s="24">
        <f>M187/M173</f>
        <v>0.27302477793361385</v>
      </c>
      <c r="N190" s="60">
        <f>N187/N173</f>
        <v>0.2591501727929626</v>
      </c>
      <c r="O190" s="1"/>
      <c r="P190" s="50">
        <f>P187/P173</f>
        <v>0.24180003169069877</v>
      </c>
      <c r="Q190" s="24">
        <f>Q187/Q173</f>
        <v>0.29282933160285529</v>
      </c>
      <c r="R190" s="24">
        <f>R187/R173</f>
        <v>0.27356957087126138</v>
      </c>
      <c r="S190" s="24">
        <f>S187/S173</f>
        <v>0.2173421605037946</v>
      </c>
      <c r="T190" s="60">
        <f>T187/T173</f>
        <v>0.25624496373892025</v>
      </c>
      <c r="U190" s="1"/>
      <c r="V190" s="50">
        <f>V187/V173</f>
        <v>0.24631120053655264</v>
      </c>
      <c r="W190" s="24">
        <f>W187/W173</f>
        <v>0.19025472857884704</v>
      </c>
      <c r="X190" s="24">
        <f>X187/X173</f>
        <v>0.20097703315972318</v>
      </c>
      <c r="Y190" s="25">
        <f>Y187/Y173</f>
        <v>0.18152231067548216</v>
      </c>
      <c r="Z190" s="60">
        <f>Z187/Z173</f>
        <v>0.20351200603059127</v>
      </c>
      <c r="AA190" s="1"/>
      <c r="AB190" s="50">
        <f>AB187/AB173</f>
        <v>0.15825454545454545</v>
      </c>
      <c r="AC190" s="24">
        <f>AC187/AC173</f>
        <v>0.20194850382741822</v>
      </c>
      <c r="AD190" s="24">
        <f>AD187/AD173</f>
        <v>0.18312925170068028</v>
      </c>
      <c r="AE190" s="25">
        <f>AE187/AE173</f>
        <v>0.21474123129752268</v>
      </c>
      <c r="AF190" s="60">
        <f>AF187/AF173</f>
        <v>0.19063726153429847</v>
      </c>
      <c r="AG190" s="1"/>
      <c r="AH190" s="50">
        <f>AH187/AH173</f>
        <v>0.17845204422730779</v>
      </c>
      <c r="AI190" s="24">
        <f>AI187/AI173</f>
        <v>0.2221542975913926</v>
      </c>
      <c r="AJ190" s="24">
        <f>AJ187/AJ173</f>
        <v>0.24308829150210218</v>
      </c>
      <c r="AK190" s="24">
        <f>AK187/AK173</f>
        <v>0.27646416878865043</v>
      </c>
      <c r="AL190" s="60">
        <f>AL187/AL173</f>
        <v>0.23064923720088604</v>
      </c>
      <c r="AM190" s="1"/>
      <c r="AN190" s="50">
        <f>AN187/AN173</f>
        <v>0.31968833585300616</v>
      </c>
      <c r="AO190" s="24">
        <f>AO187/AO173</f>
        <v>0.26718716113641294</v>
      </c>
      <c r="AP190" s="24">
        <f>AP187/AP173</f>
        <v>0.28444732857451871</v>
      </c>
      <c r="AQ190" s="25">
        <f>AQ187/AQ173</f>
        <v>0.25041769041769041</v>
      </c>
      <c r="AR190" s="60">
        <f>AR187/AR173</f>
        <v>0.27901294237688629</v>
      </c>
      <c r="AS190" s="1"/>
      <c r="AT190" s="50">
        <f>AT187/AT173</f>
        <v>0.27754083012587122</v>
      </c>
      <c r="AU190" s="24">
        <f>AU187/AU173</f>
        <v>0.2949182414569666</v>
      </c>
      <c r="AV190" s="24">
        <f>AV187/AV173</f>
        <v>0.28166483681006088</v>
      </c>
      <c r="AW190" s="25">
        <f>AW187/AW173</f>
        <v>0.25197509062180501</v>
      </c>
      <c r="AX190" s="60">
        <f>AX187/AX173</f>
        <v>0.27615505861491479</v>
      </c>
      <c r="AY190" s="1"/>
      <c r="AZ190" s="50">
        <f>AZ187/AZ173</f>
        <v>0.28059765306734785</v>
      </c>
      <c r="BA190" s="24">
        <f>BA187/BA173</f>
        <v>0.29981563521292032</v>
      </c>
      <c r="BB190" s="24">
        <f>BB187/BB173</f>
        <v>0.28391391349923101</v>
      </c>
      <c r="BC190" s="25">
        <f>BC187/BC173</f>
        <v>0.24802273603194666</v>
      </c>
      <c r="BD190" s="60">
        <f>BD187/BD173</f>
        <v>0.27785431066722893</v>
      </c>
      <c r="BE190" s="1"/>
      <c r="BF190" s="50">
        <f>BF187/BF173</f>
        <v>0.27998997009591486</v>
      </c>
      <c r="BG190" s="24">
        <f>BG187/BG173</f>
        <v>0.30021129836698568</v>
      </c>
      <c r="BH190" s="24">
        <f>BH187/BH173</f>
        <v>0.28608181320603077</v>
      </c>
      <c r="BI190" s="25">
        <f>BI187/BI173</f>
        <v>0.2519036523478963</v>
      </c>
      <c r="BJ190" s="60">
        <f>BJ187/BJ173</f>
        <v>0.27939452875002857</v>
      </c>
      <c r="BK190" s="1"/>
      <c r="BL190" s="50">
        <f>BL187/BL173</f>
        <v>0.28022282569560564</v>
      </c>
      <c r="BM190" s="24">
        <f>BM187/BM173</f>
        <v>0.30377525116343351</v>
      </c>
      <c r="BN190" s="24">
        <f>BN187/BN173</f>
        <v>0.28996912188006213</v>
      </c>
      <c r="BO190" s="25">
        <f>BO187/BO173</f>
        <v>0.25739646493301982</v>
      </c>
      <c r="BP190" s="60">
        <f>BP187/BP173</f>
        <v>0.28275324530166907</v>
      </c>
      <c r="BQ190" s="1"/>
      <c r="BR190" s="50">
        <f>BR187/BR173</f>
        <v>0.28190800595577609</v>
      </c>
      <c r="BS190" s="24">
        <f>BS187/BS173</f>
        <v>0.30816050146891427</v>
      </c>
      <c r="BT190" s="24">
        <f>BT187/BT173</f>
        <v>0.29466215619316949</v>
      </c>
      <c r="BU190" s="25">
        <f>BU187/BU173</f>
        <v>0.26410209177231897</v>
      </c>
      <c r="BV190" s="60">
        <f>BV187/BV173</f>
        <v>0.28716768148932004</v>
      </c>
      <c r="BW190" s="1"/>
      <c r="BX190" s="50">
        <f>BX187/BX173</f>
        <v>0.28349806057285554</v>
      </c>
      <c r="BY190" s="24">
        <f>BY187/BY173</f>
        <v>0.31230988220343681</v>
      </c>
      <c r="BZ190" s="24">
        <f>BZ187/BZ173</f>
        <v>0.29918171719515152</v>
      </c>
      <c r="CA190" s="25">
        <f>CA187/CA173</f>
        <v>0.26883124860544583</v>
      </c>
      <c r="CB190" s="60">
        <f>CB187/CB173</f>
        <v>0.29091774705527867</v>
      </c>
      <c r="CC190" s="1"/>
      <c r="CD190" s="50">
        <f>CD187/CD173</f>
        <v>0.28529213331970366</v>
      </c>
      <c r="CE190" s="24">
        <f>CE187/CE173</f>
        <v>0.31577959651411852</v>
      </c>
      <c r="CF190" s="24">
        <f>CF187/CF173</f>
        <v>0.30292575758284962</v>
      </c>
      <c r="CG190" s="25">
        <f>CG187/CG173</f>
        <v>0.27320265008869682</v>
      </c>
      <c r="CH190" s="60">
        <f>CH187/CH173</f>
        <v>0.29426442199858532</v>
      </c>
      <c r="CI190" s="1"/>
      <c r="CJ190" s="50">
        <f>CJ187/CJ173</f>
        <v>0.28776596136693317</v>
      </c>
      <c r="CK190" s="24">
        <f>CK187/CK173</f>
        <v>0.32107216257917442</v>
      </c>
      <c r="CL190" s="24">
        <f>CL187/CL173</f>
        <v>0.3087651897805484</v>
      </c>
      <c r="CM190" s="25">
        <f>CM187/CM173</f>
        <v>0.27921681918967584</v>
      </c>
      <c r="CN190" s="60">
        <f>CN187/CN173</f>
        <v>0.2991574875815054</v>
      </c>
      <c r="CO190" s="1"/>
      <c r="CP190" s="50">
        <f>CP187/CP173</f>
        <v>0.28980137519142074</v>
      </c>
      <c r="CQ190" s="24">
        <f>CQ187/CQ173</f>
        <v>0.3239147901684164</v>
      </c>
      <c r="CR190" s="24">
        <f>CR187/CR173</f>
        <v>0.31176940433405792</v>
      </c>
      <c r="CS190" s="25">
        <f>CS187/CS173</f>
        <v>0.28232298305184994</v>
      </c>
      <c r="CT190" s="60">
        <f>CT187/CT173</f>
        <v>0.30189637901282013</v>
      </c>
    </row>
    <row r="191" spans="2:98" ht="15.75" thickBot="1" x14ac:dyDescent="0.35">
      <c r="B191" s="41" t="s">
        <v>37</v>
      </c>
      <c r="D191" s="52" t="s">
        <v>35</v>
      </c>
      <c r="E191" s="10" t="s">
        <v>35</v>
      </c>
      <c r="F191" s="10" t="s">
        <v>35</v>
      </c>
      <c r="G191" s="10" t="s">
        <v>35</v>
      </c>
      <c r="H191" s="61" t="s">
        <v>35</v>
      </c>
      <c r="I191" s="13"/>
      <c r="J191" s="63">
        <f>J190-D190</f>
        <v>-2.6946045434932842E-2</v>
      </c>
      <c r="K191" s="26">
        <f>K190-E190</f>
        <v>-1.2164590071471526E-2</v>
      </c>
      <c r="L191" s="26">
        <f>L190-F190</f>
        <v>1.8681241166355889E-2</v>
      </c>
      <c r="M191" s="26">
        <f>M190-G190</f>
        <v>1.6997401980899607E-2</v>
      </c>
      <c r="N191" s="94">
        <f>N190-H190</f>
        <v>-7.8373231365475027E-4</v>
      </c>
      <c r="O191" s="13"/>
      <c r="P191" s="63">
        <f>P190-J190</f>
        <v>1.1744956946402957E-2</v>
      </c>
      <c r="Q191" s="26">
        <f>Q190-K190</f>
        <v>3.352273310469267E-2</v>
      </c>
      <c r="R191" s="26">
        <f>R190-L190</f>
        <v>-3.3063121174808918E-4</v>
      </c>
      <c r="S191" s="26">
        <f>S190-M190</f>
        <v>-5.5682617429819253E-2</v>
      </c>
      <c r="T191" s="94">
        <f>T190-N190</f>
        <v>-2.9052090540423459E-3</v>
      </c>
      <c r="U191" s="13"/>
      <c r="V191" s="63">
        <f>V190-P190</f>
        <v>4.511168845853869E-3</v>
      </c>
      <c r="W191" s="26">
        <f>W190-Q190</f>
        <v>-0.10257460302400825</v>
      </c>
      <c r="X191" s="26">
        <f>X190-R190</f>
        <v>-7.2592537711538202E-2</v>
      </c>
      <c r="Y191" s="27">
        <f>Y190-S190</f>
        <v>-3.5819849828312433E-2</v>
      </c>
      <c r="Z191" s="94">
        <f>Z190-T190</f>
        <v>-5.2732957708328976E-2</v>
      </c>
      <c r="AA191" s="13"/>
      <c r="AB191" s="63">
        <f>AB190-V190</f>
        <v>-8.805665508200719E-2</v>
      </c>
      <c r="AC191" s="26">
        <f>AC190-W190</f>
        <v>1.1693775248571181E-2</v>
      </c>
      <c r="AD191" s="26">
        <f>AD190-X190</f>
        <v>-1.7847781459042894E-2</v>
      </c>
      <c r="AE191" s="27">
        <f>AE190-Y190</f>
        <v>3.3218920622040515E-2</v>
      </c>
      <c r="AF191" s="94">
        <f>AF190-Z190</f>
        <v>-1.2874744496292806E-2</v>
      </c>
      <c r="AG191" s="13"/>
      <c r="AH191" s="63">
        <f>AH190-AB190</f>
        <v>2.0197498772762335E-2</v>
      </c>
      <c r="AI191" s="26">
        <f>AI190-AC190</f>
        <v>2.0205793763974383E-2</v>
      </c>
      <c r="AJ191" s="26">
        <f>AJ190-AD190</f>
        <v>5.9959039801421893E-2</v>
      </c>
      <c r="AK191" s="26">
        <f>AK190-AE190</f>
        <v>6.1722937491127755E-2</v>
      </c>
      <c r="AL191" s="94">
        <f>AL190-AF190</f>
        <v>4.0011975666587568E-2</v>
      </c>
      <c r="AM191" s="13"/>
      <c r="AN191" s="63">
        <f>AN190-AH190</f>
        <v>0.14123629162569837</v>
      </c>
      <c r="AO191" s="26">
        <f>AO190-AI190</f>
        <v>4.5032863545020341E-2</v>
      </c>
      <c r="AP191" s="26">
        <f>AP190-AJ190</f>
        <v>4.1359037072416532E-2</v>
      </c>
      <c r="AQ191" s="27">
        <f>AQ190-AK190</f>
        <v>-2.6046478370960024E-2</v>
      </c>
      <c r="AR191" s="94">
        <f>AR190-AL190</f>
        <v>4.8363705176000249E-2</v>
      </c>
      <c r="AS191" s="13"/>
      <c r="AT191" s="63">
        <f>AT190-AN190</f>
        <v>-4.2147505727134937E-2</v>
      </c>
      <c r="AU191" s="26">
        <f>AU190-AO190</f>
        <v>2.7731080320553658E-2</v>
      </c>
      <c r="AV191" s="26">
        <f>AV190-AP190</f>
        <v>-2.7824917644578284E-3</v>
      </c>
      <c r="AW191" s="27">
        <f>AW190-AQ190</f>
        <v>1.5574002041146007E-3</v>
      </c>
      <c r="AX191" s="94">
        <f>AX190-AR190</f>
        <v>-2.8578837619714914E-3</v>
      </c>
      <c r="AY191" s="13"/>
      <c r="AZ191" s="63">
        <f>AZ190-AT190</f>
        <v>3.0568229414766335E-3</v>
      </c>
      <c r="BA191" s="26">
        <f>BA190-AU190</f>
        <v>4.8973937559537162E-3</v>
      </c>
      <c r="BB191" s="26">
        <f>BB190-AV190</f>
        <v>2.2490766891701264E-3</v>
      </c>
      <c r="BC191" s="27">
        <f>BC190-AW190</f>
        <v>-3.9523545898583479E-3</v>
      </c>
      <c r="BD191" s="94">
        <f>BD190-AX190</f>
        <v>1.6992520523141375E-3</v>
      </c>
      <c r="BE191" s="13"/>
      <c r="BF191" s="63">
        <f>BF190-AZ190</f>
        <v>-6.0768297143298788E-4</v>
      </c>
      <c r="BG191" s="26">
        <f>BG190-BA190</f>
        <v>3.9566315406536212E-4</v>
      </c>
      <c r="BH191" s="26">
        <f>BH190-BB190</f>
        <v>2.1678997067997585E-3</v>
      </c>
      <c r="BI191" s="27">
        <f>BI190-BC190</f>
        <v>3.8809163159496396E-3</v>
      </c>
      <c r="BJ191" s="94">
        <f>BJ190-BD190</f>
        <v>1.5402180827996381E-3</v>
      </c>
      <c r="BK191" s="13"/>
      <c r="BL191" s="63">
        <f>BL190-BF190</f>
        <v>2.328555996907733E-4</v>
      </c>
      <c r="BM191" s="26">
        <f>BM190-BG190</f>
        <v>3.5639527964478335E-3</v>
      </c>
      <c r="BN191" s="26">
        <f>BN190-BH190</f>
        <v>3.8873086740313645E-3</v>
      </c>
      <c r="BO191" s="27">
        <f>BO190-BI190</f>
        <v>5.4928125851235188E-3</v>
      </c>
      <c r="BP191" s="94">
        <f>BP190-BJ190</f>
        <v>3.3587165516404949E-3</v>
      </c>
      <c r="BQ191" s="13"/>
      <c r="BR191" s="63">
        <f>BR190-BL190</f>
        <v>1.6851802601704491E-3</v>
      </c>
      <c r="BS191" s="26">
        <f>BS190-BM190</f>
        <v>4.385250305480759E-3</v>
      </c>
      <c r="BT191" s="26">
        <f>BT190-BN190</f>
        <v>4.6930343131073582E-3</v>
      </c>
      <c r="BU191" s="27">
        <f>BU190-BO190</f>
        <v>6.7056268392991503E-3</v>
      </c>
      <c r="BV191" s="94">
        <f>BV190-BP190</f>
        <v>4.4144361876509719E-3</v>
      </c>
      <c r="BW191" s="13"/>
      <c r="BX191" s="63">
        <f>BX190-BR190</f>
        <v>1.5900546170794505E-3</v>
      </c>
      <c r="BY191" s="26">
        <f>BY190-BS190</f>
        <v>4.1493807345225342E-3</v>
      </c>
      <c r="BZ191" s="26">
        <f>BZ190-BT190</f>
        <v>4.5195610019820309E-3</v>
      </c>
      <c r="CA191" s="27">
        <f>CA190-BU190</f>
        <v>4.7291568331268574E-3</v>
      </c>
      <c r="CB191" s="94">
        <f>CB190-BV190</f>
        <v>3.7500655659586379E-3</v>
      </c>
      <c r="CC191" s="13"/>
      <c r="CD191" s="63">
        <f>CD190-BX190</f>
        <v>1.7940727468481188E-3</v>
      </c>
      <c r="CE191" s="26">
        <f>CE190-BY190</f>
        <v>3.4697143106817152E-3</v>
      </c>
      <c r="CF191" s="26">
        <f>CF190-BZ190</f>
        <v>3.7440403876980999E-3</v>
      </c>
      <c r="CG191" s="27">
        <f>CG190-CA190</f>
        <v>4.3714014832509918E-3</v>
      </c>
      <c r="CH191" s="94">
        <f>CH190-CB190</f>
        <v>3.3466749433066489E-3</v>
      </c>
      <c r="CI191" s="13"/>
      <c r="CJ191" s="63">
        <f>CJ190-CD190</f>
        <v>2.4738280472295093E-3</v>
      </c>
      <c r="CK191" s="26">
        <f>CK190-CE190</f>
        <v>5.2925660650559037E-3</v>
      </c>
      <c r="CL191" s="26">
        <f>CL190-CF190</f>
        <v>5.8394321976987795E-3</v>
      </c>
      <c r="CM191" s="27">
        <f>CM190-CG190</f>
        <v>6.0141691009790166E-3</v>
      </c>
      <c r="CN191" s="94">
        <f>CN190-CH190</f>
        <v>4.8930655829200753E-3</v>
      </c>
      <c r="CO191" s="13"/>
      <c r="CP191" s="63">
        <f>CP190-CJ190</f>
        <v>2.0354138244875752E-3</v>
      </c>
      <c r="CQ191" s="26">
        <f>CQ190-CK190</f>
        <v>2.842627589241975E-3</v>
      </c>
      <c r="CR191" s="26">
        <f>CR190-CL190</f>
        <v>3.004214553509521E-3</v>
      </c>
      <c r="CS191" s="27">
        <f>CS190-CM190</f>
        <v>3.106163862174105E-3</v>
      </c>
      <c r="CT191" s="94">
        <f>CT190-CN190</f>
        <v>2.7388914313147272E-3</v>
      </c>
    </row>
    <row r="192" spans="2:98" ht="15.75" thickBot="1" x14ac:dyDescent="0.35">
      <c r="B192" s="1"/>
      <c r="D192" s="2"/>
      <c r="E192" s="2"/>
      <c r="F192" s="11"/>
      <c r="G192" s="2"/>
      <c r="H192" s="2"/>
      <c r="I192" s="1"/>
      <c r="J192" s="2"/>
      <c r="K192" s="2"/>
      <c r="L192" s="11"/>
      <c r="M192" s="2"/>
      <c r="N192" s="2"/>
      <c r="O192" s="1"/>
      <c r="P192" s="2"/>
      <c r="Q192" s="2"/>
      <c r="R192" s="11"/>
      <c r="S192" s="2"/>
      <c r="T192" s="2"/>
      <c r="U192" s="1"/>
      <c r="V192" s="2"/>
      <c r="W192" s="2"/>
      <c r="X192" s="11"/>
      <c r="Y192" s="2"/>
      <c r="Z192" s="2"/>
      <c r="AA192" s="1"/>
      <c r="AB192" s="2"/>
      <c r="AC192" s="2"/>
      <c r="AD192" s="11"/>
      <c r="AE192" s="2"/>
      <c r="AF192" s="2"/>
      <c r="AG192" s="1"/>
      <c r="AH192" s="2"/>
      <c r="AI192" s="2"/>
      <c r="AJ192" s="11"/>
      <c r="AK192" s="2"/>
      <c r="AL192" s="2"/>
      <c r="AM192" s="1"/>
      <c r="AN192" s="2"/>
      <c r="AO192" s="2"/>
      <c r="AP192" s="11"/>
      <c r="AQ192" s="2"/>
      <c r="AR192" s="2"/>
      <c r="AS192" s="1"/>
      <c r="AT192" s="2"/>
      <c r="AU192" s="2"/>
      <c r="AV192" s="11"/>
      <c r="AW192" s="2"/>
      <c r="AX192" s="2"/>
      <c r="AY192" s="1"/>
      <c r="AZ192" s="2"/>
      <c r="BA192" s="2"/>
      <c r="BB192" s="11"/>
      <c r="BC192" s="2"/>
      <c r="BD192" s="2"/>
      <c r="BE192" s="1"/>
      <c r="BF192" s="2"/>
      <c r="BG192" s="2"/>
      <c r="BH192" s="11"/>
      <c r="BI192" s="2"/>
      <c r="BJ192" s="2"/>
      <c r="BK192" s="1"/>
      <c r="BL192" s="2"/>
      <c r="BM192" s="2"/>
      <c r="BN192" s="11"/>
      <c r="BO192" s="2"/>
      <c r="BP192" s="2"/>
      <c r="BQ192" s="1"/>
      <c r="BR192" s="2"/>
      <c r="BS192" s="2"/>
      <c r="BT192" s="11"/>
      <c r="BU192" s="2"/>
      <c r="BV192" s="2"/>
      <c r="BW192" s="1"/>
      <c r="BX192" s="2"/>
      <c r="BY192" s="2"/>
      <c r="BZ192" s="11"/>
      <c r="CA192" s="2"/>
      <c r="CB192" s="2"/>
      <c r="CC192" s="1"/>
      <c r="CD192" s="2"/>
      <c r="CE192" s="2"/>
      <c r="CF192" s="11"/>
      <c r="CG192" s="2"/>
      <c r="CH192" s="2"/>
      <c r="CI192" s="1"/>
      <c r="CJ192" s="2"/>
      <c r="CK192" s="2"/>
      <c r="CL192" s="11"/>
      <c r="CM192" s="2"/>
      <c r="CN192" s="2"/>
      <c r="CO192" s="1"/>
      <c r="CP192" s="2"/>
      <c r="CQ192" s="2"/>
      <c r="CR192" s="11"/>
      <c r="CS192" s="2"/>
      <c r="CT192" s="2"/>
    </row>
    <row r="193" spans="2:98" ht="15" x14ac:dyDescent="0.3">
      <c r="B193" s="42" t="s">
        <v>33</v>
      </c>
      <c r="D193" s="49">
        <f>D53+D123</f>
        <v>805</v>
      </c>
      <c r="E193" s="14">
        <f>E53+E123</f>
        <v>858</v>
      </c>
      <c r="F193" s="14">
        <f>F53+F123</f>
        <v>875</v>
      </c>
      <c r="G193" s="14">
        <f>G53+G123</f>
        <v>1070</v>
      </c>
      <c r="H193" s="59">
        <f>D193+E193+F193+G193</f>
        <v>3608</v>
      </c>
      <c r="I193" s="13"/>
      <c r="J193" s="49">
        <f>J53+J123</f>
        <v>936</v>
      </c>
      <c r="K193" s="14">
        <f>K53+K123</f>
        <v>953</v>
      </c>
      <c r="L193" s="14">
        <f>L53+L123</f>
        <v>989</v>
      </c>
      <c r="M193" s="14">
        <f>M53+M123</f>
        <v>741</v>
      </c>
      <c r="N193" s="59">
        <f>J193+K193+L193+M193</f>
        <v>3619</v>
      </c>
      <c r="O193" s="13"/>
      <c r="P193" s="49">
        <f>P53+P123</f>
        <v>891</v>
      </c>
      <c r="Q193" s="14">
        <f>Q53+Q123</f>
        <v>721</v>
      </c>
      <c r="R193" s="14">
        <f>R53+R123</f>
        <v>979</v>
      </c>
      <c r="S193" s="14">
        <f>S53+S123</f>
        <v>1156</v>
      </c>
      <c r="T193" s="59">
        <f>P193+Q193+R193+S193</f>
        <v>3747</v>
      </c>
      <c r="U193" s="13"/>
      <c r="V193" s="49">
        <f>V53+V123</f>
        <v>1231</v>
      </c>
      <c r="W193" s="14">
        <f>W53+W123</f>
        <v>1111</v>
      </c>
      <c r="X193" s="14">
        <v>1017</v>
      </c>
      <c r="Y193" s="14">
        <v>882</v>
      </c>
      <c r="Z193" s="59">
        <f>V193+W193+X193+Y193</f>
        <v>4241</v>
      </c>
      <c r="AA193" s="352"/>
      <c r="AB193" s="49">
        <v>947</v>
      </c>
      <c r="AC193" s="14">
        <v>940</v>
      </c>
      <c r="AD193" s="15">
        <v>1131</v>
      </c>
      <c r="AE193" s="22">
        <v>1299</v>
      </c>
      <c r="AF193" s="35">
        <f>(AB193+AC193+AD193+AE193)</f>
        <v>4317</v>
      </c>
      <c r="AG193" s="1"/>
      <c r="AH193" s="49">
        <v>982</v>
      </c>
      <c r="AI193" s="14">
        <v>1191</v>
      </c>
      <c r="AJ193" s="15">
        <v>1120</v>
      </c>
      <c r="AK193" s="15">
        <v>1431</v>
      </c>
      <c r="AL193" s="59">
        <f>(AH193+AI193+AJ193+AK193)</f>
        <v>4724</v>
      </c>
      <c r="AM193" s="1"/>
      <c r="AN193" s="49">
        <v>1335</v>
      </c>
      <c r="AO193" s="14">
        <v>1349</v>
      </c>
      <c r="AP193" s="15">
        <v>1159</v>
      </c>
      <c r="AQ193" s="15">
        <v>859</v>
      </c>
      <c r="AR193" s="59">
        <f>(AN193+AO193+AP193+AQ193)</f>
        <v>4702</v>
      </c>
      <c r="AS193" s="1"/>
      <c r="AT193" s="49">
        <v>1528</v>
      </c>
      <c r="AU193" s="14">
        <v>1347</v>
      </c>
      <c r="AV193" s="15">
        <v>1441</v>
      </c>
      <c r="AW193" s="15">
        <v>921</v>
      </c>
      <c r="AX193" s="59">
        <f>(AT193+AU193+AV193+AW193)</f>
        <v>5237</v>
      </c>
      <c r="AY193" s="1"/>
      <c r="AZ193" s="49">
        <v>1425</v>
      </c>
      <c r="BA193" s="14">
        <v>1445</v>
      </c>
      <c r="BB193" s="14">
        <v>1300</v>
      </c>
      <c r="BC193" s="22">
        <v>1150</v>
      </c>
      <c r="BD193" s="35">
        <f>(AZ193+BA193+BB193+BC193)</f>
        <v>5320</v>
      </c>
      <c r="BE193" s="1"/>
      <c r="BF193" s="49">
        <v>1300</v>
      </c>
      <c r="BG193" s="14">
        <f>BF193</f>
        <v>1300</v>
      </c>
      <c r="BH193" s="14">
        <f>BG193</f>
        <v>1300</v>
      </c>
      <c r="BI193" s="22">
        <v>1575</v>
      </c>
      <c r="BJ193" s="35">
        <f>(BF193+BG193+BH193+BI193)</f>
        <v>5475</v>
      </c>
      <c r="BK193" s="1"/>
      <c r="BL193" s="49">
        <v>1300</v>
      </c>
      <c r="BM193" s="14">
        <f>BL193</f>
        <v>1300</v>
      </c>
      <c r="BN193" s="14">
        <f>BM193</f>
        <v>1300</v>
      </c>
      <c r="BO193" s="22">
        <v>1775</v>
      </c>
      <c r="BP193" s="35">
        <f>(BL193+BM193+BN193+BO193)</f>
        <v>5675</v>
      </c>
      <c r="BQ193" s="1"/>
      <c r="BR193" s="49">
        <v>1400</v>
      </c>
      <c r="BS193" s="14">
        <f>BR193</f>
        <v>1400</v>
      </c>
      <c r="BT193" s="14">
        <f>BS193</f>
        <v>1400</v>
      </c>
      <c r="BU193" s="22">
        <v>1650</v>
      </c>
      <c r="BV193" s="35">
        <f>(BR193+BS193+BT193+BU193)</f>
        <v>5850</v>
      </c>
      <c r="BW193" s="1"/>
      <c r="BX193" s="49">
        <v>1425</v>
      </c>
      <c r="BY193" s="14">
        <f>BX193</f>
        <v>1425</v>
      </c>
      <c r="BZ193" s="14">
        <f>BY193</f>
        <v>1425</v>
      </c>
      <c r="CA193" s="22">
        <v>1700</v>
      </c>
      <c r="CB193" s="35">
        <f>(BX193+BY193+BZ193+CA193)</f>
        <v>5975</v>
      </c>
      <c r="CC193" s="1"/>
      <c r="CD193" s="49">
        <v>1425</v>
      </c>
      <c r="CE193" s="14">
        <f>CD193</f>
        <v>1425</v>
      </c>
      <c r="CF193" s="14">
        <f>CE193</f>
        <v>1425</v>
      </c>
      <c r="CG193" s="22">
        <v>1775</v>
      </c>
      <c r="CH193" s="35">
        <f>(CD193+CE193+CF193+CG193)</f>
        <v>6050</v>
      </c>
      <c r="CI193" s="1"/>
      <c r="CJ193" s="49">
        <f>CD193+50</f>
        <v>1475</v>
      </c>
      <c r="CK193" s="14">
        <f>CJ193</f>
        <v>1475</v>
      </c>
      <c r="CL193" s="14">
        <f>CK193</f>
        <v>1475</v>
      </c>
      <c r="CM193" s="22">
        <v>1775</v>
      </c>
      <c r="CN193" s="35">
        <f>(CJ193+CK193+CL193+CM193)</f>
        <v>6200</v>
      </c>
      <c r="CO193" s="1"/>
      <c r="CP193" s="49">
        <f>CJ193+75</f>
        <v>1550</v>
      </c>
      <c r="CQ193" s="14">
        <f>CP193</f>
        <v>1550</v>
      </c>
      <c r="CR193" s="14">
        <f>CQ193</f>
        <v>1550</v>
      </c>
      <c r="CS193" s="22">
        <v>1775</v>
      </c>
      <c r="CT193" s="35">
        <f>(CP193+CQ193+CR193+CS193)</f>
        <v>6425</v>
      </c>
    </row>
    <row r="194" spans="2:98" ht="15.75" thickBot="1" x14ac:dyDescent="0.35">
      <c r="B194" s="41" t="s">
        <v>40</v>
      </c>
      <c r="D194" s="52" t="s">
        <v>35</v>
      </c>
      <c r="E194" s="10" t="s">
        <v>35</v>
      </c>
      <c r="F194" s="10" t="s">
        <v>35</v>
      </c>
      <c r="G194" s="10" t="s">
        <v>35</v>
      </c>
      <c r="H194" s="61" t="s">
        <v>35</v>
      </c>
      <c r="I194" s="1"/>
      <c r="J194" s="52">
        <f>(J193-D193)/D193</f>
        <v>0.16273291925465838</v>
      </c>
      <c r="K194" s="10">
        <f>(K193-E193)/E193</f>
        <v>0.11072261072261072</v>
      </c>
      <c r="L194" s="10">
        <f>(L193-F193)/F193</f>
        <v>0.13028571428571428</v>
      </c>
      <c r="M194" s="83">
        <f>(M193-G193)/G193</f>
        <v>-0.30747663551401871</v>
      </c>
      <c r="N194" s="83">
        <f>(N193-H193)/H193</f>
        <v>3.0487804878048782E-3</v>
      </c>
      <c r="O194" s="1"/>
      <c r="P194" s="52">
        <f>(P193-J193)/J193</f>
        <v>-4.807692307692308E-2</v>
      </c>
      <c r="Q194" s="10">
        <f>(Q193-K193)/K193</f>
        <v>-0.24344176285414482</v>
      </c>
      <c r="R194" s="10">
        <f>(R193-L193)/L193</f>
        <v>-1.0111223458038422E-2</v>
      </c>
      <c r="S194" s="83">
        <f>(S193-M193)/M193</f>
        <v>0.56005398110661264</v>
      </c>
      <c r="T194" s="83">
        <f>(T193-N193)/N193</f>
        <v>3.5368886432716219E-2</v>
      </c>
      <c r="U194" s="1"/>
      <c r="V194" s="52">
        <f>(V193-P193)/P193</f>
        <v>0.38159371492704824</v>
      </c>
      <c r="W194" s="10">
        <f>(W193-Q193)/Q193</f>
        <v>0.5409153952843273</v>
      </c>
      <c r="X194" s="10">
        <f>(X193-R193)/R193</f>
        <v>3.8815117466802863E-2</v>
      </c>
      <c r="Y194" s="83">
        <f>(Y193-S193)/S193</f>
        <v>-0.23702422145328719</v>
      </c>
      <c r="Z194" s="83">
        <f>(Z193-T193)/T193</f>
        <v>0.13183880437683479</v>
      </c>
      <c r="AA194" s="1"/>
      <c r="AB194" s="52">
        <f>AB193/V193-1</f>
        <v>-0.23070674248578393</v>
      </c>
      <c r="AC194" s="10">
        <f>(AC193-W193)/W193</f>
        <v>-0.15391539153915393</v>
      </c>
      <c r="AD194" s="10">
        <f>AD193/X193-1</f>
        <v>0.11209439528023601</v>
      </c>
      <c r="AE194" s="83">
        <f>AE193/Y193-1</f>
        <v>0.47278911564625847</v>
      </c>
      <c r="AF194" s="83">
        <f>AF193/Z193-1</f>
        <v>1.7920301815609552E-2</v>
      </c>
      <c r="AG194" s="1"/>
      <c r="AH194" s="52">
        <f>AH193/AB193-1</f>
        <v>3.6958817317845893E-2</v>
      </c>
      <c r="AI194" s="10">
        <f>(AI193-AC193)/AC193</f>
        <v>0.26702127659574471</v>
      </c>
      <c r="AJ194" s="10">
        <f>AJ193/AD193-1</f>
        <v>-9.7259062776303695E-3</v>
      </c>
      <c r="AK194" s="10">
        <f>AK193/AE193-1</f>
        <v>0.10161662817551953</v>
      </c>
      <c r="AL194" s="61">
        <f>AL193/AF193-1</f>
        <v>9.4278434097753161E-2</v>
      </c>
      <c r="AM194" s="1"/>
      <c r="AN194" s="52">
        <f>AN193/AH193-1</f>
        <v>0.35947046843177199</v>
      </c>
      <c r="AO194" s="10">
        <f>AO193/AI193-1</f>
        <v>0.13266162888329136</v>
      </c>
      <c r="AP194" s="10">
        <f>AP193/AJ193-1</f>
        <v>3.4821428571428559E-2</v>
      </c>
      <c r="AQ194" s="10">
        <f>AQ193/AK193-1</f>
        <v>-0.39972047519217335</v>
      </c>
      <c r="AR194" s="61">
        <f>AR193/AL193-1</f>
        <v>-4.6570702794241914E-3</v>
      </c>
      <c r="AS194" s="1"/>
      <c r="AT194" s="52">
        <f>AT193/AN193-1</f>
        <v>0.14456928838951311</v>
      </c>
      <c r="AU194" s="10">
        <f>AU193/AO193-1</f>
        <v>-1.4825796886582809E-3</v>
      </c>
      <c r="AV194" s="10">
        <f>AV193/AP193-1</f>
        <v>0.24331320103537535</v>
      </c>
      <c r="AW194" s="10">
        <f>AW193/AQ193-1</f>
        <v>7.2176949941792801E-2</v>
      </c>
      <c r="AX194" s="61">
        <f>AX193/AR193-1</f>
        <v>0.11378136962994478</v>
      </c>
      <c r="AY194" s="1"/>
      <c r="AZ194" s="52">
        <f>AZ193/AT193-1</f>
        <v>-6.740837696335078E-2</v>
      </c>
      <c r="BA194" s="10">
        <f>BA193/AU193-1</f>
        <v>7.2754268745359951E-2</v>
      </c>
      <c r="BB194" s="10">
        <f>BB193/AV193-1</f>
        <v>-9.7848716169326888E-2</v>
      </c>
      <c r="BC194" s="83">
        <f>BC193/AW193-1</f>
        <v>0.2486427795874051</v>
      </c>
      <c r="BD194" s="83">
        <f>BD193/AX193-1</f>
        <v>1.5848768378842859E-2</v>
      </c>
      <c r="BE194" s="1"/>
      <c r="BF194" s="52">
        <f>BF193/AZ193-1</f>
        <v>-8.7719298245614086E-2</v>
      </c>
      <c r="BG194" s="10">
        <f>BG193/BA193-1</f>
        <v>-0.10034602076124566</v>
      </c>
      <c r="BH194" s="10">
        <f>BH193/BB193-1</f>
        <v>0</v>
      </c>
      <c r="BI194" s="83">
        <f>BI193/BC193-1</f>
        <v>0.36956521739130443</v>
      </c>
      <c r="BJ194" s="83">
        <f>BJ193/BD193-1</f>
        <v>2.913533834586457E-2</v>
      </c>
      <c r="BK194" s="1"/>
      <c r="BL194" s="52">
        <f>BL193/BF193-1</f>
        <v>0</v>
      </c>
      <c r="BM194" s="10">
        <f>BM193/BG193-1</f>
        <v>0</v>
      </c>
      <c r="BN194" s="10">
        <f>BN193/BH193-1</f>
        <v>0</v>
      </c>
      <c r="BO194" s="83">
        <f>BO193/BI193-1</f>
        <v>0.12698412698412698</v>
      </c>
      <c r="BP194" s="83">
        <f>BP193/BJ193-1</f>
        <v>3.6529680365296802E-2</v>
      </c>
      <c r="BQ194" s="1"/>
      <c r="BR194" s="52">
        <f>BR193/BL193-1</f>
        <v>7.6923076923076872E-2</v>
      </c>
      <c r="BS194" s="10">
        <f>BS193/BM193-1</f>
        <v>7.6923076923076872E-2</v>
      </c>
      <c r="BT194" s="10">
        <f>BT193/BN193-1</f>
        <v>7.6923076923076872E-2</v>
      </c>
      <c r="BU194" s="83">
        <f>BU193/BO193-1</f>
        <v>-7.0422535211267623E-2</v>
      </c>
      <c r="BV194" s="83">
        <f>BV193/BP193-1</f>
        <v>3.0837004405286361E-2</v>
      </c>
      <c r="BW194" s="1"/>
      <c r="BX194" s="52">
        <f>BX193/BR193-1</f>
        <v>1.7857142857142794E-2</v>
      </c>
      <c r="BY194" s="10">
        <f>BY193/BS193-1</f>
        <v>1.7857142857142794E-2</v>
      </c>
      <c r="BZ194" s="10">
        <f>BZ193/BT193-1</f>
        <v>1.7857142857142794E-2</v>
      </c>
      <c r="CA194" s="83">
        <f>CA193/BU193-1</f>
        <v>3.0303030303030276E-2</v>
      </c>
      <c r="CB194" s="83">
        <f>CB193/BV193-1</f>
        <v>2.1367521367521292E-2</v>
      </c>
      <c r="CC194" s="1"/>
      <c r="CD194" s="52">
        <f>CD193/BX193-1</f>
        <v>0</v>
      </c>
      <c r="CE194" s="10">
        <f>CE193/BY193-1</f>
        <v>0</v>
      </c>
      <c r="CF194" s="10">
        <f>CF193/BZ193-1</f>
        <v>0</v>
      </c>
      <c r="CG194" s="83">
        <f>CG193/CA193-1</f>
        <v>4.4117647058823595E-2</v>
      </c>
      <c r="CH194" s="83">
        <f>CH193/CB193-1</f>
        <v>1.2552301255230214E-2</v>
      </c>
      <c r="CI194" s="1"/>
      <c r="CJ194" s="52">
        <f>CJ193/CD193-1</f>
        <v>3.5087719298245723E-2</v>
      </c>
      <c r="CK194" s="10">
        <f>CK193/CE193-1</f>
        <v>3.5087719298245723E-2</v>
      </c>
      <c r="CL194" s="10">
        <f>CL193/CF193-1</f>
        <v>3.5087719298245723E-2</v>
      </c>
      <c r="CM194" s="83">
        <f>CM193/CG193-1</f>
        <v>0</v>
      </c>
      <c r="CN194" s="83">
        <f>CN193/CH193-1</f>
        <v>2.4793388429751984E-2</v>
      </c>
      <c r="CO194" s="1"/>
      <c r="CP194" s="52">
        <f>CP193/CJ193-1</f>
        <v>5.0847457627118731E-2</v>
      </c>
      <c r="CQ194" s="10">
        <f>CQ193/CK193-1</f>
        <v>5.0847457627118731E-2</v>
      </c>
      <c r="CR194" s="10">
        <f>CR193/CL193-1</f>
        <v>5.0847457627118731E-2</v>
      </c>
      <c r="CS194" s="83">
        <f>CS193/CM193-1</f>
        <v>0</v>
      </c>
      <c r="CT194" s="83">
        <f>CT193/CN193-1</f>
        <v>3.629032258064524E-2</v>
      </c>
    </row>
    <row r="195" spans="2:98" ht="15.75" thickBot="1" x14ac:dyDescent="0.35">
      <c r="B195" s="16"/>
      <c r="D195" s="23"/>
      <c r="E195" s="23"/>
      <c r="F195" s="64"/>
      <c r="G195" s="18"/>
      <c r="H195" s="17"/>
      <c r="I195" s="1"/>
      <c r="J195" s="23"/>
      <c r="K195" s="23"/>
      <c r="L195" s="64"/>
      <c r="M195" s="18"/>
      <c r="N195" s="17"/>
      <c r="O195" s="1"/>
      <c r="P195" s="23"/>
      <c r="Q195" s="23"/>
      <c r="R195" s="64"/>
      <c r="S195" s="18"/>
      <c r="T195" s="17"/>
      <c r="U195" s="1"/>
      <c r="V195" s="23"/>
      <c r="W195" s="23"/>
      <c r="X195" s="64"/>
      <c r="Y195" s="18"/>
      <c r="Z195" s="17"/>
      <c r="AA195" s="1"/>
      <c r="AB195" s="23"/>
      <c r="AC195" s="23"/>
      <c r="AD195" s="64"/>
      <c r="AE195" s="18"/>
      <c r="AF195" s="17"/>
      <c r="AG195" s="1"/>
      <c r="AH195" s="23"/>
      <c r="AI195" s="23"/>
      <c r="AJ195" s="64"/>
      <c r="AK195" s="64"/>
      <c r="AL195" s="17"/>
      <c r="AM195" s="1"/>
      <c r="AN195" s="23"/>
      <c r="AO195" s="23"/>
      <c r="AP195" s="23"/>
      <c r="AQ195" s="18"/>
      <c r="AR195" s="17"/>
      <c r="AS195" s="1"/>
      <c r="AT195" s="23"/>
      <c r="AU195" s="23"/>
      <c r="AV195" s="64"/>
      <c r="AW195" s="64"/>
      <c r="AX195" s="17"/>
      <c r="AY195" s="1"/>
      <c r="AZ195" s="23"/>
      <c r="BA195" s="23"/>
      <c r="BB195" s="64"/>
      <c r="BC195" s="18"/>
      <c r="BD195" s="17"/>
      <c r="BE195" s="1"/>
      <c r="BF195" s="23"/>
      <c r="BG195" s="23"/>
      <c r="BH195" s="64"/>
      <c r="BI195" s="18"/>
      <c r="BJ195" s="17"/>
      <c r="BK195" s="1"/>
      <c r="BL195" s="23"/>
      <c r="BM195" s="23"/>
      <c r="BN195" s="64"/>
      <c r="BO195" s="18"/>
      <c r="BP195" s="17"/>
      <c r="BQ195" s="1"/>
      <c r="BR195" s="23"/>
      <c r="BS195" s="23"/>
      <c r="BT195" s="64"/>
      <c r="BU195" s="18"/>
      <c r="BV195" s="17"/>
      <c r="BW195" s="1"/>
      <c r="BX195" s="23"/>
      <c r="BY195" s="23"/>
      <c r="BZ195" s="64"/>
      <c r="CA195" s="18"/>
      <c r="CB195" s="17"/>
      <c r="CC195" s="1"/>
      <c r="CD195" s="23"/>
      <c r="CE195" s="23"/>
      <c r="CF195" s="64"/>
      <c r="CG195" s="18"/>
      <c r="CH195" s="17"/>
      <c r="CI195" s="1"/>
      <c r="CJ195" s="23"/>
      <c r="CK195" s="23"/>
      <c r="CL195" s="64"/>
      <c r="CM195" s="18"/>
      <c r="CN195" s="17"/>
      <c r="CO195" s="1"/>
      <c r="CP195" s="23"/>
      <c r="CQ195" s="23"/>
      <c r="CR195" s="64"/>
      <c r="CS195" s="18"/>
      <c r="CT195" s="17"/>
    </row>
    <row r="196" spans="2:98" ht="15" x14ac:dyDescent="0.3">
      <c r="B196" s="42" t="s">
        <v>24</v>
      </c>
      <c r="D196" s="50">
        <f>D193/D173</f>
        <v>0.12882061129780764</v>
      </c>
      <c r="E196" s="24">
        <f>E193/E173</f>
        <v>0.13471502590673576</v>
      </c>
      <c r="F196" s="24">
        <f>F193/F173</f>
        <v>0.13734107675404175</v>
      </c>
      <c r="G196" s="25">
        <f>G193/G173</f>
        <v>0.16643334888785191</v>
      </c>
      <c r="H196" s="89">
        <f>H193/H173</f>
        <v>0.14194665197891257</v>
      </c>
      <c r="I196" s="1"/>
      <c r="J196" s="50">
        <f>J193/J173</f>
        <v>0.14728560188827694</v>
      </c>
      <c r="K196" s="24">
        <f>K193/K173</f>
        <v>0.15226074452787985</v>
      </c>
      <c r="L196" s="24">
        <f>L193/L173</f>
        <v>0.15373853567542359</v>
      </c>
      <c r="M196" s="24">
        <f>M193/M173</f>
        <v>0.11547452080411408</v>
      </c>
      <c r="N196" s="60">
        <f>N193/N173</f>
        <v>0.14212221174992146</v>
      </c>
      <c r="O196" s="1"/>
      <c r="P196" s="50">
        <f>P193/P173</f>
        <v>0.14118206306449058</v>
      </c>
      <c r="Q196" s="24">
        <f>Q193/Q173</f>
        <v>0.11696950032446464</v>
      </c>
      <c r="R196" s="24">
        <f>R193/R173</f>
        <v>0.15913524057217165</v>
      </c>
      <c r="S196" s="24">
        <f>S193/S173</f>
        <v>0.18666236072985629</v>
      </c>
      <c r="T196" s="60">
        <f>T193/T173</f>
        <v>0.15096696212731667</v>
      </c>
      <c r="U196" s="1"/>
      <c r="V196" s="50">
        <f>V193/V173</f>
        <v>0.20640509725016767</v>
      </c>
      <c r="W196" s="24">
        <f>W193/W173</f>
        <v>0.16703906090200621</v>
      </c>
      <c r="X196" s="24">
        <f>X193/X173</f>
        <v>0.15207081327253302</v>
      </c>
      <c r="Y196" s="24">
        <f>Y193/Y173</f>
        <v>0.12919146476312413</v>
      </c>
      <c r="Z196" s="60">
        <f>Z193/Z173</f>
        <v>0.16230455372861771</v>
      </c>
      <c r="AA196" s="1"/>
      <c r="AB196" s="50">
        <f>AB193/AB173</f>
        <v>0.13774545454545453</v>
      </c>
      <c r="AC196" s="24">
        <f>AC193/AC173</f>
        <v>0.13082811412665274</v>
      </c>
      <c r="AD196" s="24">
        <f>AD193/AD173</f>
        <v>0.15387755102040818</v>
      </c>
      <c r="AE196" s="24">
        <f>AE193/AE173</f>
        <v>0.15930831493745401</v>
      </c>
      <c r="AF196" s="60">
        <f>AF193/AF173</f>
        <v>0.14602218914896495</v>
      </c>
      <c r="AG196" s="1"/>
      <c r="AH196" s="50">
        <f>AH193/AH173</f>
        <v>0.12625353561326819</v>
      </c>
      <c r="AI196" s="24">
        <f>AI193/AI173</f>
        <v>0.14561682357256389</v>
      </c>
      <c r="AJ196" s="24">
        <f>AJ193/AJ173</f>
        <v>0.14269333673079374</v>
      </c>
      <c r="AK196" s="24">
        <f>AK193/AK173</f>
        <v>0.17351764277919243</v>
      </c>
      <c r="AL196" s="60">
        <f>AL193/AL173</f>
        <v>0.14738090038373944</v>
      </c>
      <c r="AM196" s="1"/>
      <c r="AN196" s="50">
        <f>AN193/AN173</f>
        <v>0.15525061053610886</v>
      </c>
      <c r="AO196" s="24">
        <f>AO193/AO173</f>
        <v>0.14628063326827154</v>
      </c>
      <c r="AP196" s="24">
        <f>AP193/AP173</f>
        <v>0.12535150335280121</v>
      </c>
      <c r="AQ196" s="24">
        <f>AQ193/AQ173</f>
        <v>8.4422604422604422E-2</v>
      </c>
      <c r="AR196" s="60">
        <f>AR193/AR173</f>
        <v>0.12625530315235486</v>
      </c>
      <c r="AS196" s="1"/>
      <c r="AT196" s="50">
        <f>AT193/AT173</f>
        <v>0.15895141995214812</v>
      </c>
      <c r="AU196" s="24">
        <f>AU193/AU173</f>
        <v>0.13189072750416136</v>
      </c>
      <c r="AV196" s="24">
        <f>AV193/AV173</f>
        <v>0.14382672921449247</v>
      </c>
      <c r="AW196" s="24">
        <f>AW193/AW173</f>
        <v>8.5602751185054379E-2</v>
      </c>
      <c r="AX196" s="89">
        <f>AX193/AX173</f>
        <v>0.12897744064624175</v>
      </c>
      <c r="AY196" s="1"/>
      <c r="AZ196" s="50">
        <f>AZ193/AZ173</f>
        <v>0.13870199202896041</v>
      </c>
      <c r="BA196" s="24">
        <f>BA193/BA173</f>
        <v>0.13398663696359994</v>
      </c>
      <c r="BB196" s="24">
        <f>BB193/BB173</f>
        <v>0.12198748199086765</v>
      </c>
      <c r="BC196" s="25">
        <f>BC193/BC173</f>
        <v>0.10408273902309291</v>
      </c>
      <c r="BD196" s="89">
        <f>BD193/BD173</f>
        <v>0.1244030758228323</v>
      </c>
      <c r="BE196" s="1"/>
      <c r="BF196" s="50">
        <f>BF193/BF173</f>
        <v>0.11953812855220647</v>
      </c>
      <c r="BG196" s="24">
        <f>BG193/BG173</f>
        <v>0.11468177741948213</v>
      </c>
      <c r="BH196" s="24">
        <f>BH193/BH173</f>
        <v>0.11638008885187948</v>
      </c>
      <c r="BI196" s="25">
        <f>BI193/BI173</f>
        <v>0.13652365449422549</v>
      </c>
      <c r="BJ196" s="89">
        <f>BJ193/BJ173</f>
        <v>0.12188968510575489</v>
      </c>
      <c r="BK196" s="1"/>
      <c r="BL196" s="50">
        <f>BL193/BL173</f>
        <v>0.11322316163074037</v>
      </c>
      <c r="BM196" s="24">
        <f>BM193/BM173</f>
        <v>0.10973784884679125</v>
      </c>
      <c r="BN196" s="24">
        <f>BN193/BN173</f>
        <v>0.11141920520435811</v>
      </c>
      <c r="BO196" s="25">
        <f>BO193/BO173</f>
        <v>0.14796885460808534</v>
      </c>
      <c r="BP196" s="89">
        <f>BP193/BP173</f>
        <v>0.12076631899425493</v>
      </c>
      <c r="BQ196" s="1"/>
      <c r="BR196" s="50">
        <f>BR193/BR173</f>
        <v>0.11648396461219226</v>
      </c>
      <c r="BS196" s="24">
        <f>BS193/BS173</f>
        <v>0.11382296947323428</v>
      </c>
      <c r="BT196" s="24">
        <f>BT193/BT173</f>
        <v>0.11559881086989418</v>
      </c>
      <c r="BU196" s="25">
        <f>BU193/BU173</f>
        <v>0.13318391752588074</v>
      </c>
      <c r="BV196" s="89">
        <f>BV193/BV173</f>
        <v>0.11983196920140882</v>
      </c>
      <c r="BW196" s="1"/>
      <c r="BX196" s="50">
        <f>BX193/BX173</f>
        <v>0.11405630902950192</v>
      </c>
      <c r="BY196" s="24">
        <f>BY193/BY173</f>
        <v>0.11230038783493103</v>
      </c>
      <c r="BZ196" s="24">
        <f>BZ193/BZ173</f>
        <v>0.11406707334599943</v>
      </c>
      <c r="CA196" s="25">
        <f>CA193/CA173</f>
        <v>0.13315156546177453</v>
      </c>
      <c r="CB196" s="89">
        <f>CB193/CB173</f>
        <v>0.11845037486243014</v>
      </c>
      <c r="CC196" s="1"/>
      <c r="CD196" s="50">
        <f>CD193/CD173</f>
        <v>0.11040358903530034</v>
      </c>
      <c r="CE196" s="24">
        <f>CE193/CE173</f>
        <v>0.10924936157081994</v>
      </c>
      <c r="CF196" s="24">
        <f>CF193/CF173</f>
        <v>0.11094498298847855</v>
      </c>
      <c r="CG196" s="25">
        <f>CG193/CG173</f>
        <v>0.13541467500290508</v>
      </c>
      <c r="CH196" s="89">
        <f>CH193/CH173</f>
        <v>0.11656396544963826</v>
      </c>
      <c r="CI196" s="1"/>
      <c r="CJ196" s="50">
        <f>CJ193/CJ173</f>
        <v>0.11072590360645369</v>
      </c>
      <c r="CK196" s="24">
        <f>CK193/CK173</f>
        <v>0.11049673646834696</v>
      </c>
      <c r="CL196" s="24">
        <f>CL193/CL173</f>
        <v>0.11224441932314935</v>
      </c>
      <c r="CM196" s="25">
        <f>CM193/CM173</f>
        <v>0.13254415367678099</v>
      </c>
      <c r="CN196" s="89">
        <f>CN193/CN173</f>
        <v>0.11653539026313676</v>
      </c>
      <c r="CO196" s="1"/>
      <c r="CP196" s="50">
        <f>CP193/CP173</f>
        <v>0.11396425349543726</v>
      </c>
      <c r="CQ196" s="24">
        <f>CQ193/CQ173</f>
        <v>0.11401001625023841</v>
      </c>
      <c r="CR196" s="24">
        <f>CR193/CR173</f>
        <v>0.11576030824254109</v>
      </c>
      <c r="CS196" s="25">
        <f>CS193/CS173</f>
        <v>0.13010188713992829</v>
      </c>
      <c r="CT196" s="89">
        <f>CT193/CT173</f>
        <v>0.1184791685562244</v>
      </c>
    </row>
    <row r="197" spans="2:98" ht="15.75" thickBot="1" x14ac:dyDescent="0.35">
      <c r="B197" s="41" t="s">
        <v>40</v>
      </c>
      <c r="D197" s="52" t="s">
        <v>35</v>
      </c>
      <c r="E197" s="10" t="s">
        <v>35</v>
      </c>
      <c r="F197" s="10" t="s">
        <v>35</v>
      </c>
      <c r="G197" s="10" t="s">
        <v>35</v>
      </c>
      <c r="H197" s="61" t="s">
        <v>35</v>
      </c>
      <c r="I197" s="1"/>
      <c r="J197" s="52">
        <f>J196-D196</f>
        <v>1.8464990590469299E-2</v>
      </c>
      <c r="K197" s="10">
        <f>K196-E196</f>
        <v>1.7545718621144096E-2</v>
      </c>
      <c r="L197" s="10">
        <f>L196-F196</f>
        <v>1.6397458921381836E-2</v>
      </c>
      <c r="M197" s="10">
        <f>M196-G196</f>
        <v>-5.0958828083737834E-2</v>
      </c>
      <c r="N197" s="61">
        <f>N196-H196</f>
        <v>1.7555977100888742E-4</v>
      </c>
      <c r="O197" s="1"/>
      <c r="P197" s="52">
        <f>P196-J196</f>
        <v>-6.1035388237863641E-3</v>
      </c>
      <c r="Q197" s="10">
        <f>Q196-K196</f>
        <v>-3.5291244203415215E-2</v>
      </c>
      <c r="R197" s="10">
        <f>R196-L196</f>
        <v>5.3967048967480669E-3</v>
      </c>
      <c r="S197" s="10">
        <f>S196-M196</f>
        <v>7.1187839925742208E-2</v>
      </c>
      <c r="T197" s="61">
        <f>T196-N196</f>
        <v>8.8447503773952107E-3</v>
      </c>
      <c r="U197" s="1"/>
      <c r="V197" s="52">
        <f>V196-P196</f>
        <v>6.5223034185677098E-2</v>
      </c>
      <c r="W197" s="10">
        <f>W196-Q196</f>
        <v>5.0069560577541569E-2</v>
      </c>
      <c r="X197" s="10">
        <f>X196-R196</f>
        <v>-7.0644272996386315E-3</v>
      </c>
      <c r="Y197" s="10">
        <f>Y196-S196</f>
        <v>-5.7470895966732161E-2</v>
      </c>
      <c r="Z197" s="61">
        <f>Z196-T196</f>
        <v>1.1337591601301045E-2</v>
      </c>
      <c r="AA197" s="1"/>
      <c r="AB197" s="52">
        <f>AB196-V196</f>
        <v>-6.8659642704713142E-2</v>
      </c>
      <c r="AC197" s="10">
        <f>AC196-W196</f>
        <v>-3.621094677535347E-2</v>
      </c>
      <c r="AD197" s="10">
        <f>AD196-X196</f>
        <v>1.8067377478751534E-3</v>
      </c>
      <c r="AE197" s="10">
        <f>AE196-Y196</f>
        <v>3.0116850174329884E-2</v>
      </c>
      <c r="AF197" s="61">
        <f>AF196-Z196</f>
        <v>-1.6282364579652764E-2</v>
      </c>
      <c r="AG197" s="1"/>
      <c r="AH197" s="52">
        <f>AH196-AB196</f>
        <v>-1.1491918932186346E-2</v>
      </c>
      <c r="AI197" s="10">
        <f>AI196-AC196</f>
        <v>1.4788709445911152E-2</v>
      </c>
      <c r="AJ197" s="10">
        <f>AJ196-AD196</f>
        <v>-1.1184214289614441E-2</v>
      </c>
      <c r="AK197" s="10">
        <f>AK196-AE196</f>
        <v>1.4209327841738423E-2</v>
      </c>
      <c r="AL197" s="61">
        <f>AL196-AF196</f>
        <v>1.3587112347744901E-3</v>
      </c>
      <c r="AM197" s="1"/>
      <c r="AN197" s="52">
        <f>AN196-AH196</f>
        <v>2.8997074922840677E-2</v>
      </c>
      <c r="AO197" s="10">
        <f>AO196-AI196</f>
        <v>6.6380969570764559E-4</v>
      </c>
      <c r="AP197" s="10">
        <f>AP196-AJ196</f>
        <v>-1.7341833377992527E-2</v>
      </c>
      <c r="AQ197" s="10">
        <f>AQ196-AK196</f>
        <v>-8.9095038356588011E-2</v>
      </c>
      <c r="AR197" s="61">
        <f>AR196-AL196</f>
        <v>-2.1125597231384574E-2</v>
      </c>
      <c r="AS197" s="1"/>
      <c r="AT197" s="52">
        <f>AT196-AN196</f>
        <v>3.7008094160392579E-3</v>
      </c>
      <c r="AU197" s="10">
        <f>AU196-AO196</f>
        <v>-1.4389905764110172E-2</v>
      </c>
      <c r="AV197" s="10">
        <f>AV196-AP196</f>
        <v>1.8475225861691258E-2</v>
      </c>
      <c r="AW197" s="10">
        <f>AW196-AQ196</f>
        <v>1.1801467624499573E-3</v>
      </c>
      <c r="AX197" s="83">
        <f>AX196-AR196</f>
        <v>2.7221374938868892E-3</v>
      </c>
      <c r="AY197" s="1"/>
      <c r="AZ197" s="52">
        <f>AZ196-AT196</f>
        <v>-2.0249427923187707E-2</v>
      </c>
      <c r="BA197" s="10">
        <f>BA196-AU196</f>
        <v>2.0959094594385774E-3</v>
      </c>
      <c r="BB197" s="10">
        <f>BB196-AV196</f>
        <v>-2.1839247223624819E-2</v>
      </c>
      <c r="BC197" s="83">
        <f>BC196-AW196</f>
        <v>1.8479987838038531E-2</v>
      </c>
      <c r="BD197" s="83">
        <f>BD196-AX196</f>
        <v>-4.5743648234094492E-3</v>
      </c>
      <c r="BE197" s="1"/>
      <c r="BF197" s="52">
        <f>BF196-AZ196</f>
        <v>-1.9163863476753945E-2</v>
      </c>
      <c r="BG197" s="10">
        <f>BG196-BA196</f>
        <v>-1.9304859544117814E-2</v>
      </c>
      <c r="BH197" s="10">
        <f>BH196-BB196</f>
        <v>-5.6073931389881704E-3</v>
      </c>
      <c r="BI197" s="83">
        <f>BI196-BC196</f>
        <v>3.2440915471132578E-2</v>
      </c>
      <c r="BJ197" s="83">
        <f>BJ196-BD196</f>
        <v>-2.5133907170774156E-3</v>
      </c>
      <c r="BK197" s="1"/>
      <c r="BL197" s="52">
        <f>BL196-BF196</f>
        <v>-6.3149669214661031E-3</v>
      </c>
      <c r="BM197" s="10">
        <f>BM196-BG196</f>
        <v>-4.943928572690881E-3</v>
      </c>
      <c r="BN197" s="10">
        <f>BN196-BH196</f>
        <v>-4.9608836475213691E-3</v>
      </c>
      <c r="BO197" s="83">
        <f>BO196-BI196</f>
        <v>1.1445200113859855E-2</v>
      </c>
      <c r="BP197" s="83">
        <f>BP196-BJ196</f>
        <v>-1.1233661114999627E-3</v>
      </c>
      <c r="BQ197" s="1"/>
      <c r="BR197" s="52">
        <f>BR196-BL196</f>
        <v>3.2608029814518991E-3</v>
      </c>
      <c r="BS197" s="10">
        <f>BS196-BM196</f>
        <v>4.085120626443034E-3</v>
      </c>
      <c r="BT197" s="10">
        <f>BT196-BN196</f>
        <v>4.1796056655360736E-3</v>
      </c>
      <c r="BU197" s="83">
        <f>BU196-BO196</f>
        <v>-1.4784937082204602E-2</v>
      </c>
      <c r="BV197" s="83">
        <f>BV196-BP196</f>
        <v>-9.343497928461092E-4</v>
      </c>
      <c r="BW197" s="1"/>
      <c r="BX197" s="52">
        <f>BX196-BR196</f>
        <v>-2.4276555826903412E-3</v>
      </c>
      <c r="BY197" s="10">
        <f>BY196-BS196</f>
        <v>-1.5225816383032525E-3</v>
      </c>
      <c r="BZ197" s="10">
        <f>BZ196-BT196</f>
        <v>-1.5317375238947523E-3</v>
      </c>
      <c r="CA197" s="83">
        <f>CA196-BU196</f>
        <v>-3.2352064106205836E-5</v>
      </c>
      <c r="CB197" s="83">
        <f>CB196-BV196</f>
        <v>-1.3815943389786783E-3</v>
      </c>
      <c r="CC197" s="1"/>
      <c r="CD197" s="52">
        <f>CD196-BX196</f>
        <v>-3.6527199942015809E-3</v>
      </c>
      <c r="CE197" s="10">
        <f>CE196-BY196</f>
        <v>-3.0510262641110925E-3</v>
      </c>
      <c r="CF197" s="10">
        <f>CF196-BZ196</f>
        <v>-3.1220903575208819E-3</v>
      </c>
      <c r="CG197" s="83">
        <f>CG196-CA196</f>
        <v>2.2631095411305424E-3</v>
      </c>
      <c r="CH197" s="83">
        <f>CH196-CB196</f>
        <v>-1.8864094127918757E-3</v>
      </c>
      <c r="CI197" s="1"/>
      <c r="CJ197" s="52">
        <f>CJ196-CD196</f>
        <v>3.2231457115335094E-4</v>
      </c>
      <c r="CK197" s="10">
        <f>CK196-CE196</f>
        <v>1.2473748975270205E-3</v>
      </c>
      <c r="CL197" s="10">
        <f>CL196-CF196</f>
        <v>1.299436334670806E-3</v>
      </c>
      <c r="CM197" s="83">
        <f>CM196-CG196</f>
        <v>-2.8705213261240869E-3</v>
      </c>
      <c r="CN197" s="83">
        <f>CN196-CH196</f>
        <v>-2.8575186501497707E-5</v>
      </c>
      <c r="CO197" s="1"/>
      <c r="CP197" s="52">
        <f>CP196-CJ196</f>
        <v>3.2383498889835688E-3</v>
      </c>
      <c r="CQ197" s="10">
        <f>CQ196-CK196</f>
        <v>3.5132797818914485E-3</v>
      </c>
      <c r="CR197" s="10">
        <f>CR196-CL196</f>
        <v>3.5158889193917381E-3</v>
      </c>
      <c r="CS197" s="83">
        <f>CS196-CM196</f>
        <v>-2.4422665368526997E-3</v>
      </c>
      <c r="CT197" s="83">
        <f>CT196-CN196</f>
        <v>1.9437782930876307E-3</v>
      </c>
    </row>
    <row r="198" spans="2:98" ht="15.75" thickBot="1" x14ac:dyDescent="0.35">
      <c r="B198" s="1"/>
      <c r="D198" s="36"/>
      <c r="E198" s="36"/>
      <c r="F198" s="36"/>
      <c r="G198" s="36"/>
      <c r="H198" s="2"/>
      <c r="I198" s="1"/>
      <c r="J198" s="36"/>
      <c r="K198" s="36"/>
      <c r="L198" s="36"/>
      <c r="M198" s="36"/>
      <c r="N198" s="2"/>
      <c r="O198" s="1"/>
      <c r="P198" s="36"/>
      <c r="Q198" s="36"/>
      <c r="R198" s="36"/>
      <c r="S198" s="36"/>
      <c r="T198" s="2"/>
      <c r="U198" s="1"/>
      <c r="V198" s="36"/>
      <c r="W198" s="36"/>
      <c r="X198" s="36"/>
      <c r="Y198" s="36"/>
      <c r="Z198" s="2"/>
      <c r="AA198" s="1"/>
      <c r="AB198" s="36"/>
      <c r="AC198" s="36"/>
      <c r="AD198" s="36"/>
      <c r="AE198" s="36"/>
      <c r="AF198" s="2"/>
      <c r="AG198" s="1"/>
      <c r="AH198" s="36"/>
      <c r="AI198" s="36"/>
      <c r="AJ198" s="36"/>
      <c r="AK198" s="36"/>
      <c r="AL198" s="2"/>
      <c r="AM198" s="1"/>
      <c r="AN198" s="36"/>
      <c r="AO198" s="36"/>
      <c r="AP198" s="36"/>
      <c r="AQ198" s="36"/>
      <c r="AR198" s="2"/>
      <c r="AS198" s="1"/>
      <c r="AT198" s="36"/>
      <c r="AU198" s="36"/>
      <c r="AV198" s="36"/>
      <c r="AW198" s="36"/>
      <c r="AX198" s="2"/>
      <c r="AY198" s="1"/>
      <c r="AZ198" s="36"/>
      <c r="BA198" s="36"/>
      <c r="BB198" s="36"/>
      <c r="BC198" s="36"/>
      <c r="BD198" s="2"/>
      <c r="BE198" s="1"/>
      <c r="BF198" s="36"/>
      <c r="BG198" s="36"/>
      <c r="BH198" s="36"/>
      <c r="BI198" s="36"/>
      <c r="BJ198" s="2"/>
      <c r="BK198" s="1"/>
      <c r="BL198" s="36"/>
      <c r="BM198" s="36"/>
      <c r="BN198" s="36"/>
      <c r="BO198" s="36"/>
      <c r="BP198" s="2"/>
      <c r="BQ198" s="1"/>
      <c r="BR198" s="36"/>
      <c r="BS198" s="36"/>
      <c r="BT198" s="36"/>
      <c r="BU198" s="36"/>
      <c r="BV198" s="2"/>
      <c r="BW198" s="1"/>
      <c r="BX198" s="36"/>
      <c r="BY198" s="36"/>
      <c r="BZ198" s="36"/>
      <c r="CA198" s="36"/>
      <c r="CB198" s="2"/>
      <c r="CC198" s="1"/>
      <c r="CD198" s="36"/>
      <c r="CE198" s="36"/>
      <c r="CF198" s="36"/>
      <c r="CG198" s="36"/>
      <c r="CH198" s="2"/>
      <c r="CI198" s="1"/>
      <c r="CJ198" s="36"/>
      <c r="CK198" s="36"/>
      <c r="CL198" s="36"/>
      <c r="CM198" s="36"/>
      <c r="CN198" s="2"/>
      <c r="CO198" s="1"/>
      <c r="CP198" s="36"/>
      <c r="CQ198" s="36"/>
      <c r="CR198" s="36"/>
      <c r="CS198" s="36"/>
      <c r="CT198" s="2"/>
    </row>
    <row r="199" spans="2:98" ht="15" x14ac:dyDescent="0.3">
      <c r="B199" s="42" t="s">
        <v>38</v>
      </c>
      <c r="D199" s="49">
        <f>D59+D129</f>
        <v>801</v>
      </c>
      <c r="E199" s="14">
        <f>E59+E129</f>
        <v>871</v>
      </c>
      <c r="F199" s="14">
        <f>F59+F129</f>
        <v>751</v>
      </c>
      <c r="G199" s="14">
        <f>G59+G129</f>
        <v>576</v>
      </c>
      <c r="H199" s="59">
        <f>D199+E199+F199+G199</f>
        <v>2999</v>
      </c>
      <c r="I199" s="13"/>
      <c r="J199" s="49">
        <f>J59+J129</f>
        <v>526</v>
      </c>
      <c r="K199" s="14">
        <f>K59+K129</f>
        <v>670</v>
      </c>
      <c r="L199" s="14">
        <f>L59+L129</f>
        <v>773</v>
      </c>
      <c r="M199" s="14">
        <f>M59+M129</f>
        <v>1011</v>
      </c>
      <c r="N199" s="59">
        <f>J199+K199+L199+M199</f>
        <v>2980</v>
      </c>
      <c r="O199" s="13"/>
      <c r="P199" s="49">
        <f>P59+P129</f>
        <v>635</v>
      </c>
      <c r="Q199" s="14">
        <f>Q59+Q129</f>
        <v>1084</v>
      </c>
      <c r="R199" s="14">
        <f>R59+R129</f>
        <v>704</v>
      </c>
      <c r="S199" s="14">
        <f>S59+S129</f>
        <v>190</v>
      </c>
      <c r="T199" s="59">
        <f>P199+Q199+R199+S199</f>
        <v>2613</v>
      </c>
      <c r="U199" s="13"/>
      <c r="V199" s="49">
        <f>V59+V129</f>
        <v>238</v>
      </c>
      <c r="W199" s="14">
        <f>W59+W129</f>
        <v>154.41063096075152</v>
      </c>
      <c r="X199" s="14">
        <f>X59+X129</f>
        <v>327.0688474331713</v>
      </c>
      <c r="Y199" s="14">
        <f>Y59+Y129</f>
        <v>357.26668305315405</v>
      </c>
      <c r="Z199" s="59">
        <f>V199+W199+X199+Y199</f>
        <v>1076.7461614470769</v>
      </c>
      <c r="AA199" s="1"/>
      <c r="AB199" s="49">
        <f>AB187-AB193</f>
        <v>141</v>
      </c>
      <c r="AC199" s="14">
        <f>AC187-AC193</f>
        <v>511</v>
      </c>
      <c r="AD199" s="14">
        <f>AD187-AD193</f>
        <v>215</v>
      </c>
      <c r="AE199" s="35">
        <f>AE187-AE193</f>
        <v>452</v>
      </c>
      <c r="AF199" s="59">
        <f>(AB199+AC199+AD199+AE199)</f>
        <v>1319</v>
      </c>
      <c r="AG199" s="1"/>
      <c r="AH199" s="49">
        <f>AH187-AH193</f>
        <v>406</v>
      </c>
      <c r="AI199" s="14">
        <f>AI187-AI193</f>
        <v>626</v>
      </c>
      <c r="AJ199" s="14">
        <f>AJ187-AJ193</f>
        <v>788</v>
      </c>
      <c r="AK199" s="35">
        <f>AK187-AK193</f>
        <v>849</v>
      </c>
      <c r="AL199" s="59">
        <f>(AH199+AI199+AJ199+AK199)</f>
        <v>2669</v>
      </c>
      <c r="AM199" s="1"/>
      <c r="AN199" s="49">
        <f>AN187-AN193</f>
        <v>1414</v>
      </c>
      <c r="AO199" s="14">
        <f>AO187-AO193</f>
        <v>1115</v>
      </c>
      <c r="AP199" s="14">
        <f>AP187-AP193</f>
        <v>1471</v>
      </c>
      <c r="AQ199" s="35">
        <f>AQ187-AQ193</f>
        <v>1689</v>
      </c>
      <c r="AR199" s="59">
        <f>(AN199+AO199+AP199+AQ199)</f>
        <v>5689</v>
      </c>
      <c r="AS199" s="1"/>
      <c r="AT199" s="49">
        <f>AT187-AT193</f>
        <v>1140</v>
      </c>
      <c r="AU199" s="14">
        <f>AU187-AU193</f>
        <v>1665</v>
      </c>
      <c r="AV199" s="14">
        <f>AV187-AV193</f>
        <v>1381</v>
      </c>
      <c r="AW199" s="35">
        <f>AW187-AW193</f>
        <v>1790</v>
      </c>
      <c r="AX199" s="59">
        <f>(AT199+AU199+AV199+AW199)</f>
        <v>5976</v>
      </c>
      <c r="AY199" s="1"/>
      <c r="AZ199" s="49">
        <f>AZ187-AZ193</f>
        <v>1457.8111966660385</v>
      </c>
      <c r="BA199" s="14">
        <f>BA187-BA193</f>
        <v>1788.4089630174544</v>
      </c>
      <c r="BB199" s="14">
        <f>BB187-BB193</f>
        <v>1725.6226419742916</v>
      </c>
      <c r="BC199" s="35">
        <f>BC187-BC193</f>
        <v>1590.3789438463505</v>
      </c>
      <c r="BD199" s="59">
        <f>(AZ199+BA199+BB199+BC199)</f>
        <v>6562.2217455041355</v>
      </c>
      <c r="BE199" s="1"/>
      <c r="BF199" s="49">
        <f>BF187-BF193</f>
        <v>1744.944450219693</v>
      </c>
      <c r="BG199" s="14">
        <f>BG187-BG193</f>
        <v>2103.1098633005804</v>
      </c>
      <c r="BH199" s="14">
        <f>BH187-BH193</f>
        <v>1895.618432987937</v>
      </c>
      <c r="BI199" s="35">
        <f>BI187-BI193</f>
        <v>1331.0770012182602</v>
      </c>
      <c r="BJ199" s="59">
        <f>(BF199+BG199+BH199+BI199)</f>
        <v>7074.7497477264706</v>
      </c>
      <c r="BK199" s="1"/>
      <c r="BL199" s="49">
        <f>BL187-BL193</f>
        <v>1917.448339698914</v>
      </c>
      <c r="BM199" s="14">
        <f>BM187-BM193</f>
        <v>2298.6474189393657</v>
      </c>
      <c r="BN199" s="14">
        <f>BN187-BN193</f>
        <v>2083.257471211401</v>
      </c>
      <c r="BO199" s="35">
        <f>BO187-BO193</f>
        <v>1312.6681884590685</v>
      </c>
      <c r="BP199" s="59">
        <f>(BL199+BM199+BN199+BO199)</f>
        <v>7612.0214183087483</v>
      </c>
      <c r="BQ199" s="1"/>
      <c r="BR199" s="49">
        <f>BR187-BR193</f>
        <v>1988.2020555538047</v>
      </c>
      <c r="BS199" s="14">
        <f>BS187-BS193</f>
        <v>2390.3131859332698</v>
      </c>
      <c r="BT199" s="14">
        <f>BT187-BT193</f>
        <v>2168.6095347013052</v>
      </c>
      <c r="BU199" s="35">
        <f>BU187-BU193</f>
        <v>1621.9299711216736</v>
      </c>
      <c r="BV199" s="59">
        <f>(BR199+BS199+BT199+BU199)</f>
        <v>8169.0547473100532</v>
      </c>
      <c r="BW199" s="1"/>
      <c r="BX199" s="49">
        <f>BX187-BX193</f>
        <v>2116.9762374725283</v>
      </c>
      <c r="BY199" s="14">
        <f>BY187-BY193</f>
        <v>2537.9567690724152</v>
      </c>
      <c r="BZ199" s="14">
        <f>BZ187-BZ193</f>
        <v>2312.5724167998333</v>
      </c>
      <c r="CA199" s="35">
        <f>CA187-CA193</f>
        <v>1732.2775030418875</v>
      </c>
      <c r="CB199" s="59">
        <f>(BX199+BY199+BZ199+CA199)</f>
        <v>8699.7829263866643</v>
      </c>
      <c r="CC199" s="1"/>
      <c r="CD199" s="49">
        <f>CD187-CD193</f>
        <v>2257.3195109226976</v>
      </c>
      <c r="CE199" s="14">
        <f>CE187-CE193</f>
        <v>2693.8883720928607</v>
      </c>
      <c r="CF199" s="14">
        <f>CF187-CF193</f>
        <v>2465.8402428651402</v>
      </c>
      <c r="CG199" s="35">
        <f>CG187-CG193</f>
        <v>1806.1089447804197</v>
      </c>
      <c r="CH199" s="59">
        <f>(CD199+CE199+CF199+CG199)</f>
        <v>9223.1570706611201</v>
      </c>
      <c r="CI199" s="1"/>
      <c r="CJ199" s="49">
        <f>CJ187-CJ193</f>
        <v>2358.3829681339985</v>
      </c>
      <c r="CK199" s="14">
        <f>CK187-CK193</f>
        <v>2810.9314667627768</v>
      </c>
      <c r="CL199" s="14">
        <f>CL187-CL193</f>
        <v>2582.4725912665576</v>
      </c>
      <c r="CM199" s="35">
        <f>CM187-CM193</f>
        <v>1964.2056934495727</v>
      </c>
      <c r="CN199" s="59">
        <f>(CJ199+CK199+CL199+CM199)</f>
        <v>9715.9927196129047</v>
      </c>
      <c r="CO199" s="1"/>
      <c r="CP199" s="49">
        <f>CP187-CP193</f>
        <v>2391.5177809652942</v>
      </c>
      <c r="CQ199" s="14">
        <f>CQ187-CQ193</f>
        <v>2853.7176844099922</v>
      </c>
      <c r="CR199" s="14">
        <f>CR187-CR193</f>
        <v>2624.5101067396909</v>
      </c>
      <c r="CS199" s="35">
        <f>CS187-CS193</f>
        <v>2076.7757577033549</v>
      </c>
      <c r="CT199" s="59">
        <f>(CP199+CQ199+CR199+CS199)</f>
        <v>9946.5213298183317</v>
      </c>
    </row>
    <row r="200" spans="2:98" ht="15.75" thickBot="1" x14ac:dyDescent="0.35">
      <c r="B200" s="41" t="s">
        <v>23</v>
      </c>
      <c r="D200" s="52" t="s">
        <v>35</v>
      </c>
      <c r="E200" s="10" t="s">
        <v>35</v>
      </c>
      <c r="F200" s="10" t="s">
        <v>35</v>
      </c>
      <c r="G200" s="10" t="s">
        <v>35</v>
      </c>
      <c r="H200" s="61" t="s">
        <v>35</v>
      </c>
      <c r="I200" s="1"/>
      <c r="J200" s="52">
        <f>(J199-D199)/D199</f>
        <v>-0.34332084893882647</v>
      </c>
      <c r="K200" s="10">
        <f>(K199-E199)/E199</f>
        <v>-0.23076923076923078</v>
      </c>
      <c r="L200" s="10">
        <f>(L199-F199)/F199</f>
        <v>2.929427430093209E-2</v>
      </c>
      <c r="M200" s="83">
        <f>(M199-G199)/G199</f>
        <v>0.75520833333333337</v>
      </c>
      <c r="N200" s="83">
        <f>(N199-H199)/H199</f>
        <v>-6.3354451483827942E-3</v>
      </c>
      <c r="O200" s="1"/>
      <c r="P200" s="52">
        <f>(P199-J199)/J199</f>
        <v>0.20722433460076045</v>
      </c>
      <c r="Q200" s="10">
        <f>(Q199-K199)/K199</f>
        <v>0.61791044776119408</v>
      </c>
      <c r="R200" s="10">
        <f>(R199-L199)/L199</f>
        <v>-8.9262613195342816E-2</v>
      </c>
      <c r="S200" s="83">
        <f>(S199-M199)/M199</f>
        <v>-0.81206726013847674</v>
      </c>
      <c r="T200" s="83">
        <f>(T199-N199)/N199</f>
        <v>-0.12315436241610739</v>
      </c>
      <c r="U200" s="1"/>
      <c r="V200" s="52">
        <f>(V199-P199)/P199</f>
        <v>-0.62519685039370076</v>
      </c>
      <c r="W200" s="10">
        <f>(W199-Q199)/Q199</f>
        <v>-0.85755476848639156</v>
      </c>
      <c r="X200" s="10">
        <f>(X199-R199)/R199</f>
        <v>-0.53541356898697257</v>
      </c>
      <c r="Y200" s="83">
        <f>(Y199-S199)/S199</f>
        <v>0.88035096343765296</v>
      </c>
      <c r="Z200" s="83">
        <f>(Z199-T199)/T199</f>
        <v>-0.58792722485760551</v>
      </c>
      <c r="AA200" s="1"/>
      <c r="AB200" s="52">
        <f>AB199/V199-1</f>
        <v>-0.40756302521008403</v>
      </c>
      <c r="AC200" s="10">
        <f>AC199/W199-1</f>
        <v>2.3093576317934175</v>
      </c>
      <c r="AD200" s="10">
        <f>AD199/X199-1</f>
        <v>-0.34264604627644912</v>
      </c>
      <c r="AE200" s="83">
        <f>AE199/Y199-1</f>
        <v>0.26516135268272856</v>
      </c>
      <c r="AF200" s="83">
        <f>AF199/Z199-1</f>
        <v>0.22498695349640219</v>
      </c>
      <c r="AG200" s="1"/>
      <c r="AH200" s="52">
        <f>AH199/AB199-1</f>
        <v>1.8794326241134751</v>
      </c>
      <c r="AI200" s="10">
        <f>AI199/AC199-1</f>
        <v>0.22504892367906071</v>
      </c>
      <c r="AJ200" s="10">
        <f>AJ199/AD199-1</f>
        <v>2.6651162790697676</v>
      </c>
      <c r="AK200" s="83">
        <f>AK199/AE199-1</f>
        <v>0.87831858407079655</v>
      </c>
      <c r="AL200" s="83">
        <f>AL199/AF199-1</f>
        <v>1.0235026535253979</v>
      </c>
      <c r="AM200" s="1"/>
      <c r="AN200" s="52">
        <f>AN199/AH199-1</f>
        <v>2.4827586206896552</v>
      </c>
      <c r="AO200" s="10">
        <f>AO199/AI199-1</f>
        <v>0.78115015974440905</v>
      </c>
      <c r="AP200" s="10">
        <f>AP199/AJ199-1</f>
        <v>0.86675126903553301</v>
      </c>
      <c r="AQ200" s="83">
        <f>AQ199/AK199-1</f>
        <v>0.98939929328621901</v>
      </c>
      <c r="AR200" s="83">
        <f>AR199/AL199-1</f>
        <v>1.1315099288122892</v>
      </c>
      <c r="AS200" s="1"/>
      <c r="AT200" s="52">
        <f>AT199/AN199-1</f>
        <v>-0.19377652050919381</v>
      </c>
      <c r="AU200" s="10">
        <f>AU199/AO199-1</f>
        <v>0.49327354260089695</v>
      </c>
      <c r="AV200" s="10">
        <f>AV199/AP199-1</f>
        <v>-6.1182868796736956E-2</v>
      </c>
      <c r="AW200" s="83">
        <f>AW199/AQ199-1</f>
        <v>5.9798697454114924E-2</v>
      </c>
      <c r="AX200" s="83">
        <f>AX199/AR199-1</f>
        <v>5.0448233432940803E-2</v>
      </c>
      <c r="AY200" s="1"/>
      <c r="AZ200" s="52">
        <f>AZ199/AT199-1</f>
        <v>0.27878175146143724</v>
      </c>
      <c r="BA200" s="10">
        <f>BA199/AU199-1</f>
        <v>7.4119497307780335E-2</v>
      </c>
      <c r="BB200" s="10">
        <f>BB199/AV199-1</f>
        <v>0.24954572192200697</v>
      </c>
      <c r="BC200" s="83">
        <f>BC199/AW199-1</f>
        <v>-0.1115201431025975</v>
      </c>
      <c r="BD200" s="83">
        <f>BD199/AX199-1</f>
        <v>9.8096008283824476E-2</v>
      </c>
      <c r="BE200" s="1"/>
      <c r="BF200" s="52">
        <f>BF199/AZ199-1</f>
        <v>0.1969618934264723</v>
      </c>
      <c r="BG200" s="10">
        <f>BG199/BA199-1</f>
        <v>0.17596696661157063</v>
      </c>
      <c r="BH200" s="10">
        <f>BH199/BB199-1</f>
        <v>9.8512726292900643E-2</v>
      </c>
      <c r="BI200" s="83">
        <f>BI199/BC199-1</f>
        <v>-0.16304412456629069</v>
      </c>
      <c r="BJ200" s="83">
        <f>BJ199/BD199-1</f>
        <v>7.8102816713481849E-2</v>
      </c>
      <c r="BK200" s="1"/>
      <c r="BL200" s="52">
        <f>BL199/BF199-1</f>
        <v>9.8859244176800143E-2</v>
      </c>
      <c r="BM200" s="10">
        <f>BM199/BG199-1</f>
        <v>9.2975435592276945E-2</v>
      </c>
      <c r="BN200" s="10">
        <f>BN199/BH199-1</f>
        <v>9.8985658167346058E-2</v>
      </c>
      <c r="BO200" s="83">
        <f>BO199/BI199-1</f>
        <v>-1.3830013396928353E-2</v>
      </c>
      <c r="BP200" s="83">
        <f>BP199/BJ199-1</f>
        <v>7.5942144915434495E-2</v>
      </c>
      <c r="BQ200" s="1"/>
      <c r="BR200" s="52">
        <f>BR199/BL199-1</f>
        <v>3.6899933307199762E-2</v>
      </c>
      <c r="BS200" s="10">
        <f>BS199/BM199-1</f>
        <v>3.9878132783060849E-2</v>
      </c>
      <c r="BT200" s="10">
        <f>BT199/BN199-1</f>
        <v>4.0970482366863958E-2</v>
      </c>
      <c r="BU200" s="83">
        <f>BU199/BO199-1</f>
        <v>0.23559783453398486</v>
      </c>
      <c r="BV200" s="83">
        <f>BV199/BP199-1</f>
        <v>7.3178108466892322E-2</v>
      </c>
      <c r="BW200" s="1"/>
      <c r="BX200" s="52">
        <f>BX199/BR199-1</f>
        <v>6.4769162449564988E-2</v>
      </c>
      <c r="BY200" s="10">
        <f>BY199/BS199-1</f>
        <v>6.1767463781738696E-2</v>
      </c>
      <c r="BZ200" s="10">
        <f>BZ199/BT199-1</f>
        <v>6.6384879248608808E-2</v>
      </c>
      <c r="CA200" s="83">
        <f>CA199/BU199-1</f>
        <v>6.8034707962083774E-2</v>
      </c>
      <c r="CB200" s="83">
        <f>CB199/BV199-1</f>
        <v>6.4968126116595304E-2</v>
      </c>
      <c r="CC200" s="1"/>
      <c r="CD200" s="52">
        <f>CD199/BX199-1</f>
        <v>6.6294212927834328E-2</v>
      </c>
      <c r="CE200" s="10">
        <f>CE199/BY199-1</f>
        <v>6.1439818408504987E-2</v>
      </c>
      <c r="CF200" s="10">
        <f>CF199/BZ199-1</f>
        <v>6.6275903384422907E-2</v>
      </c>
      <c r="CG200" s="83">
        <f>CG199/CA199-1</f>
        <v>4.2621024407973884E-2</v>
      </c>
      <c r="CH200" s="83">
        <f>CH199/CB199-1</f>
        <v>6.0159448655557668E-2</v>
      </c>
      <c r="CI200" s="1"/>
      <c r="CJ200" s="52">
        <f>CJ199/CD199-1</f>
        <v>4.4771445390108022E-2</v>
      </c>
      <c r="CK200" s="10">
        <f>CK199/CE199-1</f>
        <v>4.3447640920245778E-2</v>
      </c>
      <c r="CL200" s="10">
        <f>CL199/CF199-1</f>
        <v>4.7299231464362324E-2</v>
      </c>
      <c r="CM200" s="83">
        <f>CM199/CG199-1</f>
        <v>8.7534447534876492E-2</v>
      </c>
      <c r="CN200" s="83">
        <f>CN199/CH199-1</f>
        <v>5.3434593510230499E-2</v>
      </c>
      <c r="CO200" s="1"/>
      <c r="CP200" s="52">
        <f>CP199/CJ199-1</f>
        <v>1.404980161365077E-2</v>
      </c>
      <c r="CQ200" s="10">
        <f>CQ199/CK199-1</f>
        <v>1.5221366352446308E-2</v>
      </c>
      <c r="CR200" s="10">
        <f>CR199/CL199-1</f>
        <v>1.6278010312789526E-2</v>
      </c>
      <c r="CS200" s="83">
        <f>CS199/CM199-1</f>
        <v>5.7310731065077336E-2</v>
      </c>
      <c r="CT200" s="83">
        <f>CT199/CN199-1</f>
        <v>2.3726717058986324E-2</v>
      </c>
    </row>
    <row r="201" spans="2:98" ht="15.75" thickBot="1" x14ac:dyDescent="0.35">
      <c r="B201" s="1"/>
      <c r="D201" s="2"/>
      <c r="E201" s="2"/>
      <c r="F201" s="11"/>
      <c r="G201" s="2"/>
      <c r="H201" s="2"/>
      <c r="I201" s="1"/>
      <c r="J201" s="2"/>
      <c r="K201" s="2"/>
      <c r="L201" s="11"/>
      <c r="M201" s="2"/>
      <c r="N201" s="2"/>
      <c r="O201" s="1"/>
      <c r="P201" s="2"/>
      <c r="Q201" s="2"/>
      <c r="R201" s="11"/>
      <c r="S201" s="2"/>
      <c r="T201" s="2"/>
      <c r="U201" s="1"/>
      <c r="V201" s="2"/>
      <c r="W201" s="2"/>
      <c r="X201" s="11"/>
      <c r="Y201" s="2"/>
      <c r="Z201" s="2"/>
      <c r="AA201" s="1"/>
      <c r="AB201" s="2"/>
      <c r="AC201" s="2"/>
      <c r="AD201" s="11"/>
      <c r="AE201" s="2"/>
      <c r="AF201" s="2"/>
      <c r="AG201" s="1"/>
      <c r="AH201" s="2"/>
      <c r="AI201" s="2"/>
      <c r="AJ201" s="11"/>
      <c r="AK201" s="2"/>
      <c r="AL201" s="2"/>
      <c r="AM201" s="1"/>
      <c r="AN201" s="2"/>
      <c r="AO201" s="2"/>
      <c r="AP201" s="11"/>
      <c r="AQ201" s="2"/>
      <c r="AR201" s="2"/>
      <c r="AS201" s="1"/>
      <c r="AT201" s="2"/>
      <c r="AU201" s="2"/>
      <c r="AV201" s="11"/>
      <c r="AW201" s="2"/>
      <c r="AX201" s="2"/>
      <c r="AY201" s="1"/>
      <c r="AZ201" s="2"/>
      <c r="BA201" s="2"/>
      <c r="BB201" s="11"/>
      <c r="BC201" s="2"/>
      <c r="BD201" s="2"/>
      <c r="BE201" s="1"/>
      <c r="BF201" s="2"/>
      <c r="BG201" s="2"/>
      <c r="BH201" s="11"/>
      <c r="BI201" s="2"/>
      <c r="BJ201" s="2"/>
      <c r="BK201" s="1"/>
      <c r="BL201" s="2"/>
      <c r="BM201" s="2"/>
      <c r="BN201" s="11"/>
      <c r="BO201" s="2"/>
      <c r="BP201" s="2"/>
      <c r="BQ201" s="1"/>
      <c r="BR201" s="2"/>
      <c r="BS201" s="2"/>
      <c r="BT201" s="11"/>
      <c r="BU201" s="2"/>
      <c r="BV201" s="2"/>
      <c r="BW201" s="1"/>
      <c r="BX201" s="2"/>
      <c r="BY201" s="2"/>
      <c r="BZ201" s="11"/>
      <c r="CA201" s="2"/>
      <c r="CB201" s="2"/>
      <c r="CC201" s="1"/>
      <c r="CD201" s="2"/>
      <c r="CE201" s="2"/>
      <c r="CF201" s="11"/>
      <c r="CG201" s="2"/>
      <c r="CH201" s="2"/>
      <c r="CI201" s="1"/>
      <c r="CJ201" s="2"/>
      <c r="CK201" s="2"/>
      <c r="CL201" s="11"/>
      <c r="CM201" s="2"/>
      <c r="CN201" s="2"/>
      <c r="CO201" s="1"/>
      <c r="CP201" s="2"/>
      <c r="CQ201" s="2"/>
      <c r="CR201" s="11"/>
      <c r="CS201" s="2"/>
      <c r="CT201" s="2"/>
    </row>
    <row r="202" spans="2:98" ht="15" x14ac:dyDescent="0.3">
      <c r="B202" s="42" t="s">
        <v>50</v>
      </c>
      <c r="D202" s="49">
        <f>D62+D132</f>
        <v>4179.57</v>
      </c>
      <c r="E202" s="14">
        <f>E62+E132</f>
        <v>4217.9984000000004</v>
      </c>
      <c r="F202" s="14">
        <f>F62+F132</f>
        <v>4144.2195770762537</v>
      </c>
      <c r="G202" s="14">
        <f>G62+G132</f>
        <v>4096.518</v>
      </c>
      <c r="H202" s="59">
        <f>D202+E202+F202+G202</f>
        <v>16638.305977076256</v>
      </c>
      <c r="I202" s="1"/>
      <c r="J202" s="49">
        <f>J62+J132</f>
        <v>4054.7454283369329</v>
      </c>
      <c r="K202" s="14">
        <f>K62+K132</f>
        <v>4031.4455999999996</v>
      </c>
      <c r="L202" s="14">
        <f>L62+L132</f>
        <v>4041.2320720102871</v>
      </c>
      <c r="M202" s="14">
        <f>M62+M132</f>
        <v>3919.7721999999999</v>
      </c>
      <c r="N202" s="59">
        <f>J202+K202+L202+M202</f>
        <v>16047.195300347219</v>
      </c>
      <c r="O202" s="1"/>
      <c r="P202" s="49">
        <f>P62+P132</f>
        <v>3790.405796939694</v>
      </c>
      <c r="Q202" s="14">
        <f>Q62+Q132</f>
        <v>3708.9242885551243</v>
      </c>
      <c r="R202" s="14">
        <f>R62+R132</f>
        <v>3552.1249377904246</v>
      </c>
      <c r="S202" s="14">
        <f>S62+S132</f>
        <v>3361.2772797286161</v>
      </c>
      <c r="T202" s="59">
        <f>P202+Q202+R202+S202</f>
        <v>14412.73230301386</v>
      </c>
      <c r="U202" s="1"/>
      <c r="V202" s="49">
        <f>V62+V132</f>
        <v>3176.9294255460673</v>
      </c>
      <c r="W202" s="14">
        <f>W62+W132</f>
        <v>3111.5254882963527</v>
      </c>
      <c r="X202" s="14">
        <f>X62+X132</f>
        <v>3091.2769380209375</v>
      </c>
      <c r="Y202" s="14">
        <f>Y62+Y132</f>
        <v>3002.958467337191</v>
      </c>
      <c r="Z202" s="59">
        <f>V202+W202+X202+Y202</f>
        <v>12382.690319200548</v>
      </c>
      <c r="AA202" s="1"/>
      <c r="AB202" s="49">
        <f>AB208-AB205</f>
        <v>2935.35</v>
      </c>
      <c r="AC202" s="14">
        <f>AC208-AC205</f>
        <v>2879.1</v>
      </c>
      <c r="AD202" s="14">
        <f>AD208-AD205</f>
        <v>2898.84</v>
      </c>
      <c r="AE202" s="35">
        <f>AE208-AE205</f>
        <v>2905.65</v>
      </c>
      <c r="AF202" s="59">
        <f>(AB202+AC202+AD202+AE202)</f>
        <v>11618.94</v>
      </c>
      <c r="AG202" s="1"/>
      <c r="AH202" s="49">
        <f>AH208-AH205</f>
        <v>2734.93</v>
      </c>
      <c r="AI202" s="14">
        <f>AI208-AI205</f>
        <v>2703.3599999999997</v>
      </c>
      <c r="AJ202" s="14">
        <f>AJ208-AJ205</f>
        <v>2583.8200000000002</v>
      </c>
      <c r="AK202" s="35">
        <f>AK208-AK205</f>
        <v>2524.06</v>
      </c>
      <c r="AL202" s="59">
        <f>(AH202+AI202+AJ202+AK202)</f>
        <v>10546.169999999998</v>
      </c>
      <c r="AM202" s="1"/>
      <c r="AN202" s="49">
        <f>AN208-AN205</f>
        <v>2433.8599999999997</v>
      </c>
      <c r="AO202" s="14">
        <f>AO208-AO205</f>
        <v>2479.6800000000003</v>
      </c>
      <c r="AP202" s="14">
        <f>AP208-AP205</f>
        <v>2496.5500000000002</v>
      </c>
      <c r="AQ202" s="35">
        <f>AQ208-AQ205</f>
        <v>2354.625</v>
      </c>
      <c r="AR202" s="59">
        <f>(AN202+AO202+AP202+AQ202)</f>
        <v>9764.7150000000001</v>
      </c>
      <c r="AS202" s="1"/>
      <c r="AT202" s="49">
        <f>AT208-AT205</f>
        <v>2198.7000000000007</v>
      </c>
      <c r="AU202" s="14">
        <f>AU208-AU205</f>
        <v>2159.0500000000002</v>
      </c>
      <c r="AV202" s="14">
        <f>AV208-AV205</f>
        <v>2174.2650000000003</v>
      </c>
      <c r="AW202" s="35">
        <f>AW208-AW205</f>
        <v>2074.9974999999995</v>
      </c>
      <c r="AX202" s="59">
        <f>(AT202+AU202+AV202+AW202)</f>
        <v>8607.0125000000007</v>
      </c>
      <c r="AY202" s="1"/>
      <c r="AZ202" s="49">
        <f>AZ208-AZ205</f>
        <v>2003.2584312782901</v>
      </c>
      <c r="BA202" s="14">
        <f>BA208-BA205</f>
        <v>2027.3095861939792</v>
      </c>
      <c r="BB202" s="14">
        <f>BB208-BB205</f>
        <v>1993.058168966023</v>
      </c>
      <c r="BC202" s="35">
        <f>BC208-BC205</f>
        <v>1893.6328499696474</v>
      </c>
      <c r="BD202" s="59">
        <f>(AZ202+BA202+BB202+BC202)</f>
        <v>7917.2590364079397</v>
      </c>
      <c r="BE202" s="1"/>
      <c r="BF202" s="49">
        <f>BF208-BF205</f>
        <v>1804.4338878988146</v>
      </c>
      <c r="BG202" s="14">
        <f>BG208-BG205</f>
        <v>1818.4604737997597</v>
      </c>
      <c r="BH202" s="14">
        <f>BH208-BH205</f>
        <v>1784.5955740314921</v>
      </c>
      <c r="BI202" s="35">
        <f>BI208-BI205</f>
        <v>1690.5925072758364</v>
      </c>
      <c r="BJ202" s="59">
        <f>(BF202+BG202+BH202+BI202)</f>
        <v>7098.0824430059029</v>
      </c>
      <c r="BK202" s="1"/>
      <c r="BL202" s="49">
        <f>BL208-BL205</f>
        <v>1715.2292942008262</v>
      </c>
      <c r="BM202" s="14">
        <f>BM208-BM205</f>
        <v>1723.8302062449748</v>
      </c>
      <c r="BN202" s="14">
        <f>BN208-BN205</f>
        <v>1687.1993392705126</v>
      </c>
      <c r="BO202" s="35">
        <f>BO208-BO205</f>
        <v>1593.3335221079997</v>
      </c>
      <c r="BP202" s="59">
        <f>(BL202+BM202+BN202+BO202)</f>
        <v>6719.5923618243132</v>
      </c>
      <c r="BQ202" s="1"/>
      <c r="BR202" s="49">
        <f>BR208-BR205</f>
        <v>1643.1843507954673</v>
      </c>
      <c r="BS202" s="14">
        <f>BS208-BS205</f>
        <v>1647.9130536038501</v>
      </c>
      <c r="BT202" s="14">
        <f>BT208-BT205</f>
        <v>1609.5265868128399</v>
      </c>
      <c r="BU202" s="35">
        <f>BU208-BU205</f>
        <v>1515.9465226976581</v>
      </c>
      <c r="BV202" s="59">
        <f>(BR202+BS202+BT202+BU202)</f>
        <v>6416.5705139098154</v>
      </c>
      <c r="BW202" s="1"/>
      <c r="BX202" s="49">
        <f>BX208-BX205</f>
        <v>1533.920426652071</v>
      </c>
      <c r="BY202" s="14">
        <f>BY208-BY205</f>
        <v>1535.3784592559132</v>
      </c>
      <c r="BZ202" s="14">
        <f>BZ208-BZ205</f>
        <v>1496.77076714742</v>
      </c>
      <c r="CA202" s="35">
        <f>CA208-CA205</f>
        <v>1407.0953110420996</v>
      </c>
      <c r="CB202" s="59">
        <f>(BX202+BY202+BZ202+CA202)</f>
        <v>5973.1649640975038</v>
      </c>
      <c r="CC202" s="1"/>
      <c r="CD202" s="49">
        <f>CD208-CD205</f>
        <v>1445.121400612923</v>
      </c>
      <c r="CE202" s="14">
        <f>CE208-CE205</f>
        <v>1444.7065913475453</v>
      </c>
      <c r="CF202" s="14">
        <f>CF208-CF205</f>
        <v>1406.6558740968212</v>
      </c>
      <c r="CG202" s="35">
        <f>CG208-CG205</f>
        <v>1320.5879008659304</v>
      </c>
      <c r="CH202" s="59">
        <f>(CD202+CE202+CF202+CG202)</f>
        <v>5617.0717669232199</v>
      </c>
      <c r="CI202" s="1"/>
      <c r="CJ202" s="49">
        <f>CJ208-CJ205</f>
        <v>1375.9970453931255</v>
      </c>
      <c r="CK202" s="14">
        <f>CK208-CK205</f>
        <v>1372.8877330254145</v>
      </c>
      <c r="CL202" s="14">
        <f>CL208-CL205</f>
        <v>1334.1103070852914</v>
      </c>
      <c r="CM202" s="35">
        <f>CM208-CM205</f>
        <v>1250.0416415742111</v>
      </c>
      <c r="CN202" s="59">
        <f>(CJ202+CK202+CL202+CM202)</f>
        <v>5333.0367270780425</v>
      </c>
      <c r="CO202" s="1"/>
      <c r="CP202" s="49">
        <f>CP208-CP205</f>
        <v>1321.7279069609194</v>
      </c>
      <c r="CQ202" s="14">
        <f>CQ208-CQ205</f>
        <v>1317.9967236477187</v>
      </c>
      <c r="CR202" s="14">
        <f>CR208-CR205</f>
        <v>1280.0501313098321</v>
      </c>
      <c r="CS202" s="35">
        <f>CS208-CS205</f>
        <v>1198.714449150375</v>
      </c>
      <c r="CT202" s="59">
        <f>(CP202+CQ202+CR202+CS202)</f>
        <v>5118.4892110688452</v>
      </c>
    </row>
    <row r="203" spans="2:98" ht="15" x14ac:dyDescent="0.3">
      <c r="B203" s="40" t="s">
        <v>23</v>
      </c>
      <c r="D203" s="62" t="s">
        <v>35</v>
      </c>
      <c r="E203" s="9" t="s">
        <v>35</v>
      </c>
      <c r="F203" s="9" t="s">
        <v>35</v>
      </c>
      <c r="G203" s="9" t="s">
        <v>35</v>
      </c>
      <c r="H203" s="66" t="s">
        <v>35</v>
      </c>
      <c r="I203" s="1"/>
      <c r="J203" s="62">
        <f>J202/D202-1</f>
        <v>-2.9865409997455905E-2</v>
      </c>
      <c r="K203" s="9">
        <f>K202/E202-1</f>
        <v>-4.4227802457203591E-2</v>
      </c>
      <c r="L203" s="9">
        <f>L202/F202-1</f>
        <v>-2.4850880401135589E-2</v>
      </c>
      <c r="M203" s="100">
        <f>M202/G202-1</f>
        <v>-4.3145373705180901E-2</v>
      </c>
      <c r="N203" s="65">
        <f>N202/H202-1</f>
        <v>-3.5527094978506257E-2</v>
      </c>
      <c r="O203" s="1"/>
      <c r="P203" s="62">
        <f>P202/J202-1</f>
        <v>-6.5192657854640901E-2</v>
      </c>
      <c r="Q203" s="9">
        <f>Q202/K202-1</f>
        <v>-8.0001404817387378E-2</v>
      </c>
      <c r="R203" s="9">
        <f>R202/L202-1</f>
        <v>-0.12102921225619168</v>
      </c>
      <c r="S203" s="100">
        <f>S202/M202-1</f>
        <v>-0.14248147386508425</v>
      </c>
      <c r="T203" s="65">
        <f>T202/N202-1</f>
        <v>-0.10185349942727961</v>
      </c>
      <c r="U203" s="1"/>
      <c r="V203" s="62">
        <f>V202/P202-1</f>
        <v>-0.16184978713596754</v>
      </c>
      <c r="W203" s="9">
        <f>W202/Q202-1</f>
        <v>-0.16107063767847862</v>
      </c>
      <c r="X203" s="9">
        <f>X202/R202-1</f>
        <v>-0.12973867975943287</v>
      </c>
      <c r="Y203" s="100">
        <f>Y202/S202-1</f>
        <v>-0.10660197971538821</v>
      </c>
      <c r="Z203" s="65">
        <f>Z202/T202-1</f>
        <v>-0.14085059939598044</v>
      </c>
      <c r="AA203" s="1"/>
      <c r="AB203" s="62">
        <f>AB202/V202-1</f>
        <v>-7.6041797971178826E-2</v>
      </c>
      <c r="AC203" s="9">
        <f>AC202/W202-1</f>
        <v>-7.469824340844855E-2</v>
      </c>
      <c r="AD203" s="9">
        <f>AD202/X202-1</f>
        <v>-6.225160083655823E-2</v>
      </c>
      <c r="AE203" s="100">
        <f>AE202/Y202-1</f>
        <v>-3.2404200189780519E-2</v>
      </c>
      <c r="AF203" s="65">
        <f>AF202/Z202-1</f>
        <v>-6.1678867799534576E-2</v>
      </c>
      <c r="AG203" s="1"/>
      <c r="AH203" s="62">
        <f>AH202/AB202-1</f>
        <v>-6.8278058834551292E-2</v>
      </c>
      <c r="AI203" s="9">
        <f>AI202/AC202-1</f>
        <v>-6.1039908304678647E-2</v>
      </c>
      <c r="AJ203" s="9">
        <f>AJ202/AD202-1</f>
        <v>-0.10867105462874804</v>
      </c>
      <c r="AK203" s="100">
        <f>AK202/AE202-1</f>
        <v>-0.13132689759606286</v>
      </c>
      <c r="AL203" s="65">
        <f>AL202/AF202-1</f>
        <v>-9.2329420756110503E-2</v>
      </c>
      <c r="AM203" s="1"/>
      <c r="AN203" s="62">
        <f>AN202/AH202-1</f>
        <v>-0.11008325624421833</v>
      </c>
      <c r="AO203" s="9">
        <f>AO202/AI202-1</f>
        <v>-8.2741477272727071E-2</v>
      </c>
      <c r="AP203" s="9">
        <f>AP202/AJ202-1</f>
        <v>-3.3775572601806636E-2</v>
      </c>
      <c r="AQ203" s="100">
        <f>AQ202/AK202-1</f>
        <v>-6.712796050807035E-2</v>
      </c>
      <c r="AR203" s="65">
        <f>AR202/AL202-1</f>
        <v>-7.4098464181783341E-2</v>
      </c>
      <c r="AS203" s="1"/>
      <c r="AT203" s="62">
        <f>AT202/AN202-1</f>
        <v>-9.6620183576704877E-2</v>
      </c>
      <c r="AU203" s="9">
        <f>AU202/AO202-1</f>
        <v>-0.12930297457736484</v>
      </c>
      <c r="AV203" s="9">
        <f>AV202/AP202-1</f>
        <v>-0.12909214716308504</v>
      </c>
      <c r="AW203" s="100">
        <f>AW202/AQ202-1</f>
        <v>-0.11875670223496337</v>
      </c>
      <c r="AX203" s="65">
        <f>AX202/AR202-1</f>
        <v>-0.11855978387490052</v>
      </c>
      <c r="AY203" s="1"/>
      <c r="AZ203" s="62">
        <f>AZ202/AT202-1</f>
        <v>-8.8889602365811893E-2</v>
      </c>
      <c r="BA203" s="9">
        <f>BA202/AU202-1</f>
        <v>-6.1017768836303499E-2</v>
      </c>
      <c r="BB203" s="9">
        <f>BB202/AV202-1</f>
        <v>-8.3341649262613893E-2</v>
      </c>
      <c r="BC203" s="100">
        <f>BC202/AW202-1</f>
        <v>-8.7404755923972011E-2</v>
      </c>
      <c r="BD203" s="65">
        <f>BD202/AX202-1</f>
        <v>-8.0138545586178833E-2</v>
      </c>
      <c r="BE203" s="1"/>
      <c r="BF203" s="62">
        <f>BF202/AZ202-1</f>
        <v>-9.9250571107096008E-2</v>
      </c>
      <c r="BG203" s="9">
        <f>BG202/BA202-1</f>
        <v>-0.10301786851721428</v>
      </c>
      <c r="BH203" s="9">
        <f>BH202/BB202-1</f>
        <v>-0.10459433556958297</v>
      </c>
      <c r="BI203" s="100">
        <f>BI202/BC202-1</f>
        <v>-0.10722265548839915</v>
      </c>
      <c r="BJ203" s="65">
        <f>BJ202/BD202-1</f>
        <v>-0.10346719611358035</v>
      </c>
      <c r="BK203" s="1"/>
      <c r="BL203" s="62">
        <f>BL202/BF202-1</f>
        <v>-4.9436332523029369E-2</v>
      </c>
      <c r="BM203" s="9">
        <f>BM202/BG202-1</f>
        <v>-5.2038671677614445E-2</v>
      </c>
      <c r="BN203" s="9">
        <f>BN202/BH202-1</f>
        <v>-5.4576082210579746E-2</v>
      </c>
      <c r="BO203" s="100">
        <f>BO202/BI202-1</f>
        <v>-5.7529525742756604E-2</v>
      </c>
      <c r="BP203" s="65">
        <f>BP202/BJ202-1</f>
        <v>-5.3322863494567496E-2</v>
      </c>
      <c r="BQ203" s="1"/>
      <c r="BR203" s="62">
        <f>BR202/BL202-1</f>
        <v>-4.2003097573567683E-2</v>
      </c>
      <c r="BS203" s="9">
        <f>BS202/BM202-1</f>
        <v>-4.4039808773565503E-2</v>
      </c>
      <c r="BT203" s="9">
        <f>BT202/BN202-1</f>
        <v>-4.6036500044657314E-2</v>
      </c>
      <c r="BU203" s="100">
        <f>BU202/BO202-1</f>
        <v>-4.8569240737468156E-2</v>
      </c>
      <c r="BV203" s="65">
        <f>BV202/BP202-1</f>
        <v>-4.5095272391230234E-2</v>
      </c>
      <c r="BW203" s="1"/>
      <c r="BX203" s="62">
        <f>BX202/BR202-1</f>
        <v>-6.6495231706960589E-2</v>
      </c>
      <c r="BY203" s="9">
        <f>BY202/BS202-1</f>
        <v>-6.8289157672386303E-2</v>
      </c>
      <c r="BZ203" s="9">
        <f>BZ202/BT202-1</f>
        <v>-7.0055270033592465E-2</v>
      </c>
      <c r="CA203" s="100">
        <f>CA202/BU202-1</f>
        <v>-7.180412371134004E-2</v>
      </c>
      <c r="CB203" s="65">
        <f>CB202/BV202-1</f>
        <v>-6.9103199107856561E-2</v>
      </c>
      <c r="CC203" s="1"/>
      <c r="CD203" s="62">
        <f>CD202/BX202-1</f>
        <v>-5.7890242868047892E-2</v>
      </c>
      <c r="CE203" s="9">
        <f>CE202/BY202-1</f>
        <v>-5.9055060569437656E-2</v>
      </c>
      <c r="CF203" s="9">
        <f>CF202/BZ202-1</f>
        <v>-6.0206208611584433E-2</v>
      </c>
      <c r="CG203" s="100">
        <f>CG202/CA202-1</f>
        <v>-6.1479424668185123E-2</v>
      </c>
      <c r="CH203" s="65">
        <f>CH202/CB202-1</f>
        <v>-5.9615496862154171E-2</v>
      </c>
      <c r="CI203" s="1"/>
      <c r="CJ203" s="62">
        <f>CJ202/CD202-1</f>
        <v>-4.7832905381153146E-2</v>
      </c>
      <c r="CK203" s="9">
        <f>CK202/CE202-1</f>
        <v>-4.9711726071064777E-2</v>
      </c>
      <c r="CL203" s="9">
        <f>CL202/CF202-1</f>
        <v>-5.157307366175079E-2</v>
      </c>
      <c r="CM203" s="100">
        <f>CM202/CG202-1</f>
        <v>-5.3420343504177903E-2</v>
      </c>
      <c r="CN203" s="65">
        <f>CN202/CH202-1</f>
        <v>-5.0566389683277757E-2</v>
      </c>
      <c r="CO203" s="1"/>
      <c r="CP203" s="62">
        <f>CP202/CJ202-1</f>
        <v>-3.9439865524348749E-2</v>
      </c>
      <c r="CQ203" s="9">
        <f>CQ202/CK202-1</f>
        <v>-3.9982154445165952E-2</v>
      </c>
      <c r="CR203" s="9">
        <f>CR202/CL202-1</f>
        <v>-4.0521518714271676E-2</v>
      </c>
      <c r="CS203" s="100">
        <f>CS202/CM202-1</f>
        <v>-4.1060386083777489E-2</v>
      </c>
      <c r="CT203" s="65">
        <f>CT202/CN202-1</f>
        <v>-4.0229896584032643E-2</v>
      </c>
    </row>
    <row r="204" spans="2:98" ht="15" x14ac:dyDescent="0.3">
      <c r="B204" s="40"/>
      <c r="D204" s="47"/>
      <c r="E204" s="8"/>
      <c r="F204" s="12"/>
      <c r="G204" s="8"/>
      <c r="H204" s="58"/>
      <c r="I204" s="1"/>
      <c r="J204" s="47"/>
      <c r="K204" s="8"/>
      <c r="L204" s="12"/>
      <c r="M204" s="48"/>
      <c r="N204" s="58"/>
      <c r="O204" s="1"/>
      <c r="P204" s="47"/>
      <c r="Q204" s="8"/>
      <c r="R204" s="12"/>
      <c r="S204" s="48"/>
      <c r="T204" s="58"/>
      <c r="U204" s="1"/>
      <c r="V204" s="47"/>
      <c r="W204" s="8"/>
      <c r="X204" s="12"/>
      <c r="Y204" s="48"/>
      <c r="Z204" s="58"/>
      <c r="AA204" s="1"/>
      <c r="AB204" s="47"/>
      <c r="AC204" s="8"/>
      <c r="AD204" s="12"/>
      <c r="AE204" s="48"/>
      <c r="AF204" s="58"/>
      <c r="AG204" s="1"/>
      <c r="AH204" s="47"/>
      <c r="AI204" s="8"/>
      <c r="AJ204" s="12"/>
      <c r="AK204" s="48"/>
      <c r="AL204" s="58"/>
      <c r="AM204" s="1"/>
      <c r="AN204" s="47"/>
      <c r="AO204" s="8"/>
      <c r="AP204" s="12"/>
      <c r="AQ204" s="48"/>
      <c r="AR204" s="58"/>
      <c r="AS204" s="1"/>
      <c r="AT204" s="47"/>
      <c r="AU204" s="8"/>
      <c r="AV204" s="12"/>
      <c r="AW204" s="48"/>
      <c r="AX204" s="58"/>
      <c r="AY204" s="1"/>
      <c r="AZ204" s="47"/>
      <c r="BA204" s="8"/>
      <c r="BB204" s="12"/>
      <c r="BC204" s="48"/>
      <c r="BD204" s="58"/>
      <c r="BE204" s="1"/>
      <c r="BF204" s="47"/>
      <c r="BG204" s="8"/>
      <c r="BH204" s="12"/>
      <c r="BI204" s="48"/>
      <c r="BJ204" s="58"/>
      <c r="BK204" s="1"/>
      <c r="BL204" s="47"/>
      <c r="BM204" s="8"/>
      <c r="BN204" s="12"/>
      <c r="BO204" s="48"/>
      <c r="BP204" s="58"/>
      <c r="BQ204" s="1"/>
      <c r="BR204" s="47"/>
      <c r="BS204" s="8"/>
      <c r="BT204" s="12"/>
      <c r="BU204" s="48"/>
      <c r="BV204" s="58"/>
      <c r="BW204" s="1"/>
      <c r="BX204" s="47"/>
      <c r="BY204" s="8"/>
      <c r="BZ204" s="12"/>
      <c r="CA204" s="48"/>
      <c r="CB204" s="58"/>
      <c r="CC204" s="1"/>
      <c r="CD204" s="47"/>
      <c r="CE204" s="8"/>
      <c r="CF204" s="12"/>
      <c r="CG204" s="48"/>
      <c r="CH204" s="58"/>
      <c r="CI204" s="1"/>
      <c r="CJ204" s="47"/>
      <c r="CK204" s="8"/>
      <c r="CL204" s="12"/>
      <c r="CM204" s="48"/>
      <c r="CN204" s="58"/>
      <c r="CO204" s="1"/>
      <c r="CP204" s="47"/>
      <c r="CQ204" s="8"/>
      <c r="CR204" s="12"/>
      <c r="CS204" s="48"/>
      <c r="CT204" s="58"/>
    </row>
    <row r="205" spans="2:98" ht="15" x14ac:dyDescent="0.3">
      <c r="B205" s="39" t="s">
        <v>49</v>
      </c>
      <c r="D205" s="44">
        <f>D65+D135</f>
        <v>1305.4299999999998</v>
      </c>
      <c r="E205" s="17">
        <f>E65+E135</f>
        <v>1403.0016000000001</v>
      </c>
      <c r="F205" s="17">
        <f>F65+F135</f>
        <v>1505.7804229237468</v>
      </c>
      <c r="G205" s="17">
        <f>G65+G135</f>
        <v>1569.482</v>
      </c>
      <c r="H205" s="54">
        <f>D205+E205+F205+G205</f>
        <v>5783.6940229237462</v>
      </c>
      <c r="I205" s="1"/>
      <c r="J205" s="44">
        <f>J65+J135</f>
        <v>1625.2545716630671</v>
      </c>
      <c r="K205" s="17">
        <f>K65+K135</f>
        <v>1701.5544000000002</v>
      </c>
      <c r="L205" s="17">
        <f>L65+L135</f>
        <v>1755.7679279897129</v>
      </c>
      <c r="M205" s="17">
        <f>M65+M135</f>
        <v>1779.2277999999999</v>
      </c>
      <c r="N205" s="54">
        <f>J205+K205+L205+M205</f>
        <v>6861.8046996527801</v>
      </c>
      <c r="O205" s="1"/>
      <c r="P205" s="44">
        <f>P65+P135</f>
        <v>1812.5942030603062</v>
      </c>
      <c r="Q205" s="17">
        <f>Q65+Q135</f>
        <v>1831.0757114448757</v>
      </c>
      <c r="R205" s="17">
        <f>R65+R135</f>
        <v>1830.8750622095752</v>
      </c>
      <c r="S205" s="17">
        <f>S65+S135</f>
        <v>1865.7227202713837</v>
      </c>
      <c r="T205" s="54">
        <f>P205+Q205+R205+S205</f>
        <v>7340.2676969861404</v>
      </c>
      <c r="U205" s="1"/>
      <c r="V205" s="44">
        <f>V65+V135</f>
        <v>1929.0705744539325</v>
      </c>
      <c r="W205" s="17">
        <f>W65+W135</f>
        <v>2010.6846151250759</v>
      </c>
      <c r="X205" s="17">
        <f>X65+X135</f>
        <v>2046.7233066749995</v>
      </c>
      <c r="Y205" s="17">
        <f>Y65+Y135</f>
        <v>2165.5712102700381</v>
      </c>
      <c r="Z205" s="54">
        <f>V205+W205+X205+Y205</f>
        <v>8152.0497065240461</v>
      </c>
      <c r="AA205" s="1"/>
      <c r="AB205" s="75">
        <f>AB208*AB156</f>
        <v>2401.65</v>
      </c>
      <c r="AC205" s="71">
        <f>AC208*AC156</f>
        <v>2604.9</v>
      </c>
      <c r="AD205" s="71">
        <f>AD208*AD156</f>
        <v>2785.16</v>
      </c>
      <c r="AE205" s="87">
        <f>AE208*AE156</f>
        <v>2964.35</v>
      </c>
      <c r="AF205" s="54">
        <f>(AB205+AC205+AD205+AE205)</f>
        <v>10756.06</v>
      </c>
      <c r="AG205" s="1"/>
      <c r="AH205" s="75">
        <f>AH208*AH156</f>
        <v>3084.07</v>
      </c>
      <c r="AI205" s="71">
        <f>AI208*AI156</f>
        <v>3440.6400000000003</v>
      </c>
      <c r="AJ205" s="71">
        <f>AJ208*AJ156</f>
        <v>3718.18</v>
      </c>
      <c r="AK205" s="87">
        <f>AK208*AK156</f>
        <v>4031.94</v>
      </c>
      <c r="AL205" s="54">
        <f>(AH205+AI205+AJ205+AK205)</f>
        <v>14274.830000000002</v>
      </c>
      <c r="AM205" s="1"/>
      <c r="AN205" s="75">
        <f>AN208*AN156</f>
        <v>4144.1400000000003</v>
      </c>
      <c r="AO205" s="71">
        <f>AO208*AO156</f>
        <v>4408.32</v>
      </c>
      <c r="AP205" s="71">
        <f>AP208*AP156</f>
        <v>4636.45</v>
      </c>
      <c r="AQ205" s="87">
        <f>AQ208*AQ156</f>
        <v>4890.375</v>
      </c>
      <c r="AR205" s="54">
        <f>(AN205+AO205+AP205+AQ205)</f>
        <v>18079.285</v>
      </c>
      <c r="AS205" s="1"/>
      <c r="AT205" s="75">
        <f>AT208*AT156</f>
        <v>5130.2999999999993</v>
      </c>
      <c r="AU205" s="71">
        <f>AU208*AU156</f>
        <v>5285.95</v>
      </c>
      <c r="AV205" s="71">
        <f>AV208*AV156</f>
        <v>5454.7349999999997</v>
      </c>
      <c r="AW205" s="87">
        <f>AW208*AW156</f>
        <v>5682.0025000000005</v>
      </c>
      <c r="AX205" s="54">
        <f>(AT205+AU205+AV205+AW205)</f>
        <v>21552.987500000003</v>
      </c>
      <c r="AY205" s="1"/>
      <c r="AZ205" s="75">
        <f>AZ208*AZ156</f>
        <v>5901.5918776205808</v>
      </c>
      <c r="BA205" s="71">
        <f>BA208*BA156</f>
        <v>6003.2343101870101</v>
      </c>
      <c r="BB205" s="71">
        <f>BB208*BB156</f>
        <v>6147.216666242256</v>
      </c>
      <c r="BC205" s="87">
        <f>BC208*BC156</f>
        <v>6329.1997359004772</v>
      </c>
      <c r="BD205" s="54">
        <f>(AZ205+BA205+BB205+BC205)</f>
        <v>24381.242589950325</v>
      </c>
      <c r="BE205" s="1"/>
      <c r="BF205" s="75">
        <f>BF208*BF156</f>
        <v>6592.9190271779626</v>
      </c>
      <c r="BG205" s="71">
        <f>BG208*BG156</f>
        <v>6678.4189525379334</v>
      </c>
      <c r="BH205" s="71">
        <f>BH208*BH156</f>
        <v>6826.5760347446549</v>
      </c>
      <c r="BI205" s="87">
        <f>BI208*BI156</f>
        <v>7008.0394171474418</v>
      </c>
      <c r="BJ205" s="54">
        <f>(BF205+BG205+BH205+BI205)</f>
        <v>27105.953431607995</v>
      </c>
      <c r="BK205" s="1"/>
      <c r="BL205" s="75">
        <f>BL208*BL156</f>
        <v>7145.4093953005195</v>
      </c>
      <c r="BM205" s="71">
        <f>BM208*BM156</f>
        <v>7218.2587318339574</v>
      </c>
      <c r="BN205" s="71">
        <f>BN208*BN156</f>
        <v>7358.6421045888956</v>
      </c>
      <c r="BO205" s="87">
        <f>BO208*BO156</f>
        <v>7530.6498280909491</v>
      </c>
      <c r="BP205" s="54">
        <f>(BL205+BM205+BN205+BO205)</f>
        <v>29252.960059814322</v>
      </c>
      <c r="BQ205" s="1"/>
      <c r="BR205" s="75">
        <f>BR208*BR156</f>
        <v>7630.2551184586173</v>
      </c>
      <c r="BS205" s="71">
        <f>BS208*BS156</f>
        <v>7691.66019733133</v>
      </c>
      <c r="BT205" s="71">
        <f>BT208*BT156</f>
        <v>7824.8726243762876</v>
      </c>
      <c r="BU205" s="87">
        <f>BU208*BU156</f>
        <v>7986.5180725159635</v>
      </c>
      <c r="BV205" s="54">
        <f>(BR205+BS205+BT205+BU205)</f>
        <v>31133.306012682198</v>
      </c>
      <c r="BW205" s="1"/>
      <c r="BX205" s="75">
        <f>BX208*BX156</f>
        <v>8098.8320916334951</v>
      </c>
      <c r="BY205" s="71">
        <f>BY208*BY156</f>
        <v>8148.3192201023212</v>
      </c>
      <c r="BZ205" s="71">
        <f>BZ208*BZ156</f>
        <v>8273.7274391473584</v>
      </c>
      <c r="CA205" s="87">
        <f>CA208*CA156</f>
        <v>8428.7642893898155</v>
      </c>
      <c r="CB205" s="54">
        <f>(BX205+BY205+BZ205+CA205)</f>
        <v>32949.643040272989</v>
      </c>
      <c r="CC205" s="1"/>
      <c r="CD205" s="75">
        <f>CD208*CD156</f>
        <v>8509.0961326181769</v>
      </c>
      <c r="CE205" s="71">
        <f>CE208*CE156</f>
        <v>8550.5052697071678</v>
      </c>
      <c r="CF205" s="71">
        <f>CF208*CF156</f>
        <v>8671.4817593514963</v>
      </c>
      <c r="CG205" s="87">
        <f>CG208*CG156</f>
        <v>8822.0038007390922</v>
      </c>
      <c r="CH205" s="54">
        <f>(CD205+CE205+CF205+CG205)</f>
        <v>34553.086962415931</v>
      </c>
      <c r="CI205" s="1"/>
      <c r="CJ205" s="75">
        <f>CJ208*CJ156</f>
        <v>8886.293493753381</v>
      </c>
      <c r="CK205" s="71">
        <f>CK208*CK156</f>
        <v>8911.918437183449</v>
      </c>
      <c r="CL205" s="71">
        <f>CL208*CL156</f>
        <v>9020.3054492099764</v>
      </c>
      <c r="CM205" s="87">
        <f>CM208*CM156</f>
        <v>9159.0084761014023</v>
      </c>
      <c r="CN205" s="54">
        <f>(CJ205+CK205+CL205+CM205)</f>
        <v>35977.525856248205</v>
      </c>
      <c r="CO205" s="1"/>
      <c r="CP205" s="75">
        <f>CP208*CP156</f>
        <v>9164.7743777019696</v>
      </c>
      <c r="CQ205" s="71">
        <f>CQ208*CQ156</f>
        <v>9186.0134237702823</v>
      </c>
      <c r="CR205" s="71">
        <f>CR208*CR156</f>
        <v>9292.5102658991655</v>
      </c>
      <c r="CS205" s="87">
        <f>CS208*CS156</f>
        <v>9430.0997610175309</v>
      </c>
      <c r="CT205" s="54">
        <f>(CP205+CQ205+CR205+CS205)</f>
        <v>37073.397828388952</v>
      </c>
    </row>
    <row r="206" spans="2:98" ht="15" x14ac:dyDescent="0.3">
      <c r="B206" s="40" t="s">
        <v>23</v>
      </c>
      <c r="D206" s="62" t="s">
        <v>35</v>
      </c>
      <c r="E206" s="9" t="s">
        <v>35</v>
      </c>
      <c r="F206" s="9" t="s">
        <v>35</v>
      </c>
      <c r="G206" s="9" t="s">
        <v>35</v>
      </c>
      <c r="H206" s="66" t="s">
        <v>35</v>
      </c>
      <c r="I206" s="1"/>
      <c r="J206" s="62">
        <f>J205/D205-1</f>
        <v>0.24499557361410962</v>
      </c>
      <c r="K206" s="9">
        <f>K205/E205-1</f>
        <v>0.21279576587795779</v>
      </c>
      <c r="L206" s="9">
        <f>L205/F205-1</f>
        <v>0.16601856503126133</v>
      </c>
      <c r="M206" s="100">
        <f>M205/G205-1</f>
        <v>0.13364014369072086</v>
      </c>
      <c r="N206" s="65">
        <f>N205/H205-1</f>
        <v>0.1864052061633843</v>
      </c>
      <c r="O206" s="1"/>
      <c r="P206" s="62">
        <f>P205/J205-1</f>
        <v>0.11526786920866239</v>
      </c>
      <c r="Q206" s="9">
        <f>Q205/K205-1</f>
        <v>7.611940672885642E-2</v>
      </c>
      <c r="R206" s="9">
        <f>R205/L205-1</f>
        <v>4.2777369960195655E-2</v>
      </c>
      <c r="S206" s="100">
        <f>S205/M205-1</f>
        <v>4.8613741462101512E-2</v>
      </c>
      <c r="T206" s="65">
        <f>T205/N205-1</f>
        <v>6.9728448750162153E-2</v>
      </c>
      <c r="U206" s="1"/>
      <c r="V206" s="62">
        <f>V205/P205-1</f>
        <v>6.4259485767400371E-2</v>
      </c>
      <c r="W206" s="9">
        <f>W205/Q205-1</f>
        <v>9.8089283014121564E-2</v>
      </c>
      <c r="X206" s="9">
        <f>X205/R205-1</f>
        <v>0.1178934865194623</v>
      </c>
      <c r="Y206" s="100">
        <f>Y205/S205-1</f>
        <v>0.16071439059017267</v>
      </c>
      <c r="Z206" s="65">
        <f>Z205/T205-1</f>
        <v>0.11059297059032569</v>
      </c>
      <c r="AA206" s="1"/>
      <c r="AB206" s="62">
        <f>AB205/V205-1</f>
        <v>0.24497777935358434</v>
      </c>
      <c r="AC206" s="9">
        <f>AC205/W205-1</f>
        <v>0.29552888623358808</v>
      </c>
      <c r="AD206" s="9">
        <f>AD205/X205-1</f>
        <v>0.36078970270027666</v>
      </c>
      <c r="AE206" s="100">
        <f>AE205/Y205-1</f>
        <v>0.3688536243656273</v>
      </c>
      <c r="AF206" s="65">
        <f>AF205/Z205-1</f>
        <v>0.31943012950374627</v>
      </c>
      <c r="AG206" s="1"/>
      <c r="AH206" s="62">
        <f>AH205/AB205-1</f>
        <v>0.28414631607436558</v>
      </c>
      <c r="AI206" s="9">
        <f>AI205/AC205-1</f>
        <v>0.32083381319820337</v>
      </c>
      <c r="AJ206" s="9">
        <f>AJ205/AD205-1</f>
        <v>0.33499691220612093</v>
      </c>
      <c r="AK206" s="100">
        <f>AK205/AE205-1</f>
        <v>0.36014303304265693</v>
      </c>
      <c r="AL206" s="65">
        <f>AL205/AF205-1</f>
        <v>0.32714302449038057</v>
      </c>
      <c r="AM206" s="1"/>
      <c r="AN206" s="62">
        <f>AN205/AH205-1</f>
        <v>0.34372436423297792</v>
      </c>
      <c r="AO206" s="9">
        <f>AO205/AI205-1</f>
        <v>0.28124999999999978</v>
      </c>
      <c r="AP206" s="9">
        <f>AP205/AJ205-1</f>
        <v>0.24696760242914539</v>
      </c>
      <c r="AQ206" s="100">
        <f>AQ205/AK205-1</f>
        <v>0.21290867423622384</v>
      </c>
      <c r="AR206" s="65">
        <f>AR205/AL205-1</f>
        <v>0.26651490770818276</v>
      </c>
      <c r="AS206" s="1"/>
      <c r="AT206" s="62">
        <f>AT205/AN205-1</f>
        <v>0.23796493361710724</v>
      </c>
      <c r="AU206" s="9">
        <f>AU205/AO205-1</f>
        <v>0.19908491216608604</v>
      </c>
      <c r="AV206" s="9">
        <f>AV205/AP205-1</f>
        <v>0.17648955558670965</v>
      </c>
      <c r="AW206" s="100">
        <f>AW205/AQ205-1</f>
        <v>0.16187460061856207</v>
      </c>
      <c r="AX206" s="65">
        <f>AX205/AR205-1</f>
        <v>0.19213716139769921</v>
      </c>
      <c r="AY206" s="1"/>
      <c r="AZ206" s="62">
        <f>AZ205/AT205-1</f>
        <v>0.15034050204092964</v>
      </c>
      <c r="BA206" s="9">
        <f>BA205/AU205-1</f>
        <v>0.13569638573709741</v>
      </c>
      <c r="BB206" s="9">
        <f>BB205/AV205-1</f>
        <v>0.12695056061243237</v>
      </c>
      <c r="BC206" s="100">
        <f>BC205/AW205-1</f>
        <v>0.11390301850456352</v>
      </c>
      <c r="BD206" s="65">
        <f>BD205/AX205-1</f>
        <v>0.13122334386127776</v>
      </c>
      <c r="BE206" s="1"/>
      <c r="BF206" s="62">
        <f>BF205/AZ205-1</f>
        <v>0.11714248695830065</v>
      </c>
      <c r="BG206" s="9">
        <f>BG205/BA205-1</f>
        <v>0.11247014650172638</v>
      </c>
      <c r="BH206" s="9">
        <f>BH205/BB205-1</f>
        <v>0.110514954228494</v>
      </c>
      <c r="BI206" s="100">
        <f>BI205/BC205-1</f>
        <v>0.10725521544160643</v>
      </c>
      <c r="BJ206" s="65">
        <f>BJ205/BD205-1</f>
        <v>0.11175438789082737</v>
      </c>
      <c r="BK206" s="1"/>
      <c r="BL206" s="62">
        <f>BL205/BF205-1</f>
        <v>8.3800569344933296E-2</v>
      </c>
      <c r="BM206" s="9">
        <f>BM205/BG205-1</f>
        <v>8.0833470186963075E-2</v>
      </c>
      <c r="BN206" s="9">
        <f>BN205/BH205-1</f>
        <v>7.7940400449101999E-2</v>
      </c>
      <c r="BO206" s="100">
        <f>BO205/BI205-1</f>
        <v>7.4572983945377258E-2</v>
      </c>
      <c r="BP206" s="65">
        <f>BP205/BJ205-1</f>
        <v>7.9207936131946655E-2</v>
      </c>
      <c r="BQ206" s="1"/>
      <c r="BR206" s="62">
        <f>BR205/BL205-1</f>
        <v>6.785415591120314E-2</v>
      </c>
      <c r="BS206" s="9">
        <f>BS205/BM205-1</f>
        <v>6.5583887068161983E-2</v>
      </c>
      <c r="BT206" s="9">
        <f>BT205/BN205-1</f>
        <v>6.335822739587349E-2</v>
      </c>
      <c r="BU206" s="100">
        <f>BU205/BO205-1</f>
        <v>6.0535047417093812E-2</v>
      </c>
      <c r="BV206" s="65">
        <f>BV205/BP205-1</f>
        <v>6.4278826793017885E-2</v>
      </c>
      <c r="BW206" s="1"/>
      <c r="BX206" s="62">
        <f>BX205/BR205-1</f>
        <v>6.1410394003907687E-2</v>
      </c>
      <c r="BY206" s="9">
        <f>BY205/BS205-1</f>
        <v>5.9370670447640439E-2</v>
      </c>
      <c r="BZ206" s="9">
        <f>BZ205/BT205-1</f>
        <v>5.7362571420368491E-2</v>
      </c>
      <c r="CA206" s="100">
        <f>CA205/BU205-1</f>
        <v>5.537409580224395E-2</v>
      </c>
      <c r="CB206" s="65">
        <f>CB205/BV205-1</f>
        <v>5.8340640947379674E-2</v>
      </c>
      <c r="CC206" s="1"/>
      <c r="CD206" s="62">
        <f>CD205/BX205-1</f>
        <v>5.0657185671068028E-2</v>
      </c>
      <c r="CE206" s="9">
        <f>CE205/BY205-1</f>
        <v>4.9358160712780208E-2</v>
      </c>
      <c r="CF206" s="9">
        <f>CF205/BZ205-1</f>
        <v>4.8074380396210925E-2</v>
      </c>
      <c r="CG206" s="100">
        <f>CG205/CA205-1</f>
        <v>4.6654467707002878E-2</v>
      </c>
      <c r="CH206" s="65">
        <f>CH205/CB205-1</f>
        <v>4.8663468681075406E-2</v>
      </c>
      <c r="CI206" s="1"/>
      <c r="CJ206" s="62">
        <f>CJ205/CD205-1</f>
        <v>4.4328722493718553E-2</v>
      </c>
      <c r="CK206" s="9">
        <f>CK205/CE205-1</f>
        <v>4.226804803649431E-2</v>
      </c>
      <c r="CL206" s="9">
        <f>CL205/CF205-1</f>
        <v>4.0226537924997752E-2</v>
      </c>
      <c r="CM206" s="100">
        <f>CM205/CG205-1</f>
        <v>3.8200468167342683E-2</v>
      </c>
      <c r="CN206" s="65">
        <f>CN205/CH205-1</f>
        <v>4.1224649345561026E-2</v>
      </c>
      <c r="CO206" s="1"/>
      <c r="CP206" s="62">
        <f>CP205/CJ205-1</f>
        <v>3.1338249647543837E-2</v>
      </c>
      <c r="CQ206" s="9">
        <f>CQ205/CK205-1</f>
        <v>3.0756002595717202E-2</v>
      </c>
      <c r="CR206" s="9">
        <f>CR205/CL205-1</f>
        <v>3.0176895696257144E-2</v>
      </c>
      <c r="CS206" s="100">
        <f>CS205/CM205-1</f>
        <v>2.9598322310049996E-2</v>
      </c>
      <c r="CT206" s="65">
        <f>CT205/CN205-1</f>
        <v>3.0459903677629629E-2</v>
      </c>
    </row>
    <row r="207" spans="2:98" ht="15" x14ac:dyDescent="0.3">
      <c r="B207" s="40"/>
      <c r="D207" s="47"/>
      <c r="E207" s="8"/>
      <c r="F207" s="8"/>
      <c r="G207" s="8"/>
      <c r="H207" s="58"/>
      <c r="I207" s="1"/>
      <c r="J207" s="47"/>
      <c r="K207" s="8"/>
      <c r="L207" s="8"/>
      <c r="M207" s="48"/>
      <c r="N207" s="58"/>
      <c r="O207" s="1"/>
      <c r="P207" s="47"/>
      <c r="Q207" s="8"/>
      <c r="R207" s="8"/>
      <c r="S207" s="48"/>
      <c r="T207" s="58"/>
      <c r="U207" s="1"/>
      <c r="V207" s="47"/>
      <c r="W207" s="8"/>
      <c r="X207" s="8"/>
      <c r="Y207" s="48"/>
      <c r="Z207" s="58"/>
      <c r="AA207" s="1"/>
      <c r="AB207" s="47"/>
      <c r="AC207" s="8"/>
      <c r="AD207" s="8"/>
      <c r="AE207" s="48"/>
      <c r="AF207" s="58"/>
      <c r="AG207" s="1"/>
      <c r="AH207" s="47"/>
      <c r="AI207" s="8"/>
      <c r="AJ207" s="8"/>
      <c r="AK207" s="48"/>
      <c r="AL207" s="58"/>
      <c r="AM207" s="1"/>
      <c r="AN207" s="47"/>
      <c r="AO207" s="8"/>
      <c r="AP207" s="8"/>
      <c r="AQ207" s="48"/>
      <c r="AR207" s="58"/>
      <c r="AS207" s="1"/>
      <c r="AT207" s="47"/>
      <c r="AU207" s="8"/>
      <c r="AV207" s="8"/>
      <c r="AW207" s="48"/>
      <c r="AX207" s="58"/>
      <c r="AY207" s="1"/>
      <c r="AZ207" s="47"/>
      <c r="BA207" s="8"/>
      <c r="BB207" s="8"/>
      <c r="BC207" s="48"/>
      <c r="BD207" s="58"/>
      <c r="BE207" s="1"/>
      <c r="BF207" s="47"/>
      <c r="BG207" s="8"/>
      <c r="BH207" s="8"/>
      <c r="BI207" s="48"/>
      <c r="BJ207" s="58"/>
      <c r="BK207" s="1"/>
      <c r="BL207" s="47"/>
      <c r="BM207" s="8"/>
      <c r="BN207" s="8"/>
      <c r="BO207" s="48"/>
      <c r="BP207" s="58"/>
      <c r="BQ207" s="1"/>
      <c r="BR207" s="47"/>
      <c r="BS207" s="8"/>
      <c r="BT207" s="8"/>
      <c r="BU207" s="48"/>
      <c r="BV207" s="58"/>
      <c r="BW207" s="1"/>
      <c r="BX207" s="47"/>
      <c r="BY207" s="8"/>
      <c r="BZ207" s="8"/>
      <c r="CA207" s="48"/>
      <c r="CB207" s="58"/>
      <c r="CC207" s="1"/>
      <c r="CD207" s="47"/>
      <c r="CE207" s="8"/>
      <c r="CF207" s="8"/>
      <c r="CG207" s="48"/>
      <c r="CH207" s="58"/>
      <c r="CI207" s="1"/>
      <c r="CJ207" s="47"/>
      <c r="CK207" s="8"/>
      <c r="CL207" s="8"/>
      <c r="CM207" s="48"/>
      <c r="CN207" s="58"/>
      <c r="CO207" s="1"/>
      <c r="CP207" s="47"/>
      <c r="CQ207" s="8"/>
      <c r="CR207" s="8"/>
      <c r="CS207" s="48"/>
      <c r="CT207" s="58"/>
    </row>
    <row r="208" spans="2:98" ht="15.75" thickBot="1" x14ac:dyDescent="0.35">
      <c r="B208" s="76" t="s">
        <v>51</v>
      </c>
      <c r="D208" s="77">
        <f>D202+D205</f>
        <v>5485</v>
      </c>
      <c r="E208" s="78">
        <f>E202+E205</f>
        <v>5621</v>
      </c>
      <c r="F208" s="78">
        <f>F202+F205</f>
        <v>5650</v>
      </c>
      <c r="G208" s="78">
        <f>G202+G205</f>
        <v>5666</v>
      </c>
      <c r="H208" s="74">
        <f>D208+E208+F208+G208</f>
        <v>22422</v>
      </c>
      <c r="I208" s="1"/>
      <c r="J208" s="77">
        <f>J202+J205</f>
        <v>5680</v>
      </c>
      <c r="K208" s="78">
        <f>K202+K205</f>
        <v>5733</v>
      </c>
      <c r="L208" s="78">
        <f>L202+L205</f>
        <v>5797</v>
      </c>
      <c r="M208" s="78">
        <f>M202+M205</f>
        <v>5699</v>
      </c>
      <c r="N208" s="74">
        <f>J208+K208+L208+M208</f>
        <v>22909</v>
      </c>
      <c r="O208" s="1"/>
      <c r="P208" s="77">
        <f>P202+P205</f>
        <v>5603</v>
      </c>
      <c r="Q208" s="78">
        <f>Q202+Q205</f>
        <v>5540</v>
      </c>
      <c r="R208" s="78">
        <f>R202+R205</f>
        <v>5383</v>
      </c>
      <c r="S208" s="78">
        <f>S202+S205</f>
        <v>5227</v>
      </c>
      <c r="T208" s="74">
        <f>P208+Q208+R208+S208</f>
        <v>21753</v>
      </c>
      <c r="U208" s="1"/>
      <c r="V208" s="77">
        <f>V202+V205</f>
        <v>5106</v>
      </c>
      <c r="W208" s="78">
        <f>W202+W205</f>
        <v>5122.2101034214284</v>
      </c>
      <c r="X208" s="78">
        <f>X202+X205</f>
        <v>5138.000244695937</v>
      </c>
      <c r="Y208" s="78">
        <f>Y202+Y205</f>
        <v>5168.5296776072291</v>
      </c>
      <c r="Z208" s="74">
        <f>V208+W208+X208+Y208</f>
        <v>20534.740025724594</v>
      </c>
      <c r="AA208" s="1"/>
      <c r="AB208" s="77">
        <f>AB161</f>
        <v>5337</v>
      </c>
      <c r="AC208" s="78">
        <f>AC161</f>
        <v>5484</v>
      </c>
      <c r="AD208" s="78">
        <f>AD161</f>
        <v>5684</v>
      </c>
      <c r="AE208" s="102">
        <f>AE161</f>
        <v>5870</v>
      </c>
      <c r="AF208" s="74">
        <f>(AB208+AC208+AD208+AE208)</f>
        <v>22375</v>
      </c>
      <c r="AG208" s="1"/>
      <c r="AH208" s="77">
        <f>AH161</f>
        <v>5819</v>
      </c>
      <c r="AI208" s="78">
        <f>AI161</f>
        <v>6144</v>
      </c>
      <c r="AJ208" s="78">
        <f>AJ161</f>
        <v>6302</v>
      </c>
      <c r="AK208" s="102">
        <f>AK161</f>
        <v>6556</v>
      </c>
      <c r="AL208" s="74">
        <f>(AH208+AI208+AJ208+AK208)</f>
        <v>24821</v>
      </c>
      <c r="AM208" s="1"/>
      <c r="AN208" s="77">
        <f>AN161</f>
        <v>6578</v>
      </c>
      <c r="AO208" s="78">
        <f>AO161</f>
        <v>6888</v>
      </c>
      <c r="AP208" s="78">
        <f>AP161</f>
        <v>7133</v>
      </c>
      <c r="AQ208" s="102">
        <f>AQ161</f>
        <v>7245</v>
      </c>
      <c r="AR208" s="74">
        <f>(AN208+AO208+AP208+AQ208)</f>
        <v>27844</v>
      </c>
      <c r="AS208" s="1"/>
      <c r="AT208" s="77">
        <f>AT161</f>
        <v>7329</v>
      </c>
      <c r="AU208" s="78">
        <f>AU161</f>
        <v>7445</v>
      </c>
      <c r="AV208" s="78">
        <f>AV161</f>
        <v>7629</v>
      </c>
      <c r="AW208" s="102">
        <f>AW161</f>
        <v>7757</v>
      </c>
      <c r="AX208" s="74">
        <f>(AT208+AU208+AV208+AW208)</f>
        <v>30160</v>
      </c>
      <c r="AY208" s="1"/>
      <c r="AZ208" s="77">
        <f>AZ161</f>
        <v>7904.8503088988709</v>
      </c>
      <c r="BA208" s="78">
        <f>BA161</f>
        <v>8030.5438963809893</v>
      </c>
      <c r="BB208" s="78">
        <f>BB161</f>
        <v>8140.274835208279</v>
      </c>
      <c r="BC208" s="102">
        <f>BC161</f>
        <v>8222.8325858701246</v>
      </c>
      <c r="BD208" s="74">
        <f>(AZ208+BA208+BB208+BC208)</f>
        <v>32298.501626358262</v>
      </c>
      <c r="BE208" s="1"/>
      <c r="BF208" s="77">
        <f>BF161</f>
        <v>8397.3529150767772</v>
      </c>
      <c r="BG208" s="78">
        <f>BG161</f>
        <v>8496.8794263376931</v>
      </c>
      <c r="BH208" s="78">
        <f>BH161</f>
        <v>8611.171608776147</v>
      </c>
      <c r="BI208" s="102">
        <f>BI161</f>
        <v>8698.6319244232782</v>
      </c>
      <c r="BJ208" s="74">
        <f>(BF208+BG208+BH208+BI208)</f>
        <v>34204.035874613895</v>
      </c>
      <c r="BK208" s="1"/>
      <c r="BL208" s="77">
        <f>BL161</f>
        <v>8860.6386895013457</v>
      </c>
      <c r="BM208" s="78">
        <f>BM161</f>
        <v>8942.0889380789322</v>
      </c>
      <c r="BN208" s="78">
        <f>BN161</f>
        <v>9045.8414438594082</v>
      </c>
      <c r="BO208" s="102">
        <f>BO161</f>
        <v>9123.9833501989488</v>
      </c>
      <c r="BP208" s="74">
        <f>(BL208+BM208+BN208+BO208)</f>
        <v>35972.55242163864</v>
      </c>
      <c r="BQ208" s="1"/>
      <c r="BR208" s="77">
        <f>BR161</f>
        <v>9273.4394692540845</v>
      </c>
      <c r="BS208" s="78">
        <f>BS161</f>
        <v>9339.5732509351801</v>
      </c>
      <c r="BT208" s="78">
        <f>BT161</f>
        <v>9434.3992111891275</v>
      </c>
      <c r="BU208" s="102">
        <f>BU161</f>
        <v>9502.4645952136216</v>
      </c>
      <c r="BV208" s="74">
        <f>(BR208+BS208+BT208+BU208)</f>
        <v>37549.876526592016</v>
      </c>
      <c r="BW208" s="1"/>
      <c r="BX208" s="77">
        <f>BX161</f>
        <v>9632.7525182855661</v>
      </c>
      <c r="BY208" s="78">
        <f>BY161</f>
        <v>9683.6976793582344</v>
      </c>
      <c r="BZ208" s="78">
        <f>BZ161</f>
        <v>9770.4982062947784</v>
      </c>
      <c r="CA208" s="102">
        <f>CA161</f>
        <v>9835.8596004319152</v>
      </c>
      <c r="CB208" s="74">
        <f>(BX208+BY208+BZ208+CA208)</f>
        <v>38922.808004370498</v>
      </c>
      <c r="CC208" s="1"/>
      <c r="CD208" s="77">
        <f>CD161</f>
        <v>9954.2175332310999</v>
      </c>
      <c r="CE208" s="78">
        <f>CE161</f>
        <v>9995.2118610547132</v>
      </c>
      <c r="CF208" s="78">
        <f>CF161</f>
        <v>10078.137633448318</v>
      </c>
      <c r="CG208" s="102">
        <f>CG161</f>
        <v>10142.591701605023</v>
      </c>
      <c r="CH208" s="74">
        <f>(CD208+CE208+CF208+CG208)</f>
        <v>40170.158729339149</v>
      </c>
      <c r="CI208" s="1"/>
      <c r="CJ208" s="77">
        <f>CJ161</f>
        <v>10262.290539146506</v>
      </c>
      <c r="CK208" s="78">
        <f>CK161</f>
        <v>10284.806170208863</v>
      </c>
      <c r="CL208" s="78">
        <f>CL161</f>
        <v>10354.415756295268</v>
      </c>
      <c r="CM208" s="102">
        <f>CM161</f>
        <v>10409.050117675613</v>
      </c>
      <c r="CN208" s="74">
        <f>(CJ208+CK208+CL208+CM208)</f>
        <v>41310.562583326253</v>
      </c>
      <c r="CO208" s="1"/>
      <c r="CP208" s="77">
        <f>CP161</f>
        <v>10486.502284662889</v>
      </c>
      <c r="CQ208" s="78">
        <f>CQ161</f>
        <v>10504.010147418001</v>
      </c>
      <c r="CR208" s="78">
        <f>CR161</f>
        <v>10572.560397208998</v>
      </c>
      <c r="CS208" s="102">
        <f>CS161</f>
        <v>10628.814210167906</v>
      </c>
      <c r="CT208" s="74">
        <f>(CP208+CQ208+CR208+CS208)</f>
        <v>42191.88703945779</v>
      </c>
    </row>
    <row r="211" spans="1:98" x14ac:dyDescent="0.2">
      <c r="A211" s="278"/>
      <c r="B211" s="278"/>
      <c r="C211" s="278"/>
      <c r="D211" s="278"/>
      <c r="E211" s="278"/>
      <c r="F211" s="278"/>
      <c r="G211" s="278"/>
      <c r="H211" s="278"/>
      <c r="I211" s="278"/>
      <c r="J211" s="278"/>
      <c r="K211" s="278"/>
      <c r="L211" s="278"/>
      <c r="M211" s="278"/>
      <c r="N211" s="278"/>
      <c r="O211" s="278"/>
      <c r="P211" s="278"/>
      <c r="Q211" s="278"/>
      <c r="R211" s="278"/>
      <c r="S211" s="278"/>
      <c r="T211" s="278"/>
      <c r="U211" s="278"/>
      <c r="V211" s="278"/>
      <c r="W211" s="278"/>
      <c r="X211" s="278"/>
      <c r="Y211" s="278"/>
      <c r="Z211" s="278"/>
      <c r="AA211" s="278"/>
      <c r="AB211" s="278"/>
      <c r="AC211" s="278"/>
      <c r="AD211" s="278"/>
      <c r="AE211" s="278"/>
      <c r="AF211" s="278"/>
      <c r="AG211" s="278"/>
      <c r="AH211" s="278"/>
      <c r="AI211" s="278"/>
      <c r="AJ211" s="278"/>
      <c r="AK211" s="278"/>
      <c r="AL211" s="278"/>
      <c r="AM211" s="278"/>
      <c r="AN211" s="278"/>
      <c r="AO211" s="278"/>
      <c r="AP211" s="278"/>
      <c r="AQ211" s="278"/>
      <c r="AR211" s="278"/>
      <c r="AS211" s="278"/>
      <c r="AT211" s="278"/>
      <c r="AU211" s="278"/>
      <c r="AV211" s="278"/>
      <c r="AW211" s="278"/>
      <c r="AX211" s="278"/>
      <c r="AY211" s="278"/>
      <c r="AZ211" s="278"/>
      <c r="BA211" s="278"/>
      <c r="BB211" s="278"/>
      <c r="BC211" s="278"/>
      <c r="BD211" s="278"/>
      <c r="BE211" s="278"/>
      <c r="BF211" s="278"/>
      <c r="BG211" s="278"/>
      <c r="BH211" s="278"/>
      <c r="BI211" s="278"/>
      <c r="BJ211" s="278"/>
      <c r="BK211" s="278"/>
      <c r="BL211" s="278"/>
      <c r="BM211" s="278"/>
      <c r="BN211" s="278"/>
      <c r="BO211" s="278"/>
      <c r="BP211" s="278"/>
      <c r="BQ211" s="278"/>
      <c r="BR211" s="278"/>
      <c r="BS211" s="278"/>
      <c r="BT211" s="278"/>
      <c r="BU211" s="278"/>
      <c r="BV211" s="278"/>
      <c r="BW211" s="278"/>
      <c r="BX211" s="278"/>
      <c r="BY211" s="278"/>
      <c r="BZ211" s="278"/>
      <c r="CA211" s="278"/>
      <c r="CB211" s="278"/>
      <c r="CC211" s="278"/>
      <c r="CD211" s="278"/>
      <c r="CE211" s="278"/>
      <c r="CF211" s="278"/>
      <c r="CG211" s="278"/>
      <c r="CH211" s="278"/>
      <c r="CI211" s="278"/>
      <c r="CJ211" s="278"/>
      <c r="CK211" s="278"/>
      <c r="CL211" s="278"/>
      <c r="CM211" s="278"/>
      <c r="CN211" s="278"/>
      <c r="CO211" s="278"/>
      <c r="CP211" s="278"/>
      <c r="CQ211" s="278"/>
      <c r="CR211" s="278"/>
      <c r="CS211" s="278"/>
      <c r="CT211" s="278"/>
    </row>
    <row r="212" spans="1:98" ht="13.5" thickBot="1" x14ac:dyDescent="0.25"/>
    <row r="213" spans="1:98" ht="15.75" thickBot="1" x14ac:dyDescent="0.35">
      <c r="P213" s="715">
        <v>2012</v>
      </c>
      <c r="Q213" s="716"/>
      <c r="R213" s="716"/>
      <c r="S213" s="717"/>
      <c r="T213" s="11"/>
      <c r="U213" s="11"/>
      <c r="V213" s="715">
        <v>2013</v>
      </c>
      <c r="W213" s="716"/>
      <c r="X213" s="716"/>
      <c r="Y213" s="717"/>
      <c r="Z213" s="11"/>
      <c r="AA213" s="11"/>
      <c r="AB213" s="715">
        <v>2014</v>
      </c>
      <c r="AC213" s="716"/>
      <c r="AD213" s="716"/>
      <c r="AE213" s="717"/>
      <c r="AF213" s="11"/>
      <c r="AG213" s="11"/>
      <c r="AH213" s="715">
        <v>2015</v>
      </c>
      <c r="AI213" s="716"/>
      <c r="AJ213" s="716"/>
      <c r="AK213" s="717"/>
      <c r="AL213" s="11"/>
      <c r="AM213" s="11"/>
      <c r="AN213" s="715">
        <v>2016</v>
      </c>
      <c r="AO213" s="716"/>
      <c r="AP213" s="716"/>
      <c r="AQ213" s="717"/>
      <c r="AR213" s="11"/>
      <c r="AS213" s="11"/>
      <c r="AT213" s="715">
        <v>2017</v>
      </c>
      <c r="AU213" s="716"/>
      <c r="AV213" s="716"/>
      <c r="AW213" s="717"/>
      <c r="AX213" s="11"/>
      <c r="AY213" s="11"/>
      <c r="AZ213" s="715">
        <v>2018</v>
      </c>
      <c r="BA213" s="716"/>
      <c r="BB213" s="716"/>
      <c r="BC213" s="717"/>
      <c r="BD213" s="11"/>
      <c r="BE213" s="11"/>
      <c r="BF213" s="715">
        <v>2019</v>
      </c>
      <c r="BG213" s="716"/>
      <c r="BH213" s="716"/>
      <c r="BI213" s="717"/>
      <c r="BJ213" s="392"/>
      <c r="BK213" s="392"/>
      <c r="BL213" s="715">
        <v>2020</v>
      </c>
      <c r="BM213" s="716"/>
      <c r="BN213" s="716"/>
      <c r="BO213" s="717"/>
      <c r="BP213" s="392"/>
      <c r="BQ213" s="392"/>
      <c r="BR213" s="715">
        <v>2021</v>
      </c>
      <c r="BS213" s="716"/>
      <c r="BT213" s="716"/>
      <c r="BU213" s="717"/>
      <c r="BV213" s="392"/>
      <c r="BW213" s="392"/>
      <c r="BX213" s="715">
        <v>2022</v>
      </c>
      <c r="BY213" s="716"/>
      <c r="BZ213" s="716"/>
      <c r="CA213" s="717"/>
      <c r="CB213" s="392"/>
      <c r="CC213" s="392"/>
      <c r="CD213" s="715">
        <v>2023</v>
      </c>
      <c r="CE213" s="716"/>
      <c r="CF213" s="716"/>
      <c r="CG213" s="717"/>
      <c r="CH213" s="11"/>
      <c r="CI213" s="392"/>
      <c r="CJ213" s="715">
        <v>2024</v>
      </c>
      <c r="CK213" s="716"/>
      <c r="CL213" s="716"/>
      <c r="CM213" s="717"/>
      <c r="CN213" s="11"/>
      <c r="CO213" s="392"/>
      <c r="CP213" s="715">
        <v>2025</v>
      </c>
      <c r="CQ213" s="716"/>
      <c r="CR213" s="716"/>
      <c r="CS213" s="717"/>
      <c r="CT213" s="11"/>
    </row>
    <row r="214" spans="1:98" ht="15.75" thickBot="1" x14ac:dyDescent="0.35">
      <c r="B214" s="226" t="s">
        <v>254</v>
      </c>
      <c r="P214" s="393" t="s">
        <v>20</v>
      </c>
      <c r="Q214" s="394" t="s">
        <v>19</v>
      </c>
      <c r="R214" s="394" t="s">
        <v>22</v>
      </c>
      <c r="S214" s="395" t="s">
        <v>21</v>
      </c>
      <c r="T214" s="396" t="s">
        <v>39</v>
      </c>
      <c r="U214" s="11"/>
      <c r="V214" s="393" t="s">
        <v>20</v>
      </c>
      <c r="W214" s="394" t="s">
        <v>19</v>
      </c>
      <c r="X214" s="394" t="s">
        <v>22</v>
      </c>
      <c r="Y214" s="395" t="s">
        <v>21</v>
      </c>
      <c r="Z214" s="396" t="s">
        <v>39</v>
      </c>
      <c r="AA214" s="11"/>
      <c r="AB214" s="393" t="s">
        <v>20</v>
      </c>
      <c r="AC214" s="394" t="s">
        <v>19</v>
      </c>
      <c r="AD214" s="394" t="s">
        <v>22</v>
      </c>
      <c r="AE214" s="395" t="s">
        <v>21</v>
      </c>
      <c r="AF214" s="396" t="s">
        <v>39</v>
      </c>
      <c r="AG214" s="11"/>
      <c r="AH214" s="393" t="s">
        <v>20</v>
      </c>
      <c r="AI214" s="394" t="s">
        <v>19</v>
      </c>
      <c r="AJ214" s="394" t="s">
        <v>22</v>
      </c>
      <c r="AK214" s="395" t="s">
        <v>21</v>
      </c>
      <c r="AL214" s="396" t="s">
        <v>39</v>
      </c>
      <c r="AM214" s="11"/>
      <c r="AN214" s="393" t="s">
        <v>20</v>
      </c>
      <c r="AO214" s="394" t="s">
        <v>19</v>
      </c>
      <c r="AP214" s="394" t="s">
        <v>22</v>
      </c>
      <c r="AQ214" s="395" t="s">
        <v>21</v>
      </c>
      <c r="AR214" s="396" t="s">
        <v>39</v>
      </c>
      <c r="AS214" s="11"/>
      <c r="AT214" s="393" t="s">
        <v>20</v>
      </c>
      <c r="AU214" s="394" t="s">
        <v>19</v>
      </c>
      <c r="AV214" s="394" t="s">
        <v>22</v>
      </c>
      <c r="AW214" s="395" t="s">
        <v>21</v>
      </c>
      <c r="AX214" s="396" t="s">
        <v>39</v>
      </c>
      <c r="AY214" s="11"/>
      <c r="AZ214" s="393" t="s">
        <v>20</v>
      </c>
      <c r="BA214" s="394" t="s">
        <v>19</v>
      </c>
      <c r="BB214" s="394" t="s">
        <v>22</v>
      </c>
      <c r="BC214" s="395" t="s">
        <v>21</v>
      </c>
      <c r="BD214" s="396" t="s">
        <v>39</v>
      </c>
      <c r="BE214" s="11"/>
      <c r="BF214" s="393" t="s">
        <v>20</v>
      </c>
      <c r="BG214" s="394" t="s">
        <v>19</v>
      </c>
      <c r="BH214" s="394" t="s">
        <v>22</v>
      </c>
      <c r="BI214" s="395" t="s">
        <v>21</v>
      </c>
      <c r="BJ214" s="396" t="s">
        <v>39</v>
      </c>
      <c r="BK214" s="11"/>
      <c r="BL214" s="393" t="s">
        <v>20</v>
      </c>
      <c r="BM214" s="394" t="s">
        <v>19</v>
      </c>
      <c r="BN214" s="394" t="s">
        <v>22</v>
      </c>
      <c r="BO214" s="395" t="s">
        <v>21</v>
      </c>
      <c r="BP214" s="396" t="s">
        <v>39</v>
      </c>
      <c r="BQ214" s="11"/>
      <c r="BR214" s="393" t="s">
        <v>20</v>
      </c>
      <c r="BS214" s="394" t="s">
        <v>19</v>
      </c>
      <c r="BT214" s="394" t="s">
        <v>22</v>
      </c>
      <c r="BU214" s="395" t="s">
        <v>21</v>
      </c>
      <c r="BV214" s="396" t="s">
        <v>39</v>
      </c>
      <c r="BW214" s="11"/>
      <c r="BX214" s="393" t="s">
        <v>20</v>
      </c>
      <c r="BY214" s="394" t="s">
        <v>19</v>
      </c>
      <c r="BZ214" s="394" t="s">
        <v>22</v>
      </c>
      <c r="CA214" s="395" t="s">
        <v>21</v>
      </c>
      <c r="CB214" s="396" t="s">
        <v>39</v>
      </c>
      <c r="CC214" s="11"/>
      <c r="CD214" s="393" t="s">
        <v>20</v>
      </c>
      <c r="CE214" s="394" t="s">
        <v>19</v>
      </c>
      <c r="CF214" s="394" t="s">
        <v>22</v>
      </c>
      <c r="CG214" s="395" t="s">
        <v>21</v>
      </c>
      <c r="CH214" s="396" t="s">
        <v>39</v>
      </c>
      <c r="CI214" s="11"/>
      <c r="CJ214" s="393" t="s">
        <v>20</v>
      </c>
      <c r="CK214" s="394" t="s">
        <v>19</v>
      </c>
      <c r="CL214" s="394" t="s">
        <v>22</v>
      </c>
      <c r="CM214" s="395" t="s">
        <v>21</v>
      </c>
      <c r="CN214" s="396" t="s">
        <v>39</v>
      </c>
      <c r="CO214" s="11"/>
      <c r="CP214" s="393" t="s">
        <v>20</v>
      </c>
      <c r="CQ214" s="394" t="s">
        <v>19</v>
      </c>
      <c r="CR214" s="394" t="s">
        <v>22</v>
      </c>
      <c r="CS214" s="395" t="s">
        <v>21</v>
      </c>
      <c r="CT214" s="396" t="s">
        <v>39</v>
      </c>
    </row>
    <row r="215" spans="1:98" x14ac:dyDescent="0.2">
      <c r="B215" s="241"/>
      <c r="P215" s="103"/>
      <c r="Q215" s="103"/>
      <c r="R215" s="103"/>
      <c r="S215" s="103"/>
      <c r="T215" s="103"/>
      <c r="U215" s="103"/>
      <c r="V215" s="103"/>
      <c r="W215" s="103"/>
      <c r="X215" s="103"/>
      <c r="Y215" s="103"/>
      <c r="Z215" s="103"/>
      <c r="AA215" s="103"/>
      <c r="AB215" s="103"/>
      <c r="AC215" s="103"/>
      <c r="AD215" s="103"/>
      <c r="AE215" s="103"/>
      <c r="AF215" s="103"/>
      <c r="AG215" s="103"/>
      <c r="AH215" s="103"/>
      <c r="AI215" s="103"/>
      <c r="AJ215" s="103"/>
      <c r="AK215" s="103"/>
      <c r="AL215" s="103"/>
      <c r="AM215" s="103"/>
      <c r="AN215" s="103"/>
      <c r="AO215" s="103"/>
      <c r="AP215" s="103"/>
      <c r="AQ215" s="103"/>
      <c r="AR215" s="103"/>
      <c r="AS215" s="103"/>
      <c r="AT215" s="103"/>
      <c r="AU215" s="103"/>
      <c r="AV215" s="103"/>
      <c r="AW215" s="103"/>
      <c r="AX215" s="103"/>
      <c r="AY215" s="103"/>
      <c r="AZ215" s="103"/>
      <c r="BA215" s="103"/>
      <c r="BB215" s="103"/>
      <c r="BC215" s="103"/>
      <c r="BD215" s="103"/>
      <c r="BE215" s="103"/>
      <c r="BF215" s="103"/>
      <c r="BG215" s="103"/>
      <c r="BH215" s="103"/>
      <c r="BI215" s="103"/>
      <c r="BJ215" s="103"/>
      <c r="BK215" s="103"/>
      <c r="BL215" s="103"/>
      <c r="BM215" s="103"/>
      <c r="BN215" s="103"/>
      <c r="BO215" s="103"/>
      <c r="BP215" s="103"/>
      <c r="BQ215" s="103"/>
      <c r="BR215" s="103"/>
      <c r="BS215" s="103"/>
      <c r="BT215" s="103"/>
      <c r="BU215" s="103"/>
      <c r="BV215" s="103"/>
      <c r="BW215" s="103"/>
      <c r="BX215" s="103"/>
      <c r="BY215" s="103"/>
      <c r="BZ215" s="103"/>
      <c r="CA215" s="103"/>
      <c r="CB215" s="103"/>
      <c r="CC215" s="103"/>
      <c r="CD215" s="103"/>
      <c r="CE215" s="103"/>
      <c r="CF215" s="103"/>
      <c r="CG215" s="103"/>
      <c r="CH215" s="103"/>
      <c r="CI215" s="103"/>
      <c r="CJ215" s="103"/>
      <c r="CK215" s="103"/>
      <c r="CL215" s="103"/>
      <c r="CM215" s="103"/>
      <c r="CN215" s="103"/>
      <c r="CO215" s="103"/>
      <c r="CP215" s="103"/>
      <c r="CQ215" s="103"/>
      <c r="CR215" s="103"/>
      <c r="CS215" s="103"/>
      <c r="CT215" s="103"/>
    </row>
    <row r="216" spans="1:98" x14ac:dyDescent="0.2">
      <c r="B216" s="273" t="s">
        <v>145</v>
      </c>
      <c r="P216" s="197">
        <f t="shared" ref="P216:T217" si="0">P173</f>
        <v>6311</v>
      </c>
      <c r="Q216" s="197">
        <f t="shared" si="0"/>
        <v>6164</v>
      </c>
      <c r="R216" s="197">
        <f t="shared" si="0"/>
        <v>6152</v>
      </c>
      <c r="S216" s="197">
        <f t="shared" si="0"/>
        <v>6193</v>
      </c>
      <c r="T216" s="197">
        <f t="shared" si="0"/>
        <v>24820</v>
      </c>
      <c r="U216" s="129"/>
      <c r="V216" s="197">
        <f t="shared" ref="V216:Z217" si="1">V173</f>
        <v>5964</v>
      </c>
      <c r="W216" s="197">
        <f t="shared" si="1"/>
        <v>6651.1389252348008</v>
      </c>
      <c r="X216" s="197">
        <f t="shared" si="1"/>
        <v>6687.6738416423677</v>
      </c>
      <c r="Y216" s="197">
        <f t="shared" si="1"/>
        <v>6827.0763987169721</v>
      </c>
      <c r="Z216" s="197">
        <f t="shared" si="1"/>
        <v>26129.889165594141</v>
      </c>
      <c r="AA216" s="129"/>
      <c r="AB216" s="197">
        <f t="shared" ref="AB216:AF217" si="2">AB173</f>
        <v>6875</v>
      </c>
      <c r="AC216" s="197">
        <f t="shared" si="2"/>
        <v>7185</v>
      </c>
      <c r="AD216" s="197">
        <f t="shared" si="2"/>
        <v>7350</v>
      </c>
      <c r="AE216" s="197">
        <f t="shared" si="2"/>
        <v>8154</v>
      </c>
      <c r="AF216" s="197">
        <f t="shared" si="2"/>
        <v>29564</v>
      </c>
      <c r="AG216" s="129"/>
      <c r="AH216" s="197">
        <f t="shared" ref="AH216:AL217" si="3">AH173</f>
        <v>7778</v>
      </c>
      <c r="AI216" s="197">
        <f t="shared" si="3"/>
        <v>8179</v>
      </c>
      <c r="AJ216" s="197">
        <f t="shared" si="3"/>
        <v>7849</v>
      </c>
      <c r="AK216" s="197">
        <f t="shared" si="3"/>
        <v>8247</v>
      </c>
      <c r="AL216" s="197">
        <f t="shared" si="3"/>
        <v>32053</v>
      </c>
      <c r="AM216" s="129"/>
      <c r="AN216" s="197">
        <f t="shared" ref="AN216:AR217" si="4">AN173</f>
        <v>8599</v>
      </c>
      <c r="AO216" s="197">
        <f t="shared" si="4"/>
        <v>9222</v>
      </c>
      <c r="AP216" s="197">
        <f t="shared" si="4"/>
        <v>9246</v>
      </c>
      <c r="AQ216" s="197">
        <f t="shared" si="4"/>
        <v>10175</v>
      </c>
      <c r="AR216" s="197">
        <f t="shared" si="4"/>
        <v>37242</v>
      </c>
      <c r="AS216" s="129"/>
      <c r="AT216" s="197">
        <f t="shared" ref="AT216:AX217" si="5">AT173</f>
        <v>9613</v>
      </c>
      <c r="AU216" s="197">
        <f t="shared" si="5"/>
        <v>10213</v>
      </c>
      <c r="AV216" s="197">
        <f t="shared" si="5"/>
        <v>10019</v>
      </c>
      <c r="AW216" s="197">
        <f t="shared" si="5"/>
        <v>10759</v>
      </c>
      <c r="AX216" s="197">
        <f t="shared" si="5"/>
        <v>40604</v>
      </c>
      <c r="AY216" s="129"/>
      <c r="AZ216" s="197">
        <f t="shared" ref="AZ216:BD217" si="6">AZ173</f>
        <v>10273.825048615494</v>
      </c>
      <c r="BA216" s="197">
        <f t="shared" si="6"/>
        <v>10784.657580386633</v>
      </c>
      <c r="BB216" s="197">
        <f t="shared" si="6"/>
        <v>10656.831166474294</v>
      </c>
      <c r="BC216" s="197">
        <f t="shared" si="6"/>
        <v>11048.902159894627</v>
      </c>
      <c r="BD216" s="197">
        <f t="shared" si="6"/>
        <v>42764.215955371052</v>
      </c>
      <c r="BE216" s="129"/>
      <c r="BF216" s="197">
        <f t="shared" ref="BF216:BJ217" si="7">BF173</f>
        <v>10875.191169085809</v>
      </c>
      <c r="BG216" s="197">
        <f t="shared" si="7"/>
        <v>11335.715483767486</v>
      </c>
      <c r="BH216" s="197">
        <f t="shared" si="7"/>
        <v>11170.295647862496</v>
      </c>
      <c r="BI216" s="197">
        <f t="shared" si="7"/>
        <v>11536.462350314665</v>
      </c>
      <c r="BJ216" s="197">
        <f t="shared" si="7"/>
        <v>44917.664651030456</v>
      </c>
      <c r="BK216" s="129"/>
      <c r="BL216" s="197">
        <f t="shared" ref="BL216:BP217" si="8">BL173</f>
        <v>11481.749681569101</v>
      </c>
      <c r="BM216" s="197">
        <f t="shared" si="8"/>
        <v>11846.414101072587</v>
      </c>
      <c r="BN216" s="197">
        <f t="shared" si="8"/>
        <v>11667.64740078357</v>
      </c>
      <c r="BO216" s="197">
        <f t="shared" si="8"/>
        <v>11995.767654627842</v>
      </c>
      <c r="BP216" s="197">
        <f t="shared" si="8"/>
        <v>46991.578838053101</v>
      </c>
      <c r="BQ216" s="129"/>
      <c r="BR216" s="197">
        <f t="shared" ref="BR216:BV217" si="9">BR173</f>
        <v>12018.82168640973</v>
      </c>
      <c r="BS216" s="197">
        <f t="shared" si="9"/>
        <v>12299.802109179844</v>
      </c>
      <c r="BT216" s="197">
        <f t="shared" si="9"/>
        <v>12110.851222991318</v>
      </c>
      <c r="BU216" s="197">
        <f t="shared" si="9"/>
        <v>12388.883212414641</v>
      </c>
      <c r="BV216" s="197">
        <f t="shared" si="9"/>
        <v>48818.358230995538</v>
      </c>
      <c r="BW216" s="129"/>
      <c r="BX216" s="197">
        <f t="shared" ref="BX216:CB217" si="10">BX173</f>
        <v>12493.82881249829</v>
      </c>
      <c r="BY216" s="197">
        <f t="shared" si="10"/>
        <v>12689.181466537677</v>
      </c>
      <c r="BZ216" s="197">
        <f t="shared" si="10"/>
        <v>12492.649791036107</v>
      </c>
      <c r="CA216" s="197">
        <f t="shared" si="10"/>
        <v>12767.405280623907</v>
      </c>
      <c r="CB216" s="197">
        <f t="shared" si="10"/>
        <v>50443.065350695979</v>
      </c>
      <c r="CC216" s="129"/>
      <c r="CD216" s="197">
        <f t="shared" ref="CD216:CH217" si="11">CD173</f>
        <v>12907.189090966705</v>
      </c>
      <c r="CE216" s="197">
        <f t="shared" si="11"/>
        <v>13043.554484080498</v>
      </c>
      <c r="CF216" s="197">
        <f t="shared" si="11"/>
        <v>12844.204051552146</v>
      </c>
      <c r="CG216" s="197">
        <f t="shared" si="11"/>
        <v>13107.885094151876</v>
      </c>
      <c r="CH216" s="197">
        <f t="shared" si="11"/>
        <v>51902.832720751227</v>
      </c>
      <c r="CI216" s="129"/>
      <c r="CJ216" s="197">
        <f t="shared" ref="CJ216:CN217" si="12">CJ173</f>
        <v>13321.182776186703</v>
      </c>
      <c r="CK216" s="197">
        <f t="shared" si="12"/>
        <v>13348.81053634132</v>
      </c>
      <c r="CL216" s="197">
        <f t="shared" si="12"/>
        <v>13140.965126769515</v>
      </c>
      <c r="CM216" s="197">
        <f t="shared" si="12"/>
        <v>13391.763806712082</v>
      </c>
      <c r="CN216" s="197">
        <f t="shared" si="12"/>
        <v>53202.722246009624</v>
      </c>
      <c r="CO216" s="129"/>
      <c r="CP216" s="197">
        <f t="shared" ref="CP216:CT217" si="13">CP173</f>
        <v>13600.755960394692</v>
      </c>
      <c r="CQ216" s="197">
        <f t="shared" si="13"/>
        <v>13595.296720227938</v>
      </c>
      <c r="CR216" s="197">
        <f t="shared" si="13"/>
        <v>13389.736288127695</v>
      </c>
      <c r="CS216" s="197">
        <f t="shared" si="13"/>
        <v>13643.15337018084</v>
      </c>
      <c r="CT216" s="197">
        <f t="shared" si="13"/>
        <v>54228.942338931171</v>
      </c>
    </row>
    <row r="217" spans="1:98" ht="15" x14ac:dyDescent="0.3">
      <c r="B217" s="6" t="s">
        <v>23</v>
      </c>
      <c r="P217" s="136">
        <f t="shared" si="0"/>
        <v>-6.9236821400472069E-3</v>
      </c>
      <c r="Q217" s="136">
        <f t="shared" si="0"/>
        <v>-1.5178143473398307E-2</v>
      </c>
      <c r="R217" s="136">
        <f t="shared" si="0"/>
        <v>-4.368101974195554E-2</v>
      </c>
      <c r="S217" s="136">
        <f t="shared" si="0"/>
        <v>-3.4907277544023688E-2</v>
      </c>
      <c r="T217" s="136">
        <f t="shared" si="0"/>
        <v>-2.5290606346214262E-2</v>
      </c>
      <c r="U217" s="103"/>
      <c r="V217" s="136">
        <f t="shared" si="1"/>
        <v>-5.4983362383140548E-2</v>
      </c>
      <c r="W217" s="136">
        <f t="shared" si="1"/>
        <v>7.9029676384620509E-2</v>
      </c>
      <c r="X217" s="136">
        <f t="shared" si="1"/>
        <v>8.7073121203245729E-2</v>
      </c>
      <c r="Y217" s="136">
        <f t="shared" si="1"/>
        <v>0.10238598396850833</v>
      </c>
      <c r="Z217" s="136">
        <f t="shared" si="1"/>
        <v>5.2775550587999223E-2</v>
      </c>
      <c r="AA217" s="103"/>
      <c r="AB217" s="136">
        <f t="shared" si="2"/>
        <v>0.15274983232729711</v>
      </c>
      <c r="AC217" s="136">
        <f t="shared" si="2"/>
        <v>8.0266113934216454E-2</v>
      </c>
      <c r="AD217" s="136">
        <f t="shared" si="2"/>
        <v>9.903685108467819E-2</v>
      </c>
      <c r="AE217" s="136">
        <f t="shared" si="2"/>
        <v>0.19436190893255567</v>
      </c>
      <c r="AF217" s="136">
        <f t="shared" si="2"/>
        <v>0.13142462306834557</v>
      </c>
      <c r="AG217" s="103"/>
      <c r="AH217" s="136">
        <f t="shared" si="3"/>
        <v>0.13134545454545465</v>
      </c>
      <c r="AI217" s="136">
        <f t="shared" si="3"/>
        <v>0.13834377174669443</v>
      </c>
      <c r="AJ217" s="136">
        <f t="shared" si="3"/>
        <v>6.7891156462585034E-2</v>
      </c>
      <c r="AK217" s="136">
        <f t="shared" si="3"/>
        <v>1.1405445180279639E-2</v>
      </c>
      <c r="AL217" s="136">
        <f t="shared" si="3"/>
        <v>8.4190231362467838E-2</v>
      </c>
      <c r="AM217" s="103"/>
      <c r="AN217" s="136">
        <f t="shared" si="4"/>
        <v>0.10555412702494205</v>
      </c>
      <c r="AO217" s="136">
        <f t="shared" si="4"/>
        <v>0.12752170191955003</v>
      </c>
      <c r="AP217" s="136">
        <f t="shared" si="4"/>
        <v>0.17798445661867746</v>
      </c>
      <c r="AQ217" s="136">
        <f t="shared" si="4"/>
        <v>0.23378198132654293</v>
      </c>
      <c r="AR217" s="136">
        <f t="shared" si="4"/>
        <v>0.16188812279661802</v>
      </c>
      <c r="AS217" s="103"/>
      <c r="AT217" s="136">
        <f t="shared" si="5"/>
        <v>0.11792068845214554</v>
      </c>
      <c r="AU217" s="136">
        <f t="shared" si="5"/>
        <v>0.10746042073302964</v>
      </c>
      <c r="AV217" s="136">
        <f t="shared" si="5"/>
        <v>8.3603720527795744E-2</v>
      </c>
      <c r="AW217" s="136">
        <f t="shared" si="5"/>
        <v>5.7395577395577435E-2</v>
      </c>
      <c r="AX217" s="136">
        <f t="shared" si="5"/>
        <v>9.0274421352236622E-2</v>
      </c>
      <c r="AY217" s="103"/>
      <c r="AZ217" s="136">
        <f t="shared" si="6"/>
        <v>6.8742853283625616E-2</v>
      </c>
      <c r="BA217" s="136">
        <f t="shared" si="6"/>
        <v>5.5973522019644895E-2</v>
      </c>
      <c r="BB217" s="136">
        <f t="shared" si="6"/>
        <v>6.3662158546191616E-2</v>
      </c>
      <c r="BC217" s="136">
        <f t="shared" si="6"/>
        <v>2.6945084105830297E-2</v>
      </c>
      <c r="BD217" s="136">
        <f t="shared" si="6"/>
        <v>5.3202047960078991E-2</v>
      </c>
      <c r="BE217" s="103"/>
      <c r="BF217" s="136">
        <f t="shared" si="7"/>
        <v>5.8533809717866925E-2</v>
      </c>
      <c r="BG217" s="136">
        <f t="shared" si="7"/>
        <v>5.1096467298417325E-2</v>
      </c>
      <c r="BH217" s="136">
        <f t="shared" si="7"/>
        <v>4.8181722443302766E-2</v>
      </c>
      <c r="BI217" s="136">
        <f t="shared" si="7"/>
        <v>4.4127478310902912E-2</v>
      </c>
      <c r="BJ217" s="136">
        <f t="shared" si="7"/>
        <v>5.0356323565168504E-2</v>
      </c>
      <c r="BK217" s="103"/>
      <c r="BL217" s="136">
        <f t="shared" si="8"/>
        <v>5.5774514953586873E-2</v>
      </c>
      <c r="BM217" s="136">
        <f t="shared" si="8"/>
        <v>4.5052173198631529E-2</v>
      </c>
      <c r="BN217" s="136">
        <f t="shared" si="8"/>
        <v>4.4524493227378947E-2</v>
      </c>
      <c r="BO217" s="136">
        <f t="shared" si="8"/>
        <v>3.9813357887883871E-2</v>
      </c>
      <c r="BP217" s="136">
        <f t="shared" si="8"/>
        <v>4.6171460674437892E-2</v>
      </c>
      <c r="BQ217" s="103"/>
      <c r="BR217" s="136">
        <f t="shared" si="9"/>
        <v>4.6776146470320246E-2</v>
      </c>
      <c r="BS217" s="136">
        <f t="shared" si="9"/>
        <v>3.8272172848170749E-2</v>
      </c>
      <c r="BT217" s="136">
        <f t="shared" si="9"/>
        <v>3.7985705856862229E-2</v>
      </c>
      <c r="BU217" s="136">
        <f t="shared" si="9"/>
        <v>3.2771188064411927E-2</v>
      </c>
      <c r="BV217" s="136">
        <f t="shared" si="9"/>
        <v>3.8874611964796024E-2</v>
      </c>
      <c r="BW217" s="103"/>
      <c r="BX217" s="136">
        <f t="shared" si="10"/>
        <v>3.9521938047027749E-2</v>
      </c>
      <c r="BY217" s="136">
        <f t="shared" si="10"/>
        <v>3.1657367647177415E-2</v>
      </c>
      <c r="BZ217" s="136">
        <f t="shared" si="10"/>
        <v>3.1525328898432958E-2</v>
      </c>
      <c r="CA217" s="136">
        <f t="shared" si="10"/>
        <v>3.0553364796429561E-2</v>
      </c>
      <c r="CB217" s="136">
        <f t="shared" si="10"/>
        <v>3.3280658722949275E-2</v>
      </c>
      <c r="CC217" s="103"/>
      <c r="CD217" s="136">
        <f t="shared" si="11"/>
        <v>3.3085156253694459E-2</v>
      </c>
      <c r="CE217" s="136">
        <f t="shared" si="11"/>
        <v>2.7927177058451713E-2</v>
      </c>
      <c r="CF217" s="136">
        <f t="shared" si="11"/>
        <v>2.8140888153951993E-2</v>
      </c>
      <c r="CG217" s="136">
        <f t="shared" si="11"/>
        <v>2.6667894223165955E-2</v>
      </c>
      <c r="CH217" s="136">
        <f t="shared" si="11"/>
        <v>2.8938910827613018E-2</v>
      </c>
      <c r="CI217" s="103"/>
      <c r="CJ217" s="136">
        <f t="shared" si="12"/>
        <v>3.2074658727184513E-2</v>
      </c>
      <c r="CK217" s="136">
        <f t="shared" si="12"/>
        <v>2.3402827245700752E-2</v>
      </c>
      <c r="CL217" s="136">
        <f t="shared" si="12"/>
        <v>2.3104668380093729E-2</v>
      </c>
      <c r="CM217" s="136">
        <f t="shared" si="12"/>
        <v>2.1657094986807568E-2</v>
      </c>
      <c r="CN217" s="136">
        <f t="shared" si="12"/>
        <v>2.5044674001746481E-2</v>
      </c>
      <c r="CO217" s="103"/>
      <c r="CP217" s="136">
        <f t="shared" si="13"/>
        <v>2.0987114200381907E-2</v>
      </c>
      <c r="CQ217" s="136">
        <f t="shared" si="13"/>
        <v>1.8465029765429186E-2</v>
      </c>
      <c r="CR217" s="136">
        <f t="shared" si="13"/>
        <v>1.893096579728426E-2</v>
      </c>
      <c r="CS217" s="136">
        <f t="shared" si="13"/>
        <v>1.8771953201770053E-2</v>
      </c>
      <c r="CT217" s="136">
        <f t="shared" si="13"/>
        <v>1.9288864358787849E-2</v>
      </c>
    </row>
    <row r="218" spans="1:98" x14ac:dyDescent="0.2">
      <c r="B218" s="241"/>
      <c r="P218" s="103"/>
      <c r="Q218" s="103"/>
      <c r="R218" s="103"/>
      <c r="S218" s="103"/>
      <c r="T218" s="103"/>
      <c r="U218" s="103"/>
      <c r="V218" s="103"/>
      <c r="W218" s="103"/>
      <c r="X218" s="103"/>
      <c r="Y218" s="103"/>
      <c r="Z218" s="103"/>
      <c r="AA218" s="103"/>
      <c r="AB218" s="103"/>
      <c r="AC218" s="103"/>
      <c r="AD218" s="103"/>
      <c r="AE218" s="103"/>
      <c r="AF218" s="103"/>
      <c r="AG218" s="103"/>
      <c r="AH218" s="103"/>
      <c r="AI218" s="103"/>
      <c r="AJ218" s="103"/>
      <c r="AK218" s="103"/>
      <c r="AL218" s="103"/>
      <c r="AM218" s="103"/>
      <c r="AN218" s="103"/>
      <c r="AO218" s="103"/>
      <c r="AP218" s="103"/>
      <c r="AQ218" s="103"/>
      <c r="AR218" s="103"/>
      <c r="AS218" s="103"/>
      <c r="AT218" s="103"/>
      <c r="AU218" s="103"/>
      <c r="AV218" s="103"/>
      <c r="AW218" s="103"/>
      <c r="AX218" s="103"/>
      <c r="AY218" s="103"/>
      <c r="AZ218" s="103"/>
      <c r="BA218" s="103"/>
      <c r="BB218" s="103"/>
      <c r="BC218" s="103"/>
      <c r="BD218" s="103"/>
      <c r="BE218" s="103"/>
      <c r="BF218" s="103"/>
      <c r="BG218" s="103"/>
      <c r="BH218" s="103"/>
      <c r="BI218" s="103"/>
      <c r="BJ218" s="103"/>
      <c r="BK218" s="103"/>
      <c r="BL218" s="103"/>
      <c r="BM218" s="103"/>
      <c r="BN218" s="103"/>
      <c r="BO218" s="103"/>
      <c r="BP218" s="103"/>
      <c r="BQ218" s="103"/>
      <c r="BR218" s="103"/>
      <c r="BS218" s="103"/>
      <c r="BT218" s="103"/>
      <c r="BU218" s="103"/>
      <c r="BV218" s="103"/>
      <c r="BW218" s="103"/>
      <c r="BX218" s="103"/>
      <c r="BY218" s="103"/>
      <c r="BZ218" s="103"/>
      <c r="CA218" s="103"/>
      <c r="CB218" s="103"/>
      <c r="CC218" s="103"/>
      <c r="CD218" s="103"/>
      <c r="CE218" s="103"/>
      <c r="CF218" s="103"/>
      <c r="CG218" s="103"/>
      <c r="CH218" s="103"/>
      <c r="CI218" s="103"/>
      <c r="CJ218" s="103"/>
      <c r="CK218" s="103"/>
      <c r="CL218" s="103"/>
      <c r="CM218" s="103"/>
      <c r="CN218" s="103"/>
      <c r="CO218" s="103"/>
      <c r="CP218" s="103"/>
      <c r="CQ218" s="103"/>
      <c r="CR218" s="103"/>
      <c r="CS218" s="103"/>
      <c r="CT218" s="103"/>
    </row>
    <row r="219" spans="1:98" x14ac:dyDescent="0.2">
      <c r="B219" s="273" t="s">
        <v>92</v>
      </c>
      <c r="P219" s="114">
        <f>P216-P222</f>
        <v>4785</v>
      </c>
      <c r="Q219" s="114">
        <f>Q216-Q222</f>
        <v>4359</v>
      </c>
      <c r="R219" s="114">
        <f>R216-R222</f>
        <v>4469</v>
      </c>
      <c r="S219" s="114">
        <f>S216-S222</f>
        <v>4847</v>
      </c>
      <c r="T219" s="114">
        <f>T216-T222</f>
        <v>18460</v>
      </c>
      <c r="U219" s="103"/>
      <c r="V219" s="114">
        <f>V216-V222</f>
        <v>4495</v>
      </c>
      <c r="W219" s="114">
        <f>W216-W222</f>
        <v>5385.7282942740494</v>
      </c>
      <c r="X219" s="114">
        <f>X216-X222</f>
        <v>5343.6049942091959</v>
      </c>
      <c r="Y219" s="114">
        <f>Y216-Y222</f>
        <v>5587.8097156638178</v>
      </c>
      <c r="Z219" s="114">
        <f>Z216-Z222</f>
        <v>20812.143004147063</v>
      </c>
      <c r="AA219" s="103"/>
      <c r="AB219" s="114">
        <f>AB216-AB222</f>
        <v>5787</v>
      </c>
      <c r="AC219" s="114">
        <f>AC216-AC222</f>
        <v>5734</v>
      </c>
      <c r="AD219" s="114">
        <f>AD216-AD222</f>
        <v>6004</v>
      </c>
      <c r="AE219" s="114">
        <f>AE216-AE222</f>
        <v>6403</v>
      </c>
      <c r="AF219" s="114">
        <f>AF216-AF222</f>
        <v>23928</v>
      </c>
      <c r="AG219" s="103"/>
      <c r="AH219" s="114">
        <f>AH216-AH222</f>
        <v>6390</v>
      </c>
      <c r="AI219" s="114">
        <f>AI216-AI222</f>
        <v>6362</v>
      </c>
      <c r="AJ219" s="114">
        <f>AJ216-AJ222</f>
        <v>5941</v>
      </c>
      <c r="AK219" s="114">
        <f>AK216-AK222</f>
        <v>5967</v>
      </c>
      <c r="AL219" s="114">
        <f>AL216-AL222</f>
        <v>24660</v>
      </c>
      <c r="AM219" s="103"/>
      <c r="AN219" s="114">
        <f>AN216-AN222</f>
        <v>5850</v>
      </c>
      <c r="AO219" s="114">
        <f>AO216-AO222</f>
        <v>6758</v>
      </c>
      <c r="AP219" s="114">
        <f>AP216-AP222</f>
        <v>6616</v>
      </c>
      <c r="AQ219" s="114">
        <f>AQ216-AQ222</f>
        <v>7627</v>
      </c>
      <c r="AR219" s="114">
        <f>AR216-AR222</f>
        <v>26851</v>
      </c>
      <c r="AS219" s="103"/>
      <c r="AT219" s="114">
        <f>AT216-AT222</f>
        <v>6945</v>
      </c>
      <c r="AU219" s="114">
        <f>AU216-AU222</f>
        <v>7201</v>
      </c>
      <c r="AV219" s="114">
        <f>AV216-AV222</f>
        <v>7197</v>
      </c>
      <c r="AW219" s="114">
        <f>AW216-AW222</f>
        <v>8048</v>
      </c>
      <c r="AX219" s="114">
        <f>AX216-AX222</f>
        <v>29391</v>
      </c>
      <c r="AY219" s="103"/>
      <c r="AZ219" s="114">
        <f>AZ216-AZ222</f>
        <v>7391.0138519494558</v>
      </c>
      <c r="BA219" s="114">
        <f>BA216-BA222</f>
        <v>7551.2486173691777</v>
      </c>
      <c r="BB219" s="114">
        <f>BB216-BB222</f>
        <v>7631.2085245000026</v>
      </c>
      <c r="BC219" s="114">
        <f>BC216-BC222</f>
        <v>8308.5232160482774</v>
      </c>
      <c r="BD219" s="114">
        <f>BD216-BD222</f>
        <v>30881.994209866916</v>
      </c>
      <c r="BE219" s="103"/>
      <c r="BF219" s="114">
        <f>BF216-BF222</f>
        <v>7830.2467188661158</v>
      </c>
      <c r="BG219" s="114">
        <f>BG216-BG222</f>
        <v>7932.6056204669057</v>
      </c>
      <c r="BH219" s="114">
        <f>BH216-BH222</f>
        <v>7974.6772148745595</v>
      </c>
      <c r="BI219" s="114">
        <f>BI216-BI222</f>
        <v>8630.3853490964048</v>
      </c>
      <c r="BJ219" s="114">
        <f>BJ216-BJ222</f>
        <v>32367.914903303987</v>
      </c>
      <c r="BK219" s="103"/>
      <c r="BL219" s="114">
        <f>BL216-BL222</f>
        <v>8264.3013418701867</v>
      </c>
      <c r="BM219" s="114">
        <f>BM216-BM222</f>
        <v>8247.7666821332205</v>
      </c>
      <c r="BN219" s="114">
        <f>BN216-BN222</f>
        <v>8284.3899295721676</v>
      </c>
      <c r="BO219" s="114">
        <f>BO216-BO222</f>
        <v>8908.0994661687728</v>
      </c>
      <c r="BP219" s="114">
        <f>BP216-BP222</f>
        <v>33704.557419744349</v>
      </c>
      <c r="BQ219" s="103"/>
      <c r="BR219" s="114">
        <f>BR216-BR222</f>
        <v>8630.6196308559265</v>
      </c>
      <c r="BS219" s="114">
        <f>BS216-BS222</f>
        <v>8509.4889232465739</v>
      </c>
      <c r="BT219" s="114">
        <f>BT216-BT222</f>
        <v>8542.2416882900125</v>
      </c>
      <c r="BU219" s="114">
        <f>BU216-BU222</f>
        <v>9116.9532412929675</v>
      </c>
      <c r="BV219" s="114">
        <f>BV216-BV222</f>
        <v>34799.303483685486</v>
      </c>
      <c r="BW219" s="103"/>
      <c r="BX219" s="114">
        <f>BX216-BX222</f>
        <v>8951.8525750257613</v>
      </c>
      <c r="BY219" s="114">
        <f>BY216-BY222</f>
        <v>8726.2246974652626</v>
      </c>
      <c r="BZ219" s="114">
        <f>BZ216-BZ222</f>
        <v>8755.0773742362726</v>
      </c>
      <c r="CA219" s="114">
        <f>CA216-CA222</f>
        <v>9335.1277775820199</v>
      </c>
      <c r="CB219" s="114">
        <f>CB216-CB222</f>
        <v>35768.282424309313</v>
      </c>
      <c r="CC219" s="103"/>
      <c r="CD219" s="114">
        <f>CD216-CD222</f>
        <v>9224.8695800440073</v>
      </c>
      <c r="CE219" s="114">
        <f>CE216-CE222</f>
        <v>8924.6661119876371</v>
      </c>
      <c r="CF219" s="114">
        <f>CF216-CF222</f>
        <v>8953.3638086870051</v>
      </c>
      <c r="CG219" s="114">
        <f>CG216-CG222</f>
        <v>9526.776149371457</v>
      </c>
      <c r="CH219" s="114">
        <f>CH216-CH222</f>
        <v>36629.67565009011</v>
      </c>
      <c r="CI219" s="103"/>
      <c r="CJ219" s="114">
        <f>CJ216-CJ222</f>
        <v>9487.7998080527032</v>
      </c>
      <c r="CK219" s="114">
        <f>CK216-CK222</f>
        <v>9062.8790695785428</v>
      </c>
      <c r="CL219" s="114">
        <f>CL216-CL222</f>
        <v>9083.4925355029573</v>
      </c>
      <c r="CM219" s="114">
        <f>CM216-CM222</f>
        <v>9652.5581132625102</v>
      </c>
      <c r="CN219" s="114">
        <f>CN216-CN222</f>
        <v>37286.729526396717</v>
      </c>
      <c r="CO219" s="103"/>
      <c r="CP219" s="114">
        <f>CP216-CP222</f>
        <v>9659.2381794293979</v>
      </c>
      <c r="CQ219" s="114">
        <f>CQ216-CQ222</f>
        <v>9191.5790358179456</v>
      </c>
      <c r="CR219" s="114">
        <f>CR216-CR222</f>
        <v>9215.2261813880032</v>
      </c>
      <c r="CS219" s="114">
        <f>CS216-CS222</f>
        <v>9791.3776124774849</v>
      </c>
      <c r="CT219" s="114">
        <f>CT216-CT222</f>
        <v>37857.421009112833</v>
      </c>
    </row>
    <row r="220" spans="1:98" ht="15" x14ac:dyDescent="0.3">
      <c r="B220" s="6" t="s">
        <v>23</v>
      </c>
      <c r="P220" s="103" t="s">
        <v>35</v>
      </c>
      <c r="Q220" s="103" t="s">
        <v>35</v>
      </c>
      <c r="R220" s="103" t="s">
        <v>35</v>
      </c>
      <c r="S220" s="103" t="s">
        <v>35</v>
      </c>
      <c r="T220" s="103" t="s">
        <v>35</v>
      </c>
      <c r="U220" s="103"/>
      <c r="V220" s="227">
        <f>V219/P219-1</f>
        <v>-6.0606060606060552E-2</v>
      </c>
      <c r="W220" s="227">
        <f>W219/Q219-1</f>
        <v>0.23554216432072717</v>
      </c>
      <c r="X220" s="227">
        <f>X219/R219-1</f>
        <v>0.1957048543766382</v>
      </c>
      <c r="Y220" s="227">
        <f>Y219/S219-1</f>
        <v>0.152838810741452</v>
      </c>
      <c r="Z220" s="227">
        <f>Z219/T219-1</f>
        <v>0.12741836425498709</v>
      </c>
      <c r="AA220" s="103"/>
      <c r="AB220" s="227">
        <f>AB219/V219-1</f>
        <v>0.28743047830923252</v>
      </c>
      <c r="AC220" s="227">
        <f>AC219/W219-1</f>
        <v>6.4665665755218926E-2</v>
      </c>
      <c r="AD220" s="227">
        <f>AD219/X219-1</f>
        <v>0.12358604472195589</v>
      </c>
      <c r="AE220" s="227">
        <f>AE219/Y219-1</f>
        <v>0.14588726635608773</v>
      </c>
      <c r="AF220" s="227">
        <f>AF219/Z219-1</f>
        <v>0.14971341467488797</v>
      </c>
      <c r="AG220" s="103"/>
      <c r="AH220" s="227">
        <f>AH219/AB219-1</f>
        <v>0.10419906687402802</v>
      </c>
      <c r="AI220" s="227">
        <f>AI219/AC219-1</f>
        <v>0.10952214858737364</v>
      </c>
      <c r="AJ220" s="227">
        <f>AJ219/AD219-1</f>
        <v>-1.0493004663557626E-2</v>
      </c>
      <c r="AK220" s="227">
        <f>AK219/AE219-1</f>
        <v>-6.8093081368108654E-2</v>
      </c>
      <c r="AL220" s="227">
        <f>AL219/AF219-1</f>
        <v>3.0591775325977899E-2</v>
      </c>
      <c r="AM220" s="103"/>
      <c r="AN220" s="227">
        <f>AN219/AH219-1</f>
        <v>-8.4507042253521125E-2</v>
      </c>
      <c r="AO220" s="227">
        <f>AO219/AI219-1</f>
        <v>6.2244577176988392E-2</v>
      </c>
      <c r="AP220" s="227">
        <f>AP219/AJ219-1</f>
        <v>0.11361723615552943</v>
      </c>
      <c r="AQ220" s="227">
        <f>AQ219/AK219-1</f>
        <v>0.27819674878498413</v>
      </c>
      <c r="AR220" s="227">
        <f>AR219/AL219-1</f>
        <v>8.8848337388483412E-2</v>
      </c>
      <c r="AS220" s="103"/>
      <c r="AT220" s="227">
        <f>AT219/AN219-1</f>
        <v>0.18717948717948718</v>
      </c>
      <c r="AU220" s="227">
        <f>AU219/AO219-1</f>
        <v>6.5551938443326518E-2</v>
      </c>
      <c r="AV220" s="227">
        <f>AV219/AP219-1</f>
        <v>8.78174123337363E-2</v>
      </c>
      <c r="AW220" s="227">
        <f>AW219/AQ219-1</f>
        <v>5.5198636423233305E-2</v>
      </c>
      <c r="AX220" s="227">
        <f>AX219/AR219-1</f>
        <v>9.4596104428140482E-2</v>
      </c>
      <c r="AY220" s="103"/>
      <c r="AZ220" s="227">
        <f>AZ219/AT219-1</f>
        <v>6.4220857012160737E-2</v>
      </c>
      <c r="BA220" s="227">
        <f>BA219/AU219-1</f>
        <v>4.8638885900455175E-2</v>
      </c>
      <c r="BB220" s="227">
        <f>BB219/AV219-1</f>
        <v>6.0331877796304445E-2</v>
      </c>
      <c r="BC220" s="227">
        <f>BC219/AW219-1</f>
        <v>3.2371174956296933E-2</v>
      </c>
      <c r="BD220" s="227">
        <f>BD219/AX219-1</f>
        <v>5.0729618245956898E-2</v>
      </c>
      <c r="BE220" s="103"/>
      <c r="BF220" s="227">
        <f>BF219/AZ219-1</f>
        <v>5.9427958831494765E-2</v>
      </c>
      <c r="BG220" s="227">
        <f>BG219/BA219-1</f>
        <v>5.0502509243377514E-2</v>
      </c>
      <c r="BH220" s="227">
        <f>BH219/BB219-1</f>
        <v>4.5008426813636371E-2</v>
      </c>
      <c r="BI220" s="227">
        <f>BI219/BC219-1</f>
        <v>3.8738789635495818E-2</v>
      </c>
      <c r="BJ220" s="227">
        <f>BJ219/BD219-1</f>
        <v>4.8116086135470804E-2</v>
      </c>
      <c r="BK220" s="103"/>
      <c r="BL220" s="227">
        <f>BL219/BF219-1</f>
        <v>5.5433071088074826E-2</v>
      </c>
      <c r="BM220" s="227">
        <f>BM219/BG219-1</f>
        <v>3.9729828601735573E-2</v>
      </c>
      <c r="BN220" s="227">
        <f>BN219/BH219-1</f>
        <v>3.883702203268169E-2</v>
      </c>
      <c r="BO220" s="227">
        <f>BO219/BI219-1</f>
        <v>3.2178646241033171E-2</v>
      </c>
      <c r="BP220" s="227">
        <f>BP219/BJ219-1</f>
        <v>4.1295292589388355E-2</v>
      </c>
      <c r="BQ220" s="103"/>
      <c r="BR220" s="227">
        <f>BR219/BL219-1</f>
        <v>4.4325378980292873E-2</v>
      </c>
      <c r="BS220" s="227">
        <f>BS219/BM219-1</f>
        <v>3.1732498165874423E-2</v>
      </c>
      <c r="BT220" s="227">
        <f>BT219/BN219-1</f>
        <v>3.1125014745794433E-2</v>
      </c>
      <c r="BU220" s="227">
        <f>BU219/BO219-1</f>
        <v>2.3445379782453202E-2</v>
      </c>
      <c r="BV220" s="227">
        <f>BV219/BP219-1</f>
        <v>3.248065388628496E-2</v>
      </c>
      <c r="BW220" s="103"/>
      <c r="BX220" s="227">
        <f>BX219/BR219-1</f>
        <v>3.7220148484052418E-2</v>
      </c>
      <c r="BY220" s="227">
        <f>BY219/BS219-1</f>
        <v>2.5469893218451833E-2</v>
      </c>
      <c r="BZ220" s="227">
        <f>BZ219/BT219-1</f>
        <v>2.4915671285445251E-2</v>
      </c>
      <c r="CA220" s="227">
        <f>CA219/BU219-1</f>
        <v>2.3930641137972053E-2</v>
      </c>
      <c r="CB220" s="227">
        <f>CB219/BV219-1</f>
        <v>2.7844779740436421E-2</v>
      </c>
      <c r="CC220" s="103"/>
      <c r="CD220" s="227">
        <f>CD219/BX219-1</f>
        <v>3.0498380388872759E-2</v>
      </c>
      <c r="CE220" s="227">
        <f>CE219/BY219-1</f>
        <v>2.2740809617246782E-2</v>
      </c>
      <c r="CF220" s="227">
        <f>CF219/BZ219-1</f>
        <v>2.2648164713453323E-2</v>
      </c>
      <c r="CG220" s="227">
        <f>CG219/CA219-1</f>
        <v>2.0529807020925217E-2</v>
      </c>
      <c r="CH220" s="227">
        <f>CH219/CB219-1</f>
        <v>2.4082599649665193E-2</v>
      </c>
      <c r="CI220" s="103"/>
      <c r="CJ220" s="227">
        <f>CJ219/CD219-1</f>
        <v>2.8502324691666914E-2</v>
      </c>
      <c r="CK220" s="227">
        <f>CK219/CE219-1</f>
        <v>1.5486625029619505E-2</v>
      </c>
      <c r="CL220" s="227">
        <f>CL219/CF219-1</f>
        <v>1.4534060002084903E-2</v>
      </c>
      <c r="CM220" s="227">
        <f>CM219/CG219-1</f>
        <v>1.3202993533059093E-2</v>
      </c>
      <c r="CN220" s="227">
        <f>CN219/CH219-1</f>
        <v>1.7937747595234033E-2</v>
      </c>
      <c r="CO220" s="103"/>
      <c r="CP220" s="227">
        <f>CP219/CJ219-1</f>
        <v>1.8069349569453053E-2</v>
      </c>
      <c r="CQ220" s="227">
        <f>CQ219/CK219-1</f>
        <v>1.4200781589529532E-2</v>
      </c>
      <c r="CR220" s="227">
        <f>CR219/CL219-1</f>
        <v>1.450253251931044E-2</v>
      </c>
      <c r="CS220" s="227">
        <f>CS219/CM219-1</f>
        <v>1.4381627915219575E-2</v>
      </c>
      <c r="CT220" s="227">
        <f>CT219/CN219-1</f>
        <v>1.5305485087183657E-2</v>
      </c>
    </row>
    <row r="221" spans="1:98" x14ac:dyDescent="0.2">
      <c r="B221" s="241"/>
      <c r="P221" s="103"/>
      <c r="Q221" s="103"/>
      <c r="R221" s="103"/>
      <c r="S221" s="103"/>
      <c r="T221" s="103"/>
      <c r="U221" s="103"/>
      <c r="V221" s="103"/>
      <c r="W221" s="103"/>
      <c r="X221" s="103"/>
      <c r="Y221" s="103"/>
      <c r="Z221" s="103"/>
      <c r="AA221" s="103"/>
      <c r="AB221" s="103"/>
      <c r="AC221" s="103"/>
      <c r="AD221" s="103"/>
      <c r="AE221" s="103"/>
      <c r="AF221" s="103"/>
      <c r="AG221" s="103"/>
      <c r="AH221" s="103"/>
      <c r="AI221" s="103"/>
      <c r="AJ221" s="103"/>
      <c r="AK221" s="103"/>
      <c r="AL221" s="103"/>
      <c r="AM221" s="103"/>
      <c r="AN221" s="103"/>
      <c r="AO221" s="103"/>
      <c r="AP221" s="103"/>
      <c r="AQ221" s="103"/>
      <c r="AR221" s="103"/>
      <c r="AS221" s="103"/>
      <c r="AT221" s="103"/>
      <c r="AU221" s="103"/>
      <c r="AV221" s="103"/>
      <c r="AW221" s="103"/>
      <c r="AX221" s="103"/>
      <c r="AY221" s="103"/>
      <c r="AZ221" s="103"/>
      <c r="BA221" s="103"/>
      <c r="BB221" s="103"/>
      <c r="BC221" s="103"/>
      <c r="BD221" s="103"/>
      <c r="BE221" s="103"/>
      <c r="BF221" s="103"/>
      <c r="BG221" s="103"/>
      <c r="BH221" s="103"/>
      <c r="BI221" s="103"/>
      <c r="BJ221" s="103"/>
      <c r="BK221" s="103"/>
      <c r="BL221" s="103"/>
      <c r="BM221" s="103"/>
      <c r="BN221" s="103"/>
      <c r="BO221" s="103"/>
      <c r="BP221" s="103"/>
      <c r="BQ221" s="103"/>
      <c r="BR221" s="103"/>
      <c r="BS221" s="103"/>
      <c r="BT221" s="103"/>
      <c r="BU221" s="103"/>
      <c r="BV221" s="103"/>
      <c r="BW221" s="103"/>
      <c r="BX221" s="103"/>
      <c r="BY221" s="103"/>
      <c r="BZ221" s="103"/>
      <c r="CA221" s="103"/>
      <c r="CB221" s="103"/>
      <c r="CC221" s="103"/>
      <c r="CD221" s="103"/>
      <c r="CE221" s="103"/>
      <c r="CF221" s="103"/>
      <c r="CG221" s="103"/>
      <c r="CH221" s="103"/>
      <c r="CI221" s="103"/>
      <c r="CJ221" s="103"/>
      <c r="CK221" s="103"/>
      <c r="CL221" s="103"/>
      <c r="CM221" s="103"/>
      <c r="CN221" s="103"/>
      <c r="CO221" s="103"/>
      <c r="CP221" s="103"/>
      <c r="CQ221" s="103"/>
      <c r="CR221" s="103"/>
      <c r="CS221" s="103"/>
      <c r="CT221" s="103"/>
    </row>
    <row r="222" spans="1:98" x14ac:dyDescent="0.2">
      <c r="B222" s="273" t="s">
        <v>82</v>
      </c>
      <c r="P222" s="197">
        <f>P187</f>
        <v>1526</v>
      </c>
      <c r="Q222" s="197">
        <f>Q187</f>
        <v>1805</v>
      </c>
      <c r="R222" s="197">
        <f>R187</f>
        <v>1683</v>
      </c>
      <c r="S222" s="197">
        <f>S187</f>
        <v>1346</v>
      </c>
      <c r="T222" s="197">
        <f>T187</f>
        <v>6360</v>
      </c>
      <c r="U222" s="129"/>
      <c r="V222" s="197">
        <f t="shared" ref="V222:Z223" si="14">V187</f>
        <v>1469</v>
      </c>
      <c r="W222" s="197">
        <f t="shared" si="14"/>
        <v>1265.4106309607514</v>
      </c>
      <c r="X222" s="197">
        <f t="shared" si="14"/>
        <v>1344.0688474331714</v>
      </c>
      <c r="Y222" s="197">
        <f t="shared" si="14"/>
        <v>1239.2666830531541</v>
      </c>
      <c r="Z222" s="197">
        <f t="shared" si="14"/>
        <v>5317.7461614470767</v>
      </c>
      <c r="AA222" s="129"/>
      <c r="AB222" s="197">
        <f t="shared" ref="AB222:AF223" si="15">AB187</f>
        <v>1088</v>
      </c>
      <c r="AC222" s="197">
        <f t="shared" si="15"/>
        <v>1451</v>
      </c>
      <c r="AD222" s="197">
        <f t="shared" si="15"/>
        <v>1346</v>
      </c>
      <c r="AE222" s="197">
        <f t="shared" si="15"/>
        <v>1751</v>
      </c>
      <c r="AF222" s="197">
        <f t="shared" si="15"/>
        <v>5636</v>
      </c>
      <c r="AG222" s="129"/>
      <c r="AH222" s="197">
        <f t="shared" ref="AH222:AL223" si="16">AH187</f>
        <v>1388</v>
      </c>
      <c r="AI222" s="197">
        <f t="shared" si="16"/>
        <v>1817</v>
      </c>
      <c r="AJ222" s="197">
        <f t="shared" si="16"/>
        <v>1908</v>
      </c>
      <c r="AK222" s="197">
        <f t="shared" si="16"/>
        <v>2280</v>
      </c>
      <c r="AL222" s="197">
        <f t="shared" si="16"/>
        <v>7393</v>
      </c>
      <c r="AM222" s="129"/>
      <c r="AN222" s="197">
        <f t="shared" ref="AN222:AR223" si="17">AN187</f>
        <v>2749</v>
      </c>
      <c r="AO222" s="197">
        <f t="shared" si="17"/>
        <v>2464</v>
      </c>
      <c r="AP222" s="197">
        <f t="shared" si="17"/>
        <v>2630</v>
      </c>
      <c r="AQ222" s="197">
        <f t="shared" si="17"/>
        <v>2548</v>
      </c>
      <c r="AR222" s="197">
        <f t="shared" si="17"/>
        <v>10391</v>
      </c>
      <c r="AS222" s="129"/>
      <c r="AT222" s="197">
        <f t="shared" ref="AT222:AX223" si="18">AT187</f>
        <v>2668</v>
      </c>
      <c r="AU222" s="197">
        <f t="shared" si="18"/>
        <v>3012</v>
      </c>
      <c r="AV222" s="197">
        <f t="shared" si="18"/>
        <v>2822</v>
      </c>
      <c r="AW222" s="197">
        <f t="shared" si="18"/>
        <v>2711</v>
      </c>
      <c r="AX222" s="197">
        <f t="shared" si="18"/>
        <v>11213</v>
      </c>
      <c r="AY222" s="129"/>
      <c r="AZ222" s="197">
        <f t="shared" ref="AZ222:BD223" si="19">AZ187</f>
        <v>2882.8111966660385</v>
      </c>
      <c r="BA222" s="197">
        <f t="shared" si="19"/>
        <v>3233.4089630174544</v>
      </c>
      <c r="BB222" s="197">
        <f t="shared" si="19"/>
        <v>3025.6226419742916</v>
      </c>
      <c r="BC222" s="197">
        <f t="shared" si="19"/>
        <v>2740.3789438463505</v>
      </c>
      <c r="BD222" s="197">
        <f t="shared" si="19"/>
        <v>11882.221745504135</v>
      </c>
      <c r="BE222" s="129"/>
      <c r="BF222" s="197">
        <f t="shared" ref="BF222:BJ223" si="20">BF187</f>
        <v>3044.944450219693</v>
      </c>
      <c r="BG222" s="197">
        <f t="shared" si="20"/>
        <v>3403.1098633005804</v>
      </c>
      <c r="BH222" s="197">
        <f t="shared" si="20"/>
        <v>3195.618432987937</v>
      </c>
      <c r="BI222" s="197">
        <f t="shared" si="20"/>
        <v>2906.0770012182602</v>
      </c>
      <c r="BJ222" s="197">
        <f t="shared" si="20"/>
        <v>12549.749747726471</v>
      </c>
      <c r="BK222" s="129"/>
      <c r="BL222" s="197">
        <f t="shared" ref="BL222:BP223" si="21">BL187</f>
        <v>3217.448339698914</v>
      </c>
      <c r="BM222" s="197">
        <f t="shared" si="21"/>
        <v>3598.6474189393657</v>
      </c>
      <c r="BN222" s="197">
        <f t="shared" si="21"/>
        <v>3383.257471211401</v>
      </c>
      <c r="BO222" s="197">
        <f t="shared" si="21"/>
        <v>3087.6681884590685</v>
      </c>
      <c r="BP222" s="197">
        <f t="shared" si="21"/>
        <v>13287.021418308748</v>
      </c>
      <c r="BQ222" s="129"/>
      <c r="BR222" s="197">
        <f t="shared" ref="BR222:BV223" si="22">BR187</f>
        <v>3388.2020555538047</v>
      </c>
      <c r="BS222" s="197">
        <f t="shared" si="22"/>
        <v>3790.3131859332698</v>
      </c>
      <c r="BT222" s="197">
        <f t="shared" si="22"/>
        <v>3568.6095347013052</v>
      </c>
      <c r="BU222" s="197">
        <f t="shared" si="22"/>
        <v>3271.9299711216736</v>
      </c>
      <c r="BV222" s="197">
        <f t="shared" si="22"/>
        <v>14019.054747310052</v>
      </c>
      <c r="BW222" s="129"/>
      <c r="BX222" s="197">
        <f t="shared" ref="BX222:CB223" si="23">BX187</f>
        <v>3541.9762374725283</v>
      </c>
      <c r="BY222" s="197">
        <f t="shared" si="23"/>
        <v>3962.9567690724152</v>
      </c>
      <c r="BZ222" s="197">
        <f t="shared" si="23"/>
        <v>3737.5724167998333</v>
      </c>
      <c r="CA222" s="197">
        <f t="shared" si="23"/>
        <v>3432.2775030418875</v>
      </c>
      <c r="CB222" s="197">
        <f t="shared" si="23"/>
        <v>14674.782926386664</v>
      </c>
      <c r="CC222" s="129"/>
      <c r="CD222" s="197">
        <f t="shared" ref="CD222:CH223" si="24">CD187</f>
        <v>3682.3195109226976</v>
      </c>
      <c r="CE222" s="197">
        <f t="shared" si="24"/>
        <v>4118.8883720928607</v>
      </c>
      <c r="CF222" s="197">
        <f t="shared" si="24"/>
        <v>3890.8402428651402</v>
      </c>
      <c r="CG222" s="197">
        <f t="shared" si="24"/>
        <v>3581.1089447804197</v>
      </c>
      <c r="CH222" s="197">
        <f t="shared" si="24"/>
        <v>15273.15707066112</v>
      </c>
      <c r="CI222" s="129"/>
      <c r="CJ222" s="197">
        <f t="shared" ref="CJ222:CN223" si="25">CJ187</f>
        <v>3833.3829681339985</v>
      </c>
      <c r="CK222" s="197">
        <f t="shared" si="25"/>
        <v>4285.9314667627768</v>
      </c>
      <c r="CL222" s="197">
        <f t="shared" si="25"/>
        <v>4057.4725912665576</v>
      </c>
      <c r="CM222" s="197">
        <f t="shared" si="25"/>
        <v>3739.2056934495727</v>
      </c>
      <c r="CN222" s="197">
        <f t="shared" si="25"/>
        <v>15915.992719612905</v>
      </c>
      <c r="CO222" s="129"/>
      <c r="CP222" s="197">
        <f t="shared" ref="CP222:CT223" si="26">CP187</f>
        <v>3941.5177809652942</v>
      </c>
      <c r="CQ222" s="197">
        <f t="shared" si="26"/>
        <v>4403.7176844099922</v>
      </c>
      <c r="CR222" s="197">
        <f t="shared" si="26"/>
        <v>4174.5101067396909</v>
      </c>
      <c r="CS222" s="197">
        <f t="shared" si="26"/>
        <v>3851.7757577033549</v>
      </c>
      <c r="CT222" s="197">
        <f t="shared" si="26"/>
        <v>16371.521329818333</v>
      </c>
    </row>
    <row r="223" spans="1:98" ht="15" x14ac:dyDescent="0.3">
      <c r="B223" s="6" t="s">
        <v>23</v>
      </c>
      <c r="P223" s="103" t="s">
        <v>35</v>
      </c>
      <c r="Q223" s="103" t="s">
        <v>35</v>
      </c>
      <c r="R223" s="103" t="s">
        <v>35</v>
      </c>
      <c r="S223" s="103" t="s">
        <v>35</v>
      </c>
      <c r="T223" s="103" t="s">
        <v>35</v>
      </c>
      <c r="U223" s="103"/>
      <c r="V223" s="136">
        <f t="shared" si="14"/>
        <v>-3.7352555701179554E-2</v>
      </c>
      <c r="W223" s="136">
        <f t="shared" si="14"/>
        <v>-0.29894147869210447</v>
      </c>
      <c r="X223" s="136">
        <f t="shared" si="14"/>
        <v>-0.20138511738967829</v>
      </c>
      <c r="Y223" s="136">
        <f t="shared" si="14"/>
        <v>-7.9296669351297089E-2</v>
      </c>
      <c r="Z223" s="136">
        <f t="shared" si="14"/>
        <v>-0.16387638970957913</v>
      </c>
      <c r="AA223" s="103"/>
      <c r="AB223" s="136">
        <f t="shared" si="15"/>
        <v>-0.25936010891763106</v>
      </c>
      <c r="AC223" s="136">
        <f t="shared" si="15"/>
        <v>0.14666335535551922</v>
      </c>
      <c r="AD223" s="136">
        <f t="shared" si="15"/>
        <v>1.4367958683936255E-3</v>
      </c>
      <c r="AE223" s="136">
        <f t="shared" si="15"/>
        <v>0.41293236068131822</v>
      </c>
      <c r="AF223" s="136">
        <f t="shared" si="15"/>
        <v>5.9847504730522694E-2</v>
      </c>
      <c r="AG223" s="103"/>
      <c r="AH223" s="136">
        <f t="shared" si="16"/>
        <v>0.27573529411764697</v>
      </c>
      <c r="AI223" s="136">
        <f t="shared" si="16"/>
        <v>0.25223983459682975</v>
      </c>
      <c r="AJ223" s="136">
        <f t="shared" si="16"/>
        <v>0.41753343239227347</v>
      </c>
      <c r="AK223" s="136">
        <f t="shared" si="16"/>
        <v>0.30211307824100508</v>
      </c>
      <c r="AL223" s="136">
        <f t="shared" si="16"/>
        <v>0.31174591909155436</v>
      </c>
      <c r="AM223" s="103"/>
      <c r="AN223" s="136">
        <f t="shared" si="17"/>
        <v>0.9805475504322767</v>
      </c>
      <c r="AO223" s="136">
        <f t="shared" si="17"/>
        <v>0.35608145294441385</v>
      </c>
      <c r="AP223" s="136">
        <f t="shared" si="17"/>
        <v>0.37840670859538794</v>
      </c>
      <c r="AQ223" s="136">
        <f t="shared" si="17"/>
        <v>0.11754385964912273</v>
      </c>
      <c r="AR223" s="136">
        <f t="shared" si="17"/>
        <v>0.40551873393750837</v>
      </c>
      <c r="AS223" s="103"/>
      <c r="AT223" s="136">
        <f t="shared" si="18"/>
        <v>-2.9465260094579837E-2</v>
      </c>
      <c r="AU223" s="136">
        <f t="shared" si="18"/>
        <v>0.22240259740259738</v>
      </c>
      <c r="AV223" s="136">
        <f t="shared" si="18"/>
        <v>7.3003802281368824E-2</v>
      </c>
      <c r="AW223" s="136">
        <f t="shared" si="18"/>
        <v>6.3971742543171173E-2</v>
      </c>
      <c r="AX223" s="136">
        <f t="shared" si="18"/>
        <v>7.9106919449523527E-2</v>
      </c>
      <c r="AY223" s="103"/>
      <c r="AZ223" s="136">
        <f t="shared" si="19"/>
        <v>8.0513941778874942E-2</v>
      </c>
      <c r="BA223" s="136">
        <f t="shared" si="19"/>
        <v>7.3508951865024708E-2</v>
      </c>
      <c r="BB223" s="136">
        <f t="shared" si="19"/>
        <v>7.2155436560698671E-2</v>
      </c>
      <c r="BC223" s="136">
        <f t="shared" si="19"/>
        <v>1.0836939817908675E-2</v>
      </c>
      <c r="BD223" s="136">
        <f t="shared" si="19"/>
        <v>5.9682667038627901E-2</v>
      </c>
      <c r="BE223" s="103"/>
      <c r="BF223" s="136">
        <f t="shared" si="20"/>
        <v>5.6241370833151061E-2</v>
      </c>
      <c r="BG223" s="136">
        <f t="shared" si="20"/>
        <v>5.2483586896709511E-2</v>
      </c>
      <c r="BH223" s="136">
        <f t="shared" si="20"/>
        <v>5.6185390952362413E-2</v>
      </c>
      <c r="BI223" s="136">
        <f t="shared" si="20"/>
        <v>6.0465381163430809E-2</v>
      </c>
      <c r="BJ223" s="136">
        <f t="shared" si="20"/>
        <v>5.6178719478527483E-2</v>
      </c>
      <c r="BK223" s="103"/>
      <c r="BL223" s="136">
        <f t="shared" si="21"/>
        <v>5.6652557148218152E-2</v>
      </c>
      <c r="BM223" s="136">
        <f t="shared" si="21"/>
        <v>5.7458490467051426E-2</v>
      </c>
      <c r="BN223" s="136">
        <f t="shared" si="21"/>
        <v>5.8717597910467489E-2</v>
      </c>
      <c r="BO223" s="136">
        <f t="shared" si="21"/>
        <v>6.2486708770856048E-2</v>
      </c>
      <c r="BP223" s="136">
        <f t="shared" si="21"/>
        <v>5.8747918118115638E-2</v>
      </c>
      <c r="BQ223" s="103"/>
      <c r="BR223" s="136">
        <f t="shared" si="22"/>
        <v>5.3071160070551349E-2</v>
      </c>
      <c r="BS223" s="136">
        <f t="shared" si="22"/>
        <v>5.3260501705497454E-2</v>
      </c>
      <c r="BT223" s="136">
        <f t="shared" si="22"/>
        <v>5.4785089537846332E-2</v>
      </c>
      <c r="BU223" s="136">
        <f t="shared" si="22"/>
        <v>5.9676678780229642E-2</v>
      </c>
      <c r="BV223" s="136">
        <f t="shared" si="22"/>
        <v>5.5093862345446665E-2</v>
      </c>
      <c r="BW223" s="103"/>
      <c r="BX223" s="136">
        <f t="shared" si="23"/>
        <v>4.5385186419641954E-2</v>
      </c>
      <c r="BY223" s="136">
        <f t="shared" si="23"/>
        <v>4.5548632703984904E-2</v>
      </c>
      <c r="BZ223" s="136">
        <f t="shared" si="23"/>
        <v>4.7346979392260735E-2</v>
      </c>
      <c r="CA223" s="136">
        <f t="shared" si="23"/>
        <v>4.9007018284454196E-2</v>
      </c>
      <c r="CB223" s="136">
        <f t="shared" si="23"/>
        <v>4.6774065077563876E-2</v>
      </c>
      <c r="CC223" s="103"/>
      <c r="CD223" s="136">
        <f t="shared" si="24"/>
        <v>3.9622872667919085E-2</v>
      </c>
      <c r="CE223" s="136">
        <f t="shared" si="24"/>
        <v>3.9347288428014604E-2</v>
      </c>
      <c r="CF223" s="136">
        <f t="shared" si="24"/>
        <v>4.1007319450558466E-2</v>
      </c>
      <c r="CG223" s="136">
        <f t="shared" si="24"/>
        <v>4.3362298534028509E-2</v>
      </c>
      <c r="CH223" s="136">
        <f t="shared" si="24"/>
        <v>4.0775672613086567E-2</v>
      </c>
      <c r="CI223" s="103"/>
      <c r="CJ223" s="136">
        <f t="shared" si="25"/>
        <v>4.1023995001848279E-2</v>
      </c>
      <c r="CK223" s="136">
        <f t="shared" si="25"/>
        <v>4.0555382807094587E-2</v>
      </c>
      <c r="CL223" s="136">
        <f t="shared" si="25"/>
        <v>4.2826828654037197E-2</v>
      </c>
      <c r="CM223" s="136">
        <f t="shared" si="25"/>
        <v>4.4147427823882257E-2</v>
      </c>
      <c r="CN223" s="136">
        <f t="shared" si="25"/>
        <v>4.2089244939845116E-2</v>
      </c>
      <c r="CO223" s="103"/>
      <c r="CP223" s="136">
        <f t="shared" si="26"/>
        <v>2.820871635581268E-2</v>
      </c>
      <c r="CQ223" s="136">
        <f t="shared" si="26"/>
        <v>2.7482058115171126E-2</v>
      </c>
      <c r="CR223" s="136">
        <f t="shared" si="26"/>
        <v>2.8844930641071631E-2</v>
      </c>
      <c r="CS223" s="136">
        <f t="shared" si="26"/>
        <v>3.0105341476930558E-2</v>
      </c>
      <c r="CT223" s="136">
        <f t="shared" si="26"/>
        <v>2.8620810415682874E-2</v>
      </c>
    </row>
    <row r="224" spans="1:98" x14ac:dyDescent="0.2">
      <c r="B224" s="241"/>
      <c r="P224" s="103"/>
      <c r="Q224" s="103"/>
      <c r="R224" s="103"/>
      <c r="S224" s="103"/>
      <c r="T224" s="103"/>
      <c r="U224" s="103"/>
      <c r="V224" s="103"/>
      <c r="W224" s="103"/>
      <c r="X224" s="103"/>
      <c r="Y224" s="103"/>
      <c r="Z224" s="103"/>
      <c r="AA224" s="103"/>
      <c r="AB224" s="103"/>
      <c r="AC224" s="103"/>
      <c r="AD224" s="103"/>
      <c r="AE224" s="103"/>
      <c r="AF224" s="103"/>
      <c r="AG224" s="103"/>
      <c r="AH224" s="103"/>
      <c r="AI224" s="103"/>
      <c r="AJ224" s="103"/>
      <c r="AK224" s="103"/>
      <c r="AL224" s="103"/>
      <c r="AM224" s="103"/>
      <c r="AN224" s="103"/>
      <c r="AO224" s="103"/>
      <c r="AP224" s="103"/>
      <c r="AQ224" s="103"/>
      <c r="AR224" s="103"/>
      <c r="AS224" s="103"/>
      <c r="AT224" s="103"/>
      <c r="AU224" s="103"/>
      <c r="AV224" s="103"/>
      <c r="AW224" s="103"/>
      <c r="AX224" s="103"/>
      <c r="AY224" s="103"/>
      <c r="AZ224" s="103"/>
      <c r="BA224" s="103"/>
      <c r="BB224" s="103"/>
      <c r="BC224" s="103"/>
      <c r="BD224" s="103"/>
      <c r="BE224" s="103"/>
      <c r="BF224" s="103"/>
      <c r="BG224" s="103"/>
      <c r="BH224" s="103"/>
      <c r="BI224" s="103"/>
      <c r="BJ224" s="103"/>
      <c r="BK224" s="103"/>
      <c r="BL224" s="103"/>
      <c r="BM224" s="103"/>
      <c r="BN224" s="103"/>
      <c r="BO224" s="103"/>
      <c r="BP224" s="103"/>
      <c r="BQ224" s="103"/>
      <c r="BR224" s="103"/>
      <c r="BS224" s="103"/>
      <c r="BT224" s="103"/>
      <c r="BU224" s="103"/>
      <c r="BV224" s="103"/>
      <c r="BW224" s="103"/>
      <c r="BX224" s="103"/>
      <c r="BY224" s="103"/>
      <c r="BZ224" s="103"/>
      <c r="CA224" s="103"/>
      <c r="CB224" s="103"/>
      <c r="CC224" s="103"/>
      <c r="CD224" s="103"/>
      <c r="CE224" s="103"/>
      <c r="CF224" s="103"/>
      <c r="CG224" s="103"/>
      <c r="CH224" s="103"/>
      <c r="CI224" s="103"/>
      <c r="CJ224" s="103"/>
      <c r="CK224" s="103"/>
      <c r="CL224" s="103"/>
      <c r="CM224" s="103"/>
      <c r="CN224" s="103"/>
      <c r="CO224" s="103"/>
      <c r="CP224" s="103"/>
      <c r="CQ224" s="103"/>
      <c r="CR224" s="103"/>
      <c r="CS224" s="103"/>
      <c r="CT224" s="103"/>
    </row>
    <row r="225" spans="2:98" ht="15" x14ac:dyDescent="0.3">
      <c r="B225" s="16" t="s">
        <v>36</v>
      </c>
      <c r="P225" s="462">
        <f>P190</f>
        <v>0.24180003169069877</v>
      </c>
      <c r="Q225" s="462">
        <f>Q190</f>
        <v>0.29282933160285529</v>
      </c>
      <c r="R225" s="462">
        <f>R190</f>
        <v>0.27356957087126138</v>
      </c>
      <c r="S225" s="462">
        <f>S190</f>
        <v>0.2173421605037946</v>
      </c>
      <c r="T225" s="462">
        <f>T190</f>
        <v>0.25624496373892025</v>
      </c>
      <c r="U225" s="103"/>
      <c r="V225" s="462">
        <f t="shared" ref="V225:Z226" si="27">V190</f>
        <v>0.24631120053655264</v>
      </c>
      <c r="W225" s="462">
        <f t="shared" si="27"/>
        <v>0.19025472857884704</v>
      </c>
      <c r="X225" s="462">
        <f t="shared" si="27"/>
        <v>0.20097703315972318</v>
      </c>
      <c r="Y225" s="462">
        <f t="shared" si="27"/>
        <v>0.18152231067548216</v>
      </c>
      <c r="Z225" s="462">
        <f t="shared" si="27"/>
        <v>0.20351200603059127</v>
      </c>
      <c r="AA225" s="103"/>
      <c r="AB225" s="462">
        <f t="shared" ref="AB225:AF226" si="28">AB190</f>
        <v>0.15825454545454545</v>
      </c>
      <c r="AC225" s="462">
        <f t="shared" si="28"/>
        <v>0.20194850382741822</v>
      </c>
      <c r="AD225" s="462">
        <f t="shared" si="28"/>
        <v>0.18312925170068028</v>
      </c>
      <c r="AE225" s="462">
        <f t="shared" si="28"/>
        <v>0.21474123129752268</v>
      </c>
      <c r="AF225" s="462">
        <f t="shared" si="28"/>
        <v>0.19063726153429847</v>
      </c>
      <c r="AG225" s="103"/>
      <c r="AH225" s="462">
        <f t="shared" ref="AH225:AL226" si="29">AH190</f>
        <v>0.17845204422730779</v>
      </c>
      <c r="AI225" s="462">
        <f t="shared" si="29"/>
        <v>0.2221542975913926</v>
      </c>
      <c r="AJ225" s="462">
        <f t="shared" si="29"/>
        <v>0.24308829150210218</v>
      </c>
      <c r="AK225" s="462">
        <f t="shared" si="29"/>
        <v>0.27646416878865043</v>
      </c>
      <c r="AL225" s="462">
        <f t="shared" si="29"/>
        <v>0.23064923720088604</v>
      </c>
      <c r="AM225" s="103"/>
      <c r="AN225" s="462">
        <f t="shared" ref="AN225:AR226" si="30">AN190</f>
        <v>0.31968833585300616</v>
      </c>
      <c r="AO225" s="462">
        <f t="shared" si="30"/>
        <v>0.26718716113641294</v>
      </c>
      <c r="AP225" s="462">
        <f t="shared" si="30"/>
        <v>0.28444732857451871</v>
      </c>
      <c r="AQ225" s="462">
        <f t="shared" si="30"/>
        <v>0.25041769041769041</v>
      </c>
      <c r="AR225" s="462">
        <f t="shared" si="30"/>
        <v>0.27901294237688629</v>
      </c>
      <c r="AS225" s="103"/>
      <c r="AT225" s="462">
        <f t="shared" ref="AT225:AX226" si="31">AT190</f>
        <v>0.27754083012587122</v>
      </c>
      <c r="AU225" s="462">
        <f t="shared" si="31"/>
        <v>0.2949182414569666</v>
      </c>
      <c r="AV225" s="462">
        <f t="shared" si="31"/>
        <v>0.28166483681006088</v>
      </c>
      <c r="AW225" s="462">
        <f t="shared" si="31"/>
        <v>0.25197509062180501</v>
      </c>
      <c r="AX225" s="462">
        <f t="shared" si="31"/>
        <v>0.27615505861491479</v>
      </c>
      <c r="AY225" s="103"/>
      <c r="AZ225" s="462">
        <f t="shared" ref="AZ225:BD226" si="32">AZ190</f>
        <v>0.28059765306734785</v>
      </c>
      <c r="BA225" s="462">
        <f t="shared" si="32"/>
        <v>0.29981563521292032</v>
      </c>
      <c r="BB225" s="462">
        <f t="shared" si="32"/>
        <v>0.28391391349923101</v>
      </c>
      <c r="BC225" s="462">
        <f t="shared" si="32"/>
        <v>0.24802273603194666</v>
      </c>
      <c r="BD225" s="462">
        <f t="shared" si="32"/>
        <v>0.27785431066722893</v>
      </c>
      <c r="BE225" s="103"/>
      <c r="BF225" s="462">
        <f t="shared" ref="BF225:BJ226" si="33">BF190</f>
        <v>0.27998997009591486</v>
      </c>
      <c r="BG225" s="462">
        <f t="shared" si="33"/>
        <v>0.30021129836698568</v>
      </c>
      <c r="BH225" s="462">
        <f t="shared" si="33"/>
        <v>0.28608181320603077</v>
      </c>
      <c r="BI225" s="462">
        <f t="shared" si="33"/>
        <v>0.2519036523478963</v>
      </c>
      <c r="BJ225" s="462">
        <f t="shared" si="33"/>
        <v>0.27939452875002857</v>
      </c>
      <c r="BK225" s="103"/>
      <c r="BL225" s="462">
        <f t="shared" ref="BL225:BP226" si="34">BL190</f>
        <v>0.28022282569560564</v>
      </c>
      <c r="BM225" s="462">
        <f t="shared" si="34"/>
        <v>0.30377525116343351</v>
      </c>
      <c r="BN225" s="462">
        <f t="shared" si="34"/>
        <v>0.28996912188006213</v>
      </c>
      <c r="BO225" s="462">
        <f t="shared" si="34"/>
        <v>0.25739646493301982</v>
      </c>
      <c r="BP225" s="462">
        <f t="shared" si="34"/>
        <v>0.28275324530166907</v>
      </c>
      <c r="BQ225" s="103"/>
      <c r="BR225" s="462">
        <f t="shared" ref="BR225:BV226" si="35">BR190</f>
        <v>0.28190800595577609</v>
      </c>
      <c r="BS225" s="462">
        <f t="shared" si="35"/>
        <v>0.30816050146891427</v>
      </c>
      <c r="BT225" s="462">
        <f t="shared" si="35"/>
        <v>0.29466215619316949</v>
      </c>
      <c r="BU225" s="462">
        <f t="shared" si="35"/>
        <v>0.26410209177231897</v>
      </c>
      <c r="BV225" s="462">
        <f t="shared" si="35"/>
        <v>0.28716768148932004</v>
      </c>
      <c r="BW225" s="103"/>
      <c r="BX225" s="462">
        <f t="shared" ref="BX225:CB226" si="36">BX190</f>
        <v>0.28349806057285554</v>
      </c>
      <c r="BY225" s="462">
        <f t="shared" si="36"/>
        <v>0.31230988220343681</v>
      </c>
      <c r="BZ225" s="462">
        <f t="shared" si="36"/>
        <v>0.29918171719515152</v>
      </c>
      <c r="CA225" s="462">
        <f t="shared" si="36"/>
        <v>0.26883124860544583</v>
      </c>
      <c r="CB225" s="462">
        <f t="shared" si="36"/>
        <v>0.29091774705527867</v>
      </c>
      <c r="CC225" s="103"/>
      <c r="CD225" s="462">
        <f t="shared" ref="CD225:CH226" si="37">CD190</f>
        <v>0.28529213331970366</v>
      </c>
      <c r="CE225" s="462">
        <f t="shared" si="37"/>
        <v>0.31577959651411852</v>
      </c>
      <c r="CF225" s="462">
        <f t="shared" si="37"/>
        <v>0.30292575758284962</v>
      </c>
      <c r="CG225" s="462">
        <f t="shared" si="37"/>
        <v>0.27320265008869682</v>
      </c>
      <c r="CH225" s="462">
        <f t="shared" si="37"/>
        <v>0.29426442199858532</v>
      </c>
      <c r="CI225" s="103"/>
      <c r="CJ225" s="462">
        <f t="shared" ref="CJ225:CN226" si="38">CJ190</f>
        <v>0.28776596136693317</v>
      </c>
      <c r="CK225" s="462">
        <f t="shared" si="38"/>
        <v>0.32107216257917442</v>
      </c>
      <c r="CL225" s="462">
        <f t="shared" si="38"/>
        <v>0.3087651897805484</v>
      </c>
      <c r="CM225" s="462">
        <f t="shared" si="38"/>
        <v>0.27921681918967584</v>
      </c>
      <c r="CN225" s="462">
        <f t="shared" si="38"/>
        <v>0.2991574875815054</v>
      </c>
      <c r="CO225" s="103"/>
      <c r="CP225" s="462">
        <f t="shared" ref="CP225:CT226" si="39">CP190</f>
        <v>0.28980137519142074</v>
      </c>
      <c r="CQ225" s="462">
        <f t="shared" si="39"/>
        <v>0.3239147901684164</v>
      </c>
      <c r="CR225" s="462">
        <f t="shared" si="39"/>
        <v>0.31176940433405792</v>
      </c>
      <c r="CS225" s="462">
        <f t="shared" si="39"/>
        <v>0.28232298305184994</v>
      </c>
      <c r="CT225" s="462">
        <f t="shared" si="39"/>
        <v>0.30189637901282013</v>
      </c>
    </row>
    <row r="226" spans="2:98" ht="15" x14ac:dyDescent="0.3">
      <c r="B226" s="6" t="s">
        <v>37</v>
      </c>
      <c r="P226" s="103" t="s">
        <v>35</v>
      </c>
      <c r="Q226" s="103" t="s">
        <v>35</v>
      </c>
      <c r="R226" s="103" t="s">
        <v>35</v>
      </c>
      <c r="S226" s="103" t="s">
        <v>35</v>
      </c>
      <c r="T226" s="103" t="s">
        <v>35</v>
      </c>
      <c r="U226" s="103"/>
      <c r="V226" s="136">
        <f t="shared" si="27"/>
        <v>4.511168845853869E-3</v>
      </c>
      <c r="W226" s="136">
        <f t="shared" si="27"/>
        <v>-0.10257460302400825</v>
      </c>
      <c r="X226" s="136">
        <f t="shared" si="27"/>
        <v>-7.2592537711538202E-2</v>
      </c>
      <c r="Y226" s="136">
        <f t="shared" si="27"/>
        <v>-3.5819849828312433E-2</v>
      </c>
      <c r="Z226" s="136">
        <f t="shared" si="27"/>
        <v>-5.2732957708328976E-2</v>
      </c>
      <c r="AA226" s="103"/>
      <c r="AB226" s="136">
        <f t="shared" si="28"/>
        <v>-8.805665508200719E-2</v>
      </c>
      <c r="AC226" s="136">
        <f t="shared" si="28"/>
        <v>1.1693775248571181E-2</v>
      </c>
      <c r="AD226" s="136">
        <f t="shared" si="28"/>
        <v>-1.7847781459042894E-2</v>
      </c>
      <c r="AE226" s="136">
        <f t="shared" si="28"/>
        <v>3.3218920622040515E-2</v>
      </c>
      <c r="AF226" s="136">
        <f t="shared" si="28"/>
        <v>-1.2874744496292806E-2</v>
      </c>
      <c r="AG226" s="103"/>
      <c r="AH226" s="136">
        <f t="shared" si="29"/>
        <v>2.0197498772762335E-2</v>
      </c>
      <c r="AI226" s="136">
        <f t="shared" si="29"/>
        <v>2.0205793763974383E-2</v>
      </c>
      <c r="AJ226" s="136">
        <f t="shared" si="29"/>
        <v>5.9959039801421893E-2</v>
      </c>
      <c r="AK226" s="136">
        <f t="shared" si="29"/>
        <v>6.1722937491127755E-2</v>
      </c>
      <c r="AL226" s="136">
        <f t="shared" si="29"/>
        <v>4.0011975666587568E-2</v>
      </c>
      <c r="AM226" s="103"/>
      <c r="AN226" s="136">
        <f t="shared" si="30"/>
        <v>0.14123629162569837</v>
      </c>
      <c r="AO226" s="136">
        <f t="shared" si="30"/>
        <v>4.5032863545020341E-2</v>
      </c>
      <c r="AP226" s="136">
        <f t="shared" si="30"/>
        <v>4.1359037072416532E-2</v>
      </c>
      <c r="AQ226" s="136">
        <f t="shared" si="30"/>
        <v>-2.6046478370960024E-2</v>
      </c>
      <c r="AR226" s="136">
        <f t="shared" si="30"/>
        <v>4.8363705176000249E-2</v>
      </c>
      <c r="AS226" s="103"/>
      <c r="AT226" s="136">
        <f t="shared" si="31"/>
        <v>-4.2147505727134937E-2</v>
      </c>
      <c r="AU226" s="136">
        <f t="shared" si="31"/>
        <v>2.7731080320553658E-2</v>
      </c>
      <c r="AV226" s="136">
        <f t="shared" si="31"/>
        <v>-2.7824917644578284E-3</v>
      </c>
      <c r="AW226" s="136">
        <f t="shared" si="31"/>
        <v>1.5574002041146007E-3</v>
      </c>
      <c r="AX226" s="136">
        <f t="shared" si="31"/>
        <v>-2.8578837619714914E-3</v>
      </c>
      <c r="AY226" s="103"/>
      <c r="AZ226" s="136">
        <f t="shared" si="32"/>
        <v>3.0568229414766335E-3</v>
      </c>
      <c r="BA226" s="136">
        <f t="shared" si="32"/>
        <v>4.8973937559537162E-3</v>
      </c>
      <c r="BB226" s="136">
        <f t="shared" si="32"/>
        <v>2.2490766891701264E-3</v>
      </c>
      <c r="BC226" s="136">
        <f t="shared" si="32"/>
        <v>-3.9523545898583479E-3</v>
      </c>
      <c r="BD226" s="136">
        <f t="shared" si="32"/>
        <v>1.6992520523141375E-3</v>
      </c>
      <c r="BE226" s="103"/>
      <c r="BF226" s="136">
        <f t="shared" si="33"/>
        <v>-6.0768297143298788E-4</v>
      </c>
      <c r="BG226" s="136">
        <f t="shared" si="33"/>
        <v>3.9566315406536212E-4</v>
      </c>
      <c r="BH226" s="136">
        <f t="shared" si="33"/>
        <v>2.1678997067997585E-3</v>
      </c>
      <c r="BI226" s="136">
        <f t="shared" si="33"/>
        <v>3.8809163159496396E-3</v>
      </c>
      <c r="BJ226" s="136">
        <f t="shared" si="33"/>
        <v>1.5402180827996381E-3</v>
      </c>
      <c r="BK226" s="103"/>
      <c r="BL226" s="136">
        <f t="shared" si="34"/>
        <v>2.328555996907733E-4</v>
      </c>
      <c r="BM226" s="136">
        <f t="shared" si="34"/>
        <v>3.5639527964478335E-3</v>
      </c>
      <c r="BN226" s="136">
        <f t="shared" si="34"/>
        <v>3.8873086740313645E-3</v>
      </c>
      <c r="BO226" s="136">
        <f t="shared" si="34"/>
        <v>5.4928125851235188E-3</v>
      </c>
      <c r="BP226" s="136">
        <f t="shared" si="34"/>
        <v>3.3587165516404949E-3</v>
      </c>
      <c r="BQ226" s="103"/>
      <c r="BR226" s="136">
        <f t="shared" si="35"/>
        <v>1.6851802601704491E-3</v>
      </c>
      <c r="BS226" s="136">
        <f t="shared" si="35"/>
        <v>4.385250305480759E-3</v>
      </c>
      <c r="BT226" s="136">
        <f t="shared" si="35"/>
        <v>4.6930343131073582E-3</v>
      </c>
      <c r="BU226" s="136">
        <f t="shared" si="35"/>
        <v>6.7056268392991503E-3</v>
      </c>
      <c r="BV226" s="136">
        <f t="shared" si="35"/>
        <v>4.4144361876509719E-3</v>
      </c>
      <c r="BW226" s="103"/>
      <c r="BX226" s="136">
        <f t="shared" si="36"/>
        <v>1.5900546170794505E-3</v>
      </c>
      <c r="BY226" s="136">
        <f t="shared" si="36"/>
        <v>4.1493807345225342E-3</v>
      </c>
      <c r="BZ226" s="136">
        <f t="shared" si="36"/>
        <v>4.5195610019820309E-3</v>
      </c>
      <c r="CA226" s="136">
        <f t="shared" si="36"/>
        <v>4.7291568331268574E-3</v>
      </c>
      <c r="CB226" s="136">
        <f t="shared" si="36"/>
        <v>3.7500655659586379E-3</v>
      </c>
      <c r="CC226" s="103"/>
      <c r="CD226" s="136">
        <f t="shared" si="37"/>
        <v>1.7940727468481188E-3</v>
      </c>
      <c r="CE226" s="136">
        <f t="shared" si="37"/>
        <v>3.4697143106817152E-3</v>
      </c>
      <c r="CF226" s="136">
        <f t="shared" si="37"/>
        <v>3.7440403876980999E-3</v>
      </c>
      <c r="CG226" s="136">
        <f t="shared" si="37"/>
        <v>4.3714014832509918E-3</v>
      </c>
      <c r="CH226" s="136">
        <f t="shared" si="37"/>
        <v>3.3466749433066489E-3</v>
      </c>
      <c r="CI226" s="103"/>
      <c r="CJ226" s="136">
        <f t="shared" si="38"/>
        <v>2.4738280472295093E-3</v>
      </c>
      <c r="CK226" s="136">
        <f t="shared" si="38"/>
        <v>5.2925660650559037E-3</v>
      </c>
      <c r="CL226" s="136">
        <f t="shared" si="38"/>
        <v>5.8394321976987795E-3</v>
      </c>
      <c r="CM226" s="136">
        <f t="shared" si="38"/>
        <v>6.0141691009790166E-3</v>
      </c>
      <c r="CN226" s="136">
        <f t="shared" si="38"/>
        <v>4.8930655829200753E-3</v>
      </c>
      <c r="CO226" s="103"/>
      <c r="CP226" s="136">
        <f t="shared" si="39"/>
        <v>2.0354138244875752E-3</v>
      </c>
      <c r="CQ226" s="136">
        <f t="shared" si="39"/>
        <v>2.842627589241975E-3</v>
      </c>
      <c r="CR226" s="136">
        <f t="shared" si="39"/>
        <v>3.004214553509521E-3</v>
      </c>
      <c r="CS226" s="136">
        <f t="shared" si="39"/>
        <v>3.106163862174105E-3</v>
      </c>
      <c r="CT226" s="136">
        <f t="shared" si="39"/>
        <v>2.7388914313147272E-3</v>
      </c>
    </row>
    <row r="227" spans="2:98" x14ac:dyDescent="0.2">
      <c r="B227" s="241"/>
      <c r="P227" s="103"/>
      <c r="Q227" s="103"/>
      <c r="R227" s="103"/>
      <c r="S227" s="103"/>
      <c r="T227" s="103"/>
      <c r="U227" s="103"/>
      <c r="V227" s="103"/>
      <c r="W227" s="103"/>
      <c r="X227" s="103"/>
      <c r="Y227" s="103"/>
      <c r="Z227" s="103"/>
      <c r="AA227" s="103"/>
      <c r="AB227" s="103"/>
      <c r="AC227" s="103"/>
      <c r="AD227" s="103"/>
      <c r="AE227" s="103"/>
      <c r="AF227" s="103"/>
      <c r="AG227" s="103"/>
      <c r="AH227" s="103"/>
      <c r="AI227" s="103"/>
      <c r="AJ227" s="103"/>
      <c r="AK227" s="103"/>
      <c r="AL227" s="103"/>
      <c r="AM227" s="103"/>
      <c r="AN227" s="103"/>
      <c r="AO227" s="103"/>
      <c r="AP227" s="103"/>
      <c r="AQ227" s="103"/>
      <c r="AR227" s="103"/>
      <c r="AS227" s="103"/>
      <c r="AT227" s="103"/>
      <c r="AU227" s="103"/>
      <c r="AV227" s="103"/>
      <c r="AW227" s="103"/>
      <c r="AX227" s="103"/>
      <c r="AY227" s="103"/>
      <c r="AZ227" s="103"/>
      <c r="BA227" s="103"/>
      <c r="BB227" s="103"/>
      <c r="BC227" s="103"/>
      <c r="BD227" s="103"/>
      <c r="BE227" s="103"/>
      <c r="BF227" s="103"/>
      <c r="BG227" s="103"/>
      <c r="BH227" s="103"/>
      <c r="BI227" s="103"/>
      <c r="BJ227" s="103"/>
      <c r="BK227" s="103"/>
      <c r="BL227" s="103"/>
      <c r="BM227" s="103"/>
      <c r="BN227" s="103"/>
      <c r="BO227" s="103"/>
      <c r="BP227" s="103"/>
      <c r="BQ227" s="103"/>
      <c r="BR227" s="103"/>
      <c r="BS227" s="103"/>
      <c r="BT227" s="103"/>
      <c r="BU227" s="103"/>
      <c r="BV227" s="103"/>
      <c r="BW227" s="103"/>
      <c r="BX227" s="103"/>
      <c r="BY227" s="103"/>
      <c r="BZ227" s="103"/>
      <c r="CA227" s="103"/>
      <c r="CB227" s="103"/>
      <c r="CC227" s="103"/>
      <c r="CD227" s="103"/>
      <c r="CE227" s="103"/>
      <c r="CF227" s="103"/>
      <c r="CG227" s="103"/>
      <c r="CH227" s="103"/>
      <c r="CI227" s="103"/>
      <c r="CJ227" s="103"/>
      <c r="CK227" s="103"/>
      <c r="CL227" s="103"/>
      <c r="CM227" s="103"/>
      <c r="CN227" s="103"/>
      <c r="CO227" s="103"/>
      <c r="CP227" s="103"/>
      <c r="CQ227" s="103"/>
      <c r="CR227" s="103"/>
      <c r="CS227" s="103"/>
      <c r="CT227" s="103"/>
    </row>
    <row r="228" spans="2:98" x14ac:dyDescent="0.2">
      <c r="B228" s="273" t="s">
        <v>292</v>
      </c>
      <c r="P228" s="129">
        <f>P297</f>
        <v>898</v>
      </c>
      <c r="Q228" s="129">
        <f>Q297</f>
        <v>972</v>
      </c>
      <c r="R228" s="129">
        <f>R297</f>
        <v>988</v>
      </c>
      <c r="S228" s="129">
        <f>S297</f>
        <v>968</v>
      </c>
      <c r="T228" s="197">
        <f>P228+Q228+R228+S228</f>
        <v>3826</v>
      </c>
      <c r="U228" s="103"/>
      <c r="V228" s="129">
        <f>V297</f>
        <v>930</v>
      </c>
      <c r="W228" s="380">
        <f>W297</f>
        <v>888</v>
      </c>
      <c r="X228" s="380">
        <f>X297</f>
        <v>987</v>
      </c>
      <c r="Y228" s="380">
        <f>Y297</f>
        <v>997</v>
      </c>
      <c r="Z228" s="380">
        <f>V228+W228+X228+Y228</f>
        <v>3802</v>
      </c>
      <c r="AA228" s="103"/>
      <c r="AB228" s="380">
        <f>AB297</f>
        <v>1055</v>
      </c>
      <c r="AC228" s="380">
        <f>AC297</f>
        <v>1129</v>
      </c>
      <c r="AD228" s="380">
        <f>AD297</f>
        <v>1138</v>
      </c>
      <c r="AE228" s="380">
        <f>AE297</f>
        <v>1090</v>
      </c>
      <c r="AF228" s="380">
        <f>AB228+AC228+AD228+AE228</f>
        <v>4412</v>
      </c>
      <c r="AG228" s="103"/>
      <c r="AH228" s="380">
        <f>AH297</f>
        <v>1087</v>
      </c>
      <c r="AI228" s="380">
        <v>1075</v>
      </c>
      <c r="AJ228" s="380">
        <v>1157</v>
      </c>
      <c r="AK228" s="380">
        <v>1369</v>
      </c>
      <c r="AL228" s="380">
        <f>AH228+AI228+AJ228+AK228</f>
        <v>4688</v>
      </c>
      <c r="AM228" s="103"/>
      <c r="AN228" s="380">
        <v>1552</v>
      </c>
      <c r="AO228" s="380">
        <v>1575</v>
      </c>
      <c r="AP228" s="380">
        <v>1568</v>
      </c>
      <c r="AQ228" s="380">
        <v>1548</v>
      </c>
      <c r="AR228" s="380">
        <f>AN228+AO228+AP228+AQ228</f>
        <v>6243</v>
      </c>
      <c r="AS228" s="103"/>
      <c r="AT228" s="380">
        <v>1564</v>
      </c>
      <c r="AU228" s="380">
        <v>1519</v>
      </c>
      <c r="AV228" s="380">
        <v>1416</v>
      </c>
      <c r="AW228" s="380">
        <v>1485</v>
      </c>
      <c r="AX228" s="380">
        <f>AT228+AU228+AV228+AW228</f>
        <v>5984</v>
      </c>
      <c r="AY228" s="103"/>
      <c r="AZ228" s="380">
        <f>AT228*(1+AZ229)</f>
        <v>1509.26</v>
      </c>
      <c r="BA228" s="380">
        <f>AU228*(1+BA229)</f>
        <v>1473.43</v>
      </c>
      <c r="BB228" s="380">
        <f>AV228*(1+BB229)</f>
        <v>1451.3999999999999</v>
      </c>
      <c r="BC228" s="380">
        <f>AW228*(1+BC229)</f>
        <v>1462.7249999999999</v>
      </c>
      <c r="BD228" s="380">
        <f>AZ228+BA228+BB228+BC228</f>
        <v>5896.8150000000005</v>
      </c>
      <c r="BE228" s="103"/>
      <c r="BF228" s="380">
        <f>AZ228*(1+BF229)</f>
        <v>1528.1257499999999</v>
      </c>
      <c r="BG228" s="380">
        <f>BA228*(1+BG229)</f>
        <v>1491.8478749999999</v>
      </c>
      <c r="BH228" s="380">
        <f>BB228*(1+BH229)</f>
        <v>1469.5424999999998</v>
      </c>
      <c r="BI228" s="380">
        <f>BC228*(1+BI229)</f>
        <v>1481.0090624999998</v>
      </c>
      <c r="BJ228" s="380">
        <f>BF228+BG228+BH228+BI228</f>
        <v>5970.5251874999994</v>
      </c>
      <c r="BK228" s="103"/>
      <c r="BL228" s="380">
        <f>BF228*(1+BL229)</f>
        <v>1566.3288937499997</v>
      </c>
      <c r="BM228" s="380">
        <f>BG228*(1+BM229)</f>
        <v>1529.1440718749998</v>
      </c>
      <c r="BN228" s="380">
        <f>BH228*(1+BN229)</f>
        <v>1506.2810624999997</v>
      </c>
      <c r="BO228" s="380">
        <f>BI228*(1+BO229)</f>
        <v>1518.0342890624997</v>
      </c>
      <c r="BP228" s="380">
        <f>BL228+BM228+BN228+BO228</f>
        <v>6119.7883171874983</v>
      </c>
      <c r="BQ228" s="103"/>
      <c r="BR228" s="380">
        <f>BL228*(1+BR229)</f>
        <v>1605.4871160937496</v>
      </c>
      <c r="BS228" s="380">
        <f>BM228*(1+BS229)</f>
        <v>1567.3726736718747</v>
      </c>
      <c r="BT228" s="380">
        <f>BN228*(1+BT229)</f>
        <v>1543.9380890624996</v>
      </c>
      <c r="BU228" s="380">
        <f>BO228*(1+BU229)</f>
        <v>1555.9851462890622</v>
      </c>
      <c r="BV228" s="380">
        <f>BR228+BS228+BT228+BU228</f>
        <v>6272.7830251171863</v>
      </c>
      <c r="BW228" s="103"/>
      <c r="BX228" s="380">
        <f>BR228*(1+BX229)</f>
        <v>1637.5968584156246</v>
      </c>
      <c r="BY228" s="380">
        <f>BS228*(1+BY229)</f>
        <v>1598.7201271453123</v>
      </c>
      <c r="BZ228" s="380">
        <f>BT228*(1+BZ229)</f>
        <v>1574.8168508437495</v>
      </c>
      <c r="CA228" s="380">
        <f>BU228*(1+CA229)</f>
        <v>1587.1048492148434</v>
      </c>
      <c r="CB228" s="380">
        <f>BX228+BY228+BZ228+CA228</f>
        <v>6398.2386856195299</v>
      </c>
      <c r="CC228" s="103"/>
      <c r="CD228" s="380">
        <f>BX228*(1+CD229)</f>
        <v>1653.9728269997809</v>
      </c>
      <c r="CE228" s="380">
        <f>BY228*(1+CE229)</f>
        <v>1614.7073284167654</v>
      </c>
      <c r="CF228" s="380">
        <f>BZ228*(1+CF229)</f>
        <v>1590.5650193521869</v>
      </c>
      <c r="CG228" s="380">
        <f>CA228*(1+CG229)</f>
        <v>1602.9758977069919</v>
      </c>
      <c r="CH228" s="380">
        <f>CD228+CE228+CF228+CG228</f>
        <v>6462.221072475726</v>
      </c>
      <c r="CI228" s="103"/>
      <c r="CJ228" s="380">
        <f>CD228*(1+CJ229)</f>
        <v>1670.5125552697787</v>
      </c>
      <c r="CK228" s="380">
        <f>CE228*(1+CK229)</f>
        <v>1630.8544017009331</v>
      </c>
      <c r="CL228" s="380">
        <f>CF228*(1+CL229)</f>
        <v>1606.4706695457089</v>
      </c>
      <c r="CM228" s="380">
        <f>CG228*(1+CM229)</f>
        <v>1619.0056566840617</v>
      </c>
      <c r="CN228" s="380">
        <f>CJ228+CK228+CL228+CM228</f>
        <v>6526.8432832004819</v>
      </c>
      <c r="CO228" s="103"/>
      <c r="CP228" s="380">
        <f>CJ228*(1+CP229)</f>
        <v>1687.2176808224765</v>
      </c>
      <c r="CQ228" s="380">
        <f>CK228*(1+CQ229)</f>
        <v>1647.1629457179424</v>
      </c>
      <c r="CR228" s="380">
        <f>CL228*(1+CR229)</f>
        <v>1622.535376241166</v>
      </c>
      <c r="CS228" s="380">
        <f>CM228*(1+CS229)</f>
        <v>1635.1957132509024</v>
      </c>
      <c r="CT228" s="380">
        <f>CP228+CQ228+CR228+CS228</f>
        <v>6592.1117160324875</v>
      </c>
    </row>
    <row r="229" spans="2:98" ht="15" x14ac:dyDescent="0.3">
      <c r="B229" s="6" t="s">
        <v>23</v>
      </c>
      <c r="P229" s="103" t="s">
        <v>35</v>
      </c>
      <c r="Q229" s="103" t="s">
        <v>35</v>
      </c>
      <c r="R229" s="103" t="s">
        <v>35</v>
      </c>
      <c r="S229" s="103" t="s">
        <v>35</v>
      </c>
      <c r="T229" s="103" t="s">
        <v>35</v>
      </c>
      <c r="U229" s="103"/>
      <c r="V229" s="227">
        <f>V228/P228-1</f>
        <v>3.563474387527843E-2</v>
      </c>
      <c r="W229" s="227">
        <f>W228/Q228-1</f>
        <v>-8.6419753086419804E-2</v>
      </c>
      <c r="X229" s="227">
        <f>X228/R228-1</f>
        <v>-1.0121457489878916E-3</v>
      </c>
      <c r="Y229" s="227">
        <f>Y228/S228-1</f>
        <v>2.9958677685950397E-2</v>
      </c>
      <c r="Z229" s="227">
        <f>Z228/T228-1</f>
        <v>-6.2728698379508341E-3</v>
      </c>
      <c r="AA229" s="103"/>
      <c r="AB229" s="227">
        <f>AB228/V228-1</f>
        <v>0.13440860215053774</v>
      </c>
      <c r="AC229" s="227">
        <f>AC228/W228-1</f>
        <v>0.27139639639639634</v>
      </c>
      <c r="AD229" s="227">
        <f>AD228/X228-1</f>
        <v>0.15298885511651461</v>
      </c>
      <c r="AE229" s="227">
        <f>AE228/Y228-1</f>
        <v>9.3279839518555674E-2</v>
      </c>
      <c r="AF229" s="227">
        <f>AF228/Z228-1</f>
        <v>0.16044187269857968</v>
      </c>
      <c r="AG229" s="103"/>
      <c r="AH229" s="227">
        <f>AH228/AB228-1</f>
        <v>3.0331753554502461E-2</v>
      </c>
      <c r="AI229" s="227">
        <f>AI228/AC228-1</f>
        <v>-4.7829937998228544E-2</v>
      </c>
      <c r="AJ229" s="227">
        <f>AJ228/AD228-1</f>
        <v>1.6695957820738183E-2</v>
      </c>
      <c r="AK229" s="227">
        <f>AK228/AE228-1</f>
        <v>0.25596330275229362</v>
      </c>
      <c r="AL229" s="227">
        <f>AL228/AF228-1</f>
        <v>6.2556663644605548E-2</v>
      </c>
      <c r="AM229" s="103"/>
      <c r="AN229" s="227">
        <f>AN228/AH228-1</f>
        <v>0.42778288868445258</v>
      </c>
      <c r="AO229" s="227">
        <f>AO228/AI228-1</f>
        <v>0.46511627906976738</v>
      </c>
      <c r="AP229" s="227">
        <f>AP228/AJ228-1</f>
        <v>0.3552290406222991</v>
      </c>
      <c r="AQ229" s="227">
        <f>AQ228/AK228-1</f>
        <v>0.13075237399561734</v>
      </c>
      <c r="AR229" s="227">
        <f>AR228/AL228-1</f>
        <v>0.33169795221843001</v>
      </c>
      <c r="AS229" s="103"/>
      <c r="AT229" s="227">
        <f>AT228/AN228-1</f>
        <v>7.7319587628865705E-3</v>
      </c>
      <c r="AU229" s="227">
        <f>AU228/AO228-1</f>
        <v>-3.5555555555555562E-2</v>
      </c>
      <c r="AV229" s="227">
        <f>AV228/AP228-1</f>
        <v>-9.6938775510204134E-2</v>
      </c>
      <c r="AW229" s="227">
        <f>AW228/AQ228-1</f>
        <v>-4.0697674418604612E-2</v>
      </c>
      <c r="AX229" s="227">
        <f>AX228/AR228-1</f>
        <v>-4.1486464840621462E-2</v>
      </c>
      <c r="AY229" s="103"/>
      <c r="AZ229" s="227">
        <v>-3.5000000000000003E-2</v>
      </c>
      <c r="BA229" s="227">
        <v>-0.03</v>
      </c>
      <c r="BB229" s="227">
        <v>2.5000000000000001E-2</v>
      </c>
      <c r="BC229" s="227">
        <v>-1.4999999999999999E-2</v>
      </c>
      <c r="BD229" s="227">
        <f>BD228/AX228-1</f>
        <v>-1.4569685828876966E-2</v>
      </c>
      <c r="BE229" s="103"/>
      <c r="BF229" s="227">
        <v>1.2500000000000001E-2</v>
      </c>
      <c r="BG229" s="227">
        <f>BF229</f>
        <v>1.2500000000000001E-2</v>
      </c>
      <c r="BH229" s="227">
        <f>BG229</f>
        <v>1.2500000000000001E-2</v>
      </c>
      <c r="BI229" s="227">
        <f>BH229</f>
        <v>1.2500000000000001E-2</v>
      </c>
      <c r="BJ229" s="227">
        <f>BJ228/BD228-1</f>
        <v>1.2499999999999734E-2</v>
      </c>
      <c r="BK229" s="103"/>
      <c r="BL229" s="227">
        <v>2.5000000000000001E-2</v>
      </c>
      <c r="BM229" s="227">
        <f>BL229</f>
        <v>2.5000000000000001E-2</v>
      </c>
      <c r="BN229" s="227">
        <f>BM229</f>
        <v>2.5000000000000001E-2</v>
      </c>
      <c r="BO229" s="227">
        <f>BN229</f>
        <v>2.5000000000000001E-2</v>
      </c>
      <c r="BP229" s="227">
        <f>BP228/BJ228-1</f>
        <v>2.4999999999999911E-2</v>
      </c>
      <c r="BQ229" s="103"/>
      <c r="BR229" s="227">
        <v>2.5000000000000001E-2</v>
      </c>
      <c r="BS229" s="227">
        <f>BR229</f>
        <v>2.5000000000000001E-2</v>
      </c>
      <c r="BT229" s="227">
        <f>BS229</f>
        <v>2.5000000000000001E-2</v>
      </c>
      <c r="BU229" s="227">
        <f>BT229</f>
        <v>2.5000000000000001E-2</v>
      </c>
      <c r="BV229" s="227">
        <f>BV228/BP228-1</f>
        <v>2.5000000000000133E-2</v>
      </c>
      <c r="BW229" s="103"/>
      <c r="BX229" s="227">
        <v>0.02</v>
      </c>
      <c r="BY229" s="227">
        <f>BX229</f>
        <v>0.02</v>
      </c>
      <c r="BZ229" s="227">
        <f>BY229</f>
        <v>0.02</v>
      </c>
      <c r="CA229" s="227">
        <f>BZ229</f>
        <v>0.02</v>
      </c>
      <c r="CB229" s="227">
        <f>CB228/BV228-1</f>
        <v>2.0000000000000018E-2</v>
      </c>
      <c r="CC229" s="103"/>
      <c r="CD229" s="227">
        <v>0.01</v>
      </c>
      <c r="CE229" s="227">
        <f>CD229</f>
        <v>0.01</v>
      </c>
      <c r="CF229" s="227">
        <f>CE229</f>
        <v>0.01</v>
      </c>
      <c r="CG229" s="227">
        <f>CF229</f>
        <v>0.01</v>
      </c>
      <c r="CH229" s="227">
        <f>CH228/CB228-1</f>
        <v>1.0000000000000231E-2</v>
      </c>
      <c r="CI229" s="103"/>
      <c r="CJ229" s="227">
        <v>0.01</v>
      </c>
      <c r="CK229" s="227">
        <f>CJ229</f>
        <v>0.01</v>
      </c>
      <c r="CL229" s="227">
        <f>CK229</f>
        <v>0.01</v>
      </c>
      <c r="CM229" s="227">
        <f>CL229</f>
        <v>0.01</v>
      </c>
      <c r="CN229" s="227">
        <f>CN228/CH228-1</f>
        <v>9.9999999999997868E-3</v>
      </c>
      <c r="CO229" s="103"/>
      <c r="CP229" s="227">
        <v>0.01</v>
      </c>
      <c r="CQ229" s="227">
        <f>CP229</f>
        <v>0.01</v>
      </c>
      <c r="CR229" s="227">
        <f>CQ229</f>
        <v>0.01</v>
      </c>
      <c r="CS229" s="227">
        <f>CR229</f>
        <v>0.01</v>
      </c>
      <c r="CT229" s="227">
        <f>CT228/CN228-1</f>
        <v>1.0000000000000009E-2</v>
      </c>
    </row>
    <row r="230" spans="2:98" x14ac:dyDescent="0.2">
      <c r="B230" s="241"/>
      <c r="P230" s="103"/>
      <c r="Q230" s="103"/>
      <c r="R230" s="103"/>
      <c r="S230" s="103"/>
      <c r="T230" s="103"/>
      <c r="U230" s="103"/>
      <c r="V230" s="103"/>
      <c r="W230" s="103"/>
      <c r="X230" s="103"/>
      <c r="Y230" s="103"/>
      <c r="Z230" s="103"/>
      <c r="AA230" s="103"/>
      <c r="AB230" s="103"/>
      <c r="AC230" s="103"/>
      <c r="AD230" s="103"/>
      <c r="AE230" s="103"/>
      <c r="AF230" s="103"/>
      <c r="AG230" s="103"/>
      <c r="AH230" s="103"/>
      <c r="AI230" s="103"/>
      <c r="AJ230" s="103"/>
      <c r="AK230" s="103"/>
      <c r="AL230" s="103"/>
      <c r="AM230" s="103"/>
      <c r="AN230" s="103"/>
      <c r="AO230" s="103"/>
      <c r="AP230" s="103"/>
      <c r="AQ230" s="103"/>
      <c r="AR230" s="103"/>
      <c r="AS230" s="103"/>
      <c r="AT230" s="103"/>
      <c r="AU230" s="103"/>
      <c r="AV230" s="103"/>
      <c r="AW230" s="103"/>
      <c r="AX230" s="103"/>
      <c r="AY230" s="103"/>
      <c r="AZ230" s="103"/>
      <c r="BA230" s="103"/>
      <c r="BB230" s="103"/>
      <c r="BC230" s="103"/>
      <c r="BD230" s="103"/>
      <c r="BE230" s="103"/>
      <c r="BF230" s="103"/>
      <c r="BG230" s="103"/>
      <c r="BH230" s="103"/>
      <c r="BI230" s="103"/>
      <c r="BJ230" s="103"/>
      <c r="BK230" s="103"/>
      <c r="BL230" s="103"/>
      <c r="BM230" s="103"/>
      <c r="BN230" s="103"/>
      <c r="BO230" s="103"/>
      <c r="BP230" s="103"/>
      <c r="BQ230" s="103"/>
      <c r="BR230" s="103"/>
      <c r="BS230" s="103"/>
      <c r="BT230" s="103"/>
      <c r="BU230" s="103"/>
      <c r="BV230" s="103"/>
      <c r="BW230" s="103"/>
      <c r="BX230" s="103"/>
      <c r="BY230" s="103"/>
      <c r="BZ230" s="103"/>
      <c r="CA230" s="103"/>
      <c r="CB230" s="103"/>
      <c r="CC230" s="103"/>
      <c r="CD230" s="103"/>
      <c r="CE230" s="103"/>
      <c r="CF230" s="103"/>
      <c r="CG230" s="103"/>
      <c r="CH230" s="103"/>
      <c r="CI230" s="103"/>
      <c r="CJ230" s="103"/>
      <c r="CK230" s="103"/>
      <c r="CL230" s="103"/>
      <c r="CM230" s="103"/>
      <c r="CN230" s="103"/>
      <c r="CO230" s="103"/>
      <c r="CP230" s="103"/>
      <c r="CQ230" s="103"/>
      <c r="CR230" s="103"/>
      <c r="CS230" s="103"/>
      <c r="CT230" s="103"/>
    </row>
    <row r="231" spans="2:98" x14ac:dyDescent="0.2">
      <c r="B231" s="273" t="s">
        <v>382</v>
      </c>
      <c r="P231" s="197">
        <f>P222-P228</f>
        <v>628</v>
      </c>
      <c r="Q231" s="197">
        <f>Q222-Q228</f>
        <v>833</v>
      </c>
      <c r="R231" s="197">
        <f>R222-R228</f>
        <v>695</v>
      </c>
      <c r="S231" s="197">
        <f>S222-S228</f>
        <v>378</v>
      </c>
      <c r="T231" s="197">
        <f>P231+Q231+R231+S231</f>
        <v>2534</v>
      </c>
      <c r="U231" s="103"/>
      <c r="V231" s="197">
        <f>V222-V228</f>
        <v>539</v>
      </c>
      <c r="W231" s="197">
        <f>W222-W228</f>
        <v>377.4106309607514</v>
      </c>
      <c r="X231" s="197">
        <f>X222-X228</f>
        <v>357.06884743317141</v>
      </c>
      <c r="Y231" s="197">
        <f>Y222-Y228</f>
        <v>242.26668305315411</v>
      </c>
      <c r="Z231" s="197">
        <f>V231+W231+X231+Y231</f>
        <v>1515.7461614470769</v>
      </c>
      <c r="AA231" s="103"/>
      <c r="AB231" s="197">
        <f>AB222-AB228</f>
        <v>33</v>
      </c>
      <c r="AC231" s="197">
        <f>AC222-AC228</f>
        <v>322</v>
      </c>
      <c r="AD231" s="197">
        <f>AD222-AD228</f>
        <v>208</v>
      </c>
      <c r="AE231" s="197">
        <f>AE222-AE228</f>
        <v>661</v>
      </c>
      <c r="AF231" s="197">
        <f>AB231+AC231+AD231+AE231</f>
        <v>1224</v>
      </c>
      <c r="AG231" s="103"/>
      <c r="AH231" s="197">
        <f>AH222-AH228</f>
        <v>301</v>
      </c>
      <c r="AI231" s="197">
        <f>AI222-AI228</f>
        <v>742</v>
      </c>
      <c r="AJ231" s="197">
        <f>AJ222-AJ228</f>
        <v>751</v>
      </c>
      <c r="AK231" s="197">
        <f>AK222-AK228</f>
        <v>911</v>
      </c>
      <c r="AL231" s="197">
        <f>AH231+AI231+AJ231+AK231</f>
        <v>2705</v>
      </c>
      <c r="AM231" s="103"/>
      <c r="AN231" s="197">
        <f>AN222-AN228</f>
        <v>1197</v>
      </c>
      <c r="AO231" s="197">
        <f>AO222-AO228</f>
        <v>889</v>
      </c>
      <c r="AP231" s="197">
        <f>AP222-AP228</f>
        <v>1062</v>
      </c>
      <c r="AQ231" s="197">
        <f>AQ222-AQ228</f>
        <v>1000</v>
      </c>
      <c r="AR231" s="197">
        <f>AN231+AO231+AP231+AQ231</f>
        <v>4148</v>
      </c>
      <c r="AS231" s="103"/>
      <c r="AT231" s="197">
        <f>AT222-AT228</f>
        <v>1104</v>
      </c>
      <c r="AU231" s="197">
        <f>AU222-AU228</f>
        <v>1493</v>
      </c>
      <c r="AV231" s="197">
        <f>AV222-AV228</f>
        <v>1406</v>
      </c>
      <c r="AW231" s="197">
        <f>AW222-AW228</f>
        <v>1226</v>
      </c>
      <c r="AX231" s="197">
        <f>AT231+AU231+AV231+AW231</f>
        <v>5229</v>
      </c>
      <c r="AY231" s="103"/>
      <c r="AZ231" s="197">
        <f>AZ222-AZ228</f>
        <v>1373.5511966660385</v>
      </c>
      <c r="BA231" s="197">
        <f>BA222-BA228</f>
        <v>1759.9789630174544</v>
      </c>
      <c r="BB231" s="197">
        <f>BB222-BB228</f>
        <v>1574.2226419742917</v>
      </c>
      <c r="BC231" s="197">
        <f>BC222-BC228</f>
        <v>1277.6539438463506</v>
      </c>
      <c r="BD231" s="197">
        <f>AZ231+BA231+BB231+BC231</f>
        <v>5985.406745504135</v>
      </c>
      <c r="BE231" s="103"/>
      <c r="BF231" s="197">
        <f>BF222-BF228</f>
        <v>1516.818700219693</v>
      </c>
      <c r="BG231" s="197">
        <f>BG222-BG228</f>
        <v>1911.2619883005805</v>
      </c>
      <c r="BH231" s="197">
        <f>BH222-BH228</f>
        <v>1726.0759329879372</v>
      </c>
      <c r="BI231" s="197">
        <f>BI222-BI228</f>
        <v>1425.0679387182604</v>
      </c>
      <c r="BJ231" s="197">
        <f>BF231+BG231+BH231+BI231</f>
        <v>6579.224560226472</v>
      </c>
      <c r="BK231" s="103"/>
      <c r="BL231" s="197">
        <f>BL222-BL228</f>
        <v>1651.1194459489143</v>
      </c>
      <c r="BM231" s="197">
        <f>BM222-BM228</f>
        <v>2069.5033470643657</v>
      </c>
      <c r="BN231" s="197">
        <f>BN222-BN228</f>
        <v>1876.9764087114013</v>
      </c>
      <c r="BO231" s="197">
        <f>BO222-BO228</f>
        <v>1569.6338993965687</v>
      </c>
      <c r="BP231" s="197">
        <f>BL231+BM231+BN231+BO231</f>
        <v>7167.23310112125</v>
      </c>
      <c r="BQ231" s="103"/>
      <c r="BR231" s="197">
        <f>BR222-BR228</f>
        <v>1782.7149394600551</v>
      </c>
      <c r="BS231" s="197">
        <f>BS222-BS228</f>
        <v>2222.9405122613953</v>
      </c>
      <c r="BT231" s="197">
        <f>BT222-BT228</f>
        <v>2024.6714456388056</v>
      </c>
      <c r="BU231" s="197">
        <f>BU222-BU228</f>
        <v>1715.9448248326114</v>
      </c>
      <c r="BV231" s="197">
        <f>BR231+BS231+BT231+BU231</f>
        <v>7746.2717221928679</v>
      </c>
      <c r="BW231" s="103"/>
      <c r="BX231" s="197">
        <f>BX222-BX228</f>
        <v>1904.3793790569036</v>
      </c>
      <c r="BY231" s="197">
        <f>BY222-BY228</f>
        <v>2364.2366419271029</v>
      </c>
      <c r="BZ231" s="197">
        <f>BZ222-BZ228</f>
        <v>2162.755565956084</v>
      </c>
      <c r="CA231" s="197">
        <f>CA222-CA228</f>
        <v>1845.1726538270441</v>
      </c>
      <c r="CB231" s="197">
        <f>BX231+BY231+BZ231+CA231</f>
        <v>8276.5442407671344</v>
      </c>
      <c r="CC231" s="103"/>
      <c r="CD231" s="197">
        <f>CD222-CD228</f>
        <v>2028.3466839229168</v>
      </c>
      <c r="CE231" s="197">
        <f>CE222-CE228</f>
        <v>2504.1810436760952</v>
      </c>
      <c r="CF231" s="197">
        <f>CF222-CF228</f>
        <v>2300.2752235129533</v>
      </c>
      <c r="CG231" s="197">
        <f>CG222-CG228</f>
        <v>1978.1330470734279</v>
      </c>
      <c r="CH231" s="197">
        <f>CD231+CE231+CF231+CG231</f>
        <v>8810.9359981853941</v>
      </c>
      <c r="CI231" s="103"/>
      <c r="CJ231" s="197">
        <f>CJ222-CJ228</f>
        <v>2162.8704128642198</v>
      </c>
      <c r="CK231" s="197">
        <f>CK222-CK228</f>
        <v>2655.0770650618438</v>
      </c>
      <c r="CL231" s="197">
        <f>CL222-CL228</f>
        <v>2451.0019217208487</v>
      </c>
      <c r="CM231" s="197">
        <f>CM222-CM228</f>
        <v>2120.200036765511</v>
      </c>
      <c r="CN231" s="197">
        <f>CJ231+CK231+CL231+CM231</f>
        <v>9389.1494364124228</v>
      </c>
      <c r="CO231" s="103"/>
      <c r="CP231" s="197">
        <f>CP222-CP228</f>
        <v>2254.3001001428174</v>
      </c>
      <c r="CQ231" s="197">
        <f>CQ222-CQ228</f>
        <v>2756.5547386920498</v>
      </c>
      <c r="CR231" s="197">
        <f>CR222-CR228</f>
        <v>2551.9747304985249</v>
      </c>
      <c r="CS231" s="197">
        <f>CS222-CS228</f>
        <v>2216.5800444524525</v>
      </c>
      <c r="CT231" s="197">
        <f>CP231+CQ231+CR231+CS231</f>
        <v>9779.4096137858451</v>
      </c>
    </row>
    <row r="232" spans="2:98" ht="15" x14ac:dyDescent="0.3">
      <c r="B232" s="6" t="s">
        <v>23</v>
      </c>
      <c r="P232" s="103" t="s">
        <v>35</v>
      </c>
      <c r="Q232" s="103" t="s">
        <v>35</v>
      </c>
      <c r="R232" s="103" t="s">
        <v>35</v>
      </c>
      <c r="S232" s="103" t="s">
        <v>35</v>
      </c>
      <c r="T232" s="103" t="s">
        <v>35</v>
      </c>
      <c r="U232" s="103"/>
      <c r="V232" s="227">
        <f>V231/P231-1</f>
        <v>-0.14171974522292996</v>
      </c>
      <c r="W232" s="227">
        <f>W231/Q231-1</f>
        <v>-0.5469260132523992</v>
      </c>
      <c r="X232" s="227">
        <f>X231/R231-1</f>
        <v>-0.48623187419687564</v>
      </c>
      <c r="Y232" s="227">
        <f>Y231/S231-1</f>
        <v>-0.35908284906572985</v>
      </c>
      <c r="Z232" s="227">
        <f>Z231/T231-1</f>
        <v>-0.40183655822925146</v>
      </c>
      <c r="AA232" s="103"/>
      <c r="AB232" s="227">
        <f>AB231/V231-1</f>
        <v>-0.93877551020408168</v>
      </c>
      <c r="AC232" s="227">
        <f>AC231/W231-1</f>
        <v>-0.1468178859183058</v>
      </c>
      <c r="AD232" s="227">
        <f>AD231/X231-1</f>
        <v>-0.41747928587097183</v>
      </c>
      <c r="AE232" s="227">
        <f>AE231/Y231-1</f>
        <v>1.7283982744543311</v>
      </c>
      <c r="AF232" s="227">
        <f>AF231/Z231-1</f>
        <v>-0.19247692579907183</v>
      </c>
      <c r="AG232" s="103"/>
      <c r="AH232" s="227">
        <f>AH231/AB231-1</f>
        <v>8.1212121212121211</v>
      </c>
      <c r="AI232" s="227">
        <f>AI231/AC231-1</f>
        <v>1.3043478260869565</v>
      </c>
      <c r="AJ232" s="227">
        <f>AJ231/AD231-1</f>
        <v>2.6105769230769229</v>
      </c>
      <c r="AK232" s="227">
        <f>AK231/AE231-1</f>
        <v>0.37821482602117995</v>
      </c>
      <c r="AL232" s="227">
        <f>AL231/AF231-1</f>
        <v>1.2099673202614381</v>
      </c>
      <c r="AM232" s="103"/>
      <c r="AN232" s="227">
        <f>AN231/AH231-1</f>
        <v>2.9767441860465116</v>
      </c>
      <c r="AO232" s="227">
        <f>AO231/AI231-1</f>
        <v>0.19811320754716988</v>
      </c>
      <c r="AP232" s="227">
        <f>AP231/AJ231-1</f>
        <v>0.41411451398135823</v>
      </c>
      <c r="AQ232" s="227">
        <f>AQ231/AK231-1</f>
        <v>9.7694840834248176E-2</v>
      </c>
      <c r="AR232" s="227">
        <f>AR231/AL231-1</f>
        <v>0.5334565619223659</v>
      </c>
      <c r="AS232" s="103"/>
      <c r="AT232" s="227">
        <f>AT231/AN231-1</f>
        <v>-7.7694235588972482E-2</v>
      </c>
      <c r="AU232" s="227">
        <f>AU231/AO231-1</f>
        <v>0.67941507311586058</v>
      </c>
      <c r="AV232" s="227">
        <f>AV231/AP231-1</f>
        <v>0.32391713747645956</v>
      </c>
      <c r="AW232" s="227">
        <f>AW231/AQ231-1</f>
        <v>0.22599999999999998</v>
      </c>
      <c r="AX232" s="227">
        <f>AX231/AR231-1</f>
        <v>0.26060752169720347</v>
      </c>
      <c r="AY232" s="103"/>
      <c r="AZ232" s="227">
        <f>AZ231/AT231-1</f>
        <v>0.2441586926322814</v>
      </c>
      <c r="BA232" s="227">
        <f>BA231/AU231-1</f>
        <v>0.17882047087572306</v>
      </c>
      <c r="BB232" s="227">
        <f>BB231/AV231-1</f>
        <v>0.11964626029465975</v>
      </c>
      <c r="BC232" s="227">
        <f>BC231/AW231-1</f>
        <v>4.2132091228670898E-2</v>
      </c>
      <c r="BD232" s="227">
        <f>BD231/AX231-1</f>
        <v>0.14465609973305327</v>
      </c>
      <c r="BE232" s="103"/>
      <c r="BF232" s="227">
        <f>BF231/AZ231-1</f>
        <v>0.1043044510473301</v>
      </c>
      <c r="BG232" s="227">
        <f>BG231/BA231-1</f>
        <v>8.5957291798393953E-2</v>
      </c>
      <c r="BH232" s="227">
        <f>BH231/BB231-1</f>
        <v>9.6462397989143689E-2</v>
      </c>
      <c r="BI232" s="227">
        <f>BI231/BC231-1</f>
        <v>0.11537865599829256</v>
      </c>
      <c r="BJ232" s="227">
        <f>BJ231/BD231-1</f>
        <v>9.9210937530415322E-2</v>
      </c>
      <c r="BK232" s="103"/>
      <c r="BL232" s="227">
        <f>BL231/BF231-1</f>
        <v>8.8541066714017624E-2</v>
      </c>
      <c r="BM232" s="227">
        <f>BM231/BG231-1</f>
        <v>8.2794174598997516E-2</v>
      </c>
      <c r="BN232" s="227">
        <f>BN231/BH231-1</f>
        <v>8.7424007738898579E-2</v>
      </c>
      <c r="BO232" s="227">
        <f>BO231/BI231-1</f>
        <v>0.10144496044752382</v>
      </c>
      <c r="BP232" s="227">
        <f>BP231/BJ231-1</f>
        <v>8.937353262715475E-2</v>
      </c>
      <c r="BQ232" s="103"/>
      <c r="BR232" s="227">
        <f>BR231/BL231-1</f>
        <v>7.9700771397257508E-2</v>
      </c>
      <c r="BS232" s="227">
        <f>BS231/BM231-1</f>
        <v>7.4142023212807828E-2</v>
      </c>
      <c r="BT232" s="227">
        <f>BT231/BN231-1</f>
        <v>7.8687742819741224E-2</v>
      </c>
      <c r="BU232" s="227">
        <f>BU231/BO231-1</f>
        <v>9.3213408229964045E-2</v>
      </c>
      <c r="BV232" s="227">
        <f>BV231/BP231-1</f>
        <v>8.0789701255988611E-2</v>
      </c>
      <c r="BW232" s="103"/>
      <c r="BX232" s="227">
        <f>BX231/BR231-1</f>
        <v>6.8246715671602454E-2</v>
      </c>
      <c r="BY232" s="227">
        <f>BY231/BS231-1</f>
        <v>6.3562712940962607E-2</v>
      </c>
      <c r="BZ232" s="227">
        <f>BZ231/BT231-1</f>
        <v>6.8200754554382126E-2</v>
      </c>
      <c r="CA232" s="227">
        <f>CA231/BU231-1</f>
        <v>7.5310014124165603E-2</v>
      </c>
      <c r="CB232" s="227">
        <f>CB231/BV231-1</f>
        <v>6.8455192070663973E-2</v>
      </c>
      <c r="CC232" s="103"/>
      <c r="CD232" s="227">
        <f>CD231/BX231-1</f>
        <v>6.5095908005160741E-2</v>
      </c>
      <c r="CE232" s="227">
        <f>CE231/BY231-1</f>
        <v>5.9192214208694027E-2</v>
      </c>
      <c r="CF232" s="227">
        <f>CF231/BZ231-1</f>
        <v>6.3585390656977214E-2</v>
      </c>
      <c r="CG232" s="227">
        <f>CG231/CA231-1</f>
        <v>7.2058510606372028E-2</v>
      </c>
      <c r="CH232" s="227">
        <f>CH231/CB231-1</f>
        <v>6.4567015154229246E-2</v>
      </c>
      <c r="CI232" s="103"/>
      <c r="CJ232" s="227">
        <f>CJ231/CD231-1</f>
        <v>6.6321862040431778E-2</v>
      </c>
      <c r="CK232" s="227">
        <f>CK231/CE231-1</f>
        <v>6.0257632636750547E-2</v>
      </c>
      <c r="CL232" s="227">
        <f>CL231/CF231-1</f>
        <v>6.5525506107789733E-2</v>
      </c>
      <c r="CM232" s="227">
        <f>CM231/CG231-1</f>
        <v>7.1818723165393727E-2</v>
      </c>
      <c r="CN232" s="227">
        <f>CN231/CH231-1</f>
        <v>6.5624519159611649E-2</v>
      </c>
      <c r="CO232" s="103"/>
      <c r="CP232" s="227">
        <f>CP231/CJ231-1</f>
        <v>4.2272383372945699E-2</v>
      </c>
      <c r="CQ232" s="227">
        <f>CQ231/CK231-1</f>
        <v>3.8220236604636026E-2</v>
      </c>
      <c r="CR232" s="227">
        <f>CR231/CL231-1</f>
        <v>4.1196544108289768E-2</v>
      </c>
      <c r="CS232" s="227">
        <f>CS231/CM231-1</f>
        <v>4.5457978499979124E-2</v>
      </c>
      <c r="CT232" s="227">
        <f>CT231/CN231-1</f>
        <v>4.1565019282783888E-2</v>
      </c>
    </row>
    <row r="233" spans="2:98" x14ac:dyDescent="0.2">
      <c r="B233" s="241"/>
      <c r="P233" s="103"/>
      <c r="Q233" s="103"/>
      <c r="R233" s="103"/>
      <c r="S233" s="103"/>
      <c r="T233" s="103"/>
      <c r="U233" s="103"/>
      <c r="V233" s="103"/>
      <c r="W233" s="103"/>
      <c r="X233" s="103"/>
      <c r="Y233" s="103"/>
      <c r="Z233" s="103"/>
      <c r="AA233" s="103"/>
      <c r="AB233" s="103"/>
      <c r="AC233" s="103"/>
      <c r="AD233" s="103"/>
      <c r="AE233" s="103"/>
      <c r="AF233" s="103"/>
      <c r="AG233" s="103"/>
      <c r="AH233" s="103"/>
      <c r="AI233" s="103"/>
      <c r="AJ233" s="103"/>
      <c r="AK233" s="103"/>
      <c r="AL233" s="103"/>
      <c r="AM233" s="103"/>
      <c r="AN233" s="103"/>
      <c r="AO233" s="103"/>
      <c r="AP233" s="103"/>
      <c r="AQ233" s="103"/>
      <c r="AR233" s="103"/>
      <c r="AS233" s="103"/>
      <c r="AT233" s="103"/>
      <c r="AU233" s="103"/>
      <c r="AV233" s="103"/>
      <c r="AW233" s="103"/>
      <c r="AX233" s="103"/>
      <c r="AY233" s="103"/>
      <c r="AZ233" s="103"/>
      <c r="BA233" s="103"/>
      <c r="BB233" s="103"/>
      <c r="BC233" s="103"/>
      <c r="BD233" s="103"/>
      <c r="BE233" s="103"/>
      <c r="BF233" s="103"/>
      <c r="BG233" s="103"/>
      <c r="BH233" s="103"/>
      <c r="BI233" s="103"/>
      <c r="BJ233" s="103"/>
      <c r="BK233" s="103"/>
      <c r="BL233" s="103"/>
      <c r="BM233" s="103"/>
      <c r="BN233" s="103"/>
      <c r="BO233" s="103"/>
      <c r="BP233" s="103"/>
      <c r="BQ233" s="103"/>
      <c r="BR233" s="103"/>
      <c r="BS233" s="103"/>
      <c r="BT233" s="103"/>
      <c r="BU233" s="103"/>
      <c r="BV233" s="103"/>
      <c r="BW233" s="103"/>
      <c r="BX233" s="103"/>
      <c r="BY233" s="103"/>
      <c r="BZ233" s="103"/>
      <c r="CA233" s="103"/>
      <c r="CB233" s="103"/>
      <c r="CC233" s="103"/>
      <c r="CD233" s="103"/>
      <c r="CE233" s="103"/>
      <c r="CF233" s="103"/>
      <c r="CG233" s="103"/>
      <c r="CH233" s="103"/>
      <c r="CI233" s="103"/>
      <c r="CJ233" s="103"/>
      <c r="CK233" s="103"/>
      <c r="CL233" s="103"/>
      <c r="CM233" s="103"/>
      <c r="CN233" s="103"/>
      <c r="CO233" s="103"/>
      <c r="CP233" s="103"/>
      <c r="CQ233" s="103"/>
      <c r="CR233" s="103"/>
      <c r="CS233" s="103"/>
      <c r="CT233" s="103"/>
    </row>
    <row r="234" spans="2:98" x14ac:dyDescent="0.2">
      <c r="B234" s="241" t="s">
        <v>383</v>
      </c>
      <c r="P234" s="129">
        <f>P274</f>
        <v>0</v>
      </c>
      <c r="Q234" s="129">
        <f>Q274</f>
        <v>0</v>
      </c>
      <c r="R234" s="129">
        <f>R274</f>
        <v>0</v>
      </c>
      <c r="S234" s="129">
        <f>S274</f>
        <v>0</v>
      </c>
      <c r="T234" s="197">
        <f>P234+Q234+R234+S234</f>
        <v>0</v>
      </c>
      <c r="U234" s="103"/>
      <c r="V234" s="129">
        <f>V274</f>
        <v>0</v>
      </c>
      <c r="W234" s="380">
        <v>294</v>
      </c>
      <c r="X234" s="380">
        <v>294</v>
      </c>
      <c r="Y234" s="380">
        <v>284</v>
      </c>
      <c r="Z234" s="197">
        <f>V234+W234+X234+Y234</f>
        <v>872</v>
      </c>
      <c r="AA234" s="103"/>
      <c r="AB234" s="380">
        <v>276</v>
      </c>
      <c r="AC234" s="380">
        <v>271</v>
      </c>
      <c r="AD234" s="380">
        <v>246</v>
      </c>
      <c r="AE234" s="380">
        <f ca="1">AE287*AE289/4</f>
        <v>243.980131202725</v>
      </c>
      <c r="AF234" s="197">
        <f ca="1">AB234+AC234+AD234+AE234</f>
        <v>1036.980131202725</v>
      </c>
      <c r="AG234" s="103"/>
      <c r="AH234" s="380">
        <f ca="1">AH287*AH289/4</f>
        <v>261.7510922556732</v>
      </c>
      <c r="AI234" s="380">
        <v>235</v>
      </c>
      <c r="AJ234" s="380">
        <v>274</v>
      </c>
      <c r="AK234" s="380">
        <v>357</v>
      </c>
      <c r="AL234" s="197">
        <f ca="1">AH234+AI234+AJ234+AK234</f>
        <v>1127.7510922556733</v>
      </c>
      <c r="AM234" s="103"/>
      <c r="AN234" s="380">
        <v>350</v>
      </c>
      <c r="AO234" s="380">
        <v>393</v>
      </c>
      <c r="AP234" s="380">
        <v>391</v>
      </c>
      <c r="AQ234" s="380">
        <v>336</v>
      </c>
      <c r="AR234" s="197">
        <f>AN234+AO234+AP234+AQ234</f>
        <v>1470</v>
      </c>
      <c r="AS234" s="103"/>
      <c r="AT234" s="380">
        <v>497</v>
      </c>
      <c r="AU234" s="380">
        <v>559</v>
      </c>
      <c r="AV234" s="380">
        <v>500</v>
      </c>
      <c r="AW234" s="380">
        <v>512</v>
      </c>
      <c r="AX234" s="197">
        <f>AT234+AU234+AV234+AW234</f>
        <v>2068</v>
      </c>
      <c r="AY234" s="103"/>
      <c r="AZ234" s="380">
        <f ca="1">AZ287*AZ289/4</f>
        <v>370.05875079129049</v>
      </c>
      <c r="BA234" s="380">
        <f ca="1">BA287*BA289/4</f>
        <v>377.72457518483287</v>
      </c>
      <c r="BB234" s="380">
        <f ca="1">BB287*BB289/4</f>
        <v>377.51761501925847</v>
      </c>
      <c r="BC234" s="380">
        <f ca="1">BC287*BC289/4</f>
        <v>373.90645272101619</v>
      </c>
      <c r="BD234" s="197">
        <f ca="1">AZ234+BA234+BB234+BC234</f>
        <v>1499.207393716398</v>
      </c>
      <c r="BE234" s="103"/>
      <c r="BF234" s="380">
        <f ca="1">BF287*BF289/4</f>
        <v>369.82356831118398</v>
      </c>
      <c r="BG234" s="380">
        <f ca="1">BG287*BG289/4</f>
        <v>363.60901018415626</v>
      </c>
      <c r="BH234" s="380">
        <f ca="1">BH287*BH289/4</f>
        <v>356.38928895159557</v>
      </c>
      <c r="BI234" s="380">
        <f ca="1">BI287*BI289/4</f>
        <v>366.16391780848818</v>
      </c>
      <c r="BJ234" s="197">
        <f ca="1">BF234+BG234+BH234+BI234</f>
        <v>1455.9857852554239</v>
      </c>
      <c r="BK234" s="103"/>
      <c r="BL234" s="380">
        <f ca="1">BL287*BL289/4</f>
        <v>377.77331565030556</v>
      </c>
      <c r="BM234" s="380">
        <f ca="1">BM287*BM289/4</f>
        <v>373.08624393108215</v>
      </c>
      <c r="BN234" s="380">
        <f ca="1">BN287*BN289/4</f>
        <v>367.31956204048458</v>
      </c>
      <c r="BO234" s="380">
        <f ca="1">BO287*BO289/4</f>
        <v>379.8836369689356</v>
      </c>
      <c r="BP234" s="197">
        <f ca="1">BL234+BM234+BN234+BO234</f>
        <v>1498.0627585908078</v>
      </c>
      <c r="BQ234" s="103"/>
      <c r="BR234" s="380">
        <f ca="1">BR287*BR289/4</f>
        <v>393.49651012530904</v>
      </c>
      <c r="BS234" s="380">
        <f ca="1">BS287*BS289/4</f>
        <v>388.61855907002206</v>
      </c>
      <c r="BT234" s="380">
        <f ca="1">BT287*BT289/4</f>
        <v>382.56867924078904</v>
      </c>
      <c r="BU234" s="380">
        <f ca="1">BU287*BU289/4</f>
        <v>387.34232969736951</v>
      </c>
      <c r="BV234" s="197">
        <f ca="1">BR234+BS234+BT234+BU234</f>
        <v>1552.0260781334896</v>
      </c>
      <c r="BW234" s="103"/>
      <c r="BX234" s="380">
        <f ca="1">BX287*BX289/4</f>
        <v>390.02792196113842</v>
      </c>
      <c r="BY234" s="380">
        <f ca="1">BY287*BY289/4</f>
        <v>378.47352868123517</v>
      </c>
      <c r="BZ234" s="380">
        <f ca="1">BZ287*BZ289/4</f>
        <v>365.57131206735278</v>
      </c>
      <c r="CA234" s="380">
        <f ca="1">CA287*CA289/4</f>
        <v>357.47526660267613</v>
      </c>
      <c r="CB234" s="197">
        <f ca="1">BX234+BY234+BZ234+CA234</f>
        <v>1491.5480293124024</v>
      </c>
      <c r="CC234" s="103"/>
      <c r="CD234" s="380">
        <f ca="1">CD287*CD289/4</f>
        <v>348.07925634519881</v>
      </c>
      <c r="CE234" s="380">
        <f ca="1">CE287*CE289/4</f>
        <v>331.10058458744089</v>
      </c>
      <c r="CF234" s="380">
        <f ca="1">CF287*CF289/4</f>
        <v>312.62758184019242</v>
      </c>
      <c r="CG234" s="380">
        <f ca="1">CG287*CG289/4</f>
        <v>299.39805006125977</v>
      </c>
      <c r="CH234" s="197">
        <f ca="1">CD234+CE234+CF234+CG234</f>
        <v>1291.205472834092</v>
      </c>
      <c r="CI234" s="103"/>
      <c r="CJ234" s="380">
        <f ca="1">CJ287*CJ289/4</f>
        <v>285.12700304493438</v>
      </c>
      <c r="CK234" s="380">
        <f ca="1">CK287*CK289/4</f>
        <v>262.94690481684506</v>
      </c>
      <c r="CL234" s="380">
        <f ca="1">CL287*CL289/4</f>
        <v>241.97129457686583</v>
      </c>
      <c r="CM234" s="380">
        <f ca="1">CM287*CM289/4</f>
        <v>228.86925434989379</v>
      </c>
      <c r="CN234" s="197">
        <f ca="1">CJ234+CK234+CL234+CM234</f>
        <v>1018.914456788539</v>
      </c>
      <c r="CO234" s="103"/>
      <c r="CP234" s="380">
        <f ca="1">CP287*CP289/4</f>
        <v>217.06239994064077</v>
      </c>
      <c r="CQ234" s="380">
        <f ca="1">CQ287*CQ289/4</f>
        <v>200.65208007977679</v>
      </c>
      <c r="CR234" s="380">
        <f ca="1">CR287*CR289/4</f>
        <v>183.1145485589924</v>
      </c>
      <c r="CS234" s="380">
        <f ca="1">CS287*CS289/4</f>
        <v>169.36522610327725</v>
      </c>
      <c r="CT234" s="197">
        <f ca="1">CP234+CQ234+CR234+CS234</f>
        <v>770.19425468268719</v>
      </c>
    </row>
    <row r="235" spans="2:98" x14ac:dyDescent="0.2">
      <c r="B235" s="241"/>
      <c r="P235" s="103"/>
      <c r="Q235" s="103"/>
      <c r="R235" s="103"/>
      <c r="S235" s="103"/>
      <c r="T235" s="103"/>
      <c r="U235" s="103"/>
      <c r="V235" s="103"/>
      <c r="W235" s="103"/>
      <c r="X235" s="103"/>
      <c r="Y235" s="103"/>
      <c r="Z235" s="103"/>
      <c r="AA235" s="103"/>
      <c r="AB235" s="103"/>
      <c r="AC235" s="103"/>
      <c r="AD235" s="103"/>
      <c r="AE235" s="103"/>
      <c r="AF235" s="103"/>
      <c r="AG235" s="103"/>
      <c r="AH235" s="103"/>
      <c r="AI235" s="103"/>
      <c r="AJ235" s="103"/>
      <c r="AK235" s="103"/>
      <c r="AL235" s="103"/>
      <c r="AM235" s="103"/>
      <c r="AN235" s="103"/>
      <c r="AO235" s="103"/>
      <c r="AP235" s="103"/>
      <c r="AQ235" s="103"/>
      <c r="AR235" s="103"/>
      <c r="AS235" s="103"/>
      <c r="AT235" s="380"/>
      <c r="AU235" s="380"/>
      <c r="AV235" s="103"/>
      <c r="AW235" s="103"/>
      <c r="AX235" s="103"/>
      <c r="AY235" s="103"/>
      <c r="AZ235" s="103"/>
      <c r="BA235" s="103"/>
      <c r="BB235" s="103"/>
      <c r="BC235" s="103"/>
      <c r="BD235" s="103"/>
      <c r="BE235" s="103"/>
      <c r="BF235" s="103"/>
      <c r="BG235" s="103"/>
      <c r="BH235" s="103"/>
      <c r="BI235" s="103"/>
      <c r="BJ235" s="103"/>
      <c r="BK235" s="103"/>
      <c r="BL235" s="103"/>
      <c r="BM235" s="103"/>
      <c r="BN235" s="103"/>
      <c r="BO235" s="103"/>
      <c r="BP235" s="103"/>
      <c r="BQ235" s="103"/>
      <c r="BR235" s="103"/>
      <c r="BS235" s="103"/>
      <c r="BT235" s="103"/>
      <c r="BU235" s="103"/>
      <c r="BV235" s="103"/>
      <c r="BW235" s="103"/>
      <c r="BX235" s="103"/>
      <c r="BY235" s="103"/>
      <c r="BZ235" s="103"/>
      <c r="CA235" s="103"/>
      <c r="CB235" s="103"/>
      <c r="CC235" s="103"/>
      <c r="CD235" s="103"/>
      <c r="CE235" s="103"/>
      <c r="CF235" s="103"/>
      <c r="CG235" s="103"/>
      <c r="CH235" s="103"/>
      <c r="CI235" s="103"/>
      <c r="CJ235" s="103"/>
      <c r="CK235" s="103"/>
      <c r="CL235" s="103"/>
      <c r="CM235" s="103"/>
      <c r="CN235" s="103"/>
      <c r="CO235" s="103"/>
      <c r="CP235" s="103"/>
      <c r="CQ235" s="103"/>
      <c r="CR235" s="103"/>
      <c r="CS235" s="103"/>
      <c r="CT235" s="103"/>
    </row>
    <row r="236" spans="2:98" x14ac:dyDescent="0.2">
      <c r="B236" s="273" t="s">
        <v>168</v>
      </c>
      <c r="P236" s="197">
        <f>P231-P234</f>
        <v>628</v>
      </c>
      <c r="Q236" s="197">
        <f>Q231-Q234</f>
        <v>833</v>
      </c>
      <c r="R236" s="197">
        <f>R231-R234</f>
        <v>695</v>
      </c>
      <c r="S236" s="197">
        <f>S231-S234</f>
        <v>378</v>
      </c>
      <c r="T236" s="197">
        <f>P236+Q236+R236+S236</f>
        <v>2534</v>
      </c>
      <c r="U236" s="103"/>
      <c r="V236" s="197">
        <f>V231-V234</f>
        <v>539</v>
      </c>
      <c r="W236" s="197">
        <f>W231-W234</f>
        <v>83.410630960751405</v>
      </c>
      <c r="X236" s="197">
        <f>X231-X234</f>
        <v>63.068847433171413</v>
      </c>
      <c r="Y236" s="197">
        <f>Y231-Y234</f>
        <v>-41.733316946845889</v>
      </c>
      <c r="Z236" s="197">
        <f>V236+W236+X236+Y236</f>
        <v>643.74616144707693</v>
      </c>
      <c r="AA236" s="103"/>
      <c r="AB236" s="197">
        <f>AB231-AB234</f>
        <v>-243</v>
      </c>
      <c r="AC236" s="197">
        <f>AC231-AC234</f>
        <v>51</v>
      </c>
      <c r="AD236" s="197">
        <f>AD231-AD234</f>
        <v>-38</v>
      </c>
      <c r="AE236" s="197">
        <f ca="1">AE231-AE234</f>
        <v>417.01986879727497</v>
      </c>
      <c r="AF236" s="197">
        <f ca="1">AB236+AC236+AD236+AE236</f>
        <v>187.01986879727497</v>
      </c>
      <c r="AG236" s="103"/>
      <c r="AH236" s="197">
        <f ca="1">AH231-AH234</f>
        <v>39.2489077443268</v>
      </c>
      <c r="AI236" s="197">
        <f>AI231-AI234</f>
        <v>507</v>
      </c>
      <c r="AJ236" s="197">
        <f>AJ231-AJ234</f>
        <v>477</v>
      </c>
      <c r="AK236" s="197">
        <f>AK231-AK234</f>
        <v>554</v>
      </c>
      <c r="AL236" s="197">
        <f ca="1">AH236+AI236+AJ236+AK236</f>
        <v>1577.2489077443267</v>
      </c>
      <c r="AM236" s="103"/>
      <c r="AN236" s="197">
        <f>AN231-AN234</f>
        <v>847</v>
      </c>
      <c r="AO236" s="197">
        <f>AO231-AO234</f>
        <v>496</v>
      </c>
      <c r="AP236" s="197">
        <f>AP231-AP234</f>
        <v>671</v>
      </c>
      <c r="AQ236" s="197">
        <f>AQ231-AQ234</f>
        <v>664</v>
      </c>
      <c r="AR236" s="197">
        <f>AN236+AO236+AP236+AQ236</f>
        <v>2678</v>
      </c>
      <c r="AS236" s="103"/>
      <c r="AT236" s="197">
        <f>AT231-AT234</f>
        <v>607</v>
      </c>
      <c r="AU236" s="197">
        <f>AU231-AU234</f>
        <v>934</v>
      </c>
      <c r="AV236" s="197">
        <f>AV231-AV234</f>
        <v>906</v>
      </c>
      <c r="AW236" s="197">
        <f>AW231-AW234</f>
        <v>714</v>
      </c>
      <c r="AX236" s="197">
        <f>AT236+AU236+AV236+AW236</f>
        <v>3161</v>
      </c>
      <c r="AY236" s="103"/>
      <c r="AZ236" s="197">
        <f ca="1">AZ231-AZ234</f>
        <v>1003.492445874748</v>
      </c>
      <c r="BA236" s="197">
        <f ca="1">BA231-BA234</f>
        <v>1382.2543878326214</v>
      </c>
      <c r="BB236" s="197">
        <f ca="1">BB231-BB234</f>
        <v>1196.7050269550332</v>
      </c>
      <c r="BC236" s="197">
        <f ca="1">BC231-BC234</f>
        <v>903.74749112533436</v>
      </c>
      <c r="BD236" s="197">
        <f ca="1">AZ236+BA236+BB236+BC236</f>
        <v>4486.1993517877372</v>
      </c>
      <c r="BE236" s="103"/>
      <c r="BF236" s="197">
        <f ca="1">BF231-BF234</f>
        <v>1146.9951319085089</v>
      </c>
      <c r="BG236" s="197">
        <f ca="1">BG231-BG234</f>
        <v>1547.6529781164243</v>
      </c>
      <c r="BH236" s="197">
        <f ca="1">BH231-BH234</f>
        <v>1369.6866440363417</v>
      </c>
      <c r="BI236" s="197">
        <f ca="1">BI231-BI234</f>
        <v>1058.9040209097723</v>
      </c>
      <c r="BJ236" s="197">
        <f ca="1">BF236+BG236+BH236+BI236</f>
        <v>5123.238774971047</v>
      </c>
      <c r="BK236" s="103"/>
      <c r="BL236" s="197">
        <f ca="1">BL231-BL234</f>
        <v>1273.3461302986088</v>
      </c>
      <c r="BM236" s="197">
        <f ca="1">BM231-BM234</f>
        <v>1696.4171031332835</v>
      </c>
      <c r="BN236" s="197">
        <f ca="1">BN231-BN234</f>
        <v>1509.6568466709168</v>
      </c>
      <c r="BO236" s="197">
        <f ca="1">BO231-BO234</f>
        <v>1189.7502624276331</v>
      </c>
      <c r="BP236" s="197">
        <f ca="1">BL236+BM236+BN236+BO236</f>
        <v>5669.1703425304422</v>
      </c>
      <c r="BQ236" s="103"/>
      <c r="BR236" s="197">
        <f ca="1">BR231-BR234</f>
        <v>1389.2184293347461</v>
      </c>
      <c r="BS236" s="197">
        <f ca="1">BS231-BS234</f>
        <v>1834.3219531913733</v>
      </c>
      <c r="BT236" s="197">
        <f ca="1">BT231-BT234</f>
        <v>1642.1027663980167</v>
      </c>
      <c r="BU236" s="197">
        <f ca="1">BU231-BU234</f>
        <v>1328.602495135242</v>
      </c>
      <c r="BV236" s="197">
        <f ca="1">BR236+BS236+BT236+BU236</f>
        <v>6194.2456440593778</v>
      </c>
      <c r="BW236" s="103"/>
      <c r="BX236" s="197">
        <f ca="1">BX231-BX234</f>
        <v>1514.3514570957652</v>
      </c>
      <c r="BY236" s="197">
        <f ca="1">BY231-BY234</f>
        <v>1985.7631132458678</v>
      </c>
      <c r="BZ236" s="197">
        <f ca="1">BZ231-BZ234</f>
        <v>1797.1842538887313</v>
      </c>
      <c r="CA236" s="197">
        <f ca="1">CA231-CA234</f>
        <v>1487.697387224368</v>
      </c>
      <c r="CB236" s="197">
        <f ca="1">BX236+BY236+BZ236+CA236</f>
        <v>6784.9962114547325</v>
      </c>
      <c r="CC236" s="103"/>
      <c r="CD236" s="197">
        <f ca="1">CD231-CD234</f>
        <v>1680.2674275777181</v>
      </c>
      <c r="CE236" s="197">
        <f ca="1">CE231-CE234</f>
        <v>2173.0804590886542</v>
      </c>
      <c r="CF236" s="197">
        <f ca="1">CF231-CF234</f>
        <v>1987.647641672761</v>
      </c>
      <c r="CG236" s="197">
        <f ca="1">CG231-CG234</f>
        <v>1678.7349970121682</v>
      </c>
      <c r="CH236" s="197">
        <f ca="1">CD236+CE236+CF236+CG236</f>
        <v>7519.7305253513023</v>
      </c>
      <c r="CI236" s="103"/>
      <c r="CJ236" s="197">
        <f ca="1">CJ231-CJ234</f>
        <v>1877.7434098192855</v>
      </c>
      <c r="CK236" s="197">
        <f ca="1">CK231-CK234</f>
        <v>2392.1301602449985</v>
      </c>
      <c r="CL236" s="197">
        <f ca="1">CL231-CL234</f>
        <v>2209.0306271439831</v>
      </c>
      <c r="CM236" s="197">
        <f ca="1">CM231-CM234</f>
        <v>1891.3307824156173</v>
      </c>
      <c r="CN236" s="197">
        <f ca="1">CJ236+CK236+CL236+CM236</f>
        <v>8370.234979623885</v>
      </c>
      <c r="CO236" s="103"/>
      <c r="CP236" s="197">
        <f ca="1">CP231-CP234</f>
        <v>2037.2377002021767</v>
      </c>
      <c r="CQ236" s="197">
        <f ca="1">CQ231-CQ234</f>
        <v>2555.9026586122732</v>
      </c>
      <c r="CR236" s="197">
        <f ca="1">CR231-CR234</f>
        <v>2368.8601819395326</v>
      </c>
      <c r="CS236" s="197">
        <f ca="1">CS231-CS234</f>
        <v>2047.2148183491752</v>
      </c>
      <c r="CT236" s="197">
        <f ca="1">CP236+CQ236+CR236+CS236</f>
        <v>9009.2153591031565</v>
      </c>
    </row>
    <row r="237" spans="2:98" ht="15" x14ac:dyDescent="0.3">
      <c r="B237" s="6" t="s">
        <v>23</v>
      </c>
      <c r="P237" s="103" t="s">
        <v>35</v>
      </c>
      <c r="Q237" s="103" t="s">
        <v>35</v>
      </c>
      <c r="R237" s="103" t="s">
        <v>35</v>
      </c>
      <c r="S237" s="103" t="s">
        <v>35</v>
      </c>
      <c r="T237" s="103" t="s">
        <v>35</v>
      </c>
      <c r="U237" s="103"/>
      <c r="V237" s="227">
        <f>V236/P236-1</f>
        <v>-0.14171974522292996</v>
      </c>
      <c r="W237" s="227">
        <f>W236/Q236-1</f>
        <v>-0.89986718972298751</v>
      </c>
      <c r="X237" s="227">
        <f>X236/R236-1</f>
        <v>-0.9092534569306886</v>
      </c>
      <c r="Y237" s="227">
        <f>Y236/S236-1</f>
        <v>-1.1104056003884812</v>
      </c>
      <c r="Z237" s="227">
        <f>Z236/T236-1</f>
        <v>-0.74595652665861212</v>
      </c>
      <c r="AA237" s="103"/>
      <c r="AB237" s="227">
        <f>AB236/V236-1</f>
        <v>-1.450834879406308</v>
      </c>
      <c r="AC237" s="227">
        <f>AC236/W236-1</f>
        <v>-0.38856714770569378</v>
      </c>
      <c r="AD237" s="227">
        <f>AD236/X236-1</f>
        <v>-1.6025161636299967</v>
      </c>
      <c r="AE237" s="227">
        <f ca="1">AE236/Y236-1</f>
        <v>-10.99249279247123</v>
      </c>
      <c r="AF237" s="227">
        <f ca="1">AF236/Z236-1</f>
        <v>-0.7094819666545692</v>
      </c>
      <c r="AG237" s="103"/>
      <c r="AH237" s="227">
        <f ca="1">AH236/AB236-1</f>
        <v>-1.1615181388655424</v>
      </c>
      <c r="AI237" s="227">
        <f>AI236/AC236-1</f>
        <v>8.9411764705882355</v>
      </c>
      <c r="AJ237" s="227">
        <f>AJ236/AD236-1</f>
        <v>-13.552631578947368</v>
      </c>
      <c r="AK237" s="227">
        <f ca="1">AK236/AE236-1</f>
        <v>0.32847387247468274</v>
      </c>
      <c r="AL237" s="227">
        <f ca="1">AL236/AF236-1</f>
        <v>7.4335900665935473</v>
      </c>
      <c r="AM237" s="103"/>
      <c r="AN237" s="227">
        <f ca="1">AN236/AH236-1</f>
        <v>20.580218372380791</v>
      </c>
      <c r="AO237" s="227">
        <f>AO236/AI236-1</f>
        <v>-2.1696252465483234E-2</v>
      </c>
      <c r="AP237" s="227">
        <f>AP236/AJ236-1</f>
        <v>0.40670859538784065</v>
      </c>
      <c r="AQ237" s="227">
        <f>AQ236/AK236-1</f>
        <v>0.1985559566787003</v>
      </c>
      <c r="AR237" s="227">
        <f ca="1">AR236/AL236-1</f>
        <v>0.69789307626143304</v>
      </c>
      <c r="AS237" s="103"/>
      <c r="AT237" s="227">
        <f>AT236/AN236-1</f>
        <v>-0.28335301062573792</v>
      </c>
      <c r="AU237" s="227">
        <f>AU236/AO236-1</f>
        <v>0.88306451612903225</v>
      </c>
      <c r="AV237" s="227">
        <f>AV236/AP236-1</f>
        <v>0.35022354694485847</v>
      </c>
      <c r="AW237" s="227">
        <f>AW236/AQ236-1</f>
        <v>7.5301204819277157E-2</v>
      </c>
      <c r="AX237" s="227">
        <f>AX236/AR236-1</f>
        <v>0.18035847647498127</v>
      </c>
      <c r="AY237" s="103"/>
      <c r="AZ237" s="227">
        <f ca="1">AZ236/AT236-1</f>
        <v>0.65320007557619109</v>
      </c>
      <c r="BA237" s="227">
        <f ca="1">BA236/AU236-1</f>
        <v>0.47992975142678951</v>
      </c>
      <c r="BB237" s="227">
        <f ca="1">BB236/AV236-1</f>
        <v>0.32086647566780702</v>
      </c>
      <c r="BC237" s="227">
        <f ca="1">BC236/AW236-1</f>
        <v>0.26575278869094454</v>
      </c>
      <c r="BD237" s="227">
        <f ca="1">BD236/AX236-1</f>
        <v>0.4192342144219352</v>
      </c>
      <c r="BE237" s="103"/>
      <c r="BF237" s="227">
        <f ca="1">BF236/AZ236-1</f>
        <v>0.14300325490608867</v>
      </c>
      <c r="BG237" s="227">
        <f ca="1">BG236/BA236-1</f>
        <v>0.11965857496256405</v>
      </c>
      <c r="BH237" s="227">
        <f ca="1">BH236/BB236-1</f>
        <v>0.1445482497232029</v>
      </c>
      <c r="BI237" s="227">
        <f ca="1">BI236/BC236-1</f>
        <v>0.17168128410651406</v>
      </c>
      <c r="BJ237" s="227">
        <f ca="1">BJ236/BD236-1</f>
        <v>0.14199980277948443</v>
      </c>
      <c r="BK237" s="103"/>
      <c r="BL237" s="227">
        <f ca="1">BL236/BF236-1</f>
        <v>0.11015826909383808</v>
      </c>
      <c r="BM237" s="227">
        <f ca="1">BM236/BG236-1</f>
        <v>9.6122404130875028E-2</v>
      </c>
      <c r="BN237" s="227">
        <f ca="1">BN236/BH236-1</f>
        <v>0.10219140505166613</v>
      </c>
      <c r="BO237" s="227">
        <f ca="1">BO236/BI236-1</f>
        <v>0.12356761229921709</v>
      </c>
      <c r="BP237" s="227">
        <f ca="1">BP236/BJ236-1</f>
        <v>0.10655985237824095</v>
      </c>
      <c r="BQ237" s="103"/>
      <c r="BR237" s="227">
        <f ca="1">BR236/BL236-1</f>
        <v>9.0998273194551116E-2</v>
      </c>
      <c r="BS237" s="227">
        <f ca="1">BS236/BM236-1</f>
        <v>8.129182958800607E-2</v>
      </c>
      <c r="BT237" s="227">
        <f ca="1">BT236/BN236-1</f>
        <v>8.7732467162433991E-2</v>
      </c>
      <c r="BU237" s="227">
        <f ca="1">BU236/BO236-1</f>
        <v>0.11670704104261942</v>
      </c>
      <c r="BV237" s="227">
        <f ca="1">BV236/BP236-1</f>
        <v>9.2619425736741423E-2</v>
      </c>
      <c r="BW237" s="103"/>
      <c r="BX237" s="227">
        <f ca="1">BX236/BR236-1</f>
        <v>9.0074408112294835E-2</v>
      </c>
      <c r="BY237" s="227">
        <f ca="1">BY236/BS236-1</f>
        <v>8.2559749007536931E-2</v>
      </c>
      <c r="BZ237" s="227">
        <f ca="1">BZ236/BT236-1</f>
        <v>9.4440793027155578E-2</v>
      </c>
      <c r="CA237" s="227">
        <f ca="1">CA236/BU236-1</f>
        <v>0.11974604343410578</v>
      </c>
      <c r="CB237" s="227">
        <f ca="1">CB236/BV236-1</f>
        <v>9.537086537113959E-2</v>
      </c>
      <c r="CC237" s="103"/>
      <c r="CD237" s="227">
        <f ca="1">CD236/BX236-1</f>
        <v>0.10956239366002118</v>
      </c>
      <c r="CE237" s="227">
        <f ca="1">CE236/BY236-1</f>
        <v>9.4330156801333276E-2</v>
      </c>
      <c r="CF237" s="227">
        <f ca="1">CF236/BZ236-1</f>
        <v>0.10597877617273066</v>
      </c>
      <c r="CG237" s="227">
        <f ca="1">CG236/CA236-1</f>
        <v>0.12841160536298557</v>
      </c>
      <c r="CH237" s="227">
        <f ca="1">CH236/CB236-1</f>
        <v>0.10828809493749736</v>
      </c>
      <c r="CI237" s="103"/>
      <c r="CJ237" s="227">
        <f ca="1">CJ236/CD236-1</f>
        <v>0.11752651929118785</v>
      </c>
      <c r="CK237" s="227">
        <f ca="1">CK236/CE236-1</f>
        <v>0.100801468367264</v>
      </c>
      <c r="CL237" s="227">
        <f ca="1">CL236/CF236-1</f>
        <v>0.11137939181459289</v>
      </c>
      <c r="CM237" s="227">
        <f ca="1">CM236/CG236-1</f>
        <v>0.12664046784145766</v>
      </c>
      <c r="CN237" s="227">
        <f ca="1">CN236/CH236-1</f>
        <v>0.11310304955812889</v>
      </c>
      <c r="CO237" s="103"/>
      <c r="CP237" s="227">
        <f ca="1">CP236/CJ236-1</f>
        <v>8.4939342377050808E-2</v>
      </c>
      <c r="CQ237" s="227">
        <f ca="1">CQ236/CK236-1</f>
        <v>6.8463038127700049E-2</v>
      </c>
      <c r="CR237" s="227">
        <f ca="1">CR236/CL236-1</f>
        <v>7.2352801645937381E-2</v>
      </c>
      <c r="CS237" s="227">
        <f ca="1">CS236/CM236-1</f>
        <v>8.2420292305749987E-2</v>
      </c>
      <c r="CT237" s="227">
        <f ca="1">CT236/CN236-1</f>
        <v>7.6339598713151435E-2</v>
      </c>
    </row>
    <row r="238" spans="2:98" x14ac:dyDescent="0.2">
      <c r="B238" s="241"/>
      <c r="P238" s="103"/>
      <c r="Q238" s="103"/>
      <c r="R238" s="103"/>
      <c r="S238" s="103"/>
      <c r="T238" s="103"/>
      <c r="U238" s="103"/>
      <c r="V238" s="103"/>
      <c r="W238" s="103"/>
      <c r="X238" s="103"/>
      <c r="Y238" s="103"/>
      <c r="Z238" s="103"/>
      <c r="AA238" s="103"/>
      <c r="AB238" s="103"/>
      <c r="AC238" s="103"/>
      <c r="AD238" s="103"/>
      <c r="AE238" s="103"/>
      <c r="AF238" s="103"/>
      <c r="AG238" s="103"/>
      <c r="AH238" s="103"/>
      <c r="AI238" s="103"/>
      <c r="AJ238" s="103"/>
      <c r="AK238" s="103"/>
      <c r="AL238" s="103"/>
      <c r="AM238" s="103"/>
      <c r="AN238" s="103"/>
      <c r="AO238" s="103"/>
      <c r="AP238" s="103"/>
      <c r="AQ238" s="103"/>
      <c r="AR238" s="103"/>
      <c r="AS238" s="103"/>
      <c r="AT238" s="103"/>
      <c r="AU238" s="103"/>
      <c r="AV238" s="103"/>
      <c r="AW238" s="103"/>
      <c r="AX238" s="103"/>
      <c r="AY238" s="103"/>
      <c r="AZ238" s="103"/>
      <c r="BA238" s="103"/>
      <c r="BB238" s="103"/>
      <c r="BC238" s="103"/>
      <c r="BD238" s="103"/>
      <c r="BE238" s="103"/>
      <c r="BF238" s="103"/>
      <c r="BG238" s="103"/>
      <c r="BH238" s="103"/>
      <c r="BI238" s="103"/>
      <c r="BJ238" s="103"/>
      <c r="BK238" s="103"/>
      <c r="BL238" s="103"/>
      <c r="BM238" s="103"/>
      <c r="BN238" s="103"/>
      <c r="BO238" s="103"/>
      <c r="BP238" s="103"/>
      <c r="BQ238" s="103"/>
      <c r="BR238" s="103"/>
      <c r="BS238" s="103"/>
      <c r="BT238" s="103"/>
      <c r="BU238" s="103"/>
      <c r="BV238" s="103"/>
      <c r="BW238" s="103"/>
      <c r="BX238" s="103"/>
      <c r="BY238" s="103"/>
      <c r="BZ238" s="103"/>
      <c r="CA238" s="103"/>
      <c r="CB238" s="103"/>
      <c r="CC238" s="103"/>
      <c r="CD238" s="103"/>
      <c r="CE238" s="103"/>
      <c r="CF238" s="103"/>
      <c r="CG238" s="103"/>
      <c r="CH238" s="103"/>
      <c r="CI238" s="103"/>
      <c r="CJ238" s="103"/>
      <c r="CK238" s="103"/>
      <c r="CL238" s="103"/>
      <c r="CM238" s="103"/>
      <c r="CN238" s="103"/>
      <c r="CO238" s="103"/>
      <c r="CP238" s="103"/>
      <c r="CQ238" s="103"/>
      <c r="CR238" s="103"/>
      <c r="CS238" s="103"/>
      <c r="CT238" s="103"/>
    </row>
    <row r="239" spans="2:98" x14ac:dyDescent="0.2">
      <c r="B239" s="273" t="s">
        <v>91</v>
      </c>
      <c r="P239" s="129">
        <v>0</v>
      </c>
      <c r="Q239" s="129">
        <v>0</v>
      </c>
      <c r="R239" s="129">
        <v>0</v>
      </c>
      <c r="S239" s="129">
        <v>0</v>
      </c>
      <c r="T239" s="197">
        <f>P239+Q239+R239+S239</f>
        <v>0</v>
      </c>
      <c r="U239" s="103"/>
      <c r="V239" s="129">
        <v>0</v>
      </c>
      <c r="W239" s="129">
        <v>0</v>
      </c>
      <c r="X239" s="129">
        <v>0</v>
      </c>
      <c r="Y239" s="129">
        <v>0</v>
      </c>
      <c r="Z239" s="197">
        <f>V239+W239+X239+Y239</f>
        <v>0</v>
      </c>
      <c r="AA239" s="103"/>
      <c r="AB239" s="129">
        <v>0</v>
      </c>
      <c r="AC239" s="129">
        <v>0</v>
      </c>
      <c r="AD239" s="129">
        <v>0</v>
      </c>
      <c r="AE239" s="129">
        <v>0</v>
      </c>
      <c r="AF239" s="197">
        <f>AB239+AC239+AD239+AE239</f>
        <v>0</v>
      </c>
      <c r="AG239" s="103"/>
      <c r="AH239" s="129">
        <v>0</v>
      </c>
      <c r="AI239" s="129">
        <v>0</v>
      </c>
      <c r="AJ239" s="129">
        <v>0</v>
      </c>
      <c r="AK239" s="129">
        <v>0</v>
      </c>
      <c r="AL239" s="197">
        <f>AH239+AI239+AJ239+AK239</f>
        <v>0</v>
      </c>
      <c r="AM239" s="103"/>
      <c r="AN239" s="129">
        <v>0</v>
      </c>
      <c r="AO239" s="129">
        <v>0</v>
      </c>
      <c r="AP239" s="129">
        <v>0</v>
      </c>
      <c r="AQ239" s="129">
        <v>0</v>
      </c>
      <c r="AR239" s="197">
        <f>AN239+AO239+AP239+AQ239</f>
        <v>0</v>
      </c>
      <c r="AS239" s="103"/>
      <c r="AT239" s="129">
        <v>0</v>
      </c>
      <c r="AU239" s="380">
        <v>0</v>
      </c>
      <c r="AV239" s="380">
        <v>0</v>
      </c>
      <c r="AW239" s="380">
        <v>0</v>
      </c>
      <c r="AX239" s="197">
        <f>AT239+AU239+AV239+AW239</f>
        <v>0</v>
      </c>
      <c r="AY239" s="103"/>
      <c r="AZ239" s="380">
        <v>0</v>
      </c>
      <c r="BA239" s="380">
        <v>0</v>
      </c>
      <c r="BB239" s="380">
        <v>0</v>
      </c>
      <c r="BC239" s="380">
        <v>0</v>
      </c>
      <c r="BD239" s="197">
        <f>AZ239+BA239+BB239+BC239</f>
        <v>0</v>
      </c>
      <c r="BE239" s="103"/>
      <c r="BF239" s="380">
        <v>0</v>
      </c>
      <c r="BG239" s="380">
        <v>0</v>
      </c>
      <c r="BH239" s="380">
        <v>0</v>
      </c>
      <c r="BI239" s="380">
        <v>0</v>
      </c>
      <c r="BJ239" s="197">
        <f>BF239+BG239+BH239+BI239</f>
        <v>0</v>
      </c>
      <c r="BK239" s="103"/>
      <c r="BL239" s="380">
        <v>0</v>
      </c>
      <c r="BM239" s="380">
        <v>0</v>
      </c>
      <c r="BN239" s="380">
        <v>0</v>
      </c>
      <c r="BO239" s="380">
        <v>0</v>
      </c>
      <c r="BP239" s="197">
        <f>BL239+BM239+BN239+BO239</f>
        <v>0</v>
      </c>
      <c r="BQ239" s="103"/>
      <c r="BR239" s="380">
        <v>0</v>
      </c>
      <c r="BS239" s="380">
        <v>0</v>
      </c>
      <c r="BT239" s="380">
        <f ca="1">BT236*BT241</f>
        <v>344.84158094358349</v>
      </c>
      <c r="BU239" s="380">
        <f ca="1">BU236*BU241</f>
        <v>279.00652397840082</v>
      </c>
      <c r="BV239" s="197">
        <f ca="1">BR239+BS239+BT239+BU239</f>
        <v>623.84810492198426</v>
      </c>
      <c r="BW239" s="103"/>
      <c r="BX239" s="380">
        <f ca="1">BX236*BX241</f>
        <v>318.01380599011071</v>
      </c>
      <c r="BY239" s="380">
        <f ca="1">BY236*BY241</f>
        <v>417.01025378163223</v>
      </c>
      <c r="BZ239" s="380">
        <f ca="1">BZ236*BZ241</f>
        <v>377.40869331663356</v>
      </c>
      <c r="CA239" s="380">
        <f ca="1">CA236*CA241</f>
        <v>312.41645131711726</v>
      </c>
      <c r="CB239" s="197">
        <f ca="1">BX239+BY239+BZ239+CA239</f>
        <v>1424.8492044054938</v>
      </c>
      <c r="CC239" s="103"/>
      <c r="CD239" s="380">
        <f ca="1">CD236*CD241</f>
        <v>352.85615979132081</v>
      </c>
      <c r="CE239" s="380">
        <f ca="1">CE236*CE241</f>
        <v>456.34689640861734</v>
      </c>
      <c r="CF239" s="380">
        <f ca="1">CF236*CF241</f>
        <v>417.4060047512798</v>
      </c>
      <c r="CG239" s="380">
        <f ca="1">CG236*CG241</f>
        <v>352.53434937255531</v>
      </c>
      <c r="CH239" s="197">
        <f ca="1">CD239+CE239+CF239+CG239</f>
        <v>1579.1434103237734</v>
      </c>
      <c r="CI239" s="103"/>
      <c r="CJ239" s="380">
        <f ca="1">CJ236*CJ241</f>
        <v>394.32611606204995</v>
      </c>
      <c r="CK239" s="380">
        <f ca="1">CK236*CK241</f>
        <v>502.34733365144967</v>
      </c>
      <c r="CL239" s="380">
        <f ca="1">CL236*CL241</f>
        <v>463.89643170023646</v>
      </c>
      <c r="CM239" s="380">
        <f ca="1">CM236*CM241</f>
        <v>472.83269560390431</v>
      </c>
      <c r="CN239" s="197">
        <f ca="1">CJ239+CK239+CL239+CM239</f>
        <v>1833.4025770176404</v>
      </c>
      <c r="CO239" s="103"/>
      <c r="CP239" s="380">
        <f ca="1">CP236*CP241</f>
        <v>509.30942505054418</v>
      </c>
      <c r="CQ239" s="380">
        <f ca="1">CQ236*CQ241</f>
        <v>638.97566465306829</v>
      </c>
      <c r="CR239" s="380">
        <f ca="1">CR236*CR241</f>
        <v>592.21504548488315</v>
      </c>
      <c r="CS239" s="380">
        <f ca="1">CS236*CS241</f>
        <v>511.80370458729379</v>
      </c>
      <c r="CT239" s="197">
        <f ca="1">CP239+CQ239+CR239+CS239</f>
        <v>2252.3038397757891</v>
      </c>
    </row>
    <row r="240" spans="2:98" ht="15" x14ac:dyDescent="0.3">
      <c r="B240" s="6" t="s">
        <v>23</v>
      </c>
      <c r="P240" s="103" t="s">
        <v>35</v>
      </c>
      <c r="Q240" s="103" t="s">
        <v>35</v>
      </c>
      <c r="R240" s="103" t="s">
        <v>35</v>
      </c>
      <c r="S240" s="103" t="s">
        <v>35</v>
      </c>
      <c r="T240" s="103" t="s">
        <v>35</v>
      </c>
      <c r="U240" s="103"/>
      <c r="V240" s="103" t="s">
        <v>35</v>
      </c>
      <c r="W240" s="103" t="s">
        <v>35</v>
      </c>
      <c r="X240" s="103" t="s">
        <v>35</v>
      </c>
      <c r="Y240" s="103" t="s">
        <v>35</v>
      </c>
      <c r="Z240" s="103" t="s">
        <v>35</v>
      </c>
      <c r="AA240" s="103"/>
      <c r="AB240" s="103" t="s">
        <v>35</v>
      </c>
      <c r="AC240" s="103" t="s">
        <v>35</v>
      </c>
      <c r="AD240" s="103" t="s">
        <v>35</v>
      </c>
      <c r="AE240" s="103" t="s">
        <v>35</v>
      </c>
      <c r="AF240" s="103" t="s">
        <v>35</v>
      </c>
      <c r="AG240" s="103"/>
      <c r="AH240" s="103" t="s">
        <v>35</v>
      </c>
      <c r="AI240" s="103" t="s">
        <v>35</v>
      </c>
      <c r="AJ240" s="103" t="s">
        <v>35</v>
      </c>
      <c r="AK240" s="103" t="s">
        <v>35</v>
      </c>
      <c r="AL240" s="103" t="s">
        <v>35</v>
      </c>
      <c r="AM240" s="103"/>
      <c r="AN240" s="103" t="s">
        <v>35</v>
      </c>
      <c r="AO240" s="103" t="s">
        <v>35</v>
      </c>
      <c r="AP240" s="103" t="s">
        <v>35</v>
      </c>
      <c r="AQ240" s="103" t="s">
        <v>35</v>
      </c>
      <c r="AR240" s="103" t="s">
        <v>35</v>
      </c>
      <c r="AS240" s="103"/>
      <c r="AT240" s="103"/>
      <c r="AU240" s="103"/>
      <c r="AV240" s="103"/>
      <c r="AW240" s="103"/>
      <c r="AX240" s="103"/>
      <c r="AY240" s="103"/>
      <c r="AZ240" s="103"/>
      <c r="BA240" s="103"/>
      <c r="BB240" s="103"/>
      <c r="BC240" s="103"/>
      <c r="BD240" s="103"/>
      <c r="BE240" s="103"/>
      <c r="BF240" s="103"/>
      <c r="BG240" s="103"/>
      <c r="BH240" s="103"/>
      <c r="BI240" s="103"/>
      <c r="BJ240" s="103"/>
      <c r="BK240" s="103"/>
      <c r="BL240" s="103"/>
      <c r="BM240" s="103"/>
      <c r="BN240" s="103"/>
      <c r="BO240" s="103"/>
      <c r="BP240" s="103"/>
      <c r="BQ240" s="103"/>
      <c r="BR240" s="103"/>
      <c r="BS240" s="103"/>
      <c r="BT240" s="103"/>
      <c r="BU240" s="103"/>
      <c r="BV240" s="103"/>
      <c r="BW240" s="103"/>
      <c r="BX240" s="103"/>
      <c r="BY240" s="103"/>
      <c r="BZ240" s="103"/>
      <c r="CA240" s="103"/>
      <c r="CB240" s="103"/>
      <c r="CC240" s="103"/>
      <c r="CD240" s="103"/>
      <c r="CE240" s="103"/>
      <c r="CF240" s="103"/>
      <c r="CG240" s="103"/>
      <c r="CH240" s="103"/>
      <c r="CI240" s="103"/>
      <c r="CJ240" s="103"/>
      <c r="CK240" s="103"/>
      <c r="CL240" s="103"/>
      <c r="CM240" s="103"/>
      <c r="CN240" s="103"/>
      <c r="CO240" s="103"/>
      <c r="CP240" s="103"/>
      <c r="CQ240" s="103"/>
      <c r="CR240" s="103"/>
      <c r="CS240" s="103"/>
      <c r="CT240" s="103"/>
    </row>
    <row r="241" spans="1:98" x14ac:dyDescent="0.2">
      <c r="B241" s="463" t="s">
        <v>115</v>
      </c>
      <c r="C241" s="417"/>
      <c r="D241" s="417"/>
      <c r="E241" s="417"/>
      <c r="F241" s="417"/>
      <c r="G241" s="417"/>
      <c r="H241" s="417"/>
      <c r="I241" s="417"/>
      <c r="J241" s="417"/>
      <c r="K241" s="417"/>
      <c r="L241" s="417"/>
      <c r="M241" s="417"/>
      <c r="N241" s="417"/>
      <c r="O241" s="417"/>
      <c r="P241" s="464">
        <v>0.35</v>
      </c>
      <c r="Q241" s="464">
        <v>0.35</v>
      </c>
      <c r="R241" s="464">
        <v>0.35</v>
      </c>
      <c r="S241" s="464">
        <v>0.35</v>
      </c>
      <c r="T241" s="465" t="s">
        <v>35</v>
      </c>
      <c r="U241" s="465"/>
      <c r="V241" s="464">
        <v>0.35</v>
      </c>
      <c r="W241" s="464">
        <v>0.35</v>
      </c>
      <c r="X241" s="464">
        <v>0.35</v>
      </c>
      <c r="Y241" s="464">
        <v>0.35</v>
      </c>
      <c r="Z241" s="465" t="s">
        <v>35</v>
      </c>
      <c r="AA241" s="465"/>
      <c r="AB241" s="464">
        <v>0.35</v>
      </c>
      <c r="AC241" s="464">
        <v>0.35</v>
      </c>
      <c r="AD241" s="464">
        <v>0.35</v>
      </c>
      <c r="AE241" s="464">
        <v>0.35</v>
      </c>
      <c r="AF241" s="465" t="s">
        <v>35</v>
      </c>
      <c r="AG241" s="465"/>
      <c r="AH241" s="464">
        <v>0.35</v>
      </c>
      <c r="AI241" s="464">
        <v>0.35</v>
      </c>
      <c r="AJ241" s="464">
        <v>0.35</v>
      </c>
      <c r="AK241" s="464">
        <v>0.35</v>
      </c>
      <c r="AL241" s="465" t="s">
        <v>35</v>
      </c>
      <c r="AM241" s="465"/>
      <c r="AN241" s="464">
        <v>0.35</v>
      </c>
      <c r="AO241" s="464">
        <v>0.35</v>
      </c>
      <c r="AP241" s="464">
        <v>0.35</v>
      </c>
      <c r="AQ241" s="464">
        <v>0.35</v>
      </c>
      <c r="AR241" s="465" t="s">
        <v>35</v>
      </c>
      <c r="AS241" s="465"/>
      <c r="AT241" s="464">
        <v>0.35</v>
      </c>
      <c r="AU241" s="464">
        <v>0.35</v>
      </c>
      <c r="AV241" s="464">
        <v>0.35</v>
      </c>
      <c r="AW241" s="464">
        <v>0.35</v>
      </c>
      <c r="AX241" s="465" t="s">
        <v>35</v>
      </c>
      <c r="AY241" s="465"/>
      <c r="AZ241" s="464">
        <v>0.21</v>
      </c>
      <c r="BA241" s="464">
        <v>0.21</v>
      </c>
      <c r="BB241" s="464">
        <v>0.21</v>
      </c>
      <c r="BC241" s="464">
        <v>0.21</v>
      </c>
      <c r="BD241" s="465" t="s">
        <v>35</v>
      </c>
      <c r="BE241" s="465"/>
      <c r="BF241" s="464">
        <v>0.21</v>
      </c>
      <c r="BG241" s="464">
        <v>0.21</v>
      </c>
      <c r="BH241" s="464">
        <v>0.21</v>
      </c>
      <c r="BI241" s="464">
        <v>0.21</v>
      </c>
      <c r="BJ241" s="465" t="s">
        <v>35</v>
      </c>
      <c r="BK241" s="465"/>
      <c r="BL241" s="464">
        <v>0.21</v>
      </c>
      <c r="BM241" s="464">
        <v>0.21</v>
      </c>
      <c r="BN241" s="464">
        <v>0.21</v>
      </c>
      <c r="BO241" s="464">
        <v>0.21</v>
      </c>
      <c r="BP241" s="465" t="s">
        <v>35</v>
      </c>
      <c r="BQ241" s="465"/>
      <c r="BR241" s="464">
        <v>0.21</v>
      </c>
      <c r="BS241" s="464">
        <v>0.21</v>
      </c>
      <c r="BT241" s="464">
        <v>0.21</v>
      </c>
      <c r="BU241" s="464">
        <v>0.21</v>
      </c>
      <c r="BV241" s="465" t="s">
        <v>35</v>
      </c>
      <c r="BW241" s="465"/>
      <c r="BX241" s="464">
        <v>0.21</v>
      </c>
      <c r="BY241" s="464">
        <v>0.21</v>
      </c>
      <c r="BZ241" s="464">
        <v>0.21</v>
      </c>
      <c r="CA241" s="464">
        <v>0.21</v>
      </c>
      <c r="CB241" s="465" t="s">
        <v>35</v>
      </c>
      <c r="CC241" s="465"/>
      <c r="CD241" s="464">
        <v>0.21</v>
      </c>
      <c r="CE241" s="464">
        <v>0.21</v>
      </c>
      <c r="CF241" s="464">
        <v>0.21</v>
      </c>
      <c r="CG241" s="464">
        <v>0.21</v>
      </c>
      <c r="CH241" s="465" t="s">
        <v>35</v>
      </c>
      <c r="CI241" s="465"/>
      <c r="CJ241" s="464">
        <v>0.21</v>
      </c>
      <c r="CK241" s="464">
        <v>0.21</v>
      </c>
      <c r="CL241" s="464">
        <v>0.21</v>
      </c>
      <c r="CM241" s="464">
        <v>0.25</v>
      </c>
      <c r="CN241" s="465" t="s">
        <v>35</v>
      </c>
      <c r="CO241" s="465"/>
      <c r="CP241" s="464">
        <v>0.25</v>
      </c>
      <c r="CQ241" s="464">
        <v>0.25</v>
      </c>
      <c r="CR241" s="464">
        <v>0.25</v>
      </c>
      <c r="CS241" s="464">
        <v>0.25</v>
      </c>
      <c r="CT241" s="465" t="s">
        <v>35</v>
      </c>
    </row>
    <row r="242" spans="1:98" x14ac:dyDescent="0.2">
      <c r="B242" s="241"/>
      <c r="P242" s="103"/>
      <c r="Q242" s="103"/>
      <c r="R242" s="103"/>
      <c r="S242" s="103"/>
      <c r="T242" s="103"/>
      <c r="U242" s="103"/>
      <c r="V242" s="103"/>
      <c r="W242" s="103"/>
      <c r="X242" s="103"/>
      <c r="Y242" s="103"/>
      <c r="Z242" s="103"/>
      <c r="AA242" s="103"/>
      <c r="AB242" s="103"/>
      <c r="AC242" s="103"/>
      <c r="AD242" s="103"/>
      <c r="AE242" s="103"/>
      <c r="AF242" s="103"/>
      <c r="AG242" s="103"/>
      <c r="AH242" s="103"/>
      <c r="AI242" s="103"/>
      <c r="AJ242" s="103"/>
      <c r="AK242" s="103"/>
      <c r="AL242" s="103"/>
      <c r="AM242" s="103"/>
      <c r="AN242" s="103"/>
      <c r="AO242" s="103"/>
      <c r="AP242" s="103"/>
      <c r="AQ242" s="103"/>
      <c r="AR242" s="103"/>
      <c r="AS242" s="103"/>
      <c r="AT242" s="103"/>
      <c r="AU242" s="103"/>
      <c r="AV242" s="103"/>
      <c r="AW242" s="103"/>
      <c r="AX242" s="103"/>
      <c r="AY242" s="103"/>
      <c r="AZ242" s="103"/>
      <c r="BA242" s="103"/>
      <c r="BB242" s="103"/>
      <c r="BC242" s="103"/>
      <c r="BD242" s="103"/>
      <c r="BE242" s="103"/>
      <c r="BF242" s="103"/>
      <c r="BG242" s="103"/>
      <c r="BH242" s="103"/>
      <c r="BI242" s="103"/>
      <c r="BJ242" s="103"/>
      <c r="BK242" s="103"/>
      <c r="BL242" s="103"/>
      <c r="BM242" s="103"/>
      <c r="BN242" s="103"/>
      <c r="BO242" s="103"/>
      <c r="BP242" s="103"/>
      <c r="BQ242" s="103"/>
      <c r="BR242" s="103"/>
      <c r="BS242" s="103"/>
      <c r="BT242" s="103"/>
      <c r="BU242" s="103"/>
      <c r="BV242" s="103"/>
      <c r="BW242" s="103"/>
      <c r="BX242" s="103"/>
      <c r="BY242" s="103"/>
      <c r="BZ242" s="103"/>
      <c r="CA242" s="103"/>
      <c r="CB242" s="103"/>
      <c r="CC242" s="103"/>
      <c r="CD242" s="103"/>
      <c r="CE242" s="103"/>
      <c r="CF242" s="103"/>
      <c r="CG242" s="103"/>
      <c r="CH242" s="103"/>
      <c r="CI242" s="103"/>
      <c r="CJ242" s="103"/>
      <c r="CK242" s="103"/>
      <c r="CL242" s="103"/>
      <c r="CM242" s="103"/>
      <c r="CN242" s="103"/>
      <c r="CO242" s="103"/>
      <c r="CP242" s="103"/>
      <c r="CQ242" s="103"/>
      <c r="CR242" s="103"/>
      <c r="CS242" s="103"/>
      <c r="CT242" s="103"/>
    </row>
    <row r="243" spans="1:98" x14ac:dyDescent="0.2">
      <c r="B243" s="273" t="s">
        <v>169</v>
      </c>
      <c r="P243" s="197">
        <f>P236-P239</f>
        <v>628</v>
      </c>
      <c r="Q243" s="197">
        <f>Q236-Q239</f>
        <v>833</v>
      </c>
      <c r="R243" s="197">
        <f>R236-R239</f>
        <v>695</v>
      </c>
      <c r="S243" s="197">
        <f>S236-S239</f>
        <v>378</v>
      </c>
      <c r="T243" s="197">
        <f>P243+Q243+R243+S243</f>
        <v>2534</v>
      </c>
      <c r="U243" s="103"/>
      <c r="V243" s="197">
        <f>V236-V239</f>
        <v>539</v>
      </c>
      <c r="W243" s="197">
        <f>W236-W239</f>
        <v>83.410630960751405</v>
      </c>
      <c r="X243" s="197">
        <f>X236-X239</f>
        <v>63.068847433171413</v>
      </c>
      <c r="Y243" s="197">
        <f>Y236-Y239</f>
        <v>-41.733316946845889</v>
      </c>
      <c r="Z243" s="197">
        <f>V243+W243+X243+Y243</f>
        <v>643.74616144707693</v>
      </c>
      <c r="AA243" s="103"/>
      <c r="AB243" s="197">
        <f>AB236-AB239</f>
        <v>-243</v>
      </c>
      <c r="AC243" s="197">
        <f>AC236-AC239</f>
        <v>51</v>
      </c>
      <c r="AD243" s="197">
        <f>AD236-AD239</f>
        <v>-38</v>
      </c>
      <c r="AE243" s="197">
        <f ca="1">AE236-AE239</f>
        <v>417.01986879727497</v>
      </c>
      <c r="AF243" s="197">
        <f ca="1">AB243+AC243+AD243+AE243</f>
        <v>187.01986879727497</v>
      </c>
      <c r="AG243" s="103"/>
      <c r="AH243" s="197">
        <f ca="1">AH236-AH239</f>
        <v>39.2489077443268</v>
      </c>
      <c r="AI243" s="197">
        <f>AI236-AI239</f>
        <v>507</v>
      </c>
      <c r="AJ243" s="197">
        <f>AJ236-AJ239</f>
        <v>477</v>
      </c>
      <c r="AK243" s="197">
        <f>AK236-AK239</f>
        <v>554</v>
      </c>
      <c r="AL243" s="197">
        <f ca="1">AH243+AI243+AJ243+AK243</f>
        <v>1577.2489077443267</v>
      </c>
      <c r="AM243" s="103"/>
      <c r="AN243" s="197">
        <f>AN236-AN239</f>
        <v>847</v>
      </c>
      <c r="AO243" s="197">
        <f>AO236-AO239</f>
        <v>496</v>
      </c>
      <c r="AP243" s="197">
        <f>AP236-AP239</f>
        <v>671</v>
      </c>
      <c r="AQ243" s="197">
        <f>AQ236-AQ239</f>
        <v>664</v>
      </c>
      <c r="AR243" s="197">
        <f>AN243+AO243+AP243+AQ243</f>
        <v>2678</v>
      </c>
      <c r="AS243" s="103"/>
      <c r="AT243" s="197">
        <f>AT236-AT239</f>
        <v>607</v>
      </c>
      <c r="AU243" s="197">
        <f>AU236-AU239</f>
        <v>934</v>
      </c>
      <c r="AV243" s="197">
        <f>AV236-AV239</f>
        <v>906</v>
      </c>
      <c r="AW243" s="197">
        <f>AW236-AW239</f>
        <v>714</v>
      </c>
      <c r="AX243" s="197">
        <f>AT243+AU243+AV243+AW243</f>
        <v>3161</v>
      </c>
      <c r="AY243" s="103"/>
      <c r="AZ243" s="197">
        <f ca="1">AZ236-AZ239</f>
        <v>1003.492445874748</v>
      </c>
      <c r="BA243" s="197">
        <f ca="1">BA236-BA239</f>
        <v>1382.2543878326214</v>
      </c>
      <c r="BB243" s="197">
        <f ca="1">BB236-BB239</f>
        <v>1196.7050269550332</v>
      </c>
      <c r="BC243" s="197">
        <f ca="1">BC236-BC239</f>
        <v>903.74749112533436</v>
      </c>
      <c r="BD243" s="197">
        <f ca="1">AZ243+BA243+BB243+BC243</f>
        <v>4486.1993517877372</v>
      </c>
      <c r="BE243" s="103"/>
      <c r="BF243" s="197">
        <f ca="1">BF236-BF239</f>
        <v>1146.9951319085089</v>
      </c>
      <c r="BG243" s="197">
        <f ca="1">BG236-BG239</f>
        <v>1547.6529781164243</v>
      </c>
      <c r="BH243" s="197">
        <f ca="1">BH236-BH239</f>
        <v>1369.6866440363417</v>
      </c>
      <c r="BI243" s="197">
        <f ca="1">BI236-BI239</f>
        <v>1058.9040209097723</v>
      </c>
      <c r="BJ243" s="197">
        <f ca="1">BF243+BG243+BH243+BI243</f>
        <v>5123.238774971047</v>
      </c>
      <c r="BK243" s="103"/>
      <c r="BL243" s="197">
        <f ca="1">BL236-BL239</f>
        <v>1273.3461302986088</v>
      </c>
      <c r="BM243" s="197">
        <f ca="1">BM236-BM239</f>
        <v>1696.4171031332835</v>
      </c>
      <c r="BN243" s="197">
        <f ca="1">BN236-BN239</f>
        <v>1509.6568466709168</v>
      </c>
      <c r="BO243" s="197">
        <f ca="1">BO236-BO239</f>
        <v>1189.7502624276331</v>
      </c>
      <c r="BP243" s="197">
        <f ca="1">BL243+BM243+BN243+BO243</f>
        <v>5669.1703425304422</v>
      </c>
      <c r="BQ243" s="103"/>
      <c r="BR243" s="197">
        <f ca="1">BR236-BR239</f>
        <v>1389.2184293347461</v>
      </c>
      <c r="BS243" s="197">
        <f ca="1">BS236-BS239</f>
        <v>1834.3219531913733</v>
      </c>
      <c r="BT243" s="197">
        <f ca="1">BT236-BT239</f>
        <v>1297.2611854544332</v>
      </c>
      <c r="BU243" s="197">
        <f ca="1">BU236-BU239</f>
        <v>1049.5959711568412</v>
      </c>
      <c r="BV243" s="197">
        <f ca="1">BR243+BS243+BT243+BU243</f>
        <v>5570.3975391373933</v>
      </c>
      <c r="BW243" s="103"/>
      <c r="BX243" s="197">
        <f ca="1">BX236-BX239</f>
        <v>1196.3376511056545</v>
      </c>
      <c r="BY243" s="197">
        <f ca="1">BY236-BY239</f>
        <v>1568.7528594642356</v>
      </c>
      <c r="BZ243" s="197">
        <f ca="1">BZ236-BZ239</f>
        <v>1419.7755605720977</v>
      </c>
      <c r="CA243" s="197">
        <f ca="1">CA236-CA239</f>
        <v>1175.2809359072508</v>
      </c>
      <c r="CB243" s="197">
        <f ca="1">BX243+BY243+BZ243+CA243</f>
        <v>5360.1470070492387</v>
      </c>
      <c r="CC243" s="103"/>
      <c r="CD243" s="197">
        <f ca="1">CD236-CD239</f>
        <v>1327.4112677863973</v>
      </c>
      <c r="CE243" s="197">
        <f ca="1">CE236-CE239</f>
        <v>1716.7335626800368</v>
      </c>
      <c r="CF243" s="197">
        <f ca="1">CF236-CF239</f>
        <v>1570.2416369214811</v>
      </c>
      <c r="CG243" s="197">
        <f ca="1">CG236-CG239</f>
        <v>1326.2006476396127</v>
      </c>
      <c r="CH243" s="197">
        <f ca="1">CD243+CE243+CF243+CG243</f>
        <v>5940.5871150275279</v>
      </c>
      <c r="CI243" s="103"/>
      <c r="CJ243" s="197">
        <f ca="1">CJ236-CJ239</f>
        <v>1483.4172937572355</v>
      </c>
      <c r="CK243" s="197">
        <f ca="1">CK236-CK239</f>
        <v>1889.7828265935489</v>
      </c>
      <c r="CL243" s="197">
        <f ca="1">CL236-CL239</f>
        <v>1745.1341954437466</v>
      </c>
      <c r="CM243" s="197">
        <f ca="1">CM236-CM239</f>
        <v>1418.4980868117129</v>
      </c>
      <c r="CN243" s="197">
        <f ca="1">CJ243+CK243+CL243+CM243</f>
        <v>6536.8324026062437</v>
      </c>
      <c r="CO243" s="103"/>
      <c r="CP243" s="197">
        <f ca="1">CP236-CP239</f>
        <v>1527.9282751516325</v>
      </c>
      <c r="CQ243" s="197">
        <f ca="1">CQ236-CQ239</f>
        <v>1916.926993959205</v>
      </c>
      <c r="CR243" s="197">
        <f ca="1">CR236-CR239</f>
        <v>1776.6451364546494</v>
      </c>
      <c r="CS243" s="197">
        <f ca="1">CS236-CS239</f>
        <v>1535.4111137618813</v>
      </c>
      <c r="CT243" s="197">
        <f ca="1">CP243+CQ243+CR243+CS243</f>
        <v>6756.9115193273683</v>
      </c>
    </row>
    <row r="244" spans="1:98" ht="15" x14ac:dyDescent="0.3">
      <c r="B244" s="6" t="s">
        <v>23</v>
      </c>
      <c r="P244" s="103" t="s">
        <v>35</v>
      </c>
      <c r="Q244" s="103" t="s">
        <v>35</v>
      </c>
      <c r="R244" s="103" t="s">
        <v>35</v>
      </c>
      <c r="S244" s="103" t="s">
        <v>35</v>
      </c>
      <c r="T244" s="103" t="s">
        <v>35</v>
      </c>
      <c r="U244" s="103"/>
      <c r="V244" s="227">
        <f>V243/P243-1</f>
        <v>-0.14171974522292996</v>
      </c>
      <c r="W244" s="227">
        <f>W243/Q243-1</f>
        <v>-0.89986718972298751</v>
      </c>
      <c r="X244" s="227">
        <f>X243/R243-1</f>
        <v>-0.9092534569306886</v>
      </c>
      <c r="Y244" s="227">
        <f>Y243/S243-1</f>
        <v>-1.1104056003884812</v>
      </c>
      <c r="Z244" s="227">
        <f>Z243/T243-1</f>
        <v>-0.74595652665861212</v>
      </c>
      <c r="AA244" s="103"/>
      <c r="AB244" s="227">
        <f>AB243/V243-1</f>
        <v>-1.450834879406308</v>
      </c>
      <c r="AC244" s="227">
        <f>AC243/W243-1</f>
        <v>-0.38856714770569378</v>
      </c>
      <c r="AD244" s="227">
        <f>AD243/X243-1</f>
        <v>-1.6025161636299967</v>
      </c>
      <c r="AE244" s="227">
        <f ca="1">AE243/Y243-1</f>
        <v>-10.99249279247123</v>
      </c>
      <c r="AF244" s="227">
        <f ca="1">AF243/Z243-1</f>
        <v>-0.7094819666545692</v>
      </c>
      <c r="AG244" s="103"/>
      <c r="AH244" s="227">
        <f ca="1">AH243/AB243-1</f>
        <v>-1.1615181388655424</v>
      </c>
      <c r="AI244" s="227">
        <f>AI243/AC243-1</f>
        <v>8.9411764705882355</v>
      </c>
      <c r="AJ244" s="227">
        <f>AJ243/AD243-1</f>
        <v>-13.552631578947368</v>
      </c>
      <c r="AK244" s="227">
        <f ca="1">AK243/AE243-1</f>
        <v>0.32847387247468274</v>
      </c>
      <c r="AL244" s="227">
        <f ca="1">AL243/AF243-1</f>
        <v>7.4335900665935473</v>
      </c>
      <c r="AM244" s="103"/>
      <c r="AN244" s="227">
        <f ca="1">AN243/AH243-1</f>
        <v>20.580218372380791</v>
      </c>
      <c r="AO244" s="227">
        <f>AO243/AI243-1</f>
        <v>-2.1696252465483234E-2</v>
      </c>
      <c r="AP244" s="227">
        <f>AP243/AJ243-1</f>
        <v>0.40670859538784065</v>
      </c>
      <c r="AQ244" s="227">
        <f>AQ243/AK243-1</f>
        <v>0.1985559566787003</v>
      </c>
      <c r="AR244" s="227">
        <f ca="1">AR243/AL243-1</f>
        <v>0.69789307626143304</v>
      </c>
      <c r="AS244" s="103"/>
      <c r="AT244" s="227">
        <f>AT243/AN243-1</f>
        <v>-0.28335301062573792</v>
      </c>
      <c r="AU244" s="227">
        <f>AU243/AO243-1</f>
        <v>0.88306451612903225</v>
      </c>
      <c r="AV244" s="227">
        <f>AV243/AP243-1</f>
        <v>0.35022354694485847</v>
      </c>
      <c r="AW244" s="227">
        <f>AW243/AQ243-1</f>
        <v>7.5301204819277157E-2</v>
      </c>
      <c r="AX244" s="227">
        <f>AX243/AR243-1</f>
        <v>0.18035847647498127</v>
      </c>
      <c r="AY244" s="103"/>
      <c r="AZ244" s="227">
        <f ca="1">AZ243/AT243-1</f>
        <v>0.65320007557619109</v>
      </c>
      <c r="BA244" s="227">
        <f ca="1">BA243/AU243-1</f>
        <v>0.47992975142678951</v>
      </c>
      <c r="BB244" s="227">
        <f ca="1">BB243/AV243-1</f>
        <v>0.32086647566780702</v>
      </c>
      <c r="BC244" s="227">
        <f ca="1">BC243/AW243-1</f>
        <v>0.26575278869094454</v>
      </c>
      <c r="BD244" s="227">
        <f ca="1">BD243/AX243-1</f>
        <v>0.4192342144219352</v>
      </c>
      <c r="BE244" s="103"/>
      <c r="BF244" s="227">
        <f ca="1">BF243/AZ243-1</f>
        <v>0.14300325490608867</v>
      </c>
      <c r="BG244" s="227">
        <f ca="1">BG243/BA243-1</f>
        <v>0.11965857496256405</v>
      </c>
      <c r="BH244" s="227">
        <f ca="1">BH243/BB243-1</f>
        <v>0.1445482497232029</v>
      </c>
      <c r="BI244" s="227">
        <f ca="1">BI243/BC243-1</f>
        <v>0.17168128410651406</v>
      </c>
      <c r="BJ244" s="227">
        <f ca="1">BJ243/BD243-1</f>
        <v>0.14199980277948443</v>
      </c>
      <c r="BK244" s="103"/>
      <c r="BL244" s="227">
        <f ca="1">BL243/BF243-1</f>
        <v>0.11015826909383808</v>
      </c>
      <c r="BM244" s="227">
        <f ca="1">BM243/BG243-1</f>
        <v>9.6122404130875028E-2</v>
      </c>
      <c r="BN244" s="227">
        <f ca="1">BN243/BH243-1</f>
        <v>0.10219140505166613</v>
      </c>
      <c r="BO244" s="227">
        <f ca="1">BO243/BI243-1</f>
        <v>0.12356761229921709</v>
      </c>
      <c r="BP244" s="227">
        <f ca="1">BP243/BJ243-1</f>
        <v>0.10655985237824095</v>
      </c>
      <c r="BQ244" s="103"/>
      <c r="BR244" s="227">
        <f ca="1">BR243/BL243-1</f>
        <v>9.0998273194551116E-2</v>
      </c>
      <c r="BS244" s="227">
        <f ca="1">BS243/BM243-1</f>
        <v>8.129182958800607E-2</v>
      </c>
      <c r="BT244" s="227">
        <f ca="1">BT243/BN243-1</f>
        <v>-0.14069135094167717</v>
      </c>
      <c r="BU244" s="227">
        <f ca="1">BU243/BO243-1</f>
        <v>-0.11780143757633066</v>
      </c>
      <c r="BV244" s="227">
        <f ca="1">BV243/BP243-1</f>
        <v>-1.7422796886530256E-2</v>
      </c>
      <c r="BW244" s="103"/>
      <c r="BX244" s="227">
        <f ca="1">BX243/BR243-1</f>
        <v>-0.1388412175912872</v>
      </c>
      <c r="BY244" s="227">
        <f ca="1">BY243/BS243-1</f>
        <v>-0.14477779828404591</v>
      </c>
      <c r="BZ244" s="227">
        <f ca="1">BZ243/BT243-1</f>
        <v>9.4440793027155578E-2</v>
      </c>
      <c r="CA244" s="227">
        <f ca="1">CA243/BU243-1</f>
        <v>0.11974604343410578</v>
      </c>
      <c r="CB244" s="227">
        <f ca="1">CB243/BV243-1</f>
        <v>-3.7744259832613869E-2</v>
      </c>
      <c r="CC244" s="103"/>
      <c r="CD244" s="227">
        <f ca="1">CD243/BX243-1</f>
        <v>0.10956239366002118</v>
      </c>
      <c r="CE244" s="227">
        <f ca="1">CE243/BY243-1</f>
        <v>9.4330156801333276E-2</v>
      </c>
      <c r="CF244" s="227">
        <f ca="1">CF243/BZ243-1</f>
        <v>0.10597877617273066</v>
      </c>
      <c r="CG244" s="227">
        <f ca="1">CG243/CA243-1</f>
        <v>0.12841160536298535</v>
      </c>
      <c r="CH244" s="227">
        <f ca="1">CH243/CB243-1</f>
        <v>0.10828809493749714</v>
      </c>
      <c r="CI244" s="103"/>
      <c r="CJ244" s="227">
        <f ca="1">CJ243/CD243-1</f>
        <v>0.11752651929118785</v>
      </c>
      <c r="CK244" s="227">
        <f ca="1">CK243/CE243-1</f>
        <v>0.100801468367264</v>
      </c>
      <c r="CL244" s="227">
        <f ca="1">CL243/CF243-1</f>
        <v>0.11137939181459289</v>
      </c>
      <c r="CM244" s="227">
        <f ca="1">CM243/CG243-1</f>
        <v>6.9595380862143452E-2</v>
      </c>
      <c r="CN244" s="227">
        <f ca="1">CN243/CH243-1</f>
        <v>0.10036807406972148</v>
      </c>
      <c r="CO244" s="103"/>
      <c r="CP244" s="227">
        <f ca="1">CP243/CJ243-1</f>
        <v>3.0005704788339527E-2</v>
      </c>
      <c r="CQ244" s="227">
        <f ca="1">CQ243/CK243-1</f>
        <v>1.4363643792120406E-2</v>
      </c>
      <c r="CR244" s="227">
        <f ca="1">CR243/CL243-1</f>
        <v>1.8056457258801339E-2</v>
      </c>
      <c r="CS244" s="227">
        <f ca="1">CS243/CM243-1</f>
        <v>8.2420292305749987E-2</v>
      </c>
      <c r="CT244" s="227">
        <f ca="1">CT243/CN243-1</f>
        <v>3.3667547699919531E-2</v>
      </c>
    </row>
    <row r="245" spans="1:98" x14ac:dyDescent="0.2">
      <c r="B245" s="241"/>
      <c r="P245" s="103"/>
      <c r="Q245" s="103"/>
      <c r="R245" s="103"/>
      <c r="S245" s="103"/>
      <c r="T245" s="103"/>
      <c r="U245" s="103"/>
      <c r="V245" s="103"/>
      <c r="W245" s="103"/>
      <c r="X245" s="103"/>
      <c r="Y245" s="103"/>
      <c r="Z245" s="103"/>
      <c r="AA245" s="103"/>
      <c r="AB245" s="103"/>
      <c r="AC245" s="103"/>
      <c r="AD245" s="103"/>
      <c r="AE245" s="103"/>
      <c r="AF245" s="103"/>
      <c r="AG245" s="103"/>
      <c r="AH245" s="103"/>
      <c r="AI245" s="103"/>
      <c r="AJ245" s="103"/>
      <c r="AK245" s="103"/>
      <c r="AL245" s="103"/>
      <c r="AM245" s="103"/>
      <c r="AN245" s="103"/>
      <c r="AO245" s="103"/>
      <c r="AP245" s="103"/>
      <c r="AQ245" s="103"/>
      <c r="AR245" s="103"/>
      <c r="AS245" s="103"/>
      <c r="AT245" s="103"/>
      <c r="AU245" s="103"/>
      <c r="AV245" s="103"/>
      <c r="AW245" s="103"/>
      <c r="AX245" s="103"/>
      <c r="AY245" s="103"/>
      <c r="AZ245" s="103"/>
      <c r="BA245" s="103"/>
      <c r="BB245" s="103"/>
      <c r="BC245" s="103"/>
      <c r="BD245" s="103"/>
      <c r="BE245" s="103"/>
      <c r="BF245" s="103"/>
      <c r="BG245" s="103"/>
      <c r="BH245" s="103"/>
      <c r="BI245" s="103"/>
      <c r="BJ245" s="103"/>
      <c r="BK245" s="103"/>
      <c r="BL245" s="103"/>
      <c r="BM245" s="103"/>
      <c r="BN245" s="103"/>
      <c r="BO245" s="103"/>
      <c r="BP245" s="103"/>
      <c r="BQ245" s="103"/>
      <c r="BR245" s="103"/>
      <c r="BS245" s="103"/>
      <c r="BT245" s="103"/>
      <c r="BU245" s="103"/>
      <c r="BV245" s="103"/>
      <c r="BW245" s="103"/>
      <c r="BX245" s="103"/>
      <c r="BY245" s="103"/>
      <c r="BZ245" s="103"/>
      <c r="CA245" s="103"/>
      <c r="CB245" s="103"/>
      <c r="CC245" s="103"/>
      <c r="CD245" s="103"/>
      <c r="CE245" s="103"/>
      <c r="CF245" s="103"/>
      <c r="CG245" s="103"/>
      <c r="CH245" s="103"/>
      <c r="CI245" s="103"/>
      <c r="CJ245" s="103"/>
      <c r="CK245" s="103"/>
      <c r="CL245" s="103"/>
      <c r="CM245" s="103"/>
      <c r="CN245" s="103"/>
      <c r="CO245" s="103"/>
      <c r="CP245" s="103"/>
      <c r="CQ245" s="103"/>
      <c r="CR245" s="103"/>
      <c r="CS245" s="103"/>
      <c r="CT245" s="103"/>
    </row>
    <row r="246" spans="1:98" x14ac:dyDescent="0.2">
      <c r="B246" s="241" t="str">
        <f>B267</f>
        <v>Re-structuring costs</v>
      </c>
      <c r="P246" s="103" t="s">
        <v>35</v>
      </c>
      <c r="Q246" s="103" t="s">
        <v>35</v>
      </c>
      <c r="R246" s="103" t="s">
        <v>35</v>
      </c>
      <c r="S246" s="103" t="s">
        <v>35</v>
      </c>
      <c r="T246" s="103" t="s">
        <v>35</v>
      </c>
      <c r="U246" s="103"/>
      <c r="V246" s="103" t="s">
        <v>35</v>
      </c>
      <c r="W246" s="103">
        <v>20</v>
      </c>
      <c r="X246" s="103">
        <v>50</v>
      </c>
      <c r="Y246" s="103">
        <v>50</v>
      </c>
      <c r="Z246" s="103">
        <f>W246+X246+Y246</f>
        <v>120</v>
      </c>
      <c r="AA246" s="103"/>
      <c r="AB246" s="103">
        <v>55</v>
      </c>
      <c r="AC246" s="103">
        <v>30</v>
      </c>
      <c r="AD246" s="103">
        <v>15</v>
      </c>
      <c r="AE246" s="103">
        <v>15</v>
      </c>
      <c r="AF246" s="103">
        <f>AB246+AC246+AD246+AE246</f>
        <v>115</v>
      </c>
      <c r="AG246" s="103"/>
      <c r="AH246" s="103">
        <v>15</v>
      </c>
      <c r="AI246" s="103">
        <v>250</v>
      </c>
      <c r="AJ246" s="103">
        <v>250</v>
      </c>
      <c r="AK246" s="103">
        <v>100</v>
      </c>
      <c r="AL246" s="103">
        <f>AH246+AI246+AJ246+AK246</f>
        <v>615</v>
      </c>
      <c r="AM246" s="103"/>
      <c r="AN246" s="103">
        <v>100</v>
      </c>
      <c r="AO246" s="103">
        <v>250</v>
      </c>
      <c r="AP246" s="103">
        <v>250</v>
      </c>
      <c r="AQ246" s="103">
        <v>250</v>
      </c>
      <c r="AR246" s="103">
        <f>AN246+AO246+AP246+AQ246</f>
        <v>850</v>
      </c>
      <c r="AS246" s="103"/>
      <c r="AT246" s="103">
        <v>100</v>
      </c>
      <c r="AU246" s="103">
        <v>0</v>
      </c>
      <c r="AV246" s="103">
        <v>0</v>
      </c>
      <c r="AW246" s="103">
        <v>0</v>
      </c>
      <c r="AX246" s="103">
        <f>AT246+AU246+AV246+AW246</f>
        <v>100</v>
      </c>
      <c r="AY246" s="103"/>
      <c r="AZ246" s="103">
        <v>0</v>
      </c>
      <c r="BA246" s="103">
        <v>0</v>
      </c>
      <c r="BB246" s="103">
        <v>0</v>
      </c>
      <c r="BC246" s="103">
        <v>0</v>
      </c>
      <c r="BD246" s="103">
        <f>AZ246+BA246+BB246+BC246</f>
        <v>0</v>
      </c>
      <c r="BE246" s="103"/>
      <c r="BF246" s="103">
        <v>0</v>
      </c>
      <c r="BG246" s="103">
        <v>0</v>
      </c>
      <c r="BH246" s="103">
        <v>0</v>
      </c>
      <c r="BI246" s="103">
        <v>0</v>
      </c>
      <c r="BJ246" s="103">
        <f>BF246+BG246+BH246+BI246</f>
        <v>0</v>
      </c>
      <c r="BK246" s="103"/>
      <c r="BL246" s="103">
        <v>0</v>
      </c>
      <c r="BM246" s="103">
        <v>0</v>
      </c>
      <c r="BN246" s="103">
        <v>0</v>
      </c>
      <c r="BO246" s="103">
        <v>0</v>
      </c>
      <c r="BP246" s="103">
        <f>BL246+BM246+BN246+BO246</f>
        <v>0</v>
      </c>
      <c r="BQ246" s="103"/>
      <c r="BR246" s="103">
        <v>0</v>
      </c>
      <c r="BS246" s="103">
        <v>0</v>
      </c>
      <c r="BT246" s="103">
        <v>0</v>
      </c>
      <c r="BU246" s="103">
        <v>0</v>
      </c>
      <c r="BV246" s="103">
        <f>BR246+BS246+BT246+BU246</f>
        <v>0</v>
      </c>
      <c r="BW246" s="103"/>
      <c r="BX246" s="103">
        <v>0</v>
      </c>
      <c r="BY246" s="103">
        <v>0</v>
      </c>
      <c r="BZ246" s="103">
        <v>0</v>
      </c>
      <c r="CA246" s="103">
        <v>0</v>
      </c>
      <c r="CB246" s="103">
        <f>BX246+BY246+BZ246+CA246</f>
        <v>0</v>
      </c>
      <c r="CC246" s="103"/>
      <c r="CD246" s="103">
        <v>0</v>
      </c>
      <c r="CE246" s="103">
        <v>0</v>
      </c>
      <c r="CF246" s="103">
        <v>0</v>
      </c>
      <c r="CG246" s="103">
        <v>0</v>
      </c>
      <c r="CH246" s="103">
        <f>CD246+CE246+CF246+CG246</f>
        <v>0</v>
      </c>
      <c r="CI246" s="103"/>
      <c r="CJ246" s="103">
        <v>0</v>
      </c>
      <c r="CK246" s="103">
        <v>0</v>
      </c>
      <c r="CL246" s="103">
        <v>0</v>
      </c>
      <c r="CM246" s="103">
        <v>0</v>
      </c>
      <c r="CN246" s="103">
        <f>CJ246+CK246+CL246+CM246</f>
        <v>0</v>
      </c>
      <c r="CO246" s="103"/>
      <c r="CP246" s="103">
        <v>0</v>
      </c>
      <c r="CQ246" s="103">
        <v>0</v>
      </c>
      <c r="CR246" s="103">
        <v>0</v>
      </c>
      <c r="CS246" s="103">
        <v>0</v>
      </c>
      <c r="CT246" s="103">
        <f>CP246+CQ246+CR246+CS246</f>
        <v>0</v>
      </c>
    </row>
    <row r="247" spans="1:98" x14ac:dyDescent="0.2">
      <c r="B247" s="241"/>
      <c r="P247" s="103"/>
      <c r="Q247" s="103"/>
      <c r="R247" s="103"/>
      <c r="S247" s="103"/>
      <c r="T247" s="103"/>
      <c r="U247" s="103"/>
      <c r="V247" s="103"/>
      <c r="W247" s="103"/>
      <c r="X247" s="103"/>
      <c r="Y247" s="103"/>
      <c r="Z247" s="103"/>
      <c r="AA247" s="103"/>
      <c r="AB247" s="103"/>
      <c r="AC247" s="103"/>
      <c r="AD247" s="103"/>
      <c r="AE247" s="103"/>
      <c r="AF247" s="103"/>
      <c r="AG247" s="103"/>
      <c r="AH247" s="103"/>
      <c r="AI247" s="103"/>
      <c r="AJ247" s="103"/>
      <c r="AK247" s="103"/>
      <c r="AL247" s="103"/>
      <c r="AM247" s="103"/>
      <c r="AN247" s="103"/>
      <c r="AO247" s="103"/>
      <c r="AP247" s="103"/>
      <c r="AQ247" s="103"/>
      <c r="AR247" s="103"/>
      <c r="AS247" s="103"/>
      <c r="AT247" s="103"/>
      <c r="AU247" s="103"/>
      <c r="AV247" s="103"/>
      <c r="AW247" s="103"/>
      <c r="AX247" s="103"/>
      <c r="AY247" s="103"/>
      <c r="AZ247" s="103"/>
      <c r="BA247" s="103"/>
      <c r="BB247" s="103"/>
      <c r="BC247" s="103"/>
      <c r="BD247" s="103"/>
      <c r="BE247" s="103"/>
      <c r="BF247" s="103"/>
      <c r="BG247" s="103"/>
      <c r="BH247" s="103"/>
      <c r="BI247" s="103"/>
      <c r="BJ247" s="103"/>
      <c r="BK247" s="103"/>
      <c r="BL247" s="103"/>
      <c r="BM247" s="103"/>
      <c r="BN247" s="103"/>
      <c r="BO247" s="103"/>
      <c r="BP247" s="103"/>
      <c r="BQ247" s="103"/>
      <c r="BR247" s="103"/>
      <c r="BS247" s="103"/>
      <c r="BT247" s="103"/>
      <c r="BU247" s="103"/>
      <c r="BV247" s="103"/>
      <c r="BW247" s="103"/>
      <c r="BX247" s="103"/>
      <c r="BY247" s="103"/>
      <c r="BZ247" s="103"/>
      <c r="CA247" s="103"/>
      <c r="CB247" s="103"/>
      <c r="CC247" s="103"/>
      <c r="CD247" s="103"/>
      <c r="CE247" s="103"/>
      <c r="CF247" s="103"/>
      <c r="CG247" s="103"/>
      <c r="CH247" s="103"/>
      <c r="CI247" s="103"/>
      <c r="CJ247" s="103"/>
      <c r="CK247" s="103"/>
      <c r="CL247" s="103"/>
      <c r="CM247" s="103"/>
      <c r="CN247" s="103"/>
      <c r="CO247" s="103"/>
      <c r="CP247" s="103"/>
      <c r="CQ247" s="103"/>
      <c r="CR247" s="103"/>
      <c r="CS247" s="103"/>
      <c r="CT247" s="103"/>
    </row>
    <row r="248" spans="1:98" x14ac:dyDescent="0.2">
      <c r="B248" s="241" t="s">
        <v>390</v>
      </c>
      <c r="P248" s="103" t="s">
        <v>35</v>
      </c>
      <c r="Q248" s="103" t="s">
        <v>35</v>
      </c>
      <c r="R248" s="103" t="s">
        <v>35</v>
      </c>
      <c r="S248" s="103" t="s">
        <v>35</v>
      </c>
      <c r="T248" s="103" t="s">
        <v>35</v>
      </c>
      <c r="U248" s="103"/>
      <c r="V248" s="197">
        <f>V243</f>
        <v>539</v>
      </c>
      <c r="W248" s="197">
        <f>W243-W246</f>
        <v>63.410630960751405</v>
      </c>
      <c r="X248" s="197">
        <f>X243-X246</f>
        <v>13.068847433171413</v>
      </c>
      <c r="Y248" s="197">
        <f>Y243-Y246</f>
        <v>-91.733316946845889</v>
      </c>
      <c r="Z248" s="197">
        <f>V248+W248+X248+Y248</f>
        <v>523.74616144707693</v>
      </c>
      <c r="AA248" s="129"/>
      <c r="AB248" s="197">
        <f>AB243-AB246</f>
        <v>-298</v>
      </c>
      <c r="AC248" s="197">
        <f>AC243-AC246</f>
        <v>21</v>
      </c>
      <c r="AD248" s="197">
        <f>AD243-AD246</f>
        <v>-53</v>
      </c>
      <c r="AE248" s="197">
        <f ca="1">AE243-AE246</f>
        <v>402.01986879727497</v>
      </c>
      <c r="AF248" s="197">
        <f ca="1">AB248+AC248+AD248+AE248</f>
        <v>72.019868797274967</v>
      </c>
      <c r="AG248" s="129"/>
      <c r="AH248" s="197">
        <f ca="1">AH243-AH246</f>
        <v>24.2489077443268</v>
      </c>
      <c r="AI248" s="197">
        <f>AI243-AI246</f>
        <v>257</v>
      </c>
      <c r="AJ248" s="197">
        <f>AJ243-AJ246</f>
        <v>227</v>
      </c>
      <c r="AK248" s="197">
        <f>AK243-AK246</f>
        <v>454</v>
      </c>
      <c r="AL248" s="197">
        <f ca="1">AH248+AI248+AJ248+AK248</f>
        <v>962.24890774432674</v>
      </c>
      <c r="AM248" s="129"/>
      <c r="AN248" s="197">
        <f>AN243-AN246</f>
        <v>747</v>
      </c>
      <c r="AO248" s="197">
        <f>AO243-AO246</f>
        <v>246</v>
      </c>
      <c r="AP248" s="197">
        <f>AP243-AP246</f>
        <v>421</v>
      </c>
      <c r="AQ248" s="197">
        <f>AQ243-AQ246</f>
        <v>414</v>
      </c>
      <c r="AR248" s="197">
        <f>AN248+AO248+AP248+AQ248</f>
        <v>1828</v>
      </c>
      <c r="AS248" s="129"/>
      <c r="AT248" s="197">
        <f>AT243-AT246</f>
        <v>507</v>
      </c>
      <c r="AU248" s="197">
        <f>AU243-AU246</f>
        <v>934</v>
      </c>
      <c r="AV248" s="197">
        <f>AV243-AV246</f>
        <v>906</v>
      </c>
      <c r="AW248" s="197">
        <f>AW243-AW246</f>
        <v>714</v>
      </c>
      <c r="AX248" s="197">
        <f>AT248+AU248+AV248+AW248</f>
        <v>3061</v>
      </c>
      <c r="AY248" s="129"/>
      <c r="AZ248" s="197">
        <f ca="1">AZ243-AZ246</f>
        <v>1003.492445874748</v>
      </c>
      <c r="BA248" s="197">
        <f ca="1">BA243-BA246</f>
        <v>1382.2543878326214</v>
      </c>
      <c r="BB248" s="197">
        <f ca="1">BB243-BB246</f>
        <v>1196.7050269550332</v>
      </c>
      <c r="BC248" s="197">
        <f ca="1">BC243-BC246</f>
        <v>903.74749112533436</v>
      </c>
      <c r="BD248" s="197">
        <f ca="1">AZ248+BA248+BB248+BC248</f>
        <v>4486.1993517877372</v>
      </c>
      <c r="BE248" s="129"/>
      <c r="BF248" s="197">
        <f ca="1">BF243-BF246</f>
        <v>1146.9951319085089</v>
      </c>
      <c r="BG248" s="197">
        <f ca="1">BG243-BG246</f>
        <v>1547.6529781164243</v>
      </c>
      <c r="BH248" s="197">
        <f ca="1">BH243-BH246</f>
        <v>1369.6866440363417</v>
      </c>
      <c r="BI248" s="197">
        <f ca="1">BI243-BI246</f>
        <v>1058.9040209097723</v>
      </c>
      <c r="BJ248" s="197">
        <f ca="1">BF248+BG248+BH248+BI248</f>
        <v>5123.238774971047</v>
      </c>
      <c r="BK248" s="129"/>
      <c r="BL248" s="197">
        <f ca="1">BL243-BL246</f>
        <v>1273.3461302986088</v>
      </c>
      <c r="BM248" s="197">
        <f ca="1">BM243-BM246</f>
        <v>1696.4171031332835</v>
      </c>
      <c r="BN248" s="197">
        <f ca="1">BN243-BN246</f>
        <v>1509.6568466709168</v>
      </c>
      <c r="BO248" s="197">
        <f ca="1">BO243-BO246</f>
        <v>1189.7502624276331</v>
      </c>
      <c r="BP248" s="197">
        <f ca="1">BL248+BM248+BN248+BO248</f>
        <v>5669.1703425304422</v>
      </c>
      <c r="BQ248" s="129"/>
      <c r="BR248" s="197">
        <f ca="1">BR243-BR246</f>
        <v>1389.2184293347461</v>
      </c>
      <c r="BS248" s="197">
        <f ca="1">BS243-BS246</f>
        <v>1834.3219531913733</v>
      </c>
      <c r="BT248" s="197">
        <f ca="1">BT243-BT246</f>
        <v>1297.2611854544332</v>
      </c>
      <c r="BU248" s="197">
        <f ca="1">BU243-BU246</f>
        <v>1049.5959711568412</v>
      </c>
      <c r="BV248" s="197">
        <f ca="1">BR248+BS248+BT248+BU248</f>
        <v>5570.3975391373933</v>
      </c>
      <c r="BW248" s="129"/>
      <c r="BX248" s="197">
        <f ca="1">BX243-BX246</f>
        <v>1196.3376511056545</v>
      </c>
      <c r="BY248" s="197">
        <f ca="1">BY243-BY246</f>
        <v>1568.7528594642356</v>
      </c>
      <c r="BZ248" s="197">
        <f ca="1">BZ243-BZ246</f>
        <v>1419.7755605720977</v>
      </c>
      <c r="CA248" s="197">
        <f ca="1">CA243-CA246</f>
        <v>1175.2809359072508</v>
      </c>
      <c r="CB248" s="197">
        <f ca="1">BX248+BY248+BZ248+CA248</f>
        <v>5360.1470070492387</v>
      </c>
      <c r="CC248" s="129"/>
      <c r="CD248" s="197">
        <f ca="1">CD243-CD246</f>
        <v>1327.4112677863973</v>
      </c>
      <c r="CE248" s="197">
        <f ca="1">CE243-CE246</f>
        <v>1716.7335626800368</v>
      </c>
      <c r="CF248" s="197">
        <f ca="1">CF243-CF246</f>
        <v>1570.2416369214811</v>
      </c>
      <c r="CG248" s="197">
        <f ca="1">CG243-CG246</f>
        <v>1326.2006476396127</v>
      </c>
      <c r="CH248" s="197">
        <f ca="1">CD248+CE248+CF248+CG248</f>
        <v>5940.5871150275279</v>
      </c>
      <c r="CI248" s="129"/>
      <c r="CJ248" s="197">
        <f ca="1">CJ243-CJ246</f>
        <v>1483.4172937572355</v>
      </c>
      <c r="CK248" s="197">
        <f ca="1">CK243-CK246</f>
        <v>1889.7828265935489</v>
      </c>
      <c r="CL248" s="197">
        <f ca="1">CL243-CL246</f>
        <v>1745.1341954437466</v>
      </c>
      <c r="CM248" s="197">
        <f ca="1">CM243-CM246</f>
        <v>1418.4980868117129</v>
      </c>
      <c r="CN248" s="197">
        <f ca="1">CJ248+CK248+CL248+CM248</f>
        <v>6536.8324026062437</v>
      </c>
      <c r="CO248" s="129"/>
      <c r="CP248" s="197">
        <f ca="1">CP243-CP246</f>
        <v>1527.9282751516325</v>
      </c>
      <c r="CQ248" s="197">
        <f ca="1">CQ243-CQ246</f>
        <v>1916.926993959205</v>
      </c>
      <c r="CR248" s="197">
        <f ca="1">CR243-CR246</f>
        <v>1776.6451364546494</v>
      </c>
      <c r="CS248" s="197">
        <f ca="1">CS243-CS246</f>
        <v>1535.4111137618813</v>
      </c>
      <c r="CT248" s="197">
        <f ca="1">CP248+CQ248+CR248+CS248</f>
        <v>6756.9115193273683</v>
      </c>
    </row>
    <row r="249" spans="1:98" x14ac:dyDescent="0.2">
      <c r="B249" s="241"/>
      <c r="P249" s="103"/>
      <c r="Q249" s="103"/>
      <c r="R249" s="103"/>
      <c r="S249" s="103"/>
      <c r="T249" s="103"/>
      <c r="U249" s="103"/>
      <c r="V249" s="103"/>
      <c r="W249" s="103"/>
      <c r="X249" s="103"/>
      <c r="Y249" s="103"/>
      <c r="Z249" s="103"/>
      <c r="AA249" s="103"/>
      <c r="AB249" s="103"/>
      <c r="AC249" s="103"/>
      <c r="AD249" s="103"/>
      <c r="AE249" s="103"/>
      <c r="AF249" s="103"/>
      <c r="AG249" s="103"/>
      <c r="AH249" s="103"/>
      <c r="AI249" s="103"/>
      <c r="AJ249" s="103"/>
      <c r="AK249" s="103"/>
      <c r="AL249" s="103"/>
      <c r="AM249" s="103"/>
      <c r="AN249" s="103"/>
      <c r="AO249" s="103"/>
      <c r="AP249" s="103"/>
      <c r="AQ249" s="103"/>
      <c r="AR249" s="103"/>
      <c r="AS249" s="103"/>
      <c r="AT249" s="103"/>
      <c r="AU249" s="103"/>
      <c r="AV249" s="103"/>
      <c r="AW249" s="103"/>
      <c r="AX249" s="103"/>
      <c r="AY249" s="103"/>
      <c r="AZ249" s="103"/>
      <c r="BA249" s="103"/>
      <c r="BB249" s="103"/>
      <c r="BC249" s="103"/>
      <c r="BD249" s="103"/>
      <c r="BE249" s="103"/>
      <c r="BF249" s="103"/>
      <c r="BG249" s="103"/>
      <c r="BH249" s="103"/>
      <c r="BI249" s="103"/>
      <c r="BJ249" s="103"/>
      <c r="BK249" s="103"/>
      <c r="BL249" s="103"/>
      <c r="BM249" s="103"/>
      <c r="BN249" s="103"/>
      <c r="BO249" s="103"/>
      <c r="BP249" s="103"/>
      <c r="BQ249" s="103"/>
      <c r="BR249" s="103"/>
      <c r="BS249" s="103"/>
      <c r="BT249" s="103"/>
      <c r="BU249" s="103"/>
      <c r="BV249" s="103"/>
      <c r="BW249" s="103"/>
      <c r="BX249" s="103"/>
      <c r="BY249" s="103"/>
      <c r="BZ249" s="103"/>
      <c r="CA249" s="103"/>
      <c r="CB249" s="103"/>
      <c r="CC249" s="103"/>
      <c r="CD249" s="103"/>
      <c r="CE249" s="103"/>
      <c r="CF249" s="103"/>
      <c r="CG249" s="103"/>
      <c r="CH249" s="103"/>
      <c r="CI249" s="103"/>
      <c r="CJ249" s="103"/>
      <c r="CK249" s="103"/>
      <c r="CL249" s="103"/>
      <c r="CM249" s="103"/>
      <c r="CN249" s="103"/>
      <c r="CO249" s="103"/>
      <c r="CP249" s="103"/>
      <c r="CQ249" s="103"/>
      <c r="CR249" s="103"/>
      <c r="CS249" s="103"/>
      <c r="CT249" s="103"/>
    </row>
    <row r="250" spans="1:98" x14ac:dyDescent="0.2">
      <c r="B250" s="273" t="s">
        <v>384</v>
      </c>
      <c r="P250" s="103" t="s">
        <v>35</v>
      </c>
      <c r="Q250" s="103" t="s">
        <v>35</v>
      </c>
      <c r="R250" s="103" t="s">
        <v>35</v>
      </c>
      <c r="S250" s="103" t="s">
        <v>35</v>
      </c>
      <c r="T250" s="103" t="s">
        <v>35</v>
      </c>
      <c r="U250" s="103"/>
      <c r="V250" s="197">
        <v>5700</v>
      </c>
      <c r="W250" s="197">
        <f>V250-W248</f>
        <v>5636.5893690392486</v>
      </c>
      <c r="X250" s="197">
        <f>W250-X248</f>
        <v>5623.5205216060767</v>
      </c>
      <c r="Y250" s="197">
        <f>X250-Y248</f>
        <v>5715.2538385529224</v>
      </c>
      <c r="Z250" s="197">
        <f>Y250</f>
        <v>5715.2538385529224</v>
      </c>
      <c r="AA250" s="114"/>
      <c r="AB250" s="197">
        <f>Z250-AB248</f>
        <v>6013.2538385529224</v>
      </c>
      <c r="AC250" s="197">
        <f>AB250-AC248</f>
        <v>5992.2538385529224</v>
      </c>
      <c r="AD250" s="197">
        <f>AC250-AD248</f>
        <v>6045.2538385529224</v>
      </c>
      <c r="AE250" s="197">
        <f ca="1">AD250-AE248</f>
        <v>5643.2339697556472</v>
      </c>
      <c r="AF250" s="197">
        <f ca="1">AE250</f>
        <v>5643.2339697556472</v>
      </c>
      <c r="AG250" s="114"/>
      <c r="AH250" s="197">
        <f ca="1">AF250-AH248</f>
        <v>5618.9850620113202</v>
      </c>
      <c r="AI250" s="197">
        <f ca="1">AH250-AI248</f>
        <v>5361.9850620113202</v>
      </c>
      <c r="AJ250" s="197">
        <f ca="1">AI250-AJ248</f>
        <v>5134.9850620113202</v>
      </c>
      <c r="AK250" s="197">
        <f ca="1">AJ250-AK248</f>
        <v>4680.9850620113202</v>
      </c>
      <c r="AL250" s="197">
        <f ca="1">AK250</f>
        <v>4680.9850620113202</v>
      </c>
      <c r="AM250" s="114"/>
      <c r="AN250" s="197">
        <f ca="1">AL250-AN248+7500</f>
        <v>11433.985062011321</v>
      </c>
      <c r="AO250" s="197">
        <f ca="1">AN250-AO248</f>
        <v>11187.985062011321</v>
      </c>
      <c r="AP250" s="197">
        <f ca="1">AO250-AP248</f>
        <v>10766.985062011321</v>
      </c>
      <c r="AQ250" s="197">
        <f ca="1">AP250-AQ248</f>
        <v>10352.985062011321</v>
      </c>
      <c r="AR250" s="197">
        <f ca="1">AQ250</f>
        <v>10352.985062011321</v>
      </c>
      <c r="AS250" s="114"/>
      <c r="AT250" s="197">
        <f ca="1">AR250-AT248+5000</f>
        <v>14845.985062011321</v>
      </c>
      <c r="AU250" s="197">
        <f ca="1">AT250-AU248</f>
        <v>13911.985062011321</v>
      </c>
      <c r="AV250" s="197">
        <f ca="1">AU250-AV248</f>
        <v>13005.985062011321</v>
      </c>
      <c r="AW250" s="197">
        <f ca="1">AV250-AW248</f>
        <v>12291.985062011321</v>
      </c>
      <c r="AX250" s="197">
        <f ca="1">AW250</f>
        <v>12291.985062011321</v>
      </c>
      <c r="AY250" s="114"/>
      <c r="AZ250" s="197">
        <f ca="1">AX250-AZ248+20000</f>
        <v>31288.492616136573</v>
      </c>
      <c r="BA250" s="197">
        <f ca="1">AZ250-BA248</f>
        <v>29906.238228303951</v>
      </c>
      <c r="BB250" s="197">
        <f ca="1">BA250-BB248</f>
        <v>28709.533201348917</v>
      </c>
      <c r="BC250" s="197">
        <f ca="1">BB250-BC248</f>
        <v>27805.785710223583</v>
      </c>
      <c r="BD250" s="197">
        <f ca="1">BC250</f>
        <v>27805.785710223583</v>
      </c>
      <c r="BE250" s="114"/>
      <c r="BF250" s="197">
        <f ca="1">BD250-BF248</f>
        <v>26658.790578315075</v>
      </c>
      <c r="BG250" s="197">
        <f ca="1">BF250-BG248</f>
        <v>25111.13760019865</v>
      </c>
      <c r="BH250" s="197">
        <f ca="1">BG250-BH248</f>
        <v>23741.450956162309</v>
      </c>
      <c r="BI250" s="197">
        <f ca="1">BH250-BI248</f>
        <v>22682.546935252536</v>
      </c>
      <c r="BJ250" s="197">
        <f ca="1">BI250</f>
        <v>22682.546935252536</v>
      </c>
      <c r="BK250" s="114"/>
      <c r="BL250" s="197">
        <f ca="1">BJ250-BL248</f>
        <v>21409.200804953929</v>
      </c>
      <c r="BM250" s="197">
        <f ca="1">BL250-BM248</f>
        <v>19712.783701820645</v>
      </c>
      <c r="BN250" s="197">
        <f ca="1">BM250-BN248</f>
        <v>18203.126855149727</v>
      </c>
      <c r="BO250" s="197">
        <f ca="1">BN250-BO248</f>
        <v>17013.376592722096</v>
      </c>
      <c r="BP250" s="197">
        <f ca="1">BO250</f>
        <v>17013.376592722096</v>
      </c>
      <c r="BQ250" s="114"/>
      <c r="BR250" s="197">
        <f ca="1">BP250-BR248</f>
        <v>15624.15816338735</v>
      </c>
      <c r="BS250" s="197">
        <f ca="1">BR250-BS248</f>
        <v>13789.836210195977</v>
      </c>
      <c r="BT250" s="197">
        <f ca="1">BS250-BT248</f>
        <v>12492.575024741544</v>
      </c>
      <c r="BU250" s="197">
        <f ca="1">BT250-BU248</f>
        <v>11442.979053584702</v>
      </c>
      <c r="BV250" s="197">
        <f ca="1">BU250</f>
        <v>11442.979053584702</v>
      </c>
      <c r="BW250" s="114"/>
      <c r="BX250" s="197">
        <f ca="1">BV250-BX248</f>
        <v>10246.641402479048</v>
      </c>
      <c r="BY250" s="197">
        <f ca="1">BX250-BY248</f>
        <v>8677.888543014813</v>
      </c>
      <c r="BZ250" s="197">
        <f ca="1">BY250-BZ248</f>
        <v>7258.1129824427153</v>
      </c>
      <c r="CA250" s="197">
        <f ca="1">BZ250-CA248</f>
        <v>6082.8320465354645</v>
      </c>
      <c r="CB250" s="197">
        <f ca="1">CA250</f>
        <v>6082.8320465354645</v>
      </c>
      <c r="CC250" s="114"/>
      <c r="CD250" s="197">
        <f ca="1">CB250-CD248</f>
        <v>4755.4207787490668</v>
      </c>
      <c r="CE250" s="197">
        <f ca="1">CD250-CE248</f>
        <v>3038.68721606903</v>
      </c>
      <c r="CF250" s="197">
        <f ca="1">CE250-CF248</f>
        <v>1468.4455791475489</v>
      </c>
      <c r="CG250" s="197">
        <f ca="1">CF250-CG248</f>
        <v>142.24493150793614</v>
      </c>
      <c r="CH250" s="197">
        <f ca="1">CG250</f>
        <v>142.24493150793614</v>
      </c>
      <c r="CI250" s="114"/>
      <c r="CJ250" s="197">
        <f ca="1">CH250-CJ248</f>
        <v>-1341.1723622492993</v>
      </c>
      <c r="CK250" s="197">
        <f ca="1">CJ250-CK248</f>
        <v>-3230.9551888428482</v>
      </c>
      <c r="CL250" s="197">
        <f ca="1">CK250-CL248</f>
        <v>-4976.0893842865953</v>
      </c>
      <c r="CM250" s="197">
        <f ca="1">CL250-CM248</f>
        <v>-6394.587471098308</v>
      </c>
      <c r="CN250" s="197">
        <f ca="1">CM250</f>
        <v>-6394.587471098308</v>
      </c>
      <c r="CO250" s="114"/>
      <c r="CP250" s="197">
        <f ca="1">CN250-CP248</f>
        <v>-7922.515746249941</v>
      </c>
      <c r="CQ250" s="197">
        <f ca="1">CP250-CQ248</f>
        <v>-9839.442740209146</v>
      </c>
      <c r="CR250" s="197">
        <f ca="1">CQ250-CR248</f>
        <v>-11616.087876663796</v>
      </c>
      <c r="CS250" s="197">
        <f ca="1">CR250-CS248</f>
        <v>-13151.498990425678</v>
      </c>
      <c r="CT250" s="197">
        <f ca="1">CS250</f>
        <v>-13151.498990425678</v>
      </c>
    </row>
    <row r="251" spans="1:98" x14ac:dyDescent="0.2">
      <c r="P251" s="103"/>
      <c r="Q251" s="103"/>
      <c r="R251" s="103"/>
      <c r="S251" s="103"/>
      <c r="T251" s="103"/>
      <c r="U251" s="103"/>
      <c r="V251" s="103"/>
      <c r="W251" s="103"/>
      <c r="X251" s="103"/>
      <c r="Y251" s="103"/>
      <c r="Z251" s="103"/>
      <c r="AA251" s="103"/>
      <c r="AB251" s="103"/>
      <c r="AC251" s="103"/>
      <c r="AD251" s="103"/>
      <c r="AE251" s="103"/>
      <c r="AF251" s="103"/>
      <c r="AG251" s="103"/>
      <c r="AH251" s="103"/>
      <c r="AI251" s="103"/>
      <c r="AJ251" s="103"/>
      <c r="AK251" s="103"/>
      <c r="AL251" s="103"/>
      <c r="AM251" s="103"/>
      <c r="AN251" s="103"/>
      <c r="AO251" s="103"/>
      <c r="AP251" s="103"/>
      <c r="AQ251" s="103"/>
      <c r="AR251" s="103"/>
      <c r="AS251" s="103"/>
      <c r="AT251" s="103"/>
      <c r="AU251" s="103"/>
      <c r="AV251" s="103"/>
      <c r="AW251" s="103"/>
      <c r="AX251" s="103"/>
      <c r="AY251" s="103"/>
      <c r="AZ251" s="103"/>
      <c r="BA251" s="103"/>
      <c r="BB251" s="103"/>
      <c r="BC251" s="103"/>
      <c r="BD251" s="103"/>
      <c r="BE251" s="103"/>
      <c r="BF251" s="103"/>
      <c r="BG251" s="103"/>
      <c r="BH251" s="103"/>
      <c r="BI251" s="103"/>
      <c r="BJ251" s="103"/>
      <c r="BK251" s="103"/>
      <c r="BL251" s="103"/>
      <c r="BM251" s="103"/>
      <c r="BN251" s="103"/>
      <c r="BO251" s="103"/>
      <c r="BP251" s="103"/>
      <c r="BQ251" s="103"/>
      <c r="BR251" s="103"/>
      <c r="BS251" s="103"/>
      <c r="BT251" s="103"/>
      <c r="BU251" s="103"/>
      <c r="BV251" s="103"/>
      <c r="BW251" s="103"/>
      <c r="BX251" s="103"/>
      <c r="BY251" s="103"/>
      <c r="BZ251" s="103"/>
      <c r="CA251" s="103"/>
      <c r="CB251" s="103"/>
      <c r="CC251" s="103"/>
      <c r="CD251" s="103"/>
      <c r="CE251" s="103"/>
      <c r="CF251" s="103"/>
      <c r="CG251" s="103"/>
      <c r="CH251" s="103"/>
      <c r="CI251" s="103"/>
      <c r="CJ251" s="103"/>
      <c r="CK251" s="103"/>
      <c r="CL251" s="103"/>
      <c r="CM251" s="103"/>
      <c r="CN251" s="103"/>
      <c r="CO251" s="103"/>
      <c r="CP251" s="103"/>
      <c r="CQ251" s="103"/>
      <c r="CR251" s="103"/>
      <c r="CS251" s="103"/>
      <c r="CT251" s="103"/>
    </row>
    <row r="252" spans="1:98" x14ac:dyDescent="0.2">
      <c r="P252" s="103"/>
      <c r="Q252" s="103"/>
      <c r="R252" s="103"/>
      <c r="S252" s="103"/>
      <c r="T252" s="103"/>
      <c r="U252" s="103"/>
      <c r="V252" s="103"/>
      <c r="W252" s="103"/>
      <c r="X252" s="103"/>
      <c r="Y252" s="103"/>
      <c r="Z252" s="246">
        <f>26%*((0.33*W248)+X248+Y248)/1.3</f>
        <v>-11.547792259325304</v>
      </c>
      <c r="AA252" s="103"/>
      <c r="AB252" s="103"/>
      <c r="AC252" s="103"/>
      <c r="AD252" s="103"/>
      <c r="AE252" s="103"/>
      <c r="AF252" s="246">
        <f ca="1">26%*(AF248)/1.3</f>
        <v>14.403973759454994</v>
      </c>
      <c r="AG252" s="103"/>
      <c r="AH252" s="103"/>
      <c r="AI252" s="103"/>
      <c r="AJ252" s="103"/>
      <c r="AK252" s="103"/>
      <c r="AL252" s="246">
        <f ca="1">35%*(AL248)/AL304</f>
        <v>303.49805946952148</v>
      </c>
      <c r="AM252" s="103"/>
      <c r="AN252" s="103"/>
      <c r="AO252" s="103"/>
      <c r="AP252" s="103"/>
      <c r="AQ252" s="103"/>
      <c r="AR252" s="246">
        <f>35%*(AR248)/AR304</f>
        <v>578.19870949084532</v>
      </c>
      <c r="AS252" s="103"/>
      <c r="AT252" s="103"/>
      <c r="AU252" s="103"/>
      <c r="AV252" s="103"/>
      <c r="AW252" s="103"/>
      <c r="AX252" s="246">
        <f>35%*(AX248)/AX304</f>
        <v>952.59477266563829</v>
      </c>
      <c r="AY252" s="103"/>
      <c r="AZ252" s="103"/>
      <c r="BA252" s="103"/>
      <c r="BB252" s="103"/>
      <c r="BC252" s="103"/>
      <c r="BD252" s="246">
        <f ca="1">35%*(BD248)/BD304</f>
        <v>1292.3208009265088</v>
      </c>
      <c r="BE252" s="103"/>
      <c r="BF252" s="103"/>
      <c r="BG252" s="103"/>
      <c r="BH252" s="103"/>
      <c r="BI252" s="103"/>
      <c r="BJ252" s="246">
        <f ca="1">35%*(BJ248)/BJ304</f>
        <v>1469.7816157703824</v>
      </c>
      <c r="BK252" s="103"/>
      <c r="BL252" s="103"/>
      <c r="BM252" s="103"/>
      <c r="BN252" s="103"/>
      <c r="BO252" s="103"/>
      <c r="BP252" s="246">
        <f ca="1">35%*(BP248)/BP304</f>
        <v>1626.4013277751267</v>
      </c>
      <c r="BQ252" s="103"/>
      <c r="BR252" s="103"/>
      <c r="BS252" s="103"/>
      <c r="BT252" s="103"/>
      <c r="BU252" s="103"/>
      <c r="BV252" s="246">
        <f ca="1">35%*(BV248)/BV304</f>
        <v>1598.0648677853176</v>
      </c>
      <c r="BW252" s="103"/>
      <c r="BX252" s="103"/>
      <c r="BY252" s="103"/>
      <c r="BZ252" s="103"/>
      <c r="CA252" s="103"/>
      <c r="CB252" s="246">
        <f ca="1">35%*(CB248)/CB304</f>
        <v>1537.7470921862571</v>
      </c>
      <c r="CC252" s="103"/>
      <c r="CD252" s="103"/>
      <c r="CE252" s="103"/>
      <c r="CF252" s="103"/>
      <c r="CG252" s="103"/>
      <c r="CH252" s="246">
        <f ca="1">35%*(CH248)/CH304</f>
        <v>1704.2667952947825</v>
      </c>
      <c r="CI252" s="103"/>
      <c r="CJ252" s="103"/>
      <c r="CK252" s="103"/>
      <c r="CL252" s="103"/>
      <c r="CM252" s="103"/>
      <c r="CN252" s="246">
        <f ca="1">35%*(CN248)/CN304</f>
        <v>1875.320771239496</v>
      </c>
      <c r="CO252" s="103"/>
      <c r="CP252" s="103"/>
      <c r="CQ252" s="103"/>
      <c r="CR252" s="103"/>
      <c r="CS252" s="103"/>
      <c r="CT252" s="246">
        <f ca="1">35%*(CT248)/CT304</f>
        <v>1938.4582227578517</v>
      </c>
    </row>
    <row r="253" spans="1:98" x14ac:dyDescent="0.2">
      <c r="A253" s="278"/>
      <c r="B253" s="278"/>
      <c r="C253" s="278"/>
      <c r="D253" s="278"/>
      <c r="E253" s="278"/>
      <c r="F253" s="278"/>
      <c r="G253" s="278"/>
      <c r="H253" s="278"/>
      <c r="I253" s="278"/>
      <c r="J253" s="278"/>
      <c r="K253" s="278"/>
      <c r="L253" s="278"/>
      <c r="M253" s="278"/>
      <c r="N253" s="278"/>
      <c r="O253" s="278"/>
      <c r="P253" s="279"/>
      <c r="Q253" s="279"/>
      <c r="R253" s="279"/>
      <c r="S253" s="279"/>
      <c r="T253" s="279"/>
      <c r="U253" s="279"/>
      <c r="V253" s="279"/>
      <c r="W253" s="279"/>
      <c r="X253" s="279"/>
      <c r="Y253" s="279"/>
      <c r="Z253" s="279"/>
      <c r="AA253" s="279"/>
      <c r="AB253" s="279"/>
      <c r="AC253" s="279"/>
      <c r="AD253" s="279"/>
      <c r="AE253" s="279"/>
      <c r="AF253" s="279"/>
      <c r="AG253" s="279"/>
      <c r="AH253" s="279"/>
      <c r="AI253" s="279"/>
      <c r="AJ253" s="279"/>
      <c r="AK253" s="279"/>
      <c r="AL253" s="279"/>
      <c r="AM253" s="279"/>
      <c r="AN253" s="279"/>
      <c r="AO253" s="279"/>
      <c r="AP253" s="279"/>
      <c r="AQ253" s="279"/>
      <c r="AR253" s="279"/>
      <c r="AS253" s="279"/>
      <c r="AT253" s="279"/>
      <c r="AU253" s="279"/>
      <c r="AV253" s="279"/>
      <c r="AW253" s="279"/>
      <c r="AX253" s="279"/>
      <c r="AY253" s="279"/>
      <c r="AZ253" s="279"/>
      <c r="BA253" s="279"/>
      <c r="BB253" s="279"/>
      <c r="BC253" s="279"/>
      <c r="BD253" s="279"/>
      <c r="BE253" s="279"/>
      <c r="BF253" s="279"/>
      <c r="BG253" s="279"/>
      <c r="BH253" s="279"/>
      <c r="BI253" s="279"/>
      <c r="BJ253" s="279"/>
      <c r="BK253" s="279"/>
      <c r="BL253" s="279"/>
      <c r="BM253" s="279"/>
      <c r="BN253" s="279"/>
      <c r="BO253" s="279"/>
      <c r="BP253" s="279"/>
      <c r="BQ253" s="279"/>
      <c r="BR253" s="279"/>
      <c r="BS253" s="279"/>
      <c r="BT253" s="279"/>
      <c r="BU253" s="279"/>
      <c r="BV253" s="279"/>
      <c r="BW253" s="279"/>
      <c r="BX253" s="279"/>
      <c r="BY253" s="279"/>
      <c r="BZ253" s="279"/>
      <c r="CA253" s="279"/>
      <c r="CB253" s="279"/>
      <c r="CC253" s="279"/>
      <c r="CD253" s="279"/>
      <c r="CE253" s="279"/>
      <c r="CF253" s="279"/>
      <c r="CG253" s="279"/>
      <c r="CH253" s="279"/>
      <c r="CI253" s="279"/>
      <c r="CJ253" s="279"/>
      <c r="CK253" s="279"/>
      <c r="CL253" s="279"/>
      <c r="CM253" s="279"/>
      <c r="CN253" s="279"/>
      <c r="CO253" s="279"/>
      <c r="CP253" s="279"/>
      <c r="CQ253" s="279"/>
      <c r="CR253" s="279"/>
      <c r="CS253" s="279"/>
      <c r="CT253" s="279"/>
    </row>
    <row r="254" spans="1:98" ht="13.5" thickBot="1" x14ac:dyDescent="0.25">
      <c r="P254" s="103"/>
      <c r="Q254" s="103"/>
      <c r="R254" s="103"/>
      <c r="S254" s="103"/>
      <c r="T254" s="103"/>
      <c r="U254" s="103"/>
      <c r="V254" s="103"/>
      <c r="W254" s="103"/>
      <c r="X254" s="103"/>
      <c r="Y254" s="103"/>
      <c r="Z254" s="103"/>
      <c r="AA254" s="103"/>
      <c r="AB254" s="103"/>
      <c r="AC254" s="103"/>
      <c r="AD254" s="103"/>
      <c r="AE254" s="103"/>
      <c r="AF254" s="103"/>
      <c r="AG254" s="103"/>
      <c r="AH254" s="103"/>
      <c r="AI254" s="103"/>
      <c r="AJ254" s="103"/>
      <c r="AK254" s="103"/>
      <c r="AL254" s="103"/>
      <c r="AM254" s="103"/>
      <c r="AN254" s="103"/>
      <c r="AO254" s="103"/>
      <c r="AP254" s="103"/>
      <c r="AQ254" s="103"/>
      <c r="AR254" s="103"/>
      <c r="AS254" s="103"/>
      <c r="AT254" s="103"/>
      <c r="AU254" s="103"/>
      <c r="AV254" s="103"/>
      <c r="AW254" s="103"/>
      <c r="AX254" s="103"/>
      <c r="AY254" s="103"/>
      <c r="AZ254" s="103"/>
      <c r="BA254" s="103"/>
      <c r="BB254" s="103"/>
      <c r="BC254" s="103"/>
      <c r="BD254" s="103"/>
      <c r="BE254" s="103"/>
      <c r="BF254" s="103"/>
      <c r="BG254" s="103"/>
      <c r="BH254" s="103"/>
      <c r="BI254" s="103"/>
      <c r="BJ254" s="103"/>
      <c r="BK254" s="103"/>
      <c r="BL254" s="103"/>
      <c r="BM254" s="103"/>
      <c r="BN254" s="103"/>
      <c r="BO254" s="103"/>
      <c r="BP254" s="103"/>
      <c r="BQ254" s="103"/>
      <c r="BR254" s="103"/>
      <c r="BS254" s="103"/>
      <c r="BT254" s="103"/>
      <c r="BU254" s="103"/>
      <c r="BV254" s="103"/>
      <c r="BW254" s="103"/>
      <c r="BX254" s="103"/>
      <c r="BY254" s="103"/>
      <c r="BZ254" s="103"/>
      <c r="CA254" s="103"/>
      <c r="CB254" s="103"/>
      <c r="CC254" s="103"/>
      <c r="CD254" s="103"/>
      <c r="CE254" s="103"/>
      <c r="CF254" s="103"/>
      <c r="CG254" s="103"/>
      <c r="CH254" s="103"/>
      <c r="CI254" s="103"/>
      <c r="CJ254" s="103"/>
      <c r="CK254" s="103"/>
      <c r="CL254" s="103"/>
      <c r="CM254" s="103"/>
      <c r="CN254" s="103"/>
      <c r="CO254" s="103"/>
      <c r="CP254" s="103"/>
      <c r="CQ254" s="103"/>
      <c r="CR254" s="103"/>
      <c r="CS254" s="103"/>
      <c r="CT254" s="103"/>
    </row>
    <row r="255" spans="1:98" ht="15.75" thickBot="1" x14ac:dyDescent="0.35">
      <c r="P255" s="715">
        <v>2012</v>
      </c>
      <c r="Q255" s="716"/>
      <c r="R255" s="716"/>
      <c r="S255" s="717"/>
      <c r="T255" s="11"/>
      <c r="U255" s="11"/>
      <c r="V255" s="715">
        <v>2013</v>
      </c>
      <c r="W255" s="716"/>
      <c r="X255" s="716"/>
      <c r="Y255" s="717"/>
      <c r="Z255" s="11"/>
      <c r="AA255" s="11"/>
      <c r="AB255" s="715">
        <v>2014</v>
      </c>
      <c r="AC255" s="716"/>
      <c r="AD255" s="716"/>
      <c r="AE255" s="717"/>
      <c r="AF255" s="11"/>
      <c r="AG255" s="11"/>
      <c r="AH255" s="715">
        <v>2015</v>
      </c>
      <c r="AI255" s="716"/>
      <c r="AJ255" s="716"/>
      <c r="AK255" s="717"/>
      <c r="AL255" s="11"/>
      <c r="AM255" s="11"/>
      <c r="AN255" s="715">
        <v>2016</v>
      </c>
      <c r="AO255" s="716"/>
      <c r="AP255" s="716"/>
      <c r="AQ255" s="717"/>
      <c r="AR255" s="11"/>
      <c r="AS255" s="11"/>
      <c r="AT255" s="715">
        <v>2017</v>
      </c>
      <c r="AU255" s="716"/>
      <c r="AV255" s="716"/>
      <c r="AW255" s="717"/>
      <c r="AX255" s="11"/>
      <c r="AY255" s="11"/>
      <c r="AZ255" s="715">
        <v>2018</v>
      </c>
      <c r="BA255" s="716"/>
      <c r="BB255" s="716"/>
      <c r="BC255" s="717"/>
      <c r="BD255" s="11"/>
      <c r="BE255" s="11"/>
      <c r="BF255" s="715">
        <v>2019</v>
      </c>
      <c r="BG255" s="716"/>
      <c r="BH255" s="716"/>
      <c r="BI255" s="717"/>
      <c r="BJ255" s="392"/>
      <c r="BK255" s="392"/>
      <c r="BL255" s="715">
        <v>2020</v>
      </c>
      <c r="BM255" s="716"/>
      <c r="BN255" s="716"/>
      <c r="BO255" s="717"/>
      <c r="BP255" s="392"/>
      <c r="BQ255" s="392"/>
      <c r="BR255" s="715">
        <v>2021</v>
      </c>
      <c r="BS255" s="716"/>
      <c r="BT255" s="716"/>
      <c r="BU255" s="717"/>
      <c r="BV255" s="392"/>
      <c r="BW255" s="392"/>
      <c r="BX255" s="715">
        <v>2022</v>
      </c>
      <c r="BY255" s="716"/>
      <c r="BZ255" s="716"/>
      <c r="CA255" s="717"/>
      <c r="CB255" s="392"/>
      <c r="CC255" s="392"/>
      <c r="CD255" s="715">
        <v>2023</v>
      </c>
      <c r="CE255" s="716"/>
      <c r="CF255" s="716"/>
      <c r="CG255" s="717"/>
      <c r="CH255" s="11"/>
      <c r="CI255" s="392"/>
      <c r="CJ255" s="715">
        <v>2024</v>
      </c>
      <c r="CK255" s="716"/>
      <c r="CL255" s="716"/>
      <c r="CM255" s="717"/>
      <c r="CN255" s="11"/>
      <c r="CO255" s="392"/>
      <c r="CP255" s="715">
        <v>2025</v>
      </c>
      <c r="CQ255" s="716"/>
      <c r="CR255" s="716"/>
      <c r="CS255" s="717"/>
      <c r="CT255" s="11"/>
    </row>
    <row r="256" spans="1:98" ht="15.75" thickBot="1" x14ac:dyDescent="0.35">
      <c r="B256" s="226" t="s">
        <v>299</v>
      </c>
      <c r="P256" s="393" t="s">
        <v>20</v>
      </c>
      <c r="Q256" s="394" t="s">
        <v>19</v>
      </c>
      <c r="R256" s="394" t="s">
        <v>22</v>
      </c>
      <c r="S256" s="395" t="s">
        <v>21</v>
      </c>
      <c r="T256" s="396" t="s">
        <v>39</v>
      </c>
      <c r="U256" s="11"/>
      <c r="V256" s="393" t="s">
        <v>20</v>
      </c>
      <c r="W256" s="394" t="s">
        <v>19</v>
      </c>
      <c r="X256" s="394" t="s">
        <v>22</v>
      </c>
      <c r="Y256" s="395" t="s">
        <v>21</v>
      </c>
      <c r="Z256" s="396" t="s">
        <v>39</v>
      </c>
      <c r="AA256" s="11"/>
      <c r="AB256" s="393" t="s">
        <v>20</v>
      </c>
      <c r="AC256" s="394" t="s">
        <v>19</v>
      </c>
      <c r="AD256" s="394" t="s">
        <v>22</v>
      </c>
      <c r="AE256" s="395" t="s">
        <v>21</v>
      </c>
      <c r="AF256" s="396" t="s">
        <v>39</v>
      </c>
      <c r="AG256" s="11"/>
      <c r="AH256" s="393" t="s">
        <v>20</v>
      </c>
      <c r="AI256" s="394" t="s">
        <v>19</v>
      </c>
      <c r="AJ256" s="394" t="s">
        <v>22</v>
      </c>
      <c r="AK256" s="395" t="s">
        <v>21</v>
      </c>
      <c r="AL256" s="396" t="s">
        <v>39</v>
      </c>
      <c r="AM256" s="11"/>
      <c r="AN256" s="393" t="s">
        <v>20</v>
      </c>
      <c r="AO256" s="394" t="s">
        <v>19</v>
      </c>
      <c r="AP256" s="394" t="s">
        <v>22</v>
      </c>
      <c r="AQ256" s="395" t="s">
        <v>21</v>
      </c>
      <c r="AR256" s="396" t="s">
        <v>39</v>
      </c>
      <c r="AS256" s="11"/>
      <c r="AT256" s="393" t="s">
        <v>20</v>
      </c>
      <c r="AU256" s="394" t="s">
        <v>19</v>
      </c>
      <c r="AV256" s="394" t="s">
        <v>22</v>
      </c>
      <c r="AW256" s="395" t="s">
        <v>21</v>
      </c>
      <c r="AX256" s="396" t="s">
        <v>39</v>
      </c>
      <c r="AY256" s="11"/>
      <c r="AZ256" s="393" t="s">
        <v>20</v>
      </c>
      <c r="BA256" s="394" t="s">
        <v>19</v>
      </c>
      <c r="BB256" s="394" t="s">
        <v>22</v>
      </c>
      <c r="BC256" s="395" t="s">
        <v>21</v>
      </c>
      <c r="BD256" s="396" t="s">
        <v>39</v>
      </c>
      <c r="BE256" s="11"/>
      <c r="BF256" s="393" t="s">
        <v>20</v>
      </c>
      <c r="BG256" s="394" t="s">
        <v>19</v>
      </c>
      <c r="BH256" s="394" t="s">
        <v>22</v>
      </c>
      <c r="BI256" s="395" t="s">
        <v>21</v>
      </c>
      <c r="BJ256" s="396" t="s">
        <v>39</v>
      </c>
      <c r="BK256" s="11"/>
      <c r="BL256" s="393" t="s">
        <v>20</v>
      </c>
      <c r="BM256" s="394" t="s">
        <v>19</v>
      </c>
      <c r="BN256" s="394" t="s">
        <v>22</v>
      </c>
      <c r="BO256" s="395" t="s">
        <v>21</v>
      </c>
      <c r="BP256" s="396" t="s">
        <v>39</v>
      </c>
      <c r="BQ256" s="11"/>
      <c r="BR256" s="393" t="s">
        <v>20</v>
      </c>
      <c r="BS256" s="394" t="s">
        <v>19</v>
      </c>
      <c r="BT256" s="394" t="s">
        <v>22</v>
      </c>
      <c r="BU256" s="395" t="s">
        <v>21</v>
      </c>
      <c r="BV256" s="396" t="s">
        <v>39</v>
      </c>
      <c r="BW256" s="11"/>
      <c r="BX256" s="393" t="s">
        <v>20</v>
      </c>
      <c r="BY256" s="394" t="s">
        <v>19</v>
      </c>
      <c r="BZ256" s="394" t="s">
        <v>22</v>
      </c>
      <c r="CA256" s="395" t="s">
        <v>21</v>
      </c>
      <c r="CB256" s="396" t="s">
        <v>39</v>
      </c>
      <c r="CC256" s="11"/>
      <c r="CD256" s="393" t="s">
        <v>20</v>
      </c>
      <c r="CE256" s="394" t="s">
        <v>19</v>
      </c>
      <c r="CF256" s="394" t="s">
        <v>22</v>
      </c>
      <c r="CG256" s="395" t="s">
        <v>21</v>
      </c>
      <c r="CH256" s="396" t="s">
        <v>39</v>
      </c>
      <c r="CI256" s="11"/>
      <c r="CJ256" s="393" t="s">
        <v>20</v>
      </c>
      <c r="CK256" s="394" t="s">
        <v>19</v>
      </c>
      <c r="CL256" s="394" t="s">
        <v>22</v>
      </c>
      <c r="CM256" s="395" t="s">
        <v>21</v>
      </c>
      <c r="CN256" s="396" t="s">
        <v>39</v>
      </c>
      <c r="CO256" s="11"/>
      <c r="CP256" s="393" t="s">
        <v>20</v>
      </c>
      <c r="CQ256" s="394" t="s">
        <v>19</v>
      </c>
      <c r="CR256" s="394" t="s">
        <v>22</v>
      </c>
      <c r="CS256" s="395" t="s">
        <v>21</v>
      </c>
      <c r="CT256" s="396" t="s">
        <v>39</v>
      </c>
    </row>
    <row r="257" spans="2:98" x14ac:dyDescent="0.2">
      <c r="P257" s="103"/>
      <c r="Q257" s="103"/>
      <c r="R257" s="103"/>
      <c r="S257" s="103"/>
      <c r="T257" s="103"/>
      <c r="U257" s="103"/>
      <c r="V257" s="103"/>
      <c r="W257" s="103"/>
      <c r="X257" s="103"/>
      <c r="Y257" s="103"/>
      <c r="Z257" s="103"/>
      <c r="AA257" s="103"/>
      <c r="AB257" s="103"/>
      <c r="AC257" s="103"/>
      <c r="AD257" s="103"/>
      <c r="AE257" s="103"/>
      <c r="AF257" s="103"/>
      <c r="AG257" s="103"/>
      <c r="AH257" s="103"/>
      <c r="AI257" s="103"/>
      <c r="AJ257" s="103"/>
      <c r="AK257" s="103"/>
      <c r="AL257" s="103"/>
      <c r="AM257" s="103"/>
      <c r="AN257" s="103"/>
      <c r="AO257" s="103"/>
      <c r="AP257" s="103"/>
      <c r="AQ257" s="103"/>
      <c r="AR257" s="103"/>
      <c r="AS257" s="103"/>
      <c r="AT257" s="103"/>
      <c r="AU257" s="103"/>
      <c r="AV257" s="103"/>
      <c r="AW257" s="103"/>
      <c r="AX257" s="103"/>
      <c r="AY257" s="103"/>
      <c r="AZ257" s="103"/>
      <c r="BA257" s="103"/>
      <c r="BB257" s="103"/>
      <c r="BC257" s="103"/>
      <c r="BD257" s="103"/>
      <c r="BE257" s="103"/>
      <c r="BF257" s="103"/>
      <c r="BG257" s="103"/>
      <c r="BH257" s="103"/>
      <c r="BI257" s="103"/>
      <c r="BJ257" s="103"/>
      <c r="BK257" s="103"/>
      <c r="BL257" s="103"/>
      <c r="BM257" s="103"/>
      <c r="BN257" s="103"/>
      <c r="BO257" s="103"/>
      <c r="BP257" s="103"/>
      <c r="BQ257" s="103"/>
      <c r="BR257" s="103"/>
      <c r="BS257" s="103"/>
      <c r="BT257" s="103"/>
      <c r="BU257" s="103"/>
      <c r="BV257" s="103"/>
      <c r="BW257" s="103"/>
      <c r="BX257" s="103"/>
      <c r="BY257" s="103"/>
      <c r="BZ257" s="103"/>
      <c r="CA257" s="103"/>
      <c r="CB257" s="103"/>
      <c r="CC257" s="103"/>
      <c r="CD257" s="103"/>
      <c r="CE257" s="103"/>
      <c r="CF257" s="103"/>
      <c r="CG257" s="103"/>
      <c r="CH257" s="103"/>
      <c r="CI257" s="103"/>
      <c r="CJ257" s="103"/>
      <c r="CK257" s="103"/>
      <c r="CL257" s="103"/>
      <c r="CM257" s="103"/>
      <c r="CN257" s="103"/>
      <c r="CO257" s="103"/>
      <c r="CP257" s="103"/>
      <c r="CQ257" s="103"/>
      <c r="CR257" s="103"/>
      <c r="CS257" s="103"/>
      <c r="CT257" s="103"/>
    </row>
    <row r="258" spans="2:98" x14ac:dyDescent="0.2">
      <c r="B258" s="273" t="s">
        <v>82</v>
      </c>
      <c r="P258" s="197">
        <f>P222</f>
        <v>1526</v>
      </c>
      <c r="Q258" s="197">
        <f>Q222</f>
        <v>1805</v>
      </c>
      <c r="R258" s="197">
        <f>R222</f>
        <v>1683</v>
      </c>
      <c r="S258" s="197">
        <f>S222</f>
        <v>1346</v>
      </c>
      <c r="T258" s="197">
        <f>P258+Q258+R258+S258</f>
        <v>6360</v>
      </c>
      <c r="U258" s="103"/>
      <c r="V258" s="197">
        <f>V222</f>
        <v>1469</v>
      </c>
      <c r="W258" s="197">
        <f>W222</f>
        <v>1265.4106309607514</v>
      </c>
      <c r="X258" s="197">
        <f>X222</f>
        <v>1344.0688474331714</v>
      </c>
      <c r="Y258" s="197">
        <f>Y222</f>
        <v>1239.2666830531541</v>
      </c>
      <c r="Z258" s="197">
        <f>V258+W258+X258+Y258</f>
        <v>5317.7461614470767</v>
      </c>
      <c r="AA258" s="103"/>
      <c r="AB258" s="197">
        <f>AB222</f>
        <v>1088</v>
      </c>
      <c r="AC258" s="197">
        <f>AC222</f>
        <v>1451</v>
      </c>
      <c r="AD258" s="197">
        <f>AD222</f>
        <v>1346</v>
      </c>
      <c r="AE258" s="197">
        <f>AE222</f>
        <v>1751</v>
      </c>
      <c r="AF258" s="197">
        <f>AB258+AC258+AD258+AE258</f>
        <v>5636</v>
      </c>
      <c r="AG258" s="103"/>
      <c r="AH258" s="197">
        <f>AH222</f>
        <v>1388</v>
      </c>
      <c r="AI258" s="197">
        <f>AI222</f>
        <v>1817</v>
      </c>
      <c r="AJ258" s="197">
        <f>AJ222</f>
        <v>1908</v>
      </c>
      <c r="AK258" s="197">
        <f>AK222</f>
        <v>2280</v>
      </c>
      <c r="AL258" s="197">
        <f>AH258+AI258+AJ258+AK258</f>
        <v>7393</v>
      </c>
      <c r="AM258" s="103"/>
      <c r="AN258" s="197">
        <f>AN222</f>
        <v>2749</v>
      </c>
      <c r="AO258" s="197">
        <f>AO222</f>
        <v>2464</v>
      </c>
      <c r="AP258" s="197">
        <f>AP222</f>
        <v>2630</v>
      </c>
      <c r="AQ258" s="197">
        <f>AQ222</f>
        <v>2548</v>
      </c>
      <c r="AR258" s="197">
        <f>AN258+AO258+AP258+AQ258</f>
        <v>10391</v>
      </c>
      <c r="AS258" s="103"/>
      <c r="AT258" s="197">
        <f>AT222</f>
        <v>2668</v>
      </c>
      <c r="AU258" s="197">
        <f>AU222</f>
        <v>3012</v>
      </c>
      <c r="AV258" s="197">
        <f>AV222</f>
        <v>2822</v>
      </c>
      <c r="AW258" s="197">
        <f>AW222</f>
        <v>2711</v>
      </c>
      <c r="AX258" s="197">
        <f>AT258+AU258+AV258+AW258</f>
        <v>11213</v>
      </c>
      <c r="AY258" s="103"/>
      <c r="AZ258" s="197">
        <f>AZ222</f>
        <v>2882.8111966660385</v>
      </c>
      <c r="BA258" s="197">
        <f>BA222</f>
        <v>3233.4089630174544</v>
      </c>
      <c r="BB258" s="197">
        <f>BB222</f>
        <v>3025.6226419742916</v>
      </c>
      <c r="BC258" s="197">
        <f>BC222</f>
        <v>2740.3789438463505</v>
      </c>
      <c r="BD258" s="197">
        <f>AZ258+BA258+BB258+BC258</f>
        <v>11882.221745504135</v>
      </c>
      <c r="BE258" s="103"/>
      <c r="BF258" s="197">
        <f>BF222</f>
        <v>3044.944450219693</v>
      </c>
      <c r="BG258" s="197">
        <f>BG222</f>
        <v>3403.1098633005804</v>
      </c>
      <c r="BH258" s="197">
        <f>BH222</f>
        <v>3195.618432987937</v>
      </c>
      <c r="BI258" s="197">
        <f>BI222</f>
        <v>2906.0770012182602</v>
      </c>
      <c r="BJ258" s="197">
        <f>BF258+BG258+BH258+BI258</f>
        <v>12549.749747726471</v>
      </c>
      <c r="BK258" s="103"/>
      <c r="BL258" s="197">
        <f>BL222</f>
        <v>3217.448339698914</v>
      </c>
      <c r="BM258" s="197">
        <f>BM222</f>
        <v>3598.6474189393657</v>
      </c>
      <c r="BN258" s="197">
        <f>BN222</f>
        <v>3383.257471211401</v>
      </c>
      <c r="BO258" s="197">
        <f>BO222</f>
        <v>3087.6681884590685</v>
      </c>
      <c r="BP258" s="197">
        <f>BL258+BM258+BN258+BO258</f>
        <v>13287.021418308748</v>
      </c>
      <c r="BQ258" s="103"/>
      <c r="BR258" s="197">
        <f>BR222</f>
        <v>3388.2020555538047</v>
      </c>
      <c r="BS258" s="197">
        <f>BS222</f>
        <v>3790.3131859332698</v>
      </c>
      <c r="BT258" s="197">
        <f>BT222</f>
        <v>3568.6095347013052</v>
      </c>
      <c r="BU258" s="197">
        <f>BU222</f>
        <v>3271.9299711216736</v>
      </c>
      <c r="BV258" s="197">
        <f>BR258+BS258+BT258+BU258</f>
        <v>14019.054747310052</v>
      </c>
      <c r="BW258" s="103"/>
      <c r="BX258" s="197">
        <f>BX222</f>
        <v>3541.9762374725283</v>
      </c>
      <c r="BY258" s="197">
        <f>BY222</f>
        <v>3962.9567690724152</v>
      </c>
      <c r="BZ258" s="197">
        <f>BZ222</f>
        <v>3737.5724167998333</v>
      </c>
      <c r="CA258" s="197">
        <f>CA222</f>
        <v>3432.2775030418875</v>
      </c>
      <c r="CB258" s="197">
        <f>BX258+BY258+BZ258+CA258</f>
        <v>14674.782926386664</v>
      </c>
      <c r="CC258" s="103"/>
      <c r="CD258" s="197">
        <f>CD222</f>
        <v>3682.3195109226976</v>
      </c>
      <c r="CE258" s="197">
        <f>CE222</f>
        <v>4118.8883720928607</v>
      </c>
      <c r="CF258" s="197">
        <f>CF222</f>
        <v>3890.8402428651402</v>
      </c>
      <c r="CG258" s="197">
        <f>CG222</f>
        <v>3581.1089447804197</v>
      </c>
      <c r="CH258" s="197">
        <f>CD258+CE258+CF258+CG258</f>
        <v>15273.15707066112</v>
      </c>
      <c r="CI258" s="103"/>
      <c r="CJ258" s="197">
        <f>CJ222</f>
        <v>3833.3829681339985</v>
      </c>
      <c r="CK258" s="197">
        <f>CK222</f>
        <v>4285.9314667627768</v>
      </c>
      <c r="CL258" s="197">
        <f>CL222</f>
        <v>4057.4725912665576</v>
      </c>
      <c r="CM258" s="197">
        <f>CM222</f>
        <v>3739.2056934495727</v>
      </c>
      <c r="CN258" s="197">
        <f>CJ258+CK258+CL258+CM258</f>
        <v>15915.992719612905</v>
      </c>
      <c r="CO258" s="103"/>
      <c r="CP258" s="197">
        <f>CP222</f>
        <v>3941.5177809652942</v>
      </c>
      <c r="CQ258" s="197">
        <f>CQ222</f>
        <v>4403.7176844099922</v>
      </c>
      <c r="CR258" s="197">
        <f>CR222</f>
        <v>4174.5101067396909</v>
      </c>
      <c r="CS258" s="197">
        <f>CS222</f>
        <v>3851.7757577033549</v>
      </c>
      <c r="CT258" s="197">
        <f>CP258+CQ258+CR258+CS258</f>
        <v>16371.521329818333</v>
      </c>
    </row>
    <row r="259" spans="2:98" ht="15" x14ac:dyDescent="0.3">
      <c r="B259" s="6" t="s">
        <v>23</v>
      </c>
      <c r="P259" s="103" t="s">
        <v>35</v>
      </c>
      <c r="Q259" s="103" t="s">
        <v>35</v>
      </c>
      <c r="R259" s="103" t="s">
        <v>35</v>
      </c>
      <c r="S259" s="103" t="s">
        <v>35</v>
      </c>
      <c r="T259" s="103" t="s">
        <v>35</v>
      </c>
      <c r="U259" s="103"/>
      <c r="V259" s="227">
        <f>V258/P258-1</f>
        <v>-3.7352555701179568E-2</v>
      </c>
      <c r="W259" s="227">
        <f>W258/Q258-1</f>
        <v>-0.29894147869210452</v>
      </c>
      <c r="X259" s="227">
        <f>X258/R258-1</f>
        <v>-0.20138511738967835</v>
      </c>
      <c r="Y259" s="227">
        <f>Y258/S258-1</f>
        <v>-7.9296669351297089E-2</v>
      </c>
      <c r="Z259" s="227">
        <f>Z258/T258-1</f>
        <v>-0.16387638970957918</v>
      </c>
      <c r="AA259" s="103"/>
      <c r="AB259" s="227">
        <f>AB258/V258-1</f>
        <v>-0.25936010891763106</v>
      </c>
      <c r="AC259" s="227">
        <f>AC258/W258-1</f>
        <v>0.14666335535551922</v>
      </c>
      <c r="AD259" s="227">
        <f>AD258/X258-1</f>
        <v>1.4367958683936255E-3</v>
      </c>
      <c r="AE259" s="227">
        <f>AE258/Y258-1</f>
        <v>0.41293236068131822</v>
      </c>
      <c r="AF259" s="227">
        <f>AF258/Z258-1</f>
        <v>5.9847504730522694E-2</v>
      </c>
      <c r="AG259" s="103"/>
      <c r="AH259" s="227">
        <f>AH258/AB258-1</f>
        <v>0.27573529411764697</v>
      </c>
      <c r="AI259" s="227">
        <f>AI258/AC258-1</f>
        <v>0.25223983459682975</v>
      </c>
      <c r="AJ259" s="227">
        <f>AJ258/AD258-1</f>
        <v>0.41753343239227347</v>
      </c>
      <c r="AK259" s="227">
        <f>AK258/AE258-1</f>
        <v>0.30211307824100508</v>
      </c>
      <c r="AL259" s="227">
        <f>AL258/AF258-1</f>
        <v>0.31174591909155436</v>
      </c>
      <c r="AM259" s="103"/>
      <c r="AN259" s="227">
        <f>AN258/AH258-1</f>
        <v>0.9805475504322767</v>
      </c>
      <c r="AO259" s="227">
        <f>AO258/AI258-1</f>
        <v>0.35608145294441385</v>
      </c>
      <c r="AP259" s="227">
        <f>AP258/AJ258-1</f>
        <v>0.37840670859538794</v>
      </c>
      <c r="AQ259" s="227">
        <f>AQ258/AK258-1</f>
        <v>0.11754385964912273</v>
      </c>
      <c r="AR259" s="227">
        <f>AR258/AL258-1</f>
        <v>0.40551873393750837</v>
      </c>
      <c r="AS259" s="103"/>
      <c r="AT259" s="227">
        <f>AT258/AN258-1</f>
        <v>-2.9465260094579837E-2</v>
      </c>
      <c r="AU259" s="227">
        <f>AU258/AO258-1</f>
        <v>0.22240259740259738</v>
      </c>
      <c r="AV259" s="227">
        <f>AV258/AP258-1</f>
        <v>7.3003802281368824E-2</v>
      </c>
      <c r="AW259" s="227">
        <f>AW258/AQ258-1</f>
        <v>6.3971742543171173E-2</v>
      </c>
      <c r="AX259" s="227">
        <f>AX258/AR258-1</f>
        <v>7.9106919449523527E-2</v>
      </c>
      <c r="AY259" s="103"/>
      <c r="AZ259" s="227">
        <f>AZ258/AT258-1</f>
        <v>8.0513941778874942E-2</v>
      </c>
      <c r="BA259" s="227">
        <f>BA258/AU258-1</f>
        <v>7.3508951865024708E-2</v>
      </c>
      <c r="BB259" s="227">
        <f>BB258/AV258-1</f>
        <v>7.2155436560698671E-2</v>
      </c>
      <c r="BC259" s="227">
        <f>BC258/AW258-1</f>
        <v>1.0836939817908675E-2</v>
      </c>
      <c r="BD259" s="227">
        <f>BD258/AX258-1</f>
        <v>5.9682667038627901E-2</v>
      </c>
      <c r="BE259" s="103"/>
      <c r="BF259" s="227">
        <f>BF258/AZ258-1</f>
        <v>5.6241370833151061E-2</v>
      </c>
      <c r="BG259" s="227">
        <f>BG258/BA258-1</f>
        <v>5.2483586896709511E-2</v>
      </c>
      <c r="BH259" s="227">
        <f>BH258/BB258-1</f>
        <v>5.6185390952362413E-2</v>
      </c>
      <c r="BI259" s="227">
        <f>BI258/BC258-1</f>
        <v>6.0465381163430809E-2</v>
      </c>
      <c r="BJ259" s="227">
        <f>BJ258/BD258-1</f>
        <v>5.6178719478527483E-2</v>
      </c>
      <c r="BK259" s="103"/>
      <c r="BL259" s="227">
        <f>BL258/BF258-1</f>
        <v>5.6652557148218152E-2</v>
      </c>
      <c r="BM259" s="227">
        <f>BM258/BG258-1</f>
        <v>5.7458490467051426E-2</v>
      </c>
      <c r="BN259" s="227">
        <f>BN258/BH258-1</f>
        <v>5.8717597910467489E-2</v>
      </c>
      <c r="BO259" s="227">
        <f>BO258/BI258-1</f>
        <v>6.2486708770856048E-2</v>
      </c>
      <c r="BP259" s="227">
        <f>BP258/BJ258-1</f>
        <v>5.8747918118115638E-2</v>
      </c>
      <c r="BQ259" s="103"/>
      <c r="BR259" s="227">
        <f>BR258/BL258-1</f>
        <v>5.3071160070551349E-2</v>
      </c>
      <c r="BS259" s="227">
        <f>BS258/BM258-1</f>
        <v>5.3260501705497454E-2</v>
      </c>
      <c r="BT259" s="227">
        <f>BT258/BN258-1</f>
        <v>5.4785089537846332E-2</v>
      </c>
      <c r="BU259" s="227">
        <f>BU258/BO258-1</f>
        <v>5.9676678780229642E-2</v>
      </c>
      <c r="BV259" s="227">
        <f>BV258/BP258-1</f>
        <v>5.5093862345446665E-2</v>
      </c>
      <c r="BW259" s="103"/>
      <c r="BX259" s="227">
        <f>BX258/BR258-1</f>
        <v>4.5385186419641954E-2</v>
      </c>
      <c r="BY259" s="227">
        <f>BY258/BS258-1</f>
        <v>4.5548632703984904E-2</v>
      </c>
      <c r="BZ259" s="227">
        <f>BZ258/BT258-1</f>
        <v>4.7346979392260735E-2</v>
      </c>
      <c r="CA259" s="227">
        <f>CA258/BU258-1</f>
        <v>4.9007018284454196E-2</v>
      </c>
      <c r="CB259" s="227">
        <f>CB258/BV258-1</f>
        <v>4.6774065077563876E-2</v>
      </c>
      <c r="CC259" s="103"/>
      <c r="CD259" s="227">
        <f>CD258/BX258-1</f>
        <v>3.9622872667919085E-2</v>
      </c>
      <c r="CE259" s="227">
        <f>CE258/BY258-1</f>
        <v>3.9347288428014604E-2</v>
      </c>
      <c r="CF259" s="227">
        <f>CF258/BZ258-1</f>
        <v>4.1007319450558466E-2</v>
      </c>
      <c r="CG259" s="227">
        <f>CG258/CA258-1</f>
        <v>4.3362298534028509E-2</v>
      </c>
      <c r="CH259" s="227">
        <f>CH258/CB258-1</f>
        <v>4.0775672613086567E-2</v>
      </c>
      <c r="CI259" s="103"/>
      <c r="CJ259" s="227">
        <f>CJ258/CD258-1</f>
        <v>4.1023995001848279E-2</v>
      </c>
      <c r="CK259" s="227">
        <f>CK258/CE258-1</f>
        <v>4.0555382807094587E-2</v>
      </c>
      <c r="CL259" s="227">
        <f>CL258/CF258-1</f>
        <v>4.2826828654037197E-2</v>
      </c>
      <c r="CM259" s="227">
        <f>CM258/CG258-1</f>
        <v>4.4147427823882257E-2</v>
      </c>
      <c r="CN259" s="227">
        <f>CN258/CH258-1</f>
        <v>4.2089244939845116E-2</v>
      </c>
      <c r="CO259" s="103"/>
      <c r="CP259" s="227">
        <f>CP258/CJ258-1</f>
        <v>2.820871635581268E-2</v>
      </c>
      <c r="CQ259" s="227">
        <f>CQ258/CK258-1</f>
        <v>2.7482058115171126E-2</v>
      </c>
      <c r="CR259" s="227">
        <f>CR258/CL258-1</f>
        <v>2.8844930641071631E-2</v>
      </c>
      <c r="CS259" s="227">
        <f>CS258/CM258-1</f>
        <v>3.0105341476930558E-2</v>
      </c>
      <c r="CT259" s="227">
        <f>CT258/CN258-1</f>
        <v>2.8620810415682874E-2</v>
      </c>
    </row>
    <row r="260" spans="2:98" x14ac:dyDescent="0.2"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3"/>
      <c r="AS260" s="103"/>
      <c r="AT260" s="103"/>
      <c r="AU260" s="103"/>
      <c r="AV260" s="103"/>
      <c r="AW260" s="103"/>
      <c r="AX260" s="103"/>
      <c r="AY260" s="103"/>
      <c r="AZ260" s="103"/>
      <c r="BA260" s="103"/>
      <c r="BB260" s="103"/>
      <c r="BC260" s="103"/>
      <c r="BD260" s="103"/>
      <c r="BE260" s="103"/>
      <c r="BF260" s="103"/>
      <c r="BG260" s="103"/>
      <c r="BH260" s="103"/>
      <c r="BI260" s="103"/>
      <c r="BJ260" s="103"/>
      <c r="BK260" s="103"/>
      <c r="BL260" s="103"/>
      <c r="BM260" s="103"/>
      <c r="BN260" s="103"/>
      <c r="BO260" s="103"/>
      <c r="BP260" s="103"/>
      <c r="BQ260" s="103"/>
      <c r="BR260" s="103"/>
      <c r="BS260" s="103"/>
      <c r="BT260" s="103"/>
      <c r="BU260" s="103"/>
      <c r="BV260" s="103"/>
      <c r="BW260" s="103"/>
      <c r="BX260" s="103"/>
      <c r="BY260" s="103"/>
      <c r="BZ260" s="103"/>
      <c r="CA260" s="103"/>
      <c r="CB260" s="103"/>
      <c r="CC260" s="103"/>
      <c r="CD260" s="103"/>
      <c r="CE260" s="103"/>
      <c r="CF260" s="103"/>
      <c r="CG260" s="103"/>
      <c r="CH260" s="103"/>
      <c r="CI260" s="103"/>
      <c r="CJ260" s="103"/>
      <c r="CK260" s="103"/>
      <c r="CL260" s="103"/>
      <c r="CM260" s="103"/>
      <c r="CN260" s="103"/>
      <c r="CO260" s="103"/>
      <c r="CP260" s="103"/>
      <c r="CQ260" s="103"/>
      <c r="CR260" s="103"/>
      <c r="CS260" s="103"/>
      <c r="CT260" s="103"/>
    </row>
    <row r="261" spans="2:98" x14ac:dyDescent="0.2">
      <c r="B261" s="226" t="s">
        <v>90</v>
      </c>
      <c r="P261" s="197">
        <f>P193</f>
        <v>891</v>
      </c>
      <c r="Q261" s="197">
        <f>Q193</f>
        <v>721</v>
      </c>
      <c r="R261" s="197">
        <f>R193</f>
        <v>979</v>
      </c>
      <c r="S261" s="197">
        <f>S193</f>
        <v>1156</v>
      </c>
      <c r="T261" s="197">
        <f>P261+Q261+R261+S261</f>
        <v>3747</v>
      </c>
      <c r="U261" s="103"/>
      <c r="V261" s="197">
        <f>V193</f>
        <v>1231</v>
      </c>
      <c r="W261" s="197">
        <f>W193</f>
        <v>1111</v>
      </c>
      <c r="X261" s="197">
        <f>X193</f>
        <v>1017</v>
      </c>
      <c r="Y261" s="197">
        <f>Y193</f>
        <v>882</v>
      </c>
      <c r="Z261" s="197">
        <f>V261+W261+X261+Y261</f>
        <v>4241</v>
      </c>
      <c r="AA261" s="103"/>
      <c r="AB261" s="197">
        <f>AB193</f>
        <v>947</v>
      </c>
      <c r="AC261" s="197">
        <f>AC193</f>
        <v>940</v>
      </c>
      <c r="AD261" s="197">
        <f>AD193</f>
        <v>1131</v>
      </c>
      <c r="AE261" s="197">
        <f>AE193</f>
        <v>1299</v>
      </c>
      <c r="AF261" s="197">
        <f>AB261+AC261+AD261+AE261</f>
        <v>4317</v>
      </c>
      <c r="AG261" s="103"/>
      <c r="AH261" s="197">
        <f>AH193</f>
        <v>982</v>
      </c>
      <c r="AI261" s="197">
        <f>AI193</f>
        <v>1191</v>
      </c>
      <c r="AJ261" s="197">
        <f>AJ193</f>
        <v>1120</v>
      </c>
      <c r="AK261" s="197">
        <f>AK193</f>
        <v>1431</v>
      </c>
      <c r="AL261" s="197">
        <f>AH261+AI261+AJ261+AK261</f>
        <v>4724</v>
      </c>
      <c r="AM261" s="103"/>
      <c r="AN261" s="197">
        <f>AN193</f>
        <v>1335</v>
      </c>
      <c r="AO261" s="197">
        <f>AO193</f>
        <v>1349</v>
      </c>
      <c r="AP261" s="197">
        <f>AP193</f>
        <v>1159</v>
      </c>
      <c r="AQ261" s="197">
        <f>AQ193</f>
        <v>859</v>
      </c>
      <c r="AR261" s="197">
        <f>AN261+AO261+AP261+AQ261</f>
        <v>4702</v>
      </c>
      <c r="AS261" s="103"/>
      <c r="AT261" s="197">
        <f>AT193</f>
        <v>1528</v>
      </c>
      <c r="AU261" s="197">
        <f>AU193</f>
        <v>1347</v>
      </c>
      <c r="AV261" s="197">
        <f>AV193</f>
        <v>1441</v>
      </c>
      <c r="AW261" s="197">
        <f>AW193+2000</f>
        <v>2921</v>
      </c>
      <c r="AX261" s="197">
        <f>AT261+AU261+AV261+AW261</f>
        <v>7237</v>
      </c>
      <c r="AY261" s="103"/>
      <c r="AZ261" s="197">
        <f>AZ193</f>
        <v>1425</v>
      </c>
      <c r="BA261" s="197">
        <f>BA193</f>
        <v>1445</v>
      </c>
      <c r="BB261" s="197">
        <f>BB193</f>
        <v>1300</v>
      </c>
      <c r="BC261" s="197">
        <f>BC193+2000</f>
        <v>3150</v>
      </c>
      <c r="BD261" s="197">
        <f>AZ261+BA261+BB261+BC261</f>
        <v>7320</v>
      </c>
      <c r="BE261" s="103"/>
      <c r="BF261" s="197">
        <f>BF193</f>
        <v>1300</v>
      </c>
      <c r="BG261" s="197">
        <f>BG193</f>
        <v>1300</v>
      </c>
      <c r="BH261" s="197">
        <f>BH193</f>
        <v>1300</v>
      </c>
      <c r="BI261" s="197">
        <f>BI193+2000</f>
        <v>3575</v>
      </c>
      <c r="BJ261" s="197">
        <f>BF261+BG261+BH261+BI261</f>
        <v>7475</v>
      </c>
      <c r="BK261" s="103"/>
      <c r="BL261" s="197">
        <f>BL193</f>
        <v>1300</v>
      </c>
      <c r="BM261" s="197">
        <f>BM193</f>
        <v>1300</v>
      </c>
      <c r="BN261" s="197">
        <f>BN193</f>
        <v>1300</v>
      </c>
      <c r="BO261" s="197">
        <f>BO193+2000</f>
        <v>3775</v>
      </c>
      <c r="BP261" s="197">
        <f>BL261+BM261+BN261+BO261</f>
        <v>7675</v>
      </c>
      <c r="BQ261" s="103"/>
      <c r="BR261" s="197">
        <f>BR193</f>
        <v>1400</v>
      </c>
      <c r="BS261" s="197">
        <f>BS193</f>
        <v>1400</v>
      </c>
      <c r="BT261" s="197">
        <f>BT193</f>
        <v>1400</v>
      </c>
      <c r="BU261" s="197">
        <f>BU193+1000</f>
        <v>2650</v>
      </c>
      <c r="BV261" s="197">
        <f>BR261+BS261+BT261+BU261</f>
        <v>6850</v>
      </c>
      <c r="BW261" s="103"/>
      <c r="BX261" s="197">
        <f>BX193</f>
        <v>1425</v>
      </c>
      <c r="BY261" s="197">
        <f>BY193</f>
        <v>1425</v>
      </c>
      <c r="BZ261" s="197">
        <f>BZ193</f>
        <v>1425</v>
      </c>
      <c r="CA261" s="197">
        <f>CA193</f>
        <v>1700</v>
      </c>
      <c r="CB261" s="197">
        <f>BX261+BY261+BZ261+CA261</f>
        <v>5975</v>
      </c>
      <c r="CC261" s="103"/>
      <c r="CD261" s="197">
        <f>CD193</f>
        <v>1425</v>
      </c>
      <c r="CE261" s="197">
        <f>CE193</f>
        <v>1425</v>
      </c>
      <c r="CF261" s="197">
        <f>CF193</f>
        <v>1425</v>
      </c>
      <c r="CG261" s="197">
        <f>CG193</f>
        <v>1775</v>
      </c>
      <c r="CH261" s="197">
        <f>CD261+CE261+CF261+CG261</f>
        <v>6050</v>
      </c>
      <c r="CI261" s="103"/>
      <c r="CJ261" s="197">
        <f>CJ193</f>
        <v>1475</v>
      </c>
      <c r="CK261" s="197">
        <f>CK193</f>
        <v>1475</v>
      </c>
      <c r="CL261" s="197">
        <f>CL193</f>
        <v>1475</v>
      </c>
      <c r="CM261" s="197">
        <f>CM193</f>
        <v>1775</v>
      </c>
      <c r="CN261" s="197">
        <f>CJ261+CK261+CL261+CM261</f>
        <v>6200</v>
      </c>
      <c r="CO261" s="103"/>
      <c r="CP261" s="197">
        <f>CP193</f>
        <v>1550</v>
      </c>
      <c r="CQ261" s="197">
        <f>CQ193</f>
        <v>1550</v>
      </c>
      <c r="CR261" s="197">
        <f>CR193</f>
        <v>1550</v>
      </c>
      <c r="CS261" s="197">
        <f>CS193</f>
        <v>1775</v>
      </c>
      <c r="CT261" s="197">
        <f>CP261+CQ261+CR261+CS261</f>
        <v>6425</v>
      </c>
    </row>
    <row r="262" spans="2:98" ht="15" x14ac:dyDescent="0.3">
      <c r="B262" s="6" t="s">
        <v>23</v>
      </c>
      <c r="P262" s="103" t="s">
        <v>35</v>
      </c>
      <c r="Q262" s="103" t="s">
        <v>35</v>
      </c>
      <c r="R262" s="103" t="s">
        <v>35</v>
      </c>
      <c r="S262" s="103" t="s">
        <v>35</v>
      </c>
      <c r="T262" s="103" t="s">
        <v>35</v>
      </c>
      <c r="U262" s="103"/>
      <c r="V262" s="227">
        <f>V261/P261-1</f>
        <v>0.3815937149270483</v>
      </c>
      <c r="W262" s="227">
        <f>W261/Q261-1</f>
        <v>0.5409153952843273</v>
      </c>
      <c r="X262" s="227">
        <f>X261/R261-1</f>
        <v>3.8815117466802773E-2</v>
      </c>
      <c r="Y262" s="227">
        <f>Y261/S261-1</f>
        <v>-0.23702422145328716</v>
      </c>
      <c r="Z262" s="227">
        <f>Z261/T261-1</f>
        <v>0.13183880437683482</v>
      </c>
      <c r="AA262" s="103"/>
      <c r="AB262" s="227">
        <f>AB261/V261-1</f>
        <v>-0.23070674248578393</v>
      </c>
      <c r="AC262" s="227">
        <f>AC261/W261-1</f>
        <v>-0.1539153915391539</v>
      </c>
      <c r="AD262" s="227">
        <f>AD261/X261-1</f>
        <v>0.11209439528023601</v>
      </c>
      <c r="AE262" s="227">
        <f>AE261/Y261-1</f>
        <v>0.47278911564625847</v>
      </c>
      <c r="AF262" s="227">
        <f>AF261/Z261-1</f>
        <v>1.7920301815609552E-2</v>
      </c>
      <c r="AG262" s="103"/>
      <c r="AH262" s="227">
        <f>AH261/AB261-1</f>
        <v>3.6958817317845893E-2</v>
      </c>
      <c r="AI262" s="227">
        <f>AI261/AC261-1</f>
        <v>0.26702127659574471</v>
      </c>
      <c r="AJ262" s="227">
        <f>AJ261/AD261-1</f>
        <v>-9.7259062776303695E-3</v>
      </c>
      <c r="AK262" s="227">
        <f>AK261/AE261-1</f>
        <v>0.10161662817551953</v>
      </c>
      <c r="AL262" s="227">
        <f>AL261/AF261-1</f>
        <v>9.4278434097753161E-2</v>
      </c>
      <c r="AM262" s="103"/>
      <c r="AN262" s="227">
        <f>AN261/AH261-1</f>
        <v>0.35947046843177199</v>
      </c>
      <c r="AO262" s="227">
        <f>AO261/AI261-1</f>
        <v>0.13266162888329136</v>
      </c>
      <c r="AP262" s="227">
        <f>AP261/AJ261-1</f>
        <v>3.4821428571428559E-2</v>
      </c>
      <c r="AQ262" s="227">
        <f>AQ261/AK261-1</f>
        <v>-0.39972047519217335</v>
      </c>
      <c r="AR262" s="227">
        <f>AR261/AL261-1</f>
        <v>-4.6570702794241914E-3</v>
      </c>
      <c r="AS262" s="103"/>
      <c r="AT262" s="227">
        <f>AT261/AN261-1</f>
        <v>0.14456928838951311</v>
      </c>
      <c r="AU262" s="227">
        <f>AU261/AO261-1</f>
        <v>-1.4825796886582809E-3</v>
      </c>
      <c r="AV262" s="227">
        <f>AV261/AP261-1</f>
        <v>0.24331320103537535</v>
      </c>
      <c r="AW262" s="227">
        <f>AW261/AQ261-1</f>
        <v>2.40046565774156</v>
      </c>
      <c r="AX262" s="227">
        <f>AX261/AR261-1</f>
        <v>0.53913228413441083</v>
      </c>
      <c r="AY262" s="103"/>
      <c r="AZ262" s="227">
        <f>AZ261/AT261-1</f>
        <v>-6.740837696335078E-2</v>
      </c>
      <c r="BA262" s="227">
        <f>BA261/AU261-1</f>
        <v>7.2754268745359951E-2</v>
      </c>
      <c r="BB262" s="227">
        <f>BB261/AV261-1</f>
        <v>-9.7848716169326888E-2</v>
      </c>
      <c r="BC262" s="227">
        <f>BC261/AW261-1</f>
        <v>7.8397808969530969E-2</v>
      </c>
      <c r="BD262" s="227">
        <f>BD261/AX261-1</f>
        <v>1.1468840679839776E-2</v>
      </c>
      <c r="BE262" s="103"/>
      <c r="BF262" s="227">
        <f>BF261/AZ261-1</f>
        <v>-8.7719298245614086E-2</v>
      </c>
      <c r="BG262" s="227">
        <f>BG261/BA261-1</f>
        <v>-0.10034602076124566</v>
      </c>
      <c r="BH262" s="227">
        <f>BH261/BB261-1</f>
        <v>0</v>
      </c>
      <c r="BI262" s="227">
        <f>BI261/BC261-1</f>
        <v>0.13492063492063489</v>
      </c>
      <c r="BJ262" s="227">
        <f>BJ261/BD261-1</f>
        <v>2.1174863387978249E-2</v>
      </c>
      <c r="BK262" s="103"/>
      <c r="BL262" s="227">
        <f>BL261/BF261-1</f>
        <v>0</v>
      </c>
      <c r="BM262" s="227">
        <f>BM261/BG261-1</f>
        <v>0</v>
      </c>
      <c r="BN262" s="227">
        <f>BN261/BH261-1</f>
        <v>0</v>
      </c>
      <c r="BO262" s="227">
        <f>BO261/BI261-1</f>
        <v>5.5944055944056048E-2</v>
      </c>
      <c r="BP262" s="227">
        <f>BP261/BJ261-1</f>
        <v>2.6755852842809347E-2</v>
      </c>
      <c r="BQ262" s="103"/>
      <c r="BR262" s="227">
        <f>BR261/BL261-1</f>
        <v>7.6923076923076872E-2</v>
      </c>
      <c r="BS262" s="227">
        <f>BS261/BM261-1</f>
        <v>7.6923076923076872E-2</v>
      </c>
      <c r="BT262" s="227">
        <f>BT261/BN261-1</f>
        <v>7.6923076923076872E-2</v>
      </c>
      <c r="BU262" s="227">
        <f>BU261/BO261-1</f>
        <v>-0.29801324503311255</v>
      </c>
      <c r="BV262" s="227">
        <f>BV261/BP261-1</f>
        <v>-0.10749185667752448</v>
      </c>
      <c r="BW262" s="103"/>
      <c r="BX262" s="227">
        <f>BX261/BR261-1</f>
        <v>1.7857142857142794E-2</v>
      </c>
      <c r="BY262" s="227">
        <f>BY261/BS261-1</f>
        <v>1.7857142857142794E-2</v>
      </c>
      <c r="BZ262" s="227">
        <f>BZ261/BT261-1</f>
        <v>1.7857142857142794E-2</v>
      </c>
      <c r="CA262" s="227">
        <f>CA261/BU261-1</f>
        <v>-0.35849056603773588</v>
      </c>
      <c r="CB262" s="227">
        <f>CB261/BV261-1</f>
        <v>-0.12773722627737227</v>
      </c>
      <c r="CC262" s="103"/>
      <c r="CD262" s="227">
        <f>CD261/BX261-1</f>
        <v>0</v>
      </c>
      <c r="CE262" s="227">
        <f>CE261/BY261-1</f>
        <v>0</v>
      </c>
      <c r="CF262" s="227">
        <f>CF261/BZ261-1</f>
        <v>0</v>
      </c>
      <c r="CG262" s="227">
        <f>CG261/CA261-1</f>
        <v>4.4117647058823595E-2</v>
      </c>
      <c r="CH262" s="227">
        <f>CH261/CB261-1</f>
        <v>1.2552301255230214E-2</v>
      </c>
      <c r="CI262" s="103"/>
      <c r="CJ262" s="227">
        <f>CJ261/CD261-1</f>
        <v>3.5087719298245723E-2</v>
      </c>
      <c r="CK262" s="227">
        <f>CK261/CE261-1</f>
        <v>3.5087719298245723E-2</v>
      </c>
      <c r="CL262" s="227">
        <f>CL261/CF261-1</f>
        <v>3.5087719298245723E-2</v>
      </c>
      <c r="CM262" s="227">
        <f>CM261/CG261-1</f>
        <v>0</v>
      </c>
      <c r="CN262" s="227">
        <f>CN261/CH261-1</f>
        <v>2.4793388429751984E-2</v>
      </c>
      <c r="CO262" s="103"/>
      <c r="CP262" s="227">
        <f>CP261/CJ261-1</f>
        <v>5.0847457627118731E-2</v>
      </c>
      <c r="CQ262" s="227">
        <f>CQ261/CK261-1</f>
        <v>5.0847457627118731E-2</v>
      </c>
      <c r="CR262" s="227">
        <f>CR261/CL261-1</f>
        <v>5.0847457627118731E-2</v>
      </c>
      <c r="CS262" s="227">
        <f>CS261/CM261-1</f>
        <v>0</v>
      </c>
      <c r="CT262" s="227">
        <f>CT261/CN261-1</f>
        <v>3.629032258064524E-2</v>
      </c>
    </row>
    <row r="263" spans="2:98" x14ac:dyDescent="0.2">
      <c r="P263" s="103"/>
      <c r="Q263" s="103"/>
      <c r="R263" s="103"/>
      <c r="S263" s="103"/>
      <c r="T263" s="103"/>
      <c r="U263" s="103"/>
      <c r="V263" s="103"/>
      <c r="W263" s="103"/>
      <c r="X263" s="103"/>
      <c r="Y263" s="103"/>
      <c r="Z263" s="103"/>
      <c r="AA263" s="103"/>
      <c r="AB263" s="103"/>
      <c r="AC263" s="103"/>
      <c r="AD263" s="103"/>
      <c r="AE263" s="103"/>
      <c r="AF263" s="103"/>
      <c r="AG263" s="103"/>
      <c r="AH263" s="103"/>
      <c r="AI263" s="103"/>
      <c r="AJ263" s="103"/>
      <c r="AK263" s="103"/>
      <c r="AL263" s="103"/>
      <c r="AM263" s="103"/>
      <c r="AN263" s="103"/>
      <c r="AO263" s="103"/>
      <c r="AP263" s="103"/>
      <c r="AQ263" s="103"/>
      <c r="AR263" s="103"/>
      <c r="AS263" s="103"/>
      <c r="AT263" s="103"/>
      <c r="AU263" s="103"/>
      <c r="AV263" s="103"/>
      <c r="AW263" s="103"/>
      <c r="AX263" s="103"/>
      <c r="AY263" s="103"/>
      <c r="AZ263" s="103"/>
      <c r="BA263" s="103"/>
      <c r="BB263" s="103"/>
      <c r="BC263" s="103"/>
      <c r="BD263" s="103"/>
      <c r="BE263" s="103"/>
      <c r="BF263" s="103"/>
      <c r="BG263" s="103"/>
      <c r="BH263" s="103"/>
      <c r="BI263" s="103"/>
      <c r="BJ263" s="103"/>
      <c r="BK263" s="103"/>
      <c r="BL263" s="103"/>
      <c r="BM263" s="103"/>
      <c r="BN263" s="103"/>
      <c r="BO263" s="103"/>
      <c r="BP263" s="103"/>
      <c r="BQ263" s="103"/>
      <c r="BR263" s="103"/>
      <c r="BS263" s="103"/>
      <c r="BT263" s="103"/>
      <c r="BU263" s="103"/>
      <c r="BV263" s="103"/>
      <c r="BW263" s="103"/>
      <c r="BX263" s="103"/>
      <c r="BY263" s="103"/>
      <c r="BZ263" s="103"/>
      <c r="CA263" s="103"/>
      <c r="CB263" s="103"/>
      <c r="CC263" s="103"/>
      <c r="CD263" s="103"/>
      <c r="CE263" s="103"/>
      <c r="CF263" s="103"/>
      <c r="CG263" s="103"/>
      <c r="CH263" s="103"/>
      <c r="CI263" s="103"/>
      <c r="CJ263" s="103"/>
      <c r="CK263" s="103"/>
      <c r="CL263" s="103"/>
      <c r="CM263" s="103"/>
      <c r="CN263" s="103"/>
      <c r="CO263" s="103"/>
      <c r="CP263" s="103"/>
      <c r="CQ263" s="103"/>
      <c r="CR263" s="103"/>
      <c r="CS263" s="103"/>
      <c r="CT263" s="103"/>
    </row>
    <row r="264" spans="2:98" x14ac:dyDescent="0.2">
      <c r="B264" s="226" t="s">
        <v>38</v>
      </c>
      <c r="P264" s="197">
        <f>P258-P261</f>
        <v>635</v>
      </c>
      <c r="Q264" s="197">
        <f>Q258-Q261</f>
        <v>1084</v>
      </c>
      <c r="R264" s="197">
        <f>R258-R261</f>
        <v>704</v>
      </c>
      <c r="S264" s="197">
        <f>S258-S261</f>
        <v>190</v>
      </c>
      <c r="T264" s="197">
        <f>P264+Q264+R264+S264</f>
        <v>2613</v>
      </c>
      <c r="U264" s="114"/>
      <c r="V264" s="197">
        <f>V258-V261</f>
        <v>238</v>
      </c>
      <c r="W264" s="197">
        <f>W258-W261</f>
        <v>154.4106309607514</v>
      </c>
      <c r="X264" s="197">
        <f>X258-X261</f>
        <v>327.06884743317141</v>
      </c>
      <c r="Y264" s="197">
        <f>Y258-Y261</f>
        <v>357.26668305315411</v>
      </c>
      <c r="Z264" s="197">
        <f>V264+W264+X264+Y264</f>
        <v>1076.7461614470769</v>
      </c>
      <c r="AA264" s="114"/>
      <c r="AB264" s="197">
        <f>AB258-AB261</f>
        <v>141</v>
      </c>
      <c r="AC264" s="197">
        <f>AC258-AC261</f>
        <v>511</v>
      </c>
      <c r="AD264" s="197">
        <f>AD258-AD261</f>
        <v>215</v>
      </c>
      <c r="AE264" s="197">
        <f>AE258-AE261</f>
        <v>452</v>
      </c>
      <c r="AF264" s="197">
        <f>AB264+AC264+AD264+AE264</f>
        <v>1319</v>
      </c>
      <c r="AG264" s="114"/>
      <c r="AH264" s="197">
        <f>AH258-AH261</f>
        <v>406</v>
      </c>
      <c r="AI264" s="197">
        <f>AI258-AI261</f>
        <v>626</v>
      </c>
      <c r="AJ264" s="197">
        <f>AJ258-AJ261</f>
        <v>788</v>
      </c>
      <c r="AK264" s="197">
        <f>AK258-AK261</f>
        <v>849</v>
      </c>
      <c r="AL264" s="197">
        <f>AH264+AI264+AJ264+AK264</f>
        <v>2669</v>
      </c>
      <c r="AM264" s="114"/>
      <c r="AN264" s="197">
        <f>AN258-AN261</f>
        <v>1414</v>
      </c>
      <c r="AO264" s="197">
        <f>AO258-AO261</f>
        <v>1115</v>
      </c>
      <c r="AP264" s="197">
        <f>AP258-AP261</f>
        <v>1471</v>
      </c>
      <c r="AQ264" s="197">
        <f>AQ258-AQ261</f>
        <v>1689</v>
      </c>
      <c r="AR264" s="197">
        <f>AN264+AO264+AP264+AQ264</f>
        <v>5689</v>
      </c>
      <c r="AS264" s="114"/>
      <c r="AT264" s="197">
        <f>AT258-AT261</f>
        <v>1140</v>
      </c>
      <c r="AU264" s="197">
        <f>AU258-AU261</f>
        <v>1665</v>
      </c>
      <c r="AV264" s="197">
        <f>AV258-AV261</f>
        <v>1381</v>
      </c>
      <c r="AW264" s="197">
        <f>AW258-AW261</f>
        <v>-210</v>
      </c>
      <c r="AX264" s="197">
        <f>AT264+AU264+AV264+AW264</f>
        <v>3976</v>
      </c>
      <c r="AY264" s="114"/>
      <c r="AZ264" s="197">
        <f>AZ258-AZ261</f>
        <v>1457.8111966660385</v>
      </c>
      <c r="BA264" s="197">
        <f>BA258-BA261</f>
        <v>1788.4089630174544</v>
      </c>
      <c r="BB264" s="197">
        <f>BB258-BB261</f>
        <v>1725.6226419742916</v>
      </c>
      <c r="BC264" s="197">
        <f>BC258-BC261</f>
        <v>-409.62105615364953</v>
      </c>
      <c r="BD264" s="197">
        <f>AZ264+BA264+BB264+BC264</f>
        <v>4562.2217455041355</v>
      </c>
      <c r="BE264" s="114"/>
      <c r="BF264" s="197">
        <f>BF258-BF261</f>
        <v>1744.944450219693</v>
      </c>
      <c r="BG264" s="197">
        <f>BG258-BG261</f>
        <v>2103.1098633005804</v>
      </c>
      <c r="BH264" s="197">
        <f>BH258-BH261</f>
        <v>1895.618432987937</v>
      </c>
      <c r="BI264" s="197">
        <f>BI258-BI261</f>
        <v>-668.92299878173981</v>
      </c>
      <c r="BJ264" s="197">
        <f>BF264+BG264+BH264+BI264</f>
        <v>5074.7497477264706</v>
      </c>
      <c r="BK264" s="114"/>
      <c r="BL264" s="197">
        <f>BL258-BL261</f>
        <v>1917.448339698914</v>
      </c>
      <c r="BM264" s="197">
        <f>BM258-BM261</f>
        <v>2298.6474189393657</v>
      </c>
      <c r="BN264" s="197">
        <f>BN258-BN261</f>
        <v>2083.257471211401</v>
      </c>
      <c r="BO264" s="197">
        <f>BO258-BO261</f>
        <v>-687.33181154093154</v>
      </c>
      <c r="BP264" s="197">
        <f>BL264+BM264+BN264+BO264</f>
        <v>5612.0214183087483</v>
      </c>
      <c r="BQ264" s="114"/>
      <c r="BR264" s="197">
        <f>BR258-BR261</f>
        <v>1988.2020555538047</v>
      </c>
      <c r="BS264" s="197">
        <f>BS258-BS261</f>
        <v>2390.3131859332698</v>
      </c>
      <c r="BT264" s="197">
        <f>BT258-BT261</f>
        <v>2168.6095347013052</v>
      </c>
      <c r="BU264" s="197">
        <f>BU258-BU261</f>
        <v>621.92997112167359</v>
      </c>
      <c r="BV264" s="197">
        <f>BR264+BS264+BT264+BU264</f>
        <v>7169.0547473100532</v>
      </c>
      <c r="BW264" s="114"/>
      <c r="BX264" s="197">
        <f>BX258-BX261</f>
        <v>2116.9762374725283</v>
      </c>
      <c r="BY264" s="197">
        <f>BY258-BY261</f>
        <v>2537.9567690724152</v>
      </c>
      <c r="BZ264" s="197">
        <f>BZ258-BZ261</f>
        <v>2312.5724167998333</v>
      </c>
      <c r="CA264" s="197">
        <f>CA258-CA261</f>
        <v>1732.2775030418875</v>
      </c>
      <c r="CB264" s="197">
        <f>BX264+BY264+BZ264+CA264</f>
        <v>8699.7829263866643</v>
      </c>
      <c r="CC264" s="114"/>
      <c r="CD264" s="197">
        <f>CD258-CD261</f>
        <v>2257.3195109226976</v>
      </c>
      <c r="CE264" s="197">
        <f>CE258-CE261</f>
        <v>2693.8883720928607</v>
      </c>
      <c r="CF264" s="197">
        <f>CF258-CF261</f>
        <v>2465.8402428651402</v>
      </c>
      <c r="CG264" s="197">
        <f>CG258-CG261</f>
        <v>1806.1089447804197</v>
      </c>
      <c r="CH264" s="197">
        <f>CD264+CE264+CF264+CG264</f>
        <v>9223.1570706611201</v>
      </c>
      <c r="CI264" s="114"/>
      <c r="CJ264" s="197">
        <f>CJ258-CJ261</f>
        <v>2358.3829681339985</v>
      </c>
      <c r="CK264" s="197">
        <f>CK258-CK261</f>
        <v>2810.9314667627768</v>
      </c>
      <c r="CL264" s="197">
        <f>CL258-CL261</f>
        <v>2582.4725912665576</v>
      </c>
      <c r="CM264" s="197">
        <f>CM258-CM261</f>
        <v>1964.2056934495727</v>
      </c>
      <c r="CN264" s="197">
        <f>CJ264+CK264+CL264+CM264</f>
        <v>9715.9927196129047</v>
      </c>
      <c r="CO264" s="114"/>
      <c r="CP264" s="197">
        <f>CP258-CP261</f>
        <v>2391.5177809652942</v>
      </c>
      <c r="CQ264" s="197">
        <f>CQ258-CQ261</f>
        <v>2853.7176844099922</v>
      </c>
      <c r="CR264" s="197">
        <f>CR258-CR261</f>
        <v>2624.5101067396909</v>
      </c>
      <c r="CS264" s="197">
        <f>CS258-CS261</f>
        <v>2076.7757577033549</v>
      </c>
      <c r="CT264" s="197">
        <f>CP264+CQ264+CR264+CS264</f>
        <v>9946.5213298183317</v>
      </c>
    </row>
    <row r="265" spans="2:98" ht="15" x14ac:dyDescent="0.3">
      <c r="B265" s="6" t="s">
        <v>23</v>
      </c>
      <c r="P265" s="103" t="s">
        <v>35</v>
      </c>
      <c r="Q265" s="103" t="s">
        <v>35</v>
      </c>
      <c r="R265" s="103" t="s">
        <v>35</v>
      </c>
      <c r="S265" s="103" t="s">
        <v>35</v>
      </c>
      <c r="T265" s="103" t="s">
        <v>35</v>
      </c>
      <c r="U265" s="103"/>
      <c r="V265" s="227">
        <f>V264/P264-1</f>
        <v>-0.62519685039370076</v>
      </c>
      <c r="W265" s="227">
        <f>W264/Q264-1</f>
        <v>-0.85755476848639167</v>
      </c>
      <c r="X265" s="227">
        <f>X264/R264-1</f>
        <v>-0.53541356898697234</v>
      </c>
      <c r="Y265" s="227">
        <f>Y264/S264-1</f>
        <v>0.88035096343765318</v>
      </c>
      <c r="Z265" s="227">
        <f>Z264/T264-1</f>
        <v>-0.58792722485760551</v>
      </c>
      <c r="AA265" s="103"/>
      <c r="AB265" s="227">
        <f>AB264/V264-1</f>
        <v>-0.40756302521008403</v>
      </c>
      <c r="AC265" s="227">
        <f>AC264/W264-1</f>
        <v>2.3093576317934201</v>
      </c>
      <c r="AD265" s="227">
        <f>AD264/X264-1</f>
        <v>-0.34264604627644935</v>
      </c>
      <c r="AE265" s="227">
        <f>AE264/Y264-1</f>
        <v>0.26516135268272834</v>
      </c>
      <c r="AF265" s="227">
        <f>AF264/Z264-1</f>
        <v>0.22498695349640219</v>
      </c>
      <c r="AG265" s="103"/>
      <c r="AH265" s="227">
        <f>AH264/AB264-1</f>
        <v>1.8794326241134751</v>
      </c>
      <c r="AI265" s="227">
        <f>AI264/AC264-1</f>
        <v>0.22504892367906071</v>
      </c>
      <c r="AJ265" s="227">
        <f>AJ264/AD264-1</f>
        <v>2.6651162790697676</v>
      </c>
      <c r="AK265" s="227">
        <f>AK264/AE264-1</f>
        <v>0.87831858407079655</v>
      </c>
      <c r="AL265" s="227">
        <f>AL264/AF264-1</f>
        <v>1.0235026535253979</v>
      </c>
      <c r="AM265" s="103"/>
      <c r="AN265" s="227">
        <f>AN264/AH264-1</f>
        <v>2.4827586206896552</v>
      </c>
      <c r="AO265" s="227">
        <f>AO264/AI264-1</f>
        <v>0.78115015974440905</v>
      </c>
      <c r="AP265" s="227">
        <f>AP264/AJ264-1</f>
        <v>0.86675126903553301</v>
      </c>
      <c r="AQ265" s="227">
        <f>AQ264/AK264-1</f>
        <v>0.98939929328621901</v>
      </c>
      <c r="AR265" s="227">
        <f>AR264/AL264-1</f>
        <v>1.1315099288122892</v>
      </c>
      <c r="AS265" s="103"/>
      <c r="AT265" s="227">
        <f>AT264/AN264-1</f>
        <v>-0.19377652050919381</v>
      </c>
      <c r="AU265" s="227">
        <f>AU264/AO264-1</f>
        <v>0.49327354260089695</v>
      </c>
      <c r="AV265" s="227">
        <f>AV264/AP264-1</f>
        <v>-6.1182868796736956E-2</v>
      </c>
      <c r="AW265" s="227">
        <f>AW264/AQ264-1</f>
        <v>-1.1243339253996447</v>
      </c>
      <c r="AX265" s="227">
        <f>AX264/AR264-1</f>
        <v>-0.30110740024608895</v>
      </c>
      <c r="AY265" s="103"/>
      <c r="AZ265" s="227">
        <f>AZ264/AT264-1</f>
        <v>0.27878175146143724</v>
      </c>
      <c r="BA265" s="227">
        <f>BA264/AU264-1</f>
        <v>7.4119497307780335E-2</v>
      </c>
      <c r="BB265" s="227">
        <f>BB264/AV264-1</f>
        <v>0.24954572192200697</v>
      </c>
      <c r="BC265" s="227">
        <f>BC264/AW264-1</f>
        <v>0.9505764578745215</v>
      </c>
      <c r="BD265" s="227">
        <f>BD264/AX264-1</f>
        <v>0.14744007683705629</v>
      </c>
      <c r="BE265" s="103"/>
      <c r="BF265" s="227">
        <f>BF264/AZ264-1</f>
        <v>0.1969618934264723</v>
      </c>
      <c r="BG265" s="227">
        <f>BG264/BA264-1</f>
        <v>0.17596696661157063</v>
      </c>
      <c r="BH265" s="227">
        <f>BH264/BB264-1</f>
        <v>9.8512726292900643E-2</v>
      </c>
      <c r="BI265" s="227">
        <f>BI264/BC264-1</f>
        <v>0.63302884149301564</v>
      </c>
      <c r="BJ265" s="227">
        <f>BJ264/BD264-1</f>
        <v>0.11234175601556595</v>
      </c>
      <c r="BK265" s="103"/>
      <c r="BL265" s="227">
        <f>BL264/BF264-1</f>
        <v>9.8859244176800143E-2</v>
      </c>
      <c r="BM265" s="227">
        <f>BM264/BG264-1</f>
        <v>9.2975435592276945E-2</v>
      </c>
      <c r="BN265" s="227">
        <f>BN264/BH264-1</f>
        <v>9.8985658167346058E-2</v>
      </c>
      <c r="BO265" s="227">
        <f>BO264/BI264-1</f>
        <v>2.7520077486823391E-2</v>
      </c>
      <c r="BP265" s="227">
        <f>BP264/BJ264-1</f>
        <v>0.10587155964153294</v>
      </c>
      <c r="BQ265" s="103"/>
      <c r="BR265" s="227">
        <f>BR264/BL264-1</f>
        <v>3.6899933307199762E-2</v>
      </c>
      <c r="BS265" s="227">
        <f>BS264/BM264-1</f>
        <v>3.9878132783060849E-2</v>
      </c>
      <c r="BT265" s="227">
        <f>BT264/BN264-1</f>
        <v>4.0970482366863958E-2</v>
      </c>
      <c r="BU265" s="227">
        <f>BU264/BO264-1</f>
        <v>-1.9048467722268909</v>
      </c>
      <c r="BV265" s="227">
        <f>BV264/BP264-1</f>
        <v>0.27744607743684213</v>
      </c>
      <c r="BW265" s="103"/>
      <c r="BX265" s="227">
        <f>BX264/BR264-1</f>
        <v>6.4769162449564988E-2</v>
      </c>
      <c r="BY265" s="227">
        <f>BY264/BS264-1</f>
        <v>6.1767463781738696E-2</v>
      </c>
      <c r="BZ265" s="227">
        <f>BZ264/BT264-1</f>
        <v>6.6384879248608808E-2</v>
      </c>
      <c r="CA265" s="227">
        <f>CA264/BU264-1</f>
        <v>1.7853256531722717</v>
      </c>
      <c r="CB265" s="227">
        <f>CB264/BV264-1</f>
        <v>0.2135188296129229</v>
      </c>
      <c r="CC265" s="103"/>
      <c r="CD265" s="227">
        <f>CD264/BX264-1</f>
        <v>6.6294212927834328E-2</v>
      </c>
      <c r="CE265" s="227">
        <f>CE264/BY264-1</f>
        <v>6.1439818408504987E-2</v>
      </c>
      <c r="CF265" s="227">
        <f>CF264/BZ264-1</f>
        <v>6.6275903384422907E-2</v>
      </c>
      <c r="CG265" s="227">
        <f>CG264/CA264-1</f>
        <v>4.2621024407973884E-2</v>
      </c>
      <c r="CH265" s="227">
        <f>CH264/CB264-1</f>
        <v>6.0159448655557668E-2</v>
      </c>
      <c r="CI265" s="103"/>
      <c r="CJ265" s="227">
        <f>CJ264/CD264-1</f>
        <v>4.4771445390108022E-2</v>
      </c>
      <c r="CK265" s="227">
        <f>CK264/CE264-1</f>
        <v>4.3447640920245778E-2</v>
      </c>
      <c r="CL265" s="227">
        <f>CL264/CF264-1</f>
        <v>4.7299231464362324E-2</v>
      </c>
      <c r="CM265" s="227">
        <f>CM264/CG264-1</f>
        <v>8.7534447534876492E-2</v>
      </c>
      <c r="CN265" s="227">
        <f>CN264/CH264-1</f>
        <v>5.3434593510230499E-2</v>
      </c>
      <c r="CO265" s="103"/>
      <c r="CP265" s="227">
        <f>CP264/CJ264-1</f>
        <v>1.404980161365077E-2</v>
      </c>
      <c r="CQ265" s="227">
        <f>CQ264/CK264-1</f>
        <v>1.5221366352446308E-2</v>
      </c>
      <c r="CR265" s="227">
        <f>CR264/CL264-1</f>
        <v>1.6278010312789526E-2</v>
      </c>
      <c r="CS265" s="227">
        <f>CS264/CM264-1</f>
        <v>5.7310731065077336E-2</v>
      </c>
      <c r="CT265" s="227">
        <f>CT264/CN264-1</f>
        <v>2.3726717058986324E-2</v>
      </c>
    </row>
    <row r="266" spans="2:98" x14ac:dyDescent="0.2">
      <c r="P266" s="103"/>
      <c r="Q266" s="103"/>
      <c r="R266" s="103"/>
      <c r="S266" s="103"/>
      <c r="T266" s="103"/>
      <c r="U266" s="103"/>
      <c r="V266" s="103"/>
      <c r="W266" s="103"/>
      <c r="X266" s="103"/>
      <c r="Y266" s="103"/>
      <c r="Z266" s="103"/>
      <c r="AA266" s="103"/>
      <c r="AB266" s="103"/>
      <c r="AC266" s="103"/>
      <c r="AD266" s="103"/>
      <c r="AE266" s="103"/>
      <c r="AF266" s="103"/>
      <c r="AG266" s="103"/>
      <c r="AH266" s="103"/>
      <c r="AI266" s="103"/>
      <c r="AJ266" s="103"/>
      <c r="AK266" s="103"/>
      <c r="AL266" s="103"/>
      <c r="AM266" s="103"/>
      <c r="AN266" s="103"/>
      <c r="AO266" s="103"/>
      <c r="AP266" s="103"/>
      <c r="AQ266" s="103"/>
      <c r="AR266" s="103"/>
      <c r="AS266" s="103"/>
      <c r="AT266" s="103"/>
      <c r="AU266" s="103"/>
      <c r="AV266" s="103"/>
      <c r="AW266" s="103"/>
      <c r="AX266" s="103"/>
      <c r="AY266" s="103"/>
      <c r="AZ266" s="103"/>
      <c r="BA266" s="103"/>
      <c r="BB266" s="103"/>
      <c r="BC266" s="103"/>
      <c r="BD266" s="103"/>
      <c r="BE266" s="103"/>
      <c r="BF266" s="103"/>
      <c r="BG266" s="103"/>
      <c r="BH266" s="103"/>
      <c r="BI266" s="103"/>
      <c r="BJ266" s="103"/>
      <c r="BK266" s="103"/>
      <c r="BL266" s="103"/>
      <c r="BM266" s="103"/>
      <c r="BN266" s="103"/>
      <c r="BO266" s="103"/>
      <c r="BP266" s="103"/>
      <c r="BQ266" s="103"/>
      <c r="BR266" s="103"/>
      <c r="BS266" s="103"/>
      <c r="BT266" s="103"/>
      <c r="BU266" s="103"/>
      <c r="BV266" s="103"/>
      <c r="BW266" s="103"/>
      <c r="BX266" s="103"/>
      <c r="BY266" s="103"/>
      <c r="BZ266" s="103"/>
      <c r="CA266" s="103"/>
      <c r="CB266" s="103"/>
      <c r="CC266" s="103"/>
      <c r="CD266" s="103"/>
      <c r="CE266" s="103"/>
      <c r="CF266" s="103"/>
      <c r="CG266" s="103"/>
      <c r="CH266" s="103"/>
      <c r="CI266" s="103"/>
      <c r="CJ266" s="103"/>
      <c r="CK266" s="103"/>
      <c r="CL266" s="103"/>
      <c r="CM266" s="103"/>
      <c r="CN266" s="103"/>
      <c r="CO266" s="103"/>
      <c r="CP266" s="103"/>
      <c r="CQ266" s="103"/>
      <c r="CR266" s="103"/>
      <c r="CS266" s="103"/>
      <c r="CT266" s="103"/>
    </row>
    <row r="267" spans="2:98" x14ac:dyDescent="0.2">
      <c r="B267" s="226" t="s">
        <v>385</v>
      </c>
      <c r="P267" s="129">
        <v>0</v>
      </c>
      <c r="Q267" s="129">
        <v>0</v>
      </c>
      <c r="R267" s="129">
        <v>0</v>
      </c>
      <c r="S267" s="129">
        <v>0</v>
      </c>
      <c r="T267" s="197">
        <f>P267+Q267+R267+S267</f>
        <v>0</v>
      </c>
      <c r="U267" s="103"/>
      <c r="V267" s="129">
        <v>0</v>
      </c>
      <c r="W267" s="129">
        <v>49</v>
      </c>
      <c r="X267" s="129">
        <v>12</v>
      </c>
      <c r="Y267" s="129">
        <v>25</v>
      </c>
      <c r="Z267" s="197">
        <f>V267+W267+X267+Y267</f>
        <v>86</v>
      </c>
      <c r="AA267" s="103"/>
      <c r="AB267" s="129">
        <v>25</v>
      </c>
      <c r="AC267" s="129">
        <v>13</v>
      </c>
      <c r="AD267" s="129">
        <v>13</v>
      </c>
      <c r="AE267" s="129">
        <v>13</v>
      </c>
      <c r="AF267" s="197">
        <f>AB267+AC267+AD267+AE267</f>
        <v>64</v>
      </c>
      <c r="AG267" s="103"/>
      <c r="AH267" s="129">
        <f>AH246</f>
        <v>15</v>
      </c>
      <c r="AI267" s="129">
        <f>AI246</f>
        <v>250</v>
      </c>
      <c r="AJ267" s="129">
        <f>AJ246</f>
        <v>250</v>
      </c>
      <c r="AK267" s="129">
        <f>AK246</f>
        <v>100</v>
      </c>
      <c r="AL267" s="197">
        <f>AH267+AI267+AJ267+AK267</f>
        <v>615</v>
      </c>
      <c r="AM267" s="103"/>
      <c r="AN267" s="129">
        <f>AN246</f>
        <v>100</v>
      </c>
      <c r="AO267" s="129">
        <v>100</v>
      </c>
      <c r="AP267" s="129">
        <v>150</v>
      </c>
      <c r="AQ267" s="129">
        <v>150</v>
      </c>
      <c r="AR267" s="197">
        <f>AN267+AO267+AP267+AQ267</f>
        <v>500</v>
      </c>
      <c r="AS267" s="103"/>
      <c r="AT267" s="129">
        <f>AT246</f>
        <v>100</v>
      </c>
      <c r="AU267" s="129">
        <f>AU246</f>
        <v>0</v>
      </c>
      <c r="AV267" s="129">
        <f>AV246</f>
        <v>0</v>
      </c>
      <c r="AW267" s="129">
        <f>AW246</f>
        <v>0</v>
      </c>
      <c r="AX267" s="197">
        <f>AT267+AU267+AV267+AW267</f>
        <v>100</v>
      </c>
      <c r="AY267" s="103"/>
      <c r="AZ267" s="129">
        <v>375</v>
      </c>
      <c r="BA267" s="129">
        <v>375</v>
      </c>
      <c r="BB267" s="129">
        <v>375</v>
      </c>
      <c r="BC267" s="129">
        <v>375</v>
      </c>
      <c r="BD267" s="197">
        <f>AZ267+BA267+BB267+BC267</f>
        <v>1500</v>
      </c>
      <c r="BE267" s="103"/>
      <c r="BF267" s="129">
        <f>BF246</f>
        <v>0</v>
      </c>
      <c r="BG267" s="129">
        <f>BG246</f>
        <v>0</v>
      </c>
      <c r="BH267" s="129">
        <f>BH246</f>
        <v>0</v>
      </c>
      <c r="BI267" s="129">
        <f>BI246</f>
        <v>0</v>
      </c>
      <c r="BJ267" s="197">
        <f>BF267+BG267+BH267+BI267</f>
        <v>0</v>
      </c>
      <c r="BK267" s="103"/>
      <c r="BL267" s="129">
        <f>BL246</f>
        <v>0</v>
      </c>
      <c r="BM267" s="129">
        <f>BM246</f>
        <v>0</v>
      </c>
      <c r="BN267" s="129">
        <f>BN246</f>
        <v>0</v>
      </c>
      <c r="BO267" s="129">
        <f>BO246</f>
        <v>0</v>
      </c>
      <c r="BP267" s="197">
        <f>BL267+BM267+BN267+BO267</f>
        <v>0</v>
      </c>
      <c r="BQ267" s="103"/>
      <c r="BR267" s="129">
        <f>BR246</f>
        <v>0</v>
      </c>
      <c r="BS267" s="129">
        <f>BS246</f>
        <v>0</v>
      </c>
      <c r="BT267" s="129">
        <f>BT246</f>
        <v>0</v>
      </c>
      <c r="BU267" s="129">
        <f>BU246</f>
        <v>0</v>
      </c>
      <c r="BV267" s="197">
        <f>BR267+BS267+BT267+BU267</f>
        <v>0</v>
      </c>
      <c r="BW267" s="103"/>
      <c r="BX267" s="129">
        <f>BX246</f>
        <v>0</v>
      </c>
      <c r="BY267" s="129">
        <f>BY246</f>
        <v>0</v>
      </c>
      <c r="BZ267" s="129">
        <f>BZ246</f>
        <v>0</v>
      </c>
      <c r="CA267" s="129">
        <f>CA246</f>
        <v>0</v>
      </c>
      <c r="CB267" s="197">
        <f>BX267+BY267+BZ267+CA267</f>
        <v>0</v>
      </c>
      <c r="CC267" s="103"/>
      <c r="CD267" s="129">
        <f>CD246</f>
        <v>0</v>
      </c>
      <c r="CE267" s="129">
        <f>CE246</f>
        <v>0</v>
      </c>
      <c r="CF267" s="129">
        <f>CF246</f>
        <v>0</v>
      </c>
      <c r="CG267" s="129">
        <f>CG246</f>
        <v>0</v>
      </c>
      <c r="CH267" s="197">
        <f>CD267+CE267+CF267+CG267</f>
        <v>0</v>
      </c>
      <c r="CI267" s="103"/>
      <c r="CJ267" s="129">
        <f>CJ246</f>
        <v>0</v>
      </c>
      <c r="CK267" s="129">
        <f>CK246</f>
        <v>0</v>
      </c>
      <c r="CL267" s="129">
        <f>CL246</f>
        <v>0</v>
      </c>
      <c r="CM267" s="129">
        <f>CM246</f>
        <v>0</v>
      </c>
      <c r="CN267" s="197">
        <f>CJ267+CK267+CL267+CM267</f>
        <v>0</v>
      </c>
      <c r="CO267" s="103"/>
      <c r="CP267" s="129">
        <f>CP246</f>
        <v>0</v>
      </c>
      <c r="CQ267" s="129">
        <f>CQ246</f>
        <v>0</v>
      </c>
      <c r="CR267" s="129">
        <f>CR246</f>
        <v>0</v>
      </c>
      <c r="CS267" s="129">
        <f>CS246</f>
        <v>0</v>
      </c>
      <c r="CT267" s="197">
        <f>CP267+CQ267+CR267+CS267</f>
        <v>0</v>
      </c>
    </row>
    <row r="268" spans="2:98" x14ac:dyDescent="0.2">
      <c r="P268" s="103"/>
      <c r="Q268" s="103"/>
      <c r="R268" s="103"/>
      <c r="S268" s="103"/>
      <c r="T268" s="103"/>
      <c r="U268" s="103"/>
      <c r="V268" s="103"/>
      <c r="W268" s="103"/>
      <c r="X268" s="103"/>
      <c r="Y268" s="103"/>
      <c r="Z268" s="103"/>
      <c r="AA268" s="103"/>
      <c r="AB268" s="103"/>
      <c r="AC268" s="103"/>
      <c r="AD268" s="103"/>
      <c r="AE268" s="103"/>
      <c r="AF268" s="103"/>
      <c r="AG268" s="103"/>
      <c r="AH268" s="103"/>
      <c r="AI268" s="103"/>
      <c r="AJ268" s="103"/>
      <c r="AK268" s="103"/>
      <c r="AL268" s="103"/>
      <c r="AM268" s="103"/>
      <c r="AN268" s="103"/>
      <c r="AO268" s="103"/>
      <c r="AP268" s="103"/>
      <c r="AQ268" s="103"/>
      <c r="AR268" s="103"/>
      <c r="AS268" s="103"/>
      <c r="AT268" s="103"/>
      <c r="AU268" s="103"/>
      <c r="AV268" s="103"/>
      <c r="AW268" s="103"/>
      <c r="AX268" s="103"/>
      <c r="AY268" s="103"/>
      <c r="AZ268" s="103"/>
      <c r="BA268" s="103"/>
      <c r="BB268" s="103"/>
      <c r="BC268" s="103"/>
      <c r="BD268" s="103"/>
      <c r="BE268" s="103"/>
      <c r="BF268" s="103"/>
      <c r="BG268" s="103"/>
      <c r="BH268" s="103"/>
      <c r="BI268" s="103"/>
      <c r="BJ268" s="103"/>
      <c r="BK268" s="103"/>
      <c r="BL268" s="103"/>
      <c r="BM268" s="103"/>
      <c r="BN268" s="103"/>
      <c r="BO268" s="103"/>
      <c r="BP268" s="103"/>
      <c r="BQ268" s="103"/>
      <c r="BR268" s="103"/>
      <c r="BS268" s="103"/>
      <c r="BT268" s="103"/>
      <c r="BU268" s="103"/>
      <c r="BV268" s="103"/>
      <c r="BW268" s="103"/>
      <c r="BX268" s="103"/>
      <c r="BY268" s="103"/>
      <c r="BZ268" s="103"/>
      <c r="CA268" s="103"/>
      <c r="CB268" s="103"/>
      <c r="CC268" s="103"/>
      <c r="CD268" s="103"/>
      <c r="CE268" s="103"/>
      <c r="CF268" s="103"/>
      <c r="CG268" s="103"/>
      <c r="CH268" s="103"/>
      <c r="CI268" s="103"/>
      <c r="CJ268" s="103"/>
      <c r="CK268" s="103"/>
      <c r="CL268" s="103"/>
      <c r="CM268" s="103"/>
      <c r="CN268" s="103"/>
      <c r="CO268" s="103"/>
      <c r="CP268" s="103"/>
      <c r="CQ268" s="103"/>
      <c r="CR268" s="103"/>
      <c r="CS268" s="103"/>
      <c r="CT268" s="103"/>
    </row>
    <row r="269" spans="2:98" x14ac:dyDescent="0.2">
      <c r="B269" s="226" t="s">
        <v>389</v>
      </c>
      <c r="P269" s="129">
        <v>0</v>
      </c>
      <c r="Q269" s="129">
        <v>0</v>
      </c>
      <c r="R269" s="129">
        <v>0</v>
      </c>
      <c r="S269" s="129">
        <v>0</v>
      </c>
      <c r="T269" s="197">
        <f>P269+Q269+R269+S269</f>
        <v>0</v>
      </c>
      <c r="U269" s="103"/>
      <c r="V269" s="129">
        <v>0</v>
      </c>
      <c r="W269" s="129">
        <v>-479</v>
      </c>
      <c r="X269" s="129">
        <v>-534</v>
      </c>
      <c r="Y269" s="129">
        <v>1505</v>
      </c>
      <c r="Z269" s="197">
        <f>V269+W269+X269+Y269</f>
        <v>492</v>
      </c>
      <c r="AA269" s="103"/>
      <c r="AB269" s="197">
        <v>-226</v>
      </c>
      <c r="AC269" s="197">
        <f>-2654+33</f>
        <v>-2621</v>
      </c>
      <c r="AD269" s="197">
        <f>11+921</f>
        <v>932</v>
      </c>
      <c r="AE269" s="197">
        <f>-1697+1117</f>
        <v>-580</v>
      </c>
      <c r="AF269" s="197">
        <f>AB269+AC269+AD269+AE269</f>
        <v>-2495</v>
      </c>
      <c r="AG269" s="103"/>
      <c r="AH269" s="129">
        <f>-425-1908</f>
        <v>-2333</v>
      </c>
      <c r="AI269" s="129">
        <v>-138</v>
      </c>
      <c r="AJ269" s="129">
        <v>-334</v>
      </c>
      <c r="AK269" s="129">
        <v>-2591</v>
      </c>
      <c r="AL269" s="197">
        <f>AH269+AI269+AJ269+AK269</f>
        <v>-5396</v>
      </c>
      <c r="AM269" s="103"/>
      <c r="AN269" s="129">
        <v>-2240</v>
      </c>
      <c r="AO269" s="129">
        <v>373</v>
      </c>
      <c r="AP269" s="129">
        <v>-1314</v>
      </c>
      <c r="AQ269" s="129">
        <v>-1030</v>
      </c>
      <c r="AR269" s="197">
        <f>AN269+AO269+AP269+AQ269</f>
        <v>-4211</v>
      </c>
      <c r="AS269" s="103"/>
      <c r="AT269" s="129">
        <v>-1158</v>
      </c>
      <c r="AU269" s="129">
        <v>-6233</v>
      </c>
      <c r="AV269" s="129">
        <v>-957</v>
      </c>
      <c r="AW269" s="129">
        <v>1033</v>
      </c>
      <c r="AX269" s="197">
        <f>AT269+AU269+AV269+AW269</f>
        <v>-7315</v>
      </c>
      <c r="AY269" s="103"/>
      <c r="AZ269" s="129">
        <v>-1750</v>
      </c>
      <c r="BA269" s="129">
        <v>-1250</v>
      </c>
      <c r="BB269" s="129">
        <v>-725</v>
      </c>
      <c r="BC269" s="129">
        <v>1500</v>
      </c>
      <c r="BD269" s="197">
        <f>AZ269+BA269+BB269+BC269</f>
        <v>-2225</v>
      </c>
      <c r="BE269" s="103"/>
      <c r="BF269" s="129">
        <v>-1050</v>
      </c>
      <c r="BG269" s="129">
        <f>BF269</f>
        <v>-1050</v>
      </c>
      <c r="BH269" s="129">
        <f>BG269</f>
        <v>-1050</v>
      </c>
      <c r="BI269" s="129">
        <f>BH269</f>
        <v>-1050</v>
      </c>
      <c r="BJ269" s="197">
        <f>BF269+BG269+BH269+BI269</f>
        <v>-4200</v>
      </c>
      <c r="BK269" s="103"/>
      <c r="BL269" s="129">
        <v>-1350</v>
      </c>
      <c r="BM269" s="129">
        <f>BL269</f>
        <v>-1350</v>
      </c>
      <c r="BN269" s="129">
        <f>BM269</f>
        <v>-1350</v>
      </c>
      <c r="BO269" s="129">
        <f>BN269</f>
        <v>-1350</v>
      </c>
      <c r="BP269" s="197">
        <f>BL269+BM269+BN269+BO269</f>
        <v>-5400</v>
      </c>
      <c r="BQ269" s="103"/>
      <c r="BR269" s="129">
        <v>-1400</v>
      </c>
      <c r="BS269" s="129">
        <f>BR269</f>
        <v>-1400</v>
      </c>
      <c r="BT269" s="129">
        <f>BS269</f>
        <v>-1400</v>
      </c>
      <c r="BU269" s="129">
        <f>BT269</f>
        <v>-1400</v>
      </c>
      <c r="BV269" s="197">
        <f>BR269+BS269+BT269+BU269</f>
        <v>-5600</v>
      </c>
      <c r="BW269" s="103"/>
      <c r="BX269" s="129">
        <v>-1000</v>
      </c>
      <c r="BY269" s="129">
        <f>BX269</f>
        <v>-1000</v>
      </c>
      <c r="BZ269" s="129">
        <f>BY269</f>
        <v>-1000</v>
      </c>
      <c r="CA269" s="129">
        <f>BZ269</f>
        <v>-1000</v>
      </c>
      <c r="CB269" s="197">
        <f>BX269+BY269+BZ269+CA269</f>
        <v>-4000</v>
      </c>
      <c r="CC269" s="103"/>
      <c r="CD269" s="129">
        <v>-750</v>
      </c>
      <c r="CE269" s="129">
        <f>CD269</f>
        <v>-750</v>
      </c>
      <c r="CF269" s="129">
        <f>CE269</f>
        <v>-750</v>
      </c>
      <c r="CG269" s="129">
        <f>CF269</f>
        <v>-750</v>
      </c>
      <c r="CH269" s="197">
        <f>CD269+CE269+CF269+CG269</f>
        <v>-3000</v>
      </c>
      <c r="CI269" s="103"/>
      <c r="CJ269" s="129">
        <v>-500</v>
      </c>
      <c r="CK269" s="129">
        <f>CJ269</f>
        <v>-500</v>
      </c>
      <c r="CL269" s="129">
        <f>CK269</f>
        <v>-500</v>
      </c>
      <c r="CM269" s="129">
        <f>CL269</f>
        <v>-500</v>
      </c>
      <c r="CN269" s="197">
        <f>CJ269+CK269+CL269+CM269</f>
        <v>-2000</v>
      </c>
      <c r="CO269" s="103"/>
      <c r="CP269" s="129">
        <v>-500</v>
      </c>
      <c r="CQ269" s="129">
        <f>CP269</f>
        <v>-500</v>
      </c>
      <c r="CR269" s="129">
        <f>CQ269</f>
        <v>-500</v>
      </c>
      <c r="CS269" s="129">
        <f>CR269</f>
        <v>-500</v>
      </c>
      <c r="CT269" s="197">
        <f>CP269+CQ269+CR269+CS269</f>
        <v>-2000</v>
      </c>
    </row>
    <row r="270" spans="2:98" ht="15" x14ac:dyDescent="0.3">
      <c r="B270" s="6" t="s">
        <v>23</v>
      </c>
      <c r="P270" s="103"/>
      <c r="Q270" s="103"/>
      <c r="R270" s="103"/>
      <c r="S270" s="103"/>
      <c r="T270" s="103"/>
      <c r="U270" s="103"/>
      <c r="V270" s="103"/>
      <c r="W270" s="103"/>
      <c r="X270" s="103"/>
      <c r="Y270" s="103"/>
      <c r="Z270" s="103"/>
      <c r="AA270" s="103"/>
      <c r="AB270" s="103"/>
      <c r="AC270" s="103"/>
      <c r="AD270" s="103"/>
      <c r="AE270" s="103"/>
      <c r="AF270" s="103"/>
      <c r="AG270" s="103"/>
      <c r="AH270" s="103"/>
      <c r="AI270" s="103"/>
      <c r="AJ270" s="103"/>
      <c r="AK270" s="103"/>
      <c r="AL270" s="103"/>
      <c r="AM270" s="103"/>
      <c r="AN270" s="103"/>
      <c r="AO270" s="103"/>
      <c r="AP270" s="103"/>
      <c r="AQ270" s="103"/>
      <c r="AR270" s="103"/>
      <c r="AS270" s="103"/>
      <c r="AT270" s="103"/>
      <c r="AU270" s="103"/>
      <c r="AV270" s="103"/>
      <c r="AW270" s="103"/>
      <c r="AX270" s="103"/>
      <c r="AY270" s="114"/>
      <c r="AZ270" s="103"/>
      <c r="BA270" s="103"/>
      <c r="BB270" s="103"/>
      <c r="BC270" s="103"/>
      <c r="BD270" s="103"/>
      <c r="BE270" s="103"/>
      <c r="BF270" s="103"/>
      <c r="BG270" s="103"/>
      <c r="BH270" s="103"/>
      <c r="BI270" s="103"/>
      <c r="BJ270" s="103"/>
      <c r="BK270" s="103"/>
      <c r="BL270" s="103"/>
      <c r="BM270" s="103"/>
      <c r="BN270" s="103"/>
      <c r="BO270" s="103"/>
      <c r="BP270" s="103"/>
      <c r="BQ270" s="103"/>
      <c r="BR270" s="103"/>
      <c r="BS270" s="103"/>
      <c r="BT270" s="103"/>
      <c r="BU270" s="103"/>
      <c r="BV270" s="103"/>
      <c r="BW270" s="103"/>
      <c r="BX270" s="103"/>
      <c r="BY270" s="103"/>
      <c r="BZ270" s="103"/>
      <c r="CA270" s="103"/>
      <c r="CB270" s="103"/>
      <c r="CC270" s="103"/>
      <c r="CD270" s="103"/>
      <c r="CE270" s="103"/>
      <c r="CF270" s="103"/>
      <c r="CG270" s="103"/>
      <c r="CH270" s="103"/>
      <c r="CI270" s="103"/>
      <c r="CJ270" s="103"/>
      <c r="CK270" s="103"/>
      <c r="CL270" s="103"/>
      <c r="CM270" s="103"/>
      <c r="CN270" s="103"/>
      <c r="CO270" s="103"/>
      <c r="CP270" s="103"/>
      <c r="CQ270" s="103"/>
      <c r="CR270" s="103"/>
      <c r="CS270" s="103"/>
      <c r="CT270" s="103"/>
    </row>
    <row r="271" spans="2:98" x14ac:dyDescent="0.2">
      <c r="P271" s="103"/>
      <c r="Q271" s="103"/>
      <c r="R271" s="103"/>
      <c r="S271" s="103"/>
      <c r="T271" s="103"/>
      <c r="U271" s="103"/>
      <c r="V271" s="103"/>
      <c r="W271" s="103"/>
      <c r="X271" s="103"/>
      <c r="Y271" s="103"/>
      <c r="Z271" s="103"/>
      <c r="AA271" s="103"/>
      <c r="AB271" s="103"/>
      <c r="AC271" s="103"/>
      <c r="AD271" s="103"/>
      <c r="AE271" s="103"/>
      <c r="AF271" s="103"/>
      <c r="AG271" s="103"/>
      <c r="AH271" s="103"/>
      <c r="AI271" s="103"/>
      <c r="AJ271" s="103"/>
      <c r="AK271" s="103"/>
      <c r="AL271" s="103"/>
      <c r="AM271" s="103"/>
      <c r="AN271" s="103"/>
      <c r="AO271" s="103"/>
      <c r="AP271" s="103"/>
      <c r="AQ271" s="103"/>
      <c r="AR271" s="103"/>
      <c r="AS271" s="103"/>
      <c r="AT271" s="103"/>
      <c r="AU271" s="103"/>
      <c r="AV271" s="103"/>
      <c r="AW271" s="103"/>
      <c r="AX271" s="103"/>
      <c r="AY271" s="103"/>
      <c r="AZ271" s="103"/>
      <c r="BA271" s="103"/>
      <c r="BB271" s="103"/>
      <c r="BC271" s="103"/>
      <c r="BD271" s="103"/>
      <c r="BE271" s="103"/>
      <c r="BF271" s="103"/>
      <c r="BG271" s="103"/>
      <c r="BH271" s="103"/>
      <c r="BI271" s="103"/>
      <c r="BJ271" s="103"/>
      <c r="BK271" s="103"/>
      <c r="BL271" s="103"/>
      <c r="BM271" s="103"/>
      <c r="BN271" s="103"/>
      <c r="BO271" s="103"/>
      <c r="BP271" s="103"/>
      <c r="BQ271" s="103"/>
      <c r="BR271" s="103"/>
      <c r="BS271" s="103"/>
      <c r="BT271" s="103"/>
      <c r="BU271" s="103"/>
      <c r="BV271" s="103"/>
      <c r="BW271" s="103"/>
      <c r="BX271" s="103"/>
      <c r="BY271" s="103"/>
      <c r="BZ271" s="103"/>
      <c r="CA271" s="103"/>
      <c r="CB271" s="103"/>
      <c r="CC271" s="103"/>
      <c r="CD271" s="103"/>
      <c r="CE271" s="103"/>
      <c r="CF271" s="103"/>
      <c r="CG271" s="103"/>
      <c r="CH271" s="103"/>
      <c r="CI271" s="103"/>
      <c r="CJ271" s="103"/>
      <c r="CK271" s="103"/>
      <c r="CL271" s="103"/>
      <c r="CM271" s="103"/>
      <c r="CN271" s="103"/>
      <c r="CO271" s="103"/>
      <c r="CP271" s="103"/>
      <c r="CQ271" s="103"/>
      <c r="CR271" s="103"/>
      <c r="CS271" s="103"/>
      <c r="CT271" s="103"/>
    </row>
    <row r="272" spans="2:98" x14ac:dyDescent="0.2">
      <c r="B272" s="226" t="s">
        <v>386</v>
      </c>
      <c r="P272" s="129">
        <f>P264-P267+P269</f>
        <v>635</v>
      </c>
      <c r="Q272" s="129">
        <f>Q264-Q267+Q269</f>
        <v>1084</v>
      </c>
      <c r="R272" s="129">
        <f>R264-R267+R269</f>
        <v>704</v>
      </c>
      <c r="S272" s="129">
        <f>S264-S267+S269</f>
        <v>190</v>
      </c>
      <c r="T272" s="197">
        <f>P272+Q272+R272+S272</f>
        <v>2613</v>
      </c>
      <c r="U272" s="103"/>
      <c r="V272" s="380">
        <f>V264-V267+V269</f>
        <v>238</v>
      </c>
      <c r="W272" s="380">
        <f>W264-W267+W269</f>
        <v>-373.5893690392486</v>
      </c>
      <c r="X272" s="380">
        <f>X264-X267+X269</f>
        <v>-218.93115256682859</v>
      </c>
      <c r="Y272" s="380">
        <f>Y264-Y267+Y269</f>
        <v>1837.2666830531541</v>
      </c>
      <c r="Z272" s="197">
        <f>V272+W272+X272+Y272</f>
        <v>1482.7461614470769</v>
      </c>
      <c r="AA272" s="103"/>
      <c r="AB272" s="380">
        <f>AB264-AB267+AB269</f>
        <v>-110</v>
      </c>
      <c r="AC272" s="380">
        <f>AC264-AC267+AC269</f>
        <v>-2123</v>
      </c>
      <c r="AD272" s="380">
        <f>AD264-AD267+AD269</f>
        <v>1134</v>
      </c>
      <c r="AE272" s="380">
        <f>AE264-AE267+AE269</f>
        <v>-141</v>
      </c>
      <c r="AF272" s="197">
        <f>AB272+AC272+AD272+AE272</f>
        <v>-1240</v>
      </c>
      <c r="AG272" s="103"/>
      <c r="AH272" s="380">
        <f>AH264-AH267+AH269</f>
        <v>-1942</v>
      </c>
      <c r="AI272" s="380">
        <f>AI264-AI267+AI269</f>
        <v>238</v>
      </c>
      <c r="AJ272" s="380">
        <f>AJ264-AJ267+AJ269</f>
        <v>204</v>
      </c>
      <c r="AK272" s="380">
        <f>AK264-AK267+AK269</f>
        <v>-1842</v>
      </c>
      <c r="AL272" s="197">
        <f>AH272+AI272+AJ272+AK272</f>
        <v>-3342</v>
      </c>
      <c r="AM272" s="103"/>
      <c r="AN272" s="380">
        <f>AN264-AN267+AN269</f>
        <v>-926</v>
      </c>
      <c r="AO272" s="380">
        <f>AO264-AO267+AO269</f>
        <v>1388</v>
      </c>
      <c r="AP272" s="380">
        <f>AP264-AP267+AP269</f>
        <v>7</v>
      </c>
      <c r="AQ272" s="380">
        <f>AQ264-AQ267+AQ269</f>
        <v>509</v>
      </c>
      <c r="AR272" s="197">
        <f>AN272+AO272+AP272+AQ272</f>
        <v>978</v>
      </c>
      <c r="AS272" s="103"/>
      <c r="AT272" s="380">
        <f>AT264-AT267+AT269</f>
        <v>-118</v>
      </c>
      <c r="AU272" s="380">
        <f>AU264-AU267+AU269</f>
        <v>-4568</v>
      </c>
      <c r="AV272" s="380">
        <f>AV264-AV267+AV269</f>
        <v>424</v>
      </c>
      <c r="AW272" s="380">
        <f>AW264-AW267+AW269</f>
        <v>823</v>
      </c>
      <c r="AX272" s="197">
        <f>AT272+AU272+AV272+AW272</f>
        <v>-3439</v>
      </c>
      <c r="AY272" s="103"/>
      <c r="AZ272" s="380">
        <f>AZ264-AZ267+AZ269</f>
        <v>-667.18880333396146</v>
      </c>
      <c r="BA272" s="380">
        <f>BA264-BA267+BA269</f>
        <v>163.40896301745443</v>
      </c>
      <c r="BB272" s="380">
        <f>BB264-BB267+BB269</f>
        <v>625.62264197429158</v>
      </c>
      <c r="BC272" s="380">
        <f>BC264-BC267+BC269</f>
        <v>715.37894384635047</v>
      </c>
      <c r="BD272" s="197">
        <f>AZ272+BA272+BB272+BC272</f>
        <v>837.22174550413501</v>
      </c>
      <c r="BE272" s="103"/>
      <c r="BF272" s="380">
        <f>BF264-BF267+BF269</f>
        <v>694.94445021969295</v>
      </c>
      <c r="BG272" s="380">
        <f>BG264-BG267+BG269</f>
        <v>1053.1098633005804</v>
      </c>
      <c r="BH272" s="380">
        <f>BH264-BH267+BH269</f>
        <v>845.61843298793701</v>
      </c>
      <c r="BI272" s="380">
        <f>BI264-BI267+BI269</f>
        <v>-1718.9229987817398</v>
      </c>
      <c r="BJ272" s="197">
        <f>BF272+BG272+BH272+BI272</f>
        <v>874.74974772647056</v>
      </c>
      <c r="BK272" s="103"/>
      <c r="BL272" s="380">
        <f>BL264-BL267+BL269</f>
        <v>567.44833969891397</v>
      </c>
      <c r="BM272" s="380">
        <f>BM264-BM267+BM269</f>
        <v>948.64741893936571</v>
      </c>
      <c r="BN272" s="380">
        <f>BN264-BN267+BN269</f>
        <v>733.25747121140103</v>
      </c>
      <c r="BO272" s="380">
        <f>BO264-BO267+BO269</f>
        <v>-2037.3318115409315</v>
      </c>
      <c r="BP272" s="197">
        <f>BL272+BM272+BN272+BO272</f>
        <v>212.02141830874916</v>
      </c>
      <c r="BQ272" s="103"/>
      <c r="BR272" s="380">
        <f>BR264-BR267+BR269</f>
        <v>588.20205555380471</v>
      </c>
      <c r="BS272" s="380">
        <f>BS264-BS267+BS269</f>
        <v>990.31318593326978</v>
      </c>
      <c r="BT272" s="380">
        <f>BT264-BT267+BT269</f>
        <v>768.60953470130517</v>
      </c>
      <c r="BU272" s="380">
        <f>BU264-BU267+BU269</f>
        <v>-778.07002887832641</v>
      </c>
      <c r="BV272" s="197">
        <f>BR272+BS272+BT272+BU272</f>
        <v>1569.0547473100532</v>
      </c>
      <c r="BW272" s="103"/>
      <c r="BX272" s="380">
        <f>BX264-BX267+BX269</f>
        <v>1116.9762374725283</v>
      </c>
      <c r="BY272" s="380">
        <f>BY264-BY267+BY269</f>
        <v>1537.9567690724152</v>
      </c>
      <c r="BZ272" s="380">
        <f>BZ264-BZ267+BZ269</f>
        <v>1312.5724167998333</v>
      </c>
      <c r="CA272" s="380">
        <f>CA264-CA267+CA269</f>
        <v>732.27750304188748</v>
      </c>
      <c r="CB272" s="197">
        <f>BX272+BY272+BZ272+CA272</f>
        <v>4699.7829263866643</v>
      </c>
      <c r="CC272" s="103"/>
      <c r="CD272" s="380">
        <f>CD264-CD267+CD269</f>
        <v>1507.3195109226976</v>
      </c>
      <c r="CE272" s="380">
        <f>CE264-CE267+CE269</f>
        <v>1943.8883720928607</v>
      </c>
      <c r="CF272" s="380">
        <f>CF264-CF267+CF269</f>
        <v>1715.8402428651402</v>
      </c>
      <c r="CG272" s="380">
        <f>CG264-CG267+CG269</f>
        <v>1056.1089447804197</v>
      </c>
      <c r="CH272" s="197">
        <f>CD272+CE272+CF272+CG272</f>
        <v>6223.1570706611183</v>
      </c>
      <c r="CI272" s="103"/>
      <c r="CJ272" s="380">
        <f>CJ264-CJ267+CJ269</f>
        <v>1858.3829681339985</v>
      </c>
      <c r="CK272" s="380">
        <f>CK264-CK267+CK269</f>
        <v>2310.9314667627768</v>
      </c>
      <c r="CL272" s="380">
        <f>CL264-CL267+CL269</f>
        <v>2082.4725912665576</v>
      </c>
      <c r="CM272" s="380">
        <f>CM264-CM267+CM269</f>
        <v>1464.2056934495727</v>
      </c>
      <c r="CN272" s="197">
        <f>CJ272+CK272+CL272+CM272</f>
        <v>7715.9927196129047</v>
      </c>
      <c r="CO272" s="103"/>
      <c r="CP272" s="380">
        <f>CP264-CP267+CP269</f>
        <v>1891.5177809652942</v>
      </c>
      <c r="CQ272" s="380">
        <f>CQ264-CQ267+CQ269</f>
        <v>2353.7176844099922</v>
      </c>
      <c r="CR272" s="380">
        <f>CR264-CR267+CR269</f>
        <v>2124.5101067396909</v>
      </c>
      <c r="CS272" s="380">
        <f>CS264-CS267+CS269</f>
        <v>1576.7757577033549</v>
      </c>
      <c r="CT272" s="197">
        <f>CP272+CQ272+CR272+CS272</f>
        <v>7946.5213298183317</v>
      </c>
    </row>
    <row r="273" spans="1:98" x14ac:dyDescent="0.2">
      <c r="P273" s="103"/>
      <c r="Q273" s="103"/>
      <c r="R273" s="103"/>
      <c r="S273" s="103"/>
      <c r="T273" s="103"/>
      <c r="U273" s="103"/>
      <c r="V273" s="103"/>
      <c r="X273" s="103"/>
      <c r="Y273" s="103"/>
      <c r="Z273" s="103"/>
      <c r="AA273" s="103"/>
      <c r="AB273" s="103"/>
      <c r="AC273" s="103"/>
      <c r="AD273" s="103"/>
      <c r="AE273" s="103"/>
      <c r="AF273" s="103"/>
      <c r="AG273" s="103"/>
      <c r="AH273" s="103"/>
      <c r="AI273" s="103"/>
      <c r="AJ273" s="103"/>
      <c r="AK273" s="103"/>
      <c r="AL273" s="103"/>
      <c r="AM273" s="103"/>
      <c r="AN273" s="103"/>
      <c r="AO273" s="103"/>
      <c r="AP273" s="103"/>
      <c r="AQ273" s="103"/>
      <c r="AR273" s="103"/>
      <c r="AS273" s="103"/>
      <c r="AT273" s="103"/>
      <c r="AU273" s="103"/>
      <c r="AV273" s="103"/>
      <c r="AW273" s="103"/>
      <c r="AX273" s="103"/>
      <c r="AY273" s="103"/>
      <c r="AZ273" s="103"/>
      <c r="BA273" s="103"/>
      <c r="BB273" s="103"/>
      <c r="BC273" s="103"/>
      <c r="BD273" s="103"/>
      <c r="BE273" s="103"/>
      <c r="BF273" s="103"/>
      <c r="BG273" s="103"/>
      <c r="BH273" s="103"/>
      <c r="BI273" s="103"/>
      <c r="BJ273" s="103"/>
      <c r="BK273" s="103"/>
      <c r="BL273" s="103"/>
      <c r="BM273" s="103"/>
      <c r="BN273" s="103"/>
      <c r="BO273" s="103"/>
      <c r="BP273" s="103"/>
      <c r="BQ273" s="103"/>
      <c r="BR273" s="103"/>
      <c r="BS273" s="103"/>
      <c r="BT273" s="103"/>
      <c r="BU273" s="103"/>
      <c r="BV273" s="103"/>
      <c r="BW273" s="103"/>
      <c r="BX273" s="103"/>
      <c r="BY273" s="103"/>
      <c r="BZ273" s="103"/>
      <c r="CA273" s="103"/>
      <c r="CB273" s="103"/>
      <c r="CC273" s="103"/>
      <c r="CD273" s="103"/>
      <c r="CE273" s="103"/>
      <c r="CF273" s="103"/>
      <c r="CG273" s="103"/>
      <c r="CH273" s="103"/>
      <c r="CI273" s="103"/>
      <c r="CJ273" s="103"/>
      <c r="CK273" s="103"/>
      <c r="CL273" s="103"/>
      <c r="CM273" s="103"/>
      <c r="CN273" s="103"/>
      <c r="CO273" s="103"/>
      <c r="CP273" s="103"/>
      <c r="CQ273" s="103"/>
      <c r="CR273" s="103"/>
      <c r="CS273" s="103"/>
      <c r="CT273" s="103"/>
    </row>
    <row r="274" spans="1:98" x14ac:dyDescent="0.2">
      <c r="B274" t="s">
        <v>167</v>
      </c>
      <c r="P274" s="129">
        <v>0</v>
      </c>
      <c r="Q274" s="129">
        <v>0</v>
      </c>
      <c r="R274" s="129">
        <v>0</v>
      </c>
      <c r="S274" s="129">
        <v>0</v>
      </c>
      <c r="T274" s="197">
        <f>P274+Q274+R274+S274</f>
        <v>0</v>
      </c>
      <c r="U274" s="103"/>
      <c r="V274" s="129">
        <v>0</v>
      </c>
      <c r="W274" s="197">
        <v>265</v>
      </c>
      <c r="X274" s="197">
        <v>272</v>
      </c>
      <c r="Y274" s="197">
        <v>304</v>
      </c>
      <c r="Z274" s="197">
        <f>V274+W274+X274+Y274</f>
        <v>841</v>
      </c>
      <c r="AA274" s="197"/>
      <c r="AB274" s="197">
        <v>304</v>
      </c>
      <c r="AC274" s="197">
        <v>304</v>
      </c>
      <c r="AD274" s="197">
        <v>350</v>
      </c>
      <c r="AE274" s="197">
        <v>331</v>
      </c>
      <c r="AF274" s="197">
        <f>AB274+AC274+AD274+AE274</f>
        <v>1289</v>
      </c>
      <c r="AG274" s="114"/>
      <c r="AH274" s="197">
        <v>331</v>
      </c>
      <c r="AI274" s="197">
        <v>214</v>
      </c>
      <c r="AJ274" s="197">
        <v>331</v>
      </c>
      <c r="AK274" s="197">
        <v>418</v>
      </c>
      <c r="AL274" s="197">
        <f>AH274+AI274+AJ274+AK274</f>
        <v>1294</v>
      </c>
      <c r="AM274" s="114"/>
      <c r="AN274" s="197">
        <v>400</v>
      </c>
      <c r="AO274" s="197">
        <v>453</v>
      </c>
      <c r="AP274" s="197">
        <v>506</v>
      </c>
      <c r="AQ274" s="197">
        <v>389</v>
      </c>
      <c r="AR274" s="197">
        <f>AN274+AO274+AP274+AQ274</f>
        <v>1748</v>
      </c>
      <c r="AS274" s="114"/>
      <c r="AT274" s="197">
        <v>335</v>
      </c>
      <c r="AU274" s="197">
        <v>311</v>
      </c>
      <c r="AV274" s="197">
        <v>352</v>
      </c>
      <c r="AW274" s="197">
        <v>346</v>
      </c>
      <c r="AX274" s="197">
        <f>AT274+AU274+AV274+AW274</f>
        <v>1344</v>
      </c>
      <c r="AY274" s="114"/>
      <c r="AZ274" s="197">
        <f ca="1">AZ234</f>
        <v>370.05875079129049</v>
      </c>
      <c r="BA274" s="197">
        <f ca="1">BA234</f>
        <v>377.72457518483287</v>
      </c>
      <c r="BB274" s="197">
        <f ca="1">BB234</f>
        <v>377.51761501925847</v>
      </c>
      <c r="BC274" s="197">
        <f ca="1">BC234</f>
        <v>373.90645272101619</v>
      </c>
      <c r="BD274" s="197">
        <f ca="1">AZ274+BA274+BB274+BC274</f>
        <v>1499.207393716398</v>
      </c>
      <c r="BE274" s="114"/>
      <c r="BF274" s="197">
        <f ca="1">BF234</f>
        <v>369.82356831118398</v>
      </c>
      <c r="BG274" s="197">
        <f ca="1">BG234</f>
        <v>363.60901018415626</v>
      </c>
      <c r="BH274" s="197">
        <f ca="1">BH234</f>
        <v>356.38928895159557</v>
      </c>
      <c r="BI274" s="197">
        <f ca="1">BI234</f>
        <v>366.16391780848818</v>
      </c>
      <c r="BJ274" s="197">
        <f ca="1">BF274+BG274+BH274+BI274</f>
        <v>1455.9857852554239</v>
      </c>
      <c r="BK274" s="114"/>
      <c r="BL274" s="197">
        <f ca="1">BL234</f>
        <v>377.77331565030556</v>
      </c>
      <c r="BM274" s="197">
        <f ca="1">BM234</f>
        <v>373.08624393108215</v>
      </c>
      <c r="BN274" s="197">
        <f ca="1">BN234</f>
        <v>367.31956204048458</v>
      </c>
      <c r="BO274" s="197">
        <f ca="1">BO234</f>
        <v>379.8836369689356</v>
      </c>
      <c r="BP274" s="197">
        <f ca="1">BL274+BM274+BN274+BO274</f>
        <v>1498.0627585908078</v>
      </c>
      <c r="BQ274" s="114"/>
      <c r="BR274" s="197">
        <f ca="1">BR234</f>
        <v>393.49651012530904</v>
      </c>
      <c r="BS274" s="197">
        <f ca="1">BS234</f>
        <v>388.61855907002206</v>
      </c>
      <c r="BT274" s="197">
        <f ca="1">BT234</f>
        <v>382.56867924078904</v>
      </c>
      <c r="BU274" s="197">
        <f ca="1">BU234</f>
        <v>387.34232969736951</v>
      </c>
      <c r="BV274" s="197">
        <f ca="1">BR274+BS274+BT274+BU274</f>
        <v>1552.0260781334896</v>
      </c>
      <c r="BW274" s="114"/>
      <c r="BX274" s="197">
        <f ca="1">BX234</f>
        <v>390.02792196113842</v>
      </c>
      <c r="BY274" s="197">
        <f ca="1">BY234</f>
        <v>378.47352868123517</v>
      </c>
      <c r="BZ274" s="197">
        <f ca="1">BZ234</f>
        <v>365.57131206735278</v>
      </c>
      <c r="CA274" s="197">
        <f ca="1">CA234</f>
        <v>357.47526660267613</v>
      </c>
      <c r="CB274" s="197">
        <f ca="1">BX274+BY274+BZ274+CA274</f>
        <v>1491.5480293124024</v>
      </c>
      <c r="CC274" s="114"/>
      <c r="CD274" s="197">
        <f ca="1">CD234</f>
        <v>348.07925634519881</v>
      </c>
      <c r="CE274" s="197">
        <f ca="1">CE234</f>
        <v>331.10058458744089</v>
      </c>
      <c r="CF274" s="197">
        <f ca="1">CF234</f>
        <v>312.62758184019242</v>
      </c>
      <c r="CG274" s="197">
        <f ca="1">CG234</f>
        <v>299.39805006125977</v>
      </c>
      <c r="CH274" s="197">
        <f ca="1">CD274+CE274+CF274+CG274</f>
        <v>1291.205472834092</v>
      </c>
      <c r="CI274" s="114"/>
      <c r="CJ274" s="197">
        <f ca="1">CJ234</f>
        <v>285.12700304493438</v>
      </c>
      <c r="CK274" s="197">
        <f ca="1">CK234</f>
        <v>262.94690481684506</v>
      </c>
      <c r="CL274" s="197">
        <f ca="1">CL234</f>
        <v>241.97129457686583</v>
      </c>
      <c r="CM274" s="197">
        <f ca="1">CM234</f>
        <v>228.86925434989379</v>
      </c>
      <c r="CN274" s="197">
        <f ca="1">CJ274+CK274+CL274+CM274</f>
        <v>1018.914456788539</v>
      </c>
      <c r="CO274" s="114"/>
      <c r="CP274" s="197">
        <f ca="1">CP234</f>
        <v>217.06239994064077</v>
      </c>
      <c r="CQ274" s="197">
        <f ca="1">CQ234</f>
        <v>200.65208007977679</v>
      </c>
      <c r="CR274" s="197">
        <f ca="1">CR234</f>
        <v>183.1145485589924</v>
      </c>
      <c r="CS274" s="197">
        <f ca="1">CS234</f>
        <v>169.36522610327725</v>
      </c>
      <c r="CT274" s="197">
        <f ca="1">CP274+CQ274+CR274+CS274</f>
        <v>770.19425468268719</v>
      </c>
    </row>
    <row r="275" spans="1:98" x14ac:dyDescent="0.2">
      <c r="P275" s="103"/>
      <c r="Q275" s="103"/>
      <c r="R275" s="103"/>
      <c r="S275" s="103"/>
      <c r="T275" s="103"/>
      <c r="U275" s="103"/>
      <c r="V275" s="103"/>
      <c r="W275" s="103"/>
      <c r="X275" s="103"/>
      <c r="Y275" s="103"/>
      <c r="Z275" s="103"/>
      <c r="AA275" s="103"/>
      <c r="AB275" s="103"/>
      <c r="AC275" s="103"/>
      <c r="AD275" s="103"/>
      <c r="AE275" s="103"/>
      <c r="AF275" s="103"/>
      <c r="AG275" s="103"/>
      <c r="AH275" s="103"/>
      <c r="AI275" s="103"/>
      <c r="AJ275" s="103"/>
      <c r="AK275" s="103"/>
      <c r="AL275" s="103"/>
      <c r="AM275" s="103"/>
      <c r="AN275" s="103"/>
      <c r="AO275" s="103"/>
      <c r="AP275" s="103"/>
      <c r="AQ275" s="103"/>
      <c r="AR275" s="103"/>
      <c r="AS275" s="103"/>
      <c r="AT275" s="103"/>
      <c r="AU275" s="103"/>
      <c r="AV275" s="103"/>
      <c r="AW275" s="103"/>
      <c r="AX275" s="103"/>
      <c r="AY275" s="103"/>
      <c r="AZ275" s="103"/>
      <c r="BA275" s="103"/>
      <c r="BB275" s="103"/>
      <c r="BC275" s="103"/>
      <c r="BD275" s="103"/>
      <c r="BE275" s="103"/>
      <c r="BF275" s="103"/>
      <c r="BG275" s="103"/>
      <c r="BH275" s="103"/>
      <c r="BI275" s="103"/>
      <c r="BJ275" s="103"/>
      <c r="BK275" s="103"/>
      <c r="BL275" s="103"/>
      <c r="BM275" s="103"/>
      <c r="BN275" s="103"/>
      <c r="BO275" s="103"/>
      <c r="BP275" s="103"/>
      <c r="BQ275" s="103"/>
      <c r="BR275" s="103"/>
      <c r="BS275" s="103"/>
      <c r="BT275" s="103"/>
      <c r="BU275" s="103"/>
      <c r="BV275" s="103"/>
      <c r="BW275" s="103"/>
      <c r="BX275" s="103"/>
      <c r="BY275" s="103"/>
      <c r="BZ275" s="103"/>
      <c r="CA275" s="103"/>
      <c r="CB275" s="103"/>
      <c r="CC275" s="103"/>
      <c r="CD275" s="103"/>
      <c r="CE275" s="103"/>
      <c r="CF275" s="103"/>
      <c r="CG275" s="103"/>
      <c r="CH275" s="103"/>
      <c r="CI275" s="103"/>
      <c r="CJ275" s="103"/>
      <c r="CK275" s="103"/>
      <c r="CL275" s="103"/>
      <c r="CM275" s="103"/>
      <c r="CN275" s="103"/>
      <c r="CO275" s="103"/>
      <c r="CP275" s="103"/>
      <c r="CQ275" s="103"/>
      <c r="CR275" s="103"/>
      <c r="CS275" s="103"/>
      <c r="CT275" s="103"/>
    </row>
    <row r="276" spans="1:98" x14ac:dyDescent="0.2">
      <c r="B276" t="s">
        <v>91</v>
      </c>
      <c r="P276" s="129">
        <v>0</v>
      </c>
      <c r="Q276" s="129">
        <v>0</v>
      </c>
      <c r="R276" s="129">
        <v>0</v>
      </c>
      <c r="S276" s="129">
        <v>0</v>
      </c>
      <c r="T276" s="197">
        <f>P276+Q276+R276+S276</f>
        <v>0</v>
      </c>
      <c r="U276" s="103"/>
      <c r="V276" s="129">
        <v>0</v>
      </c>
      <c r="W276" s="129">
        <f>W239</f>
        <v>0</v>
      </c>
      <c r="X276" s="129">
        <f>X239</f>
        <v>0</v>
      </c>
      <c r="Y276" s="129">
        <f>Y239</f>
        <v>0</v>
      </c>
      <c r="Z276" s="197">
        <f>V276+W276+X276+Y276</f>
        <v>0</v>
      </c>
      <c r="AA276" s="103"/>
      <c r="AB276" s="129">
        <v>0</v>
      </c>
      <c r="AC276" s="129">
        <f>AC239</f>
        <v>0</v>
      </c>
      <c r="AD276" s="129">
        <f>AD239</f>
        <v>0</v>
      </c>
      <c r="AE276" s="129">
        <f>AE239</f>
        <v>0</v>
      </c>
      <c r="AF276" s="197">
        <f>AB276+AC276+AD276+AE276</f>
        <v>0</v>
      </c>
      <c r="AG276" s="103"/>
      <c r="AH276" s="129">
        <v>0</v>
      </c>
      <c r="AI276" s="129">
        <f>AI239</f>
        <v>0</v>
      </c>
      <c r="AJ276" s="129">
        <f>AJ239</f>
        <v>0</v>
      </c>
      <c r="AK276" s="129">
        <f>AK239</f>
        <v>0</v>
      </c>
      <c r="AL276" s="197">
        <f>AH276+AI276+AJ276+AK276</f>
        <v>0</v>
      </c>
      <c r="AM276" s="103"/>
      <c r="AN276" s="129">
        <v>0</v>
      </c>
      <c r="AO276" s="129">
        <f>AO239</f>
        <v>0</v>
      </c>
      <c r="AP276" s="129">
        <f>AP239</f>
        <v>0</v>
      </c>
      <c r="AQ276" s="129">
        <f>AQ239</f>
        <v>0</v>
      </c>
      <c r="AR276" s="197">
        <f>AN276+AO276+AP276+AQ276</f>
        <v>0</v>
      </c>
      <c r="AS276" s="103"/>
      <c r="AT276" s="129">
        <v>0</v>
      </c>
      <c r="AU276" s="129">
        <f>AU239</f>
        <v>0</v>
      </c>
      <c r="AV276" s="129">
        <f>AV239</f>
        <v>0</v>
      </c>
      <c r="AW276" s="129">
        <f>AW239</f>
        <v>0</v>
      </c>
      <c r="AX276" s="197">
        <f>AT276+AU276+AV276+AW276</f>
        <v>0</v>
      </c>
      <c r="AY276" s="103"/>
      <c r="AZ276" s="129">
        <v>0</v>
      </c>
      <c r="BA276" s="129">
        <f>BA239</f>
        <v>0</v>
      </c>
      <c r="BB276" s="129">
        <f>BB239</f>
        <v>0</v>
      </c>
      <c r="BC276" s="129">
        <f>BC239</f>
        <v>0</v>
      </c>
      <c r="BD276" s="197">
        <f>AZ276+BA276+BB276+BC276</f>
        <v>0</v>
      </c>
      <c r="BE276" s="103"/>
      <c r="BF276" s="129">
        <v>0</v>
      </c>
      <c r="BG276" s="129">
        <f>BG239</f>
        <v>0</v>
      </c>
      <c r="BH276" s="129">
        <f>BH239</f>
        <v>0</v>
      </c>
      <c r="BI276" s="129">
        <f>BI239</f>
        <v>0</v>
      </c>
      <c r="BJ276" s="197">
        <f>BF276+BG276+BH276+BI276</f>
        <v>0</v>
      </c>
      <c r="BK276" s="103"/>
      <c r="BL276" s="380">
        <v>0</v>
      </c>
      <c r="BM276" s="380">
        <v>0</v>
      </c>
      <c r="BN276" s="380">
        <v>0</v>
      </c>
      <c r="BO276" s="380">
        <v>0</v>
      </c>
      <c r="BP276" s="197">
        <f>BL276+BM276+BN276+BO276</f>
        <v>0</v>
      </c>
      <c r="BQ276" s="103"/>
      <c r="BR276" s="380">
        <v>0</v>
      </c>
      <c r="BS276" s="380">
        <v>0</v>
      </c>
      <c r="BT276" s="380">
        <v>0</v>
      </c>
      <c r="BU276" s="380">
        <v>0</v>
      </c>
      <c r="BV276" s="197">
        <f>BR276+BS276+BT276+BU276</f>
        <v>0</v>
      </c>
      <c r="BW276" s="103"/>
      <c r="BX276" s="380">
        <v>0</v>
      </c>
      <c r="BY276" s="380">
        <v>0</v>
      </c>
      <c r="BZ276" s="380">
        <v>0</v>
      </c>
      <c r="CA276" s="380">
        <v>0</v>
      </c>
      <c r="CB276" s="197">
        <f>BX276+BY276+BZ276+CA276</f>
        <v>0</v>
      </c>
      <c r="CC276" s="103"/>
      <c r="CD276" s="380">
        <v>0</v>
      </c>
      <c r="CE276" s="380">
        <v>0</v>
      </c>
      <c r="CF276" s="380">
        <v>0</v>
      </c>
      <c r="CG276" s="380">
        <v>0</v>
      </c>
      <c r="CH276" s="197">
        <f>CD276+CE276+CF276+CG276</f>
        <v>0</v>
      </c>
      <c r="CI276" s="103"/>
      <c r="CJ276" s="380">
        <v>0</v>
      </c>
      <c r="CK276" s="380">
        <v>0</v>
      </c>
      <c r="CL276" s="380">
        <f ca="1">CL239</f>
        <v>463.89643170023646</v>
      </c>
      <c r="CM276" s="380">
        <f ca="1">CM239</f>
        <v>472.83269560390431</v>
      </c>
      <c r="CN276" s="197">
        <f ca="1">CJ276+CK276+CL276+CM276</f>
        <v>936.72912730414077</v>
      </c>
      <c r="CO276" s="103"/>
      <c r="CP276" s="380">
        <f ca="1">CP239</f>
        <v>509.30942505054418</v>
      </c>
      <c r="CQ276" s="380">
        <f ca="1">CQ239</f>
        <v>638.97566465306829</v>
      </c>
      <c r="CR276" s="380">
        <f ca="1">CR239</f>
        <v>592.21504548488315</v>
      </c>
      <c r="CS276" s="380">
        <f ca="1">CS239</f>
        <v>511.80370458729379</v>
      </c>
      <c r="CT276" s="197">
        <f ca="1">CP276+CQ276+CR276+CS276</f>
        <v>2252.3038397757891</v>
      </c>
    </row>
    <row r="277" spans="1:98" x14ac:dyDescent="0.2">
      <c r="P277" s="103"/>
      <c r="Q277" s="103"/>
      <c r="R277" s="103"/>
      <c r="S277" s="103"/>
      <c r="T277" s="103"/>
      <c r="U277" s="103"/>
      <c r="V277" s="103"/>
      <c r="W277" s="103"/>
      <c r="X277" s="103"/>
      <c r="Y277" s="103"/>
      <c r="Z277" s="103"/>
      <c r="AA277" s="103"/>
      <c r="AB277" s="103"/>
      <c r="AC277" s="103"/>
      <c r="AD277" s="103"/>
      <c r="AE277" s="103"/>
      <c r="AF277" s="103"/>
      <c r="AG277" s="103"/>
      <c r="AH277" s="103"/>
      <c r="AI277" s="103"/>
      <c r="AJ277" s="103"/>
      <c r="AK277" s="103"/>
      <c r="AL277" s="103"/>
      <c r="AM277" s="103"/>
      <c r="AN277" s="103"/>
      <c r="AO277" s="103"/>
      <c r="AP277" s="103"/>
      <c r="AQ277" s="103"/>
      <c r="AR277" s="103"/>
      <c r="AS277" s="103"/>
      <c r="AT277" s="103"/>
      <c r="AU277" s="103"/>
      <c r="AV277" s="103"/>
      <c r="AW277" s="103"/>
      <c r="AX277" s="103"/>
      <c r="AY277" s="103"/>
      <c r="AZ277" s="103"/>
      <c r="BA277" s="103"/>
      <c r="BB277" s="103"/>
      <c r="BC277" s="103"/>
      <c r="BD277" s="103"/>
      <c r="BE277" s="103"/>
      <c r="BF277" s="103"/>
      <c r="BG277" s="103"/>
      <c r="BH277" s="103"/>
      <c r="BI277" s="103"/>
      <c r="BJ277" s="103"/>
      <c r="BK277" s="103"/>
      <c r="BL277" s="103"/>
      <c r="BM277" s="103"/>
      <c r="BN277" s="103"/>
      <c r="BO277" s="103"/>
      <c r="BP277" s="103"/>
      <c r="BQ277" s="103"/>
      <c r="BR277" s="103"/>
      <c r="BS277" s="103"/>
      <c r="BT277" s="103"/>
      <c r="BU277" s="103"/>
      <c r="BV277" s="103"/>
      <c r="BW277" s="103"/>
      <c r="BX277" s="103"/>
      <c r="BY277" s="103"/>
      <c r="BZ277" s="103"/>
      <c r="CA277" s="103"/>
      <c r="CB277" s="103"/>
      <c r="CC277" s="103"/>
      <c r="CD277" s="103"/>
      <c r="CE277" s="103"/>
      <c r="CF277" s="103"/>
      <c r="CG277" s="103"/>
      <c r="CH277" s="103"/>
      <c r="CI277" s="103"/>
      <c r="CJ277" s="103"/>
      <c r="CK277" s="103"/>
      <c r="CL277" s="103"/>
      <c r="CM277" s="103"/>
      <c r="CN277" s="103"/>
      <c r="CO277" s="103"/>
      <c r="CP277" s="103"/>
      <c r="CQ277" s="103"/>
      <c r="CR277" s="103"/>
      <c r="CS277" s="103"/>
      <c r="CT277" s="103"/>
    </row>
    <row r="278" spans="1:98" x14ac:dyDescent="0.2">
      <c r="B278" s="226" t="s">
        <v>116</v>
      </c>
      <c r="P278" s="129">
        <f>P272-P274-P276</f>
        <v>635</v>
      </c>
      <c r="Q278" s="129">
        <f>Q272-Q274-Q276</f>
        <v>1084</v>
      </c>
      <c r="R278" s="129">
        <f>R272-R274-R276</f>
        <v>704</v>
      </c>
      <c r="S278" s="129">
        <f>S272-S274-S276</f>
        <v>190</v>
      </c>
      <c r="T278" s="197">
        <f>P278+Q278+R278+S278</f>
        <v>2613</v>
      </c>
      <c r="U278" s="103"/>
      <c r="V278" s="380">
        <f>V272-V274-V276</f>
        <v>238</v>
      </c>
      <c r="W278" s="380">
        <f>W272-W274-W276</f>
        <v>-638.5893690392486</v>
      </c>
      <c r="X278" s="380">
        <f>X272-X274-X276</f>
        <v>-490.93115256682859</v>
      </c>
      <c r="Y278" s="380">
        <f>Y272-Y274-Y276</f>
        <v>1533.2666830531541</v>
      </c>
      <c r="Z278" s="380">
        <f>V278+W278+X278+Y278</f>
        <v>641.74616144707693</v>
      </c>
      <c r="AA278" s="246"/>
      <c r="AB278" s="197">
        <f>AB272-AB274-AB276</f>
        <v>-414</v>
      </c>
      <c r="AC278" s="197">
        <f>AC272-AC274-AC276</f>
        <v>-2427</v>
      </c>
      <c r="AD278" s="197">
        <f>AD272-AD274-AD276</f>
        <v>784</v>
      </c>
      <c r="AE278" s="197">
        <f>AE272-AE274-AE276</f>
        <v>-472</v>
      </c>
      <c r="AF278" s="197">
        <f>AB278+AC278+AD278+AE278</f>
        <v>-2529</v>
      </c>
      <c r="AG278" s="246"/>
      <c r="AH278" s="380">
        <f>AH272-AH274-AH276</f>
        <v>-2273</v>
      </c>
      <c r="AI278" s="380">
        <f>AI272-AI274-AI276</f>
        <v>24</v>
      </c>
      <c r="AJ278" s="380">
        <f>AJ272-AJ274-AJ276</f>
        <v>-127</v>
      </c>
      <c r="AK278" s="380">
        <f>AK272-AK274-AK276</f>
        <v>-2260</v>
      </c>
      <c r="AL278" s="380">
        <f>AH278+AI278+AJ278+AK278</f>
        <v>-4636</v>
      </c>
      <c r="AM278" s="246"/>
      <c r="AN278" s="380">
        <f>AN272-AN274-AN276</f>
        <v>-1326</v>
      </c>
      <c r="AO278" s="380">
        <f>AO272-AO274-AO276</f>
        <v>935</v>
      </c>
      <c r="AP278" s="380">
        <f>AP272-AP274-AP276</f>
        <v>-499</v>
      </c>
      <c r="AQ278" s="380">
        <f>AQ272-AQ274-AQ276</f>
        <v>120</v>
      </c>
      <c r="AR278" s="380">
        <f>AN278+AO278+AP278+AQ278</f>
        <v>-770</v>
      </c>
      <c r="AS278" s="246"/>
      <c r="AT278" s="380">
        <f>AT272-AT274-AT276</f>
        <v>-453</v>
      </c>
      <c r="AU278" s="380">
        <f>AU272-AU274-AU276</f>
        <v>-4879</v>
      </c>
      <c r="AV278" s="380">
        <f>AV272-AV274-AV276</f>
        <v>72</v>
      </c>
      <c r="AW278" s="380">
        <f>AW272-AW274-AW276</f>
        <v>477</v>
      </c>
      <c r="AX278" s="380">
        <f>AT278+AU278+AV278+AW278</f>
        <v>-4783</v>
      </c>
      <c r="AY278" s="246"/>
      <c r="AZ278" s="380">
        <f ca="1">AZ272-AZ274-AZ276</f>
        <v>-1037.247554125252</v>
      </c>
      <c r="BA278" s="380">
        <f ca="1">BA272-BA274-BA276</f>
        <v>-214.31561216737845</v>
      </c>
      <c r="BB278" s="380">
        <f ca="1">BB272-BB274-BB276</f>
        <v>248.10502695503311</v>
      </c>
      <c r="BC278" s="380">
        <f ca="1">BC272-BC274-BC276</f>
        <v>341.47249112533427</v>
      </c>
      <c r="BD278" s="380">
        <f ca="1">AZ278+BA278+BB278+BC278</f>
        <v>-661.98564821226319</v>
      </c>
      <c r="BE278" s="246"/>
      <c r="BF278" s="380">
        <f ca="1">BF272-BF274-BF276</f>
        <v>325.12088190850898</v>
      </c>
      <c r="BG278" s="380">
        <f ca="1">BG272-BG274-BG276</f>
        <v>689.5008531164242</v>
      </c>
      <c r="BH278" s="380">
        <f ca="1">BH272-BH274-BH276</f>
        <v>489.22914403634144</v>
      </c>
      <c r="BI278" s="380">
        <f ca="1">BI272-BI274-BI276</f>
        <v>-2085.0869165902282</v>
      </c>
      <c r="BJ278" s="380">
        <f ca="1">BF278+BG278+BH278+BI278</f>
        <v>-581.2360375289536</v>
      </c>
      <c r="BK278" s="246"/>
      <c r="BL278" s="380">
        <f ca="1">BL272-BL274-BL276</f>
        <v>189.67502404860841</v>
      </c>
      <c r="BM278" s="380">
        <f ca="1">BM272-BM274-BM276</f>
        <v>575.5611750082835</v>
      </c>
      <c r="BN278" s="380">
        <f ca="1">BN272-BN274-BN276</f>
        <v>365.93790917091644</v>
      </c>
      <c r="BO278" s="380">
        <f ca="1">BO272-BO274-BO276</f>
        <v>-2417.2154485098672</v>
      </c>
      <c r="BP278" s="380">
        <f ca="1">BL278+BM278+BN278+BO278</f>
        <v>-1286.0413402820589</v>
      </c>
      <c r="BQ278" s="246"/>
      <c r="BR278" s="380">
        <f ca="1">BR272-BR274-BR276</f>
        <v>194.70554542849567</v>
      </c>
      <c r="BS278" s="380">
        <f ca="1">BS272-BS274-BS276</f>
        <v>601.69462686324778</v>
      </c>
      <c r="BT278" s="380">
        <f ca="1">BT272-BT274-BT276</f>
        <v>386.04085546051613</v>
      </c>
      <c r="BU278" s="380">
        <f ca="1">BU272-BU274-BU276</f>
        <v>-1165.4123585756959</v>
      </c>
      <c r="BV278" s="380">
        <f ca="1">BR278+BS278+BT278+BU278</f>
        <v>17.028669176563881</v>
      </c>
      <c r="BW278" s="246"/>
      <c r="BX278" s="380">
        <f ca="1">BX272-BX274-BX276</f>
        <v>726.94831551138986</v>
      </c>
      <c r="BY278" s="380">
        <f ca="1">BY272-BY274-BY276</f>
        <v>1159.4832403911801</v>
      </c>
      <c r="BZ278" s="380">
        <f ca="1">BZ272-BZ274-BZ276</f>
        <v>947.00110473248048</v>
      </c>
      <c r="CA278" s="380">
        <f ca="1">CA272-CA274-CA276</f>
        <v>374.80223643921136</v>
      </c>
      <c r="CB278" s="380">
        <f ca="1">BX278+BY278+BZ278+CA278</f>
        <v>3208.2348970742619</v>
      </c>
      <c r="CC278" s="246"/>
      <c r="CD278" s="380">
        <f ca="1">CD272-CD274-CD276</f>
        <v>1159.2402545774989</v>
      </c>
      <c r="CE278" s="380">
        <f ca="1">CE272-CE274-CE276</f>
        <v>1612.7877875054198</v>
      </c>
      <c r="CF278" s="380">
        <f ca="1">CF272-CF274-CF276</f>
        <v>1403.2126610249479</v>
      </c>
      <c r="CG278" s="380">
        <f ca="1">CG272-CG274-CG276</f>
        <v>756.71089471916002</v>
      </c>
      <c r="CH278" s="380">
        <f ca="1">CD278+CE278+CF278+CG278</f>
        <v>4931.9515978270265</v>
      </c>
      <c r="CI278" s="246"/>
      <c r="CJ278" s="380">
        <f ca="1">CJ272-CJ274-CJ276</f>
        <v>1573.2559650890641</v>
      </c>
      <c r="CK278" s="380">
        <f ca="1">CK272-CK274-CK276</f>
        <v>2047.9845619459318</v>
      </c>
      <c r="CL278" s="380">
        <f ca="1">CL272-CL274-CL276</f>
        <v>1376.6048649894553</v>
      </c>
      <c r="CM278" s="380">
        <f ca="1">CM272-CM274-CM276</f>
        <v>762.50374349577464</v>
      </c>
      <c r="CN278" s="380">
        <f ca="1">CJ278+CK278+CL278+CM278</f>
        <v>5760.3491355202259</v>
      </c>
      <c r="CO278" s="246"/>
      <c r="CP278" s="380">
        <f ca="1">CP272-CP274-CP276</f>
        <v>1165.1459559741093</v>
      </c>
      <c r="CQ278" s="380">
        <f ca="1">CQ272-CQ274-CQ276</f>
        <v>1514.0899396771474</v>
      </c>
      <c r="CR278" s="380">
        <f ca="1">CR272-CR274-CR276</f>
        <v>1349.1805126958154</v>
      </c>
      <c r="CS278" s="380">
        <f ca="1">CS272-CS274-CS276</f>
        <v>895.6068270127837</v>
      </c>
      <c r="CT278" s="380">
        <f ca="1">CP278+CQ278+CR278+CS278</f>
        <v>4924.0232353598558</v>
      </c>
    </row>
    <row r="279" spans="1:98" x14ac:dyDescent="0.2">
      <c r="P279" s="103"/>
      <c r="Q279" s="103"/>
      <c r="R279" s="103"/>
      <c r="S279" s="103"/>
      <c r="T279" s="103"/>
      <c r="U279" s="103"/>
      <c r="V279" s="103"/>
      <c r="W279" s="103"/>
      <c r="X279" s="103"/>
      <c r="Y279" s="103"/>
      <c r="Z279" s="103"/>
      <c r="AA279" s="103"/>
      <c r="AB279" s="103"/>
      <c r="AC279" s="103"/>
      <c r="AD279" s="103"/>
      <c r="AE279" s="103"/>
      <c r="AF279" s="103"/>
      <c r="AG279" s="103"/>
      <c r="AH279" s="103"/>
      <c r="AI279" s="103"/>
      <c r="AJ279" s="103"/>
      <c r="AK279" s="103"/>
      <c r="AL279" s="103"/>
      <c r="AM279" s="103"/>
      <c r="AN279" s="103"/>
      <c r="AO279" s="103"/>
      <c r="AP279" s="103"/>
      <c r="AQ279" s="103"/>
      <c r="AR279" s="103"/>
      <c r="AS279" s="103"/>
      <c r="AT279" s="103"/>
      <c r="AU279" s="103"/>
      <c r="AV279" s="103"/>
      <c r="AW279" s="103"/>
      <c r="AX279" s="103"/>
      <c r="AY279" s="103"/>
      <c r="AZ279" s="103"/>
      <c r="BA279" s="103"/>
      <c r="BB279" s="103"/>
      <c r="BC279" s="103"/>
      <c r="BD279" s="103"/>
      <c r="BE279" s="103"/>
      <c r="BF279" s="103"/>
      <c r="BG279" s="103"/>
      <c r="BH279" s="103"/>
      <c r="BI279" s="103"/>
      <c r="BJ279" s="103"/>
      <c r="BK279" s="103"/>
      <c r="BL279" s="103"/>
      <c r="BM279" s="103"/>
      <c r="BN279" s="103"/>
      <c r="BO279" s="103"/>
      <c r="BP279" s="103"/>
      <c r="BQ279" s="103"/>
      <c r="BR279" s="103"/>
      <c r="BS279" s="103"/>
      <c r="BT279" s="103"/>
      <c r="BU279" s="103"/>
      <c r="BV279" s="103"/>
      <c r="BW279" s="103"/>
      <c r="BX279" s="103"/>
      <c r="BY279" s="103"/>
      <c r="BZ279" s="103"/>
      <c r="CA279" s="103"/>
      <c r="CB279" s="103"/>
      <c r="CC279" s="103"/>
      <c r="CD279" s="103"/>
      <c r="CE279" s="103"/>
      <c r="CF279" s="103"/>
      <c r="CG279" s="103"/>
      <c r="CH279" s="103"/>
      <c r="CI279" s="103"/>
      <c r="CJ279" s="103"/>
      <c r="CK279" s="103"/>
      <c r="CL279" s="103"/>
      <c r="CM279" s="103"/>
      <c r="CN279" s="103"/>
      <c r="CO279" s="103"/>
      <c r="CP279" s="103"/>
      <c r="CQ279" s="103"/>
      <c r="CR279" s="103"/>
      <c r="CS279" s="103"/>
      <c r="CT279" s="103"/>
    </row>
    <row r="280" spans="1:98" x14ac:dyDescent="0.2">
      <c r="B280" t="s">
        <v>359</v>
      </c>
      <c r="P280" s="229">
        <v>0</v>
      </c>
      <c r="Q280" s="229">
        <v>0</v>
      </c>
      <c r="R280" s="229">
        <v>0</v>
      </c>
      <c r="S280" s="229">
        <v>0</v>
      </c>
      <c r="T280" s="416">
        <f>P280+Q280+R280+S280</f>
        <v>0</v>
      </c>
      <c r="U280" s="103"/>
      <c r="V280" s="229">
        <v>0</v>
      </c>
      <c r="W280" s="229">
        <v>0</v>
      </c>
      <c r="X280" s="229">
        <v>0</v>
      </c>
      <c r="Y280" s="229">
        <v>0</v>
      </c>
      <c r="Z280" s="416">
        <f>V280+W280+X280+Y280</f>
        <v>0</v>
      </c>
      <c r="AA280" s="103"/>
      <c r="AB280" s="229">
        <v>0</v>
      </c>
      <c r="AC280" s="229">
        <v>0</v>
      </c>
      <c r="AD280" s="229">
        <v>0</v>
      </c>
      <c r="AE280" s="229">
        <v>0</v>
      </c>
      <c r="AF280" s="416">
        <f>AB280+AC280+AD280+AE280</f>
        <v>0</v>
      </c>
      <c r="AG280" s="103"/>
      <c r="AH280" s="229">
        <v>0</v>
      </c>
      <c r="AI280" s="229">
        <v>0</v>
      </c>
      <c r="AJ280" s="229">
        <v>0</v>
      </c>
      <c r="AK280" s="229">
        <v>0</v>
      </c>
      <c r="AL280" s="416">
        <f>AH280+AI280+AJ280+AK280</f>
        <v>0</v>
      </c>
      <c r="AM280" s="103"/>
      <c r="AN280" s="229">
        <v>0</v>
      </c>
      <c r="AO280" s="229">
        <v>0</v>
      </c>
      <c r="AP280" s="229">
        <v>0</v>
      </c>
      <c r="AQ280" s="229">
        <v>0</v>
      </c>
      <c r="AR280" s="416">
        <f>AN280+AO280+AP280+AQ280</f>
        <v>0</v>
      </c>
      <c r="AS280" s="103"/>
      <c r="AT280" s="229">
        <v>0</v>
      </c>
      <c r="AU280" s="229">
        <v>0</v>
      </c>
      <c r="AV280" s="229">
        <v>0</v>
      </c>
      <c r="AW280" s="229">
        <v>0</v>
      </c>
      <c r="AX280" s="416">
        <f>AT280+AU280+AV280+AW280</f>
        <v>0</v>
      </c>
      <c r="AY280" s="103"/>
      <c r="AZ280" s="229">
        <v>0</v>
      </c>
      <c r="BA280" s="229">
        <v>0</v>
      </c>
      <c r="BB280" s="229">
        <v>0</v>
      </c>
      <c r="BC280" s="229">
        <v>0</v>
      </c>
      <c r="BD280" s="416">
        <f>AZ280+BA280+BB280+BC280</f>
        <v>0</v>
      </c>
      <c r="BE280" s="103"/>
      <c r="BF280" s="229">
        <v>0</v>
      </c>
      <c r="BG280" s="229">
        <v>0</v>
      </c>
      <c r="BH280" s="229">
        <v>0</v>
      </c>
      <c r="BI280" s="229">
        <v>0</v>
      </c>
      <c r="BJ280" s="416">
        <f>BF280+BG280+BH280+BI280</f>
        <v>0</v>
      </c>
      <c r="BK280" s="103"/>
      <c r="BL280" s="229">
        <v>0</v>
      </c>
      <c r="BM280" s="229">
        <v>0</v>
      </c>
      <c r="BN280" s="229">
        <v>0</v>
      </c>
      <c r="BO280" s="229">
        <v>0</v>
      </c>
      <c r="BP280" s="416">
        <f>BL280+BM280+BN280+BO280</f>
        <v>0</v>
      </c>
      <c r="BQ280" s="103"/>
      <c r="BR280" s="229">
        <v>0</v>
      </c>
      <c r="BS280" s="229">
        <v>0</v>
      </c>
      <c r="BT280" s="229">
        <v>0</v>
      </c>
      <c r="BU280" s="229">
        <v>0</v>
      </c>
      <c r="BV280" s="416">
        <f>BR280+BS280+BT280+BU280</f>
        <v>0</v>
      </c>
      <c r="BW280" s="103"/>
      <c r="BX280" s="229">
        <v>0</v>
      </c>
      <c r="BY280" s="229">
        <v>0</v>
      </c>
      <c r="BZ280" s="229">
        <v>0</v>
      </c>
      <c r="CA280" s="229">
        <v>0</v>
      </c>
      <c r="CB280" s="416">
        <f>BX280+BY280+BZ280+CA280</f>
        <v>0</v>
      </c>
      <c r="CC280" s="103"/>
      <c r="CD280" s="229">
        <v>0</v>
      </c>
      <c r="CE280" s="229">
        <v>0</v>
      </c>
      <c r="CF280" s="229">
        <v>0</v>
      </c>
      <c r="CG280" s="229">
        <v>0</v>
      </c>
      <c r="CH280" s="416">
        <f>CD280+CE280+CF280+CG280</f>
        <v>0</v>
      </c>
      <c r="CI280" s="103"/>
      <c r="CJ280" s="229">
        <v>0</v>
      </c>
      <c r="CK280" s="229">
        <v>0</v>
      </c>
      <c r="CL280" s="229">
        <v>0</v>
      </c>
      <c r="CM280" s="229">
        <v>0</v>
      </c>
      <c r="CN280" s="416">
        <f>CJ280+CK280+CL280+CM280</f>
        <v>0</v>
      </c>
      <c r="CO280" s="103"/>
      <c r="CP280" s="229">
        <v>0</v>
      </c>
      <c r="CQ280" s="229">
        <v>0</v>
      </c>
      <c r="CR280" s="229">
        <v>0</v>
      </c>
      <c r="CS280" s="229">
        <v>0</v>
      </c>
      <c r="CT280" s="416">
        <f>CP280+CQ280+CR280+CS280</f>
        <v>0</v>
      </c>
    </row>
    <row r="281" spans="1:98" x14ac:dyDescent="0.2">
      <c r="P281" s="103"/>
      <c r="Q281" s="103"/>
      <c r="R281" s="103"/>
      <c r="S281" s="103"/>
      <c r="T281" s="103"/>
      <c r="U281" s="103"/>
      <c r="V281" s="103"/>
      <c r="W281" s="103"/>
      <c r="X281" s="103"/>
      <c r="Y281" s="103"/>
      <c r="Z281" s="103"/>
      <c r="AA281" s="103"/>
      <c r="AB281" s="103"/>
      <c r="AC281" s="103"/>
      <c r="AD281" s="103"/>
      <c r="AE281" s="103"/>
      <c r="AF281" s="103"/>
      <c r="AG281" s="103"/>
      <c r="AH281" s="103"/>
      <c r="AI281" s="103"/>
      <c r="AJ281" s="103"/>
      <c r="AK281" s="103"/>
      <c r="AL281" s="103"/>
      <c r="AM281" s="103"/>
      <c r="AN281" s="103"/>
      <c r="AO281" s="103"/>
      <c r="AP281" s="103"/>
      <c r="AQ281" s="103"/>
      <c r="AR281" s="103"/>
      <c r="AS281" s="103"/>
      <c r="AT281" s="103"/>
      <c r="AU281" s="103"/>
      <c r="AV281" s="103"/>
      <c r="AW281" s="103"/>
      <c r="AX281" s="103"/>
      <c r="AY281" s="103"/>
      <c r="AZ281" s="103"/>
      <c r="BA281" s="103"/>
      <c r="BB281" s="103"/>
      <c r="BC281" s="103"/>
      <c r="BD281" s="103"/>
      <c r="BE281" s="103"/>
      <c r="BF281" s="103"/>
      <c r="BG281" s="103"/>
      <c r="BH281" s="103"/>
      <c r="BI281" s="103"/>
      <c r="BJ281" s="103"/>
      <c r="BK281" s="103"/>
      <c r="BL281" s="103"/>
      <c r="BM281" s="103"/>
      <c r="BN281" s="103"/>
      <c r="BO281" s="103"/>
      <c r="BP281" s="103"/>
      <c r="BQ281" s="103"/>
      <c r="BR281" s="103"/>
      <c r="BS281" s="103"/>
      <c r="BT281" s="103"/>
      <c r="BU281" s="103"/>
      <c r="BV281" s="103"/>
      <c r="BW281" s="103"/>
      <c r="BX281" s="103"/>
      <c r="BY281" s="103"/>
      <c r="BZ281" s="103"/>
      <c r="CA281" s="103"/>
      <c r="CB281" s="103"/>
      <c r="CC281" s="103"/>
      <c r="CD281" s="103"/>
      <c r="CE281" s="103"/>
      <c r="CF281" s="103"/>
      <c r="CG281" s="103"/>
      <c r="CH281" s="103"/>
      <c r="CI281" s="103"/>
      <c r="CJ281" s="103"/>
      <c r="CK281" s="103"/>
      <c r="CL281" s="103"/>
      <c r="CM281" s="103"/>
      <c r="CN281" s="103"/>
      <c r="CO281" s="103"/>
      <c r="CP281" s="103"/>
      <c r="CQ281" s="103"/>
      <c r="CR281" s="103"/>
      <c r="CS281" s="103"/>
      <c r="CT281" s="103"/>
    </row>
    <row r="282" spans="1:98" x14ac:dyDescent="0.2">
      <c r="B282" s="226" t="s">
        <v>388</v>
      </c>
      <c r="P282" s="129">
        <f>P278-P280</f>
        <v>635</v>
      </c>
      <c r="Q282" s="129">
        <f>Q278-Q280</f>
        <v>1084</v>
      </c>
      <c r="R282" s="129">
        <f>R278-R280</f>
        <v>704</v>
      </c>
      <c r="S282" s="129">
        <f>S278-S280</f>
        <v>190</v>
      </c>
      <c r="T282" s="197">
        <f>P282+Q282+R282+S282</f>
        <v>2613</v>
      </c>
      <c r="U282" s="103"/>
      <c r="V282" s="197">
        <f>V278-V280</f>
        <v>238</v>
      </c>
      <c r="W282" s="197">
        <f>W278-W280</f>
        <v>-638.5893690392486</v>
      </c>
      <c r="X282" s="197">
        <f>X278-X280</f>
        <v>-490.93115256682859</v>
      </c>
      <c r="Y282" s="197">
        <f>Y278-Y280</f>
        <v>1533.2666830531541</v>
      </c>
      <c r="Z282" s="197">
        <f>V282+W282+X282+Y282</f>
        <v>641.74616144707693</v>
      </c>
      <c r="AA282" s="114"/>
      <c r="AB282" s="197">
        <f>AB278-AB280</f>
        <v>-414</v>
      </c>
      <c r="AC282" s="197">
        <f>AC278-AC280</f>
        <v>-2427</v>
      </c>
      <c r="AD282" s="197">
        <f>AD278-AD280</f>
        <v>784</v>
      </c>
      <c r="AE282" s="197">
        <f>AE278-AE280</f>
        <v>-472</v>
      </c>
      <c r="AF282" s="197">
        <f>AB282+AC282+AD282+AE282</f>
        <v>-2529</v>
      </c>
      <c r="AG282" s="114"/>
      <c r="AH282" s="197">
        <f>AH278-AH280</f>
        <v>-2273</v>
      </c>
      <c r="AI282" s="197">
        <f>AI278-AI280-542</f>
        <v>-518</v>
      </c>
      <c r="AJ282" s="197">
        <f>AJ278-AJ280+60</f>
        <v>-67</v>
      </c>
      <c r="AK282" s="197">
        <f>AK278-AK280+60</f>
        <v>-2200</v>
      </c>
      <c r="AL282" s="197">
        <f>AH282+AI282+AJ282+AK282</f>
        <v>-5058</v>
      </c>
      <c r="AM282" s="114"/>
      <c r="AN282" s="197">
        <f>AN278-AN280</f>
        <v>-1326</v>
      </c>
      <c r="AO282" s="197">
        <f>AO278-AO280</f>
        <v>935</v>
      </c>
      <c r="AP282" s="197">
        <f>AP278-AP280</f>
        <v>-499</v>
      </c>
      <c r="AQ282" s="197">
        <f>AQ278-AQ280</f>
        <v>120</v>
      </c>
      <c r="AR282" s="197">
        <f>AN282+AO282+AP282+AQ282</f>
        <v>-770</v>
      </c>
      <c r="AS282" s="114"/>
      <c r="AT282" s="197">
        <f>AT278-AT280</f>
        <v>-453</v>
      </c>
      <c r="AU282" s="197">
        <f>AU278-AU280</f>
        <v>-4879</v>
      </c>
      <c r="AV282" s="197">
        <f>AV278-AV280</f>
        <v>72</v>
      </c>
      <c r="AW282" s="197">
        <f>AW278-AW280</f>
        <v>477</v>
      </c>
      <c r="AX282" s="197">
        <f>AT282+AU282+AV282+AW282</f>
        <v>-4783</v>
      </c>
      <c r="AY282" s="114"/>
      <c r="AZ282" s="197">
        <f ca="1">AZ278-AZ280</f>
        <v>-1037.247554125252</v>
      </c>
      <c r="BA282" s="197">
        <f ca="1">BA278-BA280</f>
        <v>-214.31561216737845</v>
      </c>
      <c r="BB282" s="197">
        <f ca="1">BB278-BB280</f>
        <v>248.10502695503311</v>
      </c>
      <c r="BC282" s="197">
        <f ca="1">BC278-BC280</f>
        <v>341.47249112533427</v>
      </c>
      <c r="BD282" s="197">
        <f ca="1">AZ282+BA282+BB282+BC282</f>
        <v>-661.98564821226319</v>
      </c>
      <c r="BE282" s="114"/>
      <c r="BF282" s="197">
        <f ca="1">BF278-BF280</f>
        <v>325.12088190850898</v>
      </c>
      <c r="BG282" s="197">
        <f ca="1">BG278-BG280</f>
        <v>689.5008531164242</v>
      </c>
      <c r="BH282" s="197">
        <f ca="1">BH278-BH280</f>
        <v>489.22914403634144</v>
      </c>
      <c r="BI282" s="197">
        <f ca="1">BI278-BI280</f>
        <v>-2085.0869165902282</v>
      </c>
      <c r="BJ282" s="197">
        <f ca="1">BF282+BG282+BH282+BI282</f>
        <v>-581.2360375289536</v>
      </c>
      <c r="BK282" s="114"/>
      <c r="BL282" s="197">
        <f ca="1">BL278-BL280</f>
        <v>189.67502404860841</v>
      </c>
      <c r="BM282" s="197">
        <f ca="1">BM278-BM280</f>
        <v>575.5611750082835</v>
      </c>
      <c r="BN282" s="197">
        <f ca="1">BN278-BN280</f>
        <v>365.93790917091644</v>
      </c>
      <c r="BO282" s="197">
        <f ca="1">BO278-BO280</f>
        <v>-2417.2154485098672</v>
      </c>
      <c r="BP282" s="197">
        <f ca="1">BL282+BM282+BN282+BO282</f>
        <v>-1286.0413402820589</v>
      </c>
      <c r="BQ282" s="114"/>
      <c r="BR282" s="197">
        <f ca="1">BR278-BR280</f>
        <v>194.70554542849567</v>
      </c>
      <c r="BS282" s="197">
        <f ca="1">BS278-BS280</f>
        <v>601.69462686324778</v>
      </c>
      <c r="BT282" s="197">
        <f ca="1">BT278-BT280</f>
        <v>386.04085546051613</v>
      </c>
      <c r="BU282" s="197">
        <f ca="1">BU278-BU280</f>
        <v>-1165.4123585756959</v>
      </c>
      <c r="BV282" s="197">
        <f ca="1">BR282+BS282+BT282+BU282</f>
        <v>17.028669176563881</v>
      </c>
      <c r="BW282" s="114"/>
      <c r="BX282" s="197">
        <f ca="1">BX278-BX280</f>
        <v>726.94831551138986</v>
      </c>
      <c r="BY282" s="197">
        <f ca="1">BY278-BY280</f>
        <v>1159.4832403911801</v>
      </c>
      <c r="BZ282" s="197">
        <f ca="1">BZ278-BZ280</f>
        <v>947.00110473248048</v>
      </c>
      <c r="CA282" s="197">
        <f ca="1">CA278-CA280</f>
        <v>374.80223643921136</v>
      </c>
      <c r="CB282" s="197">
        <f ca="1">BX282+BY282+BZ282+CA282</f>
        <v>3208.2348970742619</v>
      </c>
      <c r="CC282" s="114"/>
      <c r="CD282" s="197">
        <f ca="1">CD278-CD280</f>
        <v>1159.2402545774989</v>
      </c>
      <c r="CE282" s="197">
        <f ca="1">CE278-CE280</f>
        <v>1612.7877875054198</v>
      </c>
      <c r="CF282" s="197">
        <f ca="1">CF278-CF280</f>
        <v>1403.2126610249479</v>
      </c>
      <c r="CG282" s="197">
        <f ca="1">CG278-CG280</f>
        <v>756.71089471916002</v>
      </c>
      <c r="CH282" s="197">
        <f ca="1">CD282+CE282+CF282+CG282</f>
        <v>4931.9515978270265</v>
      </c>
      <c r="CI282" s="114"/>
      <c r="CJ282" s="197">
        <f ca="1">CJ278-CJ280</f>
        <v>1573.2559650890641</v>
      </c>
      <c r="CK282" s="197">
        <f ca="1">CK278-CK280</f>
        <v>2047.9845619459318</v>
      </c>
      <c r="CL282" s="197">
        <f ca="1">CL278-CL280</f>
        <v>1376.6048649894553</v>
      </c>
      <c r="CM282" s="197">
        <f ca="1">CM278-CM280</f>
        <v>762.50374349577464</v>
      </c>
      <c r="CN282" s="197">
        <f ca="1">CJ282+CK282+CL282+CM282</f>
        <v>5760.3491355202259</v>
      </c>
      <c r="CO282" s="114"/>
      <c r="CP282" s="197">
        <f ca="1">CP278-CP280</f>
        <v>1165.1459559741093</v>
      </c>
      <c r="CQ282" s="197">
        <f ca="1">CQ278-CQ280</f>
        <v>1514.0899396771474</v>
      </c>
      <c r="CR282" s="197">
        <f ca="1">CR278-CR280</f>
        <v>1349.1805126958154</v>
      </c>
      <c r="CS282" s="197">
        <f ca="1">CS278-CS280</f>
        <v>895.6068270127837</v>
      </c>
      <c r="CT282" s="197">
        <f ca="1">CP282+CQ282+CR282+CS282</f>
        <v>4924.0232353598558</v>
      </c>
    </row>
    <row r="283" spans="1:98" x14ac:dyDescent="0.2">
      <c r="P283" s="103"/>
      <c r="Q283" s="103"/>
      <c r="R283" s="103"/>
      <c r="S283" s="103"/>
      <c r="T283" s="103"/>
      <c r="U283" s="103"/>
      <c r="V283" s="103"/>
      <c r="W283" s="103"/>
      <c r="X283" s="103"/>
      <c r="Y283" s="103"/>
      <c r="Z283" s="103"/>
      <c r="AA283" s="103"/>
      <c r="AB283" s="103"/>
      <c r="AC283" s="103"/>
      <c r="AD283" s="103"/>
      <c r="AE283" s="103"/>
      <c r="AF283" s="103"/>
      <c r="AG283" s="103"/>
      <c r="AH283" s="103"/>
      <c r="AI283" s="103"/>
      <c r="AJ283" s="103"/>
      <c r="AK283" s="103"/>
      <c r="AL283" s="103"/>
      <c r="AM283" s="103"/>
      <c r="AN283" s="103"/>
      <c r="AO283" s="103"/>
      <c r="AP283" s="103"/>
      <c r="AQ283" s="103"/>
      <c r="AR283" s="103"/>
      <c r="AS283" s="103"/>
      <c r="AT283" s="103"/>
      <c r="AU283" s="103"/>
      <c r="AV283" s="103"/>
      <c r="AW283" s="103"/>
      <c r="AX283" s="103"/>
      <c r="AY283" s="103"/>
      <c r="AZ283" s="103"/>
      <c r="BA283" s="103"/>
      <c r="BB283" s="103"/>
      <c r="BC283" s="103"/>
      <c r="BD283" s="103"/>
      <c r="BE283" s="103"/>
      <c r="BF283" s="103"/>
      <c r="BG283" s="103"/>
      <c r="BH283" s="103"/>
      <c r="BI283" s="103"/>
      <c r="BJ283" s="103"/>
      <c r="BK283" s="103"/>
      <c r="BL283" s="103"/>
      <c r="BM283" s="103"/>
      <c r="BN283" s="103"/>
      <c r="BO283" s="103"/>
      <c r="BP283" s="103"/>
      <c r="BQ283" s="103"/>
      <c r="BR283" s="103"/>
      <c r="BS283" s="103"/>
      <c r="BT283" s="103"/>
      <c r="BU283" s="103"/>
      <c r="BV283" s="103"/>
      <c r="BW283" s="103"/>
      <c r="BX283" s="103"/>
      <c r="BY283" s="103"/>
      <c r="BZ283" s="103"/>
      <c r="CA283" s="103"/>
      <c r="CB283" s="103"/>
      <c r="CC283" s="103"/>
      <c r="CD283" s="103"/>
      <c r="CE283" s="103"/>
      <c r="CF283" s="103"/>
      <c r="CG283" s="103"/>
      <c r="CH283" s="103"/>
      <c r="CI283" s="103"/>
      <c r="CJ283" s="103"/>
      <c r="CK283" s="103"/>
      <c r="CL283" s="103"/>
      <c r="CM283" s="103"/>
      <c r="CN283" s="103"/>
      <c r="CO283" s="103"/>
      <c r="CP283" s="103"/>
      <c r="CQ283" s="103"/>
      <c r="CR283" s="103"/>
      <c r="CS283" s="103"/>
      <c r="CT283" s="103"/>
    </row>
    <row r="284" spans="1:98" x14ac:dyDescent="0.2">
      <c r="P284" s="103"/>
      <c r="Q284" s="103"/>
      <c r="R284" s="103"/>
      <c r="S284" s="103"/>
      <c r="T284" s="103"/>
      <c r="U284" s="103"/>
      <c r="V284" s="103"/>
      <c r="W284" s="103"/>
      <c r="X284" s="103"/>
      <c r="Y284" s="103"/>
      <c r="Z284" s="103"/>
      <c r="AA284" s="103"/>
      <c r="AB284" s="103"/>
      <c r="AC284" s="103"/>
      <c r="AD284" s="103"/>
      <c r="AE284" s="103"/>
      <c r="AF284" s="103"/>
      <c r="AG284" s="103"/>
      <c r="AH284" s="103"/>
      <c r="AI284" s="103"/>
      <c r="AJ284" s="103"/>
      <c r="AK284" s="103"/>
      <c r="AL284" s="103"/>
      <c r="AM284" s="103"/>
      <c r="AN284" s="103"/>
      <c r="AO284" s="103"/>
      <c r="AP284" s="103"/>
      <c r="AQ284" s="103"/>
      <c r="AR284" s="103"/>
      <c r="AS284" s="103"/>
      <c r="AT284" s="103"/>
      <c r="AU284" s="103"/>
      <c r="AV284" s="103"/>
      <c r="AW284" s="103"/>
      <c r="AX284" s="103"/>
      <c r="AY284" s="103"/>
      <c r="AZ284" s="103"/>
      <c r="BA284" s="103"/>
      <c r="BB284" s="103"/>
      <c r="BC284" s="103"/>
      <c r="BD284" s="103"/>
      <c r="BE284" s="103"/>
      <c r="BF284" s="103"/>
      <c r="BG284" s="103"/>
      <c r="BH284" s="103"/>
      <c r="BI284" s="103"/>
      <c r="BJ284" s="103"/>
      <c r="BK284" s="103"/>
      <c r="BL284" s="103"/>
      <c r="BM284" s="103"/>
      <c r="BN284" s="103"/>
      <c r="BO284" s="103"/>
      <c r="BP284" s="103"/>
      <c r="BQ284" s="103"/>
      <c r="BR284" s="103"/>
      <c r="BS284" s="103"/>
      <c r="BT284" s="103"/>
      <c r="BU284" s="103"/>
      <c r="BV284" s="103"/>
      <c r="BW284" s="103"/>
      <c r="BX284" s="103"/>
      <c r="BY284" s="103"/>
      <c r="BZ284" s="103"/>
      <c r="CA284" s="103"/>
      <c r="CB284" s="103"/>
      <c r="CC284" s="103"/>
      <c r="CD284" s="103"/>
      <c r="CE284" s="103"/>
      <c r="CF284" s="103"/>
      <c r="CG284" s="103"/>
      <c r="CH284" s="103"/>
      <c r="CI284" s="103"/>
      <c r="CJ284" s="103"/>
      <c r="CK284" s="103"/>
      <c r="CL284" s="103"/>
      <c r="CM284" s="103"/>
      <c r="CN284" s="103"/>
      <c r="CO284" s="103"/>
      <c r="CP284" s="103"/>
      <c r="CQ284" s="103"/>
      <c r="CR284" s="103"/>
      <c r="CS284" s="103"/>
      <c r="CT284" s="103"/>
    </row>
    <row r="285" spans="1:98" x14ac:dyDescent="0.2">
      <c r="B285" s="360" t="s">
        <v>371</v>
      </c>
      <c r="P285" s="103" t="s">
        <v>35</v>
      </c>
      <c r="Q285" s="103" t="s">
        <v>35</v>
      </c>
      <c r="R285" s="103" t="s">
        <v>35</v>
      </c>
      <c r="S285" s="103" t="s">
        <v>35</v>
      </c>
      <c r="T285" s="103" t="s">
        <v>35</v>
      </c>
      <c r="U285" s="103"/>
      <c r="V285" s="114" t="s">
        <v>35</v>
      </c>
      <c r="W285" s="114">
        <f>V286</f>
        <v>16954</v>
      </c>
      <c r="X285" s="114">
        <f>W286</f>
        <v>17592.589369039248</v>
      </c>
      <c r="Y285" s="114">
        <f>X286</f>
        <v>18083.520521606075</v>
      </c>
      <c r="Z285" s="114" t="str">
        <f>V285</f>
        <v>-</v>
      </c>
      <c r="AA285" s="114"/>
      <c r="AB285" s="114">
        <f>Z286</f>
        <v>16550.253838552922</v>
      </c>
      <c r="AC285" s="114">
        <f>AB286</f>
        <v>16964.253838552922</v>
      </c>
      <c r="AD285" s="114">
        <f>AC286</f>
        <v>19391.253838552922</v>
      </c>
      <c r="AE285" s="114">
        <f>AD286</f>
        <v>18607.253838552922</v>
      </c>
      <c r="AF285" s="114">
        <f>AB285</f>
        <v>16550.253838552922</v>
      </c>
      <c r="AG285" s="114"/>
      <c r="AH285" s="114">
        <f>AF286</f>
        <v>19079.253838552922</v>
      </c>
      <c r="AI285" s="114">
        <f>AH286</f>
        <v>21352.253838552922</v>
      </c>
      <c r="AJ285" s="114">
        <f>AI286</f>
        <v>21870.253838552922</v>
      </c>
      <c r="AK285" s="114">
        <f>AJ286</f>
        <v>21937.253838552922</v>
      </c>
      <c r="AL285" s="114">
        <f>AH285</f>
        <v>19079.253838552922</v>
      </c>
      <c r="AM285" s="114"/>
      <c r="AN285" s="114">
        <f>AL286</f>
        <v>24137.253838552922</v>
      </c>
      <c r="AO285" s="114">
        <f>AN286</f>
        <v>25463.253838552922</v>
      </c>
      <c r="AP285" s="114">
        <f>AO286</f>
        <v>24528.253838552922</v>
      </c>
      <c r="AQ285" s="114">
        <f>AP286</f>
        <v>25027.253838552922</v>
      </c>
      <c r="AR285" s="114">
        <f>AN285</f>
        <v>24137.253838552922</v>
      </c>
      <c r="AS285" s="114"/>
      <c r="AT285" s="114">
        <f>AR286</f>
        <v>24907.253838552922</v>
      </c>
      <c r="AU285" s="114">
        <f>AT286</f>
        <v>25360.253838552922</v>
      </c>
      <c r="AV285" s="114">
        <f>AU286</f>
        <v>30239.253838552922</v>
      </c>
      <c r="AW285" s="114">
        <f>AV286</f>
        <v>30167.253838552922</v>
      </c>
      <c r="AX285" s="114">
        <f>AT285</f>
        <v>24907.253838552922</v>
      </c>
      <c r="AY285" s="114"/>
      <c r="AZ285" s="114">
        <f>AX286</f>
        <v>29690.253838552922</v>
      </c>
      <c r="BA285" s="114">
        <f ca="1">AZ286</f>
        <v>30727.501392678176</v>
      </c>
      <c r="BB285" s="114">
        <f ca="1">BA286</f>
        <v>30941.817004845554</v>
      </c>
      <c r="BC285" s="114">
        <f ca="1">BB286</f>
        <v>30693.711977890522</v>
      </c>
      <c r="BD285" s="114">
        <f>AZ285</f>
        <v>29690.253838552922</v>
      </c>
      <c r="BE285" s="114"/>
      <c r="BF285" s="114">
        <f ca="1">BD286</f>
        <v>30352.239486765189</v>
      </c>
      <c r="BG285" s="114">
        <f ca="1">BF286</f>
        <v>30027.118604856681</v>
      </c>
      <c r="BH285" s="114">
        <f ca="1">BG286</f>
        <v>29337.617751740258</v>
      </c>
      <c r="BI285" s="114">
        <f ca="1">BH286</f>
        <v>28848.388607703917</v>
      </c>
      <c r="BJ285" s="114">
        <f ca="1">BF285</f>
        <v>30352.239486765189</v>
      </c>
      <c r="BK285" s="114"/>
      <c r="BL285" s="114">
        <f ca="1">BJ286</f>
        <v>30933.475524294146</v>
      </c>
      <c r="BM285" s="114">
        <f ca="1">BL286</f>
        <v>30743.800500245539</v>
      </c>
      <c r="BN285" s="114">
        <f ca="1">BM286</f>
        <v>30168.239325237257</v>
      </c>
      <c r="BO285" s="114">
        <f ca="1">BN286</f>
        <v>29802.301416066341</v>
      </c>
      <c r="BP285" s="114">
        <f ca="1">BL285</f>
        <v>30933.475524294146</v>
      </c>
      <c r="BQ285" s="114"/>
      <c r="BR285" s="114">
        <f ca="1">BP286</f>
        <v>32219.51686457621</v>
      </c>
      <c r="BS285" s="114">
        <f ca="1">BR286</f>
        <v>32024.811319147713</v>
      </c>
      <c r="BT285" s="114">
        <f ca="1">BS286</f>
        <v>31423.116692284464</v>
      </c>
      <c r="BU285" s="114">
        <f ca="1">BT286</f>
        <v>31037.075836823948</v>
      </c>
      <c r="BV285" s="114">
        <f ca="1">BR285</f>
        <v>32219.51686457621</v>
      </c>
      <c r="BW285" s="114"/>
      <c r="BX285" s="114">
        <f ca="1">BV286</f>
        <v>32202.488195399645</v>
      </c>
      <c r="BY285" s="114">
        <f ca="1">BX286</f>
        <v>31475.539879888256</v>
      </c>
      <c r="BZ285" s="114">
        <f ca="1">BY286</f>
        <v>30316.056639497077</v>
      </c>
      <c r="CA285" s="114">
        <f ca="1">BZ286</f>
        <v>29369.055534764597</v>
      </c>
      <c r="CB285" s="114">
        <f ca="1">BX285</f>
        <v>32202.488195399645</v>
      </c>
      <c r="CC285" s="114"/>
      <c r="CD285" s="114">
        <f ca="1">CB286</f>
        <v>28994.253298325384</v>
      </c>
      <c r="CE285" s="114">
        <f ca="1">CD286</f>
        <v>27835.013043747884</v>
      </c>
      <c r="CF285" s="114">
        <f ca="1">CE286</f>
        <v>26222.225256242466</v>
      </c>
      <c r="CG285" s="114">
        <f ca="1">CF286</f>
        <v>24819.012595217519</v>
      </c>
      <c r="CH285" s="114">
        <f ca="1">CD285</f>
        <v>28994.253298325384</v>
      </c>
      <c r="CI285" s="114"/>
      <c r="CJ285" s="114">
        <f ca="1">CH286</f>
        <v>24062.301700498359</v>
      </c>
      <c r="CK285" s="114">
        <f ca="1">CJ286</f>
        <v>22489.045735409294</v>
      </c>
      <c r="CL285" s="114">
        <f ca="1">CK286</f>
        <v>20441.061173463364</v>
      </c>
      <c r="CM285" s="114">
        <f ca="1">CL286</f>
        <v>19064.456308473909</v>
      </c>
      <c r="CN285" s="114">
        <f ca="1">CJ285</f>
        <v>24062.301700498359</v>
      </c>
      <c r="CO285" s="114"/>
      <c r="CP285" s="114">
        <f ca="1">CN286</f>
        <v>18301.952564978135</v>
      </c>
      <c r="CQ285" s="114">
        <f ca="1">CP286</f>
        <v>17136.806609004027</v>
      </c>
      <c r="CR285" s="114">
        <f ca="1">CQ286</f>
        <v>15622.716669326879</v>
      </c>
      <c r="CS285" s="114">
        <f ca="1">CR286</f>
        <v>14273.536156631064</v>
      </c>
      <c r="CT285" s="114">
        <f ca="1">CP285</f>
        <v>18301.952564978135</v>
      </c>
    </row>
    <row r="286" spans="1:98" x14ac:dyDescent="0.2">
      <c r="A286" s="226"/>
      <c r="B286" s="226" t="s">
        <v>295</v>
      </c>
      <c r="C286" s="226"/>
      <c r="D286" s="226"/>
      <c r="E286" s="226"/>
      <c r="F286" s="226"/>
      <c r="G286" s="226"/>
      <c r="H286" s="226"/>
      <c r="I286" s="226"/>
      <c r="J286" s="226"/>
      <c r="K286" s="226"/>
      <c r="L286" s="226"/>
      <c r="M286" s="226"/>
      <c r="N286" s="226"/>
      <c r="O286" s="226"/>
      <c r="P286" s="129" t="s">
        <v>35</v>
      </c>
      <c r="Q286" s="129" t="s">
        <v>35</v>
      </c>
      <c r="R286" s="129" t="s">
        <v>35</v>
      </c>
      <c r="S286" s="129" t="s">
        <v>35</v>
      </c>
      <c r="T286" s="129" t="s">
        <v>35</v>
      </c>
      <c r="U286" s="129"/>
      <c r="V286" s="197">
        <v>16954</v>
      </c>
      <c r="W286" s="197">
        <f>W285-W282</f>
        <v>17592.589369039248</v>
      </c>
      <c r="X286" s="197">
        <f>X285-X282</f>
        <v>18083.520521606075</v>
      </c>
      <c r="Y286" s="197">
        <f>Y285-Y282</f>
        <v>16550.253838552922</v>
      </c>
      <c r="Z286" s="197">
        <f>Y286</f>
        <v>16550.253838552922</v>
      </c>
      <c r="AA286" s="197"/>
      <c r="AB286" s="197">
        <f>AB285-AB282</f>
        <v>16964.253838552922</v>
      </c>
      <c r="AC286" s="197">
        <f>AC285-AC282</f>
        <v>19391.253838552922</v>
      </c>
      <c r="AD286" s="197">
        <f>AD285-AD282</f>
        <v>18607.253838552922</v>
      </c>
      <c r="AE286" s="197">
        <f>AE285-AE282</f>
        <v>19079.253838552922</v>
      </c>
      <c r="AF286" s="197">
        <f>AE286</f>
        <v>19079.253838552922</v>
      </c>
      <c r="AG286" s="197"/>
      <c r="AH286" s="197">
        <f>AH285-AH282</f>
        <v>21352.253838552922</v>
      </c>
      <c r="AI286" s="197">
        <f>AI285-AI282</f>
        <v>21870.253838552922</v>
      </c>
      <c r="AJ286" s="197">
        <f>AJ285-AJ282</f>
        <v>21937.253838552922</v>
      </c>
      <c r="AK286" s="197">
        <f>AK285-AK282</f>
        <v>24137.253838552922</v>
      </c>
      <c r="AL286" s="197">
        <f>AK286</f>
        <v>24137.253838552922</v>
      </c>
      <c r="AM286" s="197"/>
      <c r="AN286" s="197">
        <f>AN285-AN282</f>
        <v>25463.253838552922</v>
      </c>
      <c r="AO286" s="197">
        <f>AO285-AO282</f>
        <v>24528.253838552922</v>
      </c>
      <c r="AP286" s="197">
        <f>AP285-AP282</f>
        <v>25027.253838552922</v>
      </c>
      <c r="AQ286" s="197">
        <f>AQ285-AQ282</f>
        <v>24907.253838552922</v>
      </c>
      <c r="AR286" s="197">
        <f>AQ286</f>
        <v>24907.253838552922</v>
      </c>
      <c r="AS286" s="197"/>
      <c r="AT286" s="197">
        <f>AT285-AT282</f>
        <v>25360.253838552922</v>
      </c>
      <c r="AU286" s="197">
        <f>AU285-AU282</f>
        <v>30239.253838552922</v>
      </c>
      <c r="AV286" s="197">
        <f>AV285-AV282</f>
        <v>30167.253838552922</v>
      </c>
      <c r="AW286" s="197">
        <f>AW285-AW282</f>
        <v>29690.253838552922</v>
      </c>
      <c r="AX286" s="197">
        <f>AW286</f>
        <v>29690.253838552922</v>
      </c>
      <c r="AY286" s="197"/>
      <c r="AZ286" s="197">
        <f ca="1">AZ285-AZ282</f>
        <v>30727.501392678176</v>
      </c>
      <c r="BA286" s="197">
        <f ca="1">BA285-BA282</f>
        <v>30941.817004845554</v>
      </c>
      <c r="BB286" s="197">
        <f ca="1">BB285-BB282</f>
        <v>30693.711977890522</v>
      </c>
      <c r="BC286" s="197">
        <f ca="1">BC285-BC282</f>
        <v>30352.239486765189</v>
      </c>
      <c r="BD286" s="197">
        <f ca="1">BC286</f>
        <v>30352.239486765189</v>
      </c>
      <c r="BE286" s="197"/>
      <c r="BF286" s="197">
        <f ca="1">BF285-BF282</f>
        <v>30027.118604856681</v>
      </c>
      <c r="BG286" s="197">
        <f ca="1">BG285-BG282</f>
        <v>29337.617751740258</v>
      </c>
      <c r="BH286" s="197">
        <f ca="1">BH285-BH282</f>
        <v>28848.388607703917</v>
      </c>
      <c r="BI286" s="197">
        <f ca="1">BI285-BI282</f>
        <v>30933.475524294146</v>
      </c>
      <c r="BJ286" s="197">
        <f ca="1">BI286</f>
        <v>30933.475524294146</v>
      </c>
      <c r="BK286" s="197"/>
      <c r="BL286" s="197">
        <f ca="1">BL285-BL282</f>
        <v>30743.800500245539</v>
      </c>
      <c r="BM286" s="197">
        <f ca="1">BM285-BM282</f>
        <v>30168.239325237257</v>
      </c>
      <c r="BN286" s="197">
        <f ca="1">BN285-BN282</f>
        <v>29802.301416066341</v>
      </c>
      <c r="BO286" s="197">
        <f ca="1">BO285-BO282</f>
        <v>32219.51686457621</v>
      </c>
      <c r="BP286" s="197">
        <f ca="1">BO286</f>
        <v>32219.51686457621</v>
      </c>
      <c r="BQ286" s="197"/>
      <c r="BR286" s="197">
        <f ca="1">BR285-BR282</f>
        <v>32024.811319147713</v>
      </c>
      <c r="BS286" s="197">
        <f ca="1">BS285-BS282</f>
        <v>31423.116692284464</v>
      </c>
      <c r="BT286" s="197">
        <f ca="1">BT285-BT282</f>
        <v>31037.075836823948</v>
      </c>
      <c r="BU286" s="197">
        <f ca="1">BU285-BU282</f>
        <v>32202.488195399645</v>
      </c>
      <c r="BV286" s="197">
        <f ca="1">BU286</f>
        <v>32202.488195399645</v>
      </c>
      <c r="BW286" s="197"/>
      <c r="BX286" s="197">
        <f ca="1">BX285-BX282</f>
        <v>31475.539879888256</v>
      </c>
      <c r="BY286" s="197">
        <f ca="1">BY285-BY282</f>
        <v>30316.056639497077</v>
      </c>
      <c r="BZ286" s="197">
        <f ca="1">BZ285-BZ282</f>
        <v>29369.055534764597</v>
      </c>
      <c r="CA286" s="197">
        <f ca="1">CA285-CA282</f>
        <v>28994.253298325384</v>
      </c>
      <c r="CB286" s="197">
        <f ca="1">CA286</f>
        <v>28994.253298325384</v>
      </c>
      <c r="CC286" s="197"/>
      <c r="CD286" s="197">
        <f ca="1">CD285-CD282</f>
        <v>27835.013043747884</v>
      </c>
      <c r="CE286" s="197">
        <f ca="1">CE285-CE282</f>
        <v>26222.225256242466</v>
      </c>
      <c r="CF286" s="197">
        <f ca="1">CF285-CF282</f>
        <v>24819.012595217519</v>
      </c>
      <c r="CG286" s="197">
        <f ca="1">CG285-CG282</f>
        <v>24062.301700498359</v>
      </c>
      <c r="CH286" s="197">
        <f ca="1">CG286</f>
        <v>24062.301700498359</v>
      </c>
      <c r="CI286" s="197"/>
      <c r="CJ286" s="197">
        <f ca="1">CJ285-CJ282</f>
        <v>22489.045735409294</v>
      </c>
      <c r="CK286" s="197">
        <f ca="1">CK285-CK282</f>
        <v>20441.061173463364</v>
      </c>
      <c r="CL286" s="197">
        <f ca="1">CL285-CL282</f>
        <v>19064.456308473909</v>
      </c>
      <c r="CM286" s="197">
        <f ca="1">CM285-CM282</f>
        <v>18301.952564978135</v>
      </c>
      <c r="CN286" s="197">
        <f ca="1">CM286</f>
        <v>18301.952564978135</v>
      </c>
      <c r="CO286" s="197"/>
      <c r="CP286" s="197">
        <f ca="1">CP285-CP282</f>
        <v>17136.806609004027</v>
      </c>
      <c r="CQ286" s="197">
        <f ca="1">CQ285-CQ282</f>
        <v>15622.716669326879</v>
      </c>
      <c r="CR286" s="197">
        <f ca="1">CR285-CR282</f>
        <v>14273.536156631064</v>
      </c>
      <c r="CS286" s="197">
        <f ca="1">CS285-CS282</f>
        <v>13377.92932961828</v>
      </c>
      <c r="CT286" s="197">
        <f ca="1">CS286</f>
        <v>13377.92932961828</v>
      </c>
    </row>
    <row r="287" spans="1:98" x14ac:dyDescent="0.2">
      <c r="B287" t="s">
        <v>296</v>
      </c>
      <c r="P287" s="103" t="s">
        <v>35</v>
      </c>
      <c r="Q287" s="103" t="s">
        <v>35</v>
      </c>
      <c r="R287" s="103" t="s">
        <v>35</v>
      </c>
      <c r="S287" s="103" t="s">
        <v>35</v>
      </c>
      <c r="T287" s="103" t="s">
        <v>35</v>
      </c>
      <c r="U287" s="103"/>
      <c r="V287" s="114" t="s">
        <v>35</v>
      </c>
      <c r="W287" s="114">
        <f>(W285+W286)/2</f>
        <v>17273.294684519624</v>
      </c>
      <c r="X287" s="114">
        <f>(X285+X286)/2</f>
        <v>17838.054945322663</v>
      </c>
      <c r="Y287" s="114">
        <f>(Y285+Y286)/2</f>
        <v>17316.887180079499</v>
      </c>
      <c r="Z287" s="114" t="s">
        <v>35</v>
      </c>
      <c r="AA287" s="114"/>
      <c r="AB287" s="114">
        <f>(AB285+AB286)/2</f>
        <v>16757.253838552922</v>
      </c>
      <c r="AC287" s="114">
        <f>(AC285+AC286)/2</f>
        <v>18177.753838552922</v>
      </c>
      <c r="AD287" s="114">
        <f>(AD285+AD286)/2</f>
        <v>18999.253838552922</v>
      </c>
      <c r="AE287" s="114">
        <f>(AE285+AE286)/2</f>
        <v>18843.253838552922</v>
      </c>
      <c r="AF287" s="114" t="s">
        <v>35</v>
      </c>
      <c r="AG287" s="114"/>
      <c r="AH287" s="114">
        <f>(AH285+AH286)/2</f>
        <v>20215.753838552922</v>
      </c>
      <c r="AI287" s="114">
        <f>(AI285+AI286)/2</f>
        <v>21611.253838552922</v>
      </c>
      <c r="AJ287" s="114">
        <f>(AJ285+AJ286)/2</f>
        <v>21903.753838552922</v>
      </c>
      <c r="AK287" s="114">
        <f>(AK285+AK286)/2</f>
        <v>23037.253838552922</v>
      </c>
      <c r="AL287" s="114" t="s">
        <v>35</v>
      </c>
      <c r="AM287" s="114"/>
      <c r="AN287" s="114">
        <f>(AN285+AN286)/2</f>
        <v>24800.253838552922</v>
      </c>
      <c r="AO287" s="114">
        <f>(AO285+AO286)/2</f>
        <v>24995.753838552922</v>
      </c>
      <c r="AP287" s="114">
        <f>(AP285+AP286)/2</f>
        <v>24777.753838552922</v>
      </c>
      <c r="AQ287" s="114">
        <f>(AQ285+AQ286)/2</f>
        <v>24967.253838552922</v>
      </c>
      <c r="AR287" s="114" t="s">
        <v>35</v>
      </c>
      <c r="AS287" s="114"/>
      <c r="AT287" s="114">
        <f>(AT285+AT286)/2</f>
        <v>25133.753838552922</v>
      </c>
      <c r="AU287" s="114">
        <f>(AU285+AU286)/2</f>
        <v>27799.753838552922</v>
      </c>
      <c r="AV287" s="114">
        <f>(AV285+AV286)/2</f>
        <v>30203.253838552922</v>
      </c>
      <c r="AW287" s="114">
        <f>(AW285+AW286)/2</f>
        <v>29928.753838552922</v>
      </c>
      <c r="AX287" s="114" t="s">
        <v>35</v>
      </c>
      <c r="AY287" s="114"/>
      <c r="AZ287" s="114">
        <f ca="1">(AZ285+AZ286)/2</f>
        <v>30208.877615615551</v>
      </c>
      <c r="BA287" s="114">
        <f ca="1">(BA285+BA286)/2</f>
        <v>30834.659198761867</v>
      </c>
      <c r="BB287" s="114">
        <f ca="1">(BB285+BB286)/2</f>
        <v>30817.764491368038</v>
      </c>
      <c r="BC287" s="114">
        <f ca="1">(BC285+BC286)/2</f>
        <v>30522.975732327854</v>
      </c>
      <c r="BD287" s="114" t="s">
        <v>35</v>
      </c>
      <c r="BE287" s="114"/>
      <c r="BF287" s="114">
        <f ca="1">(BF285+BF286)/2</f>
        <v>30189.679045810935</v>
      </c>
      <c r="BG287" s="114">
        <f ca="1">(BG285+BG286)/2</f>
        <v>29682.368178298471</v>
      </c>
      <c r="BH287" s="114">
        <f ca="1">(BH285+BH286)/2</f>
        <v>29093.003179722087</v>
      </c>
      <c r="BI287" s="114">
        <f ca="1">(BI285+BI286)/2</f>
        <v>29890.932065999034</v>
      </c>
      <c r="BJ287" s="114" t="s">
        <v>35</v>
      </c>
      <c r="BK287" s="114"/>
      <c r="BL287" s="114">
        <f ca="1">(BL285+BL286)/2</f>
        <v>30838.638012269843</v>
      </c>
      <c r="BM287" s="114">
        <f ca="1">(BM285+BM286)/2</f>
        <v>30456.019912741398</v>
      </c>
      <c r="BN287" s="114">
        <f ca="1">(BN285+BN286)/2</f>
        <v>29985.2703706518</v>
      </c>
      <c r="BO287" s="114">
        <f ca="1">(BO285+BO286)/2</f>
        <v>31010.909140321273</v>
      </c>
      <c r="BP287" s="114" t="s">
        <v>35</v>
      </c>
      <c r="BQ287" s="114"/>
      <c r="BR287" s="114">
        <f ca="1">(BR285+BR286)/2</f>
        <v>32122.16409186196</v>
      </c>
      <c r="BS287" s="114">
        <f ca="1">(BS285+BS286)/2</f>
        <v>31723.964005716087</v>
      </c>
      <c r="BT287" s="114">
        <f ca="1">(BT285+BT286)/2</f>
        <v>31230.096264554206</v>
      </c>
      <c r="BU287" s="114">
        <f ca="1">(BU285+BU286)/2</f>
        <v>31619.782016111796</v>
      </c>
      <c r="BV287" s="114" t="s">
        <v>35</v>
      </c>
      <c r="BW287" s="114"/>
      <c r="BX287" s="114">
        <f ca="1">(BX285+BX286)/2</f>
        <v>31839.014037643952</v>
      </c>
      <c r="BY287" s="114">
        <f ca="1">(BY285+BY286)/2</f>
        <v>30895.798259692667</v>
      </c>
      <c r="BZ287" s="114">
        <f ca="1">(BZ285+BZ286)/2</f>
        <v>29842.556087130837</v>
      </c>
      <c r="CA287" s="114">
        <f ca="1">(CA285+CA286)/2</f>
        <v>29181.654416544989</v>
      </c>
      <c r="CB287" s="114" t="s">
        <v>35</v>
      </c>
      <c r="CC287" s="114"/>
      <c r="CD287" s="114">
        <f ca="1">(CD285+CD286)/2</f>
        <v>28414.633171036636</v>
      </c>
      <c r="CE287" s="114">
        <f ca="1">(CE285+CE286)/2</f>
        <v>27028.619149995175</v>
      </c>
      <c r="CF287" s="114">
        <f ca="1">(CF285+CF286)/2</f>
        <v>25520.618925729992</v>
      </c>
      <c r="CG287" s="114">
        <f ca="1">(CG285+CG286)/2</f>
        <v>24440.657147857939</v>
      </c>
      <c r="CH287" s="114" t="s">
        <v>35</v>
      </c>
      <c r="CI287" s="114"/>
      <c r="CJ287" s="114">
        <f ca="1">(CJ285+CJ286)/2</f>
        <v>23275.673717953825</v>
      </c>
      <c r="CK287" s="114">
        <f ca="1">(CK285+CK286)/2</f>
        <v>21465.053454436329</v>
      </c>
      <c r="CL287" s="114">
        <f ca="1">(CL285+CL286)/2</f>
        <v>19752.758740968638</v>
      </c>
      <c r="CM287" s="114">
        <f ca="1">(CM285+CM286)/2</f>
        <v>18683.204436726024</v>
      </c>
      <c r="CN287" s="114" t="s">
        <v>35</v>
      </c>
      <c r="CO287" s="114"/>
      <c r="CP287" s="114">
        <f ca="1">(CP285+CP286)/2</f>
        <v>17719.379586991083</v>
      </c>
      <c r="CQ287" s="114">
        <f ca="1">(CQ285+CQ286)/2</f>
        <v>16379.761639165452</v>
      </c>
      <c r="CR287" s="114">
        <f ca="1">(CR285+CR286)/2</f>
        <v>14948.126412978971</v>
      </c>
      <c r="CS287" s="114">
        <f ca="1">(CS285+CS286)/2</f>
        <v>13825.732743124672</v>
      </c>
      <c r="CT287" s="114" t="s">
        <v>35</v>
      </c>
    </row>
    <row r="288" spans="1:98" x14ac:dyDescent="0.2">
      <c r="P288" s="103"/>
      <c r="Q288" s="103"/>
      <c r="R288" s="103"/>
      <c r="S288" s="103"/>
      <c r="T288" s="103"/>
      <c r="U288" s="103"/>
      <c r="V288" s="103"/>
      <c r="W288" s="103"/>
      <c r="X288" s="103"/>
      <c r="Y288" s="103"/>
      <c r="Z288" s="103"/>
      <c r="AA288" s="103"/>
      <c r="AB288" s="103"/>
      <c r="AC288" s="103"/>
      <c r="AD288" s="103"/>
      <c r="AE288" s="103"/>
      <c r="AF288" s="103"/>
      <c r="AG288" s="103"/>
      <c r="AH288" s="103"/>
      <c r="AI288" s="103"/>
      <c r="AJ288" s="103"/>
      <c r="AK288" s="103"/>
      <c r="AL288" s="103"/>
      <c r="AM288" s="103"/>
      <c r="AN288" s="103"/>
      <c r="AO288" s="103"/>
      <c r="AP288" s="103"/>
      <c r="AQ288" s="103"/>
      <c r="AR288" s="103"/>
      <c r="AS288" s="103"/>
      <c r="AT288" s="103"/>
      <c r="AU288" s="103"/>
      <c r="AV288" s="103"/>
      <c r="AW288" s="103"/>
      <c r="AX288" s="103"/>
      <c r="AY288" s="103"/>
      <c r="AZ288" s="103"/>
      <c r="BA288" s="103"/>
      <c r="BB288" s="103"/>
      <c r="BC288" s="103"/>
      <c r="BD288" s="103"/>
      <c r="BE288" s="103"/>
      <c r="BF288" s="103"/>
      <c r="BG288" s="103"/>
      <c r="BH288" s="103"/>
      <c r="BI288" s="103"/>
      <c r="BJ288" s="103"/>
      <c r="BK288" s="103"/>
      <c r="BL288" s="103"/>
      <c r="BM288" s="103"/>
      <c r="BN288" s="103"/>
      <c r="BO288" s="103"/>
      <c r="BP288" s="103"/>
      <c r="BQ288" s="103"/>
      <c r="BR288" s="103"/>
      <c r="BS288" s="103"/>
      <c r="BT288" s="103"/>
      <c r="BU288" s="103"/>
      <c r="BV288" s="103"/>
      <c r="BW288" s="103"/>
      <c r="BX288" s="103"/>
      <c r="BY288" s="103"/>
      <c r="BZ288" s="103"/>
      <c r="CA288" s="103"/>
      <c r="CB288" s="103"/>
      <c r="CC288" s="103"/>
      <c r="CD288" s="103"/>
      <c r="CE288" s="103"/>
      <c r="CF288" s="103"/>
      <c r="CG288" s="103"/>
      <c r="CH288" s="103"/>
      <c r="CI288" s="103"/>
      <c r="CJ288" s="103"/>
      <c r="CK288" s="103"/>
      <c r="CL288" s="103"/>
      <c r="CM288" s="103"/>
      <c r="CN288" s="103"/>
      <c r="CO288" s="103"/>
      <c r="CP288" s="103"/>
      <c r="CQ288" s="103"/>
      <c r="CR288" s="103"/>
      <c r="CS288" s="103"/>
      <c r="CT288" s="103"/>
    </row>
    <row r="289" spans="1:98" x14ac:dyDescent="0.2">
      <c r="B289" t="s">
        <v>387</v>
      </c>
      <c r="P289" s="103" t="s">
        <v>35</v>
      </c>
      <c r="Q289" s="103" t="s">
        <v>35</v>
      </c>
      <c r="R289" s="103" t="s">
        <v>35</v>
      </c>
      <c r="S289" s="103" t="s">
        <v>35</v>
      </c>
      <c r="T289" s="103" t="s">
        <v>35</v>
      </c>
      <c r="U289" s="103"/>
      <c r="V289" s="227" t="s">
        <v>35</v>
      </c>
      <c r="W289" s="227">
        <v>6.9000000000000006E-2</v>
      </c>
      <c r="X289" s="227">
        <v>7.2999999999999995E-2</v>
      </c>
      <c r="Y289" s="227">
        <v>6.9500000000000006E-2</v>
      </c>
      <c r="Z289" s="103"/>
      <c r="AA289" s="103"/>
      <c r="AB289" s="227">
        <f>4*AB234/AB287</f>
        <v>6.588191660975258E-2</v>
      </c>
      <c r="AC289" s="227">
        <f>4*AC234/AC287</f>
        <v>5.9633330367856605E-2</v>
      </c>
      <c r="AD289" s="227">
        <f>4*AD234/AD287</f>
        <v>5.1791507622435465E-2</v>
      </c>
      <c r="AE289" s="227">
        <f ca="1">4*AE234/AE287</f>
        <v>5.1791507622435465E-2</v>
      </c>
      <c r="AF289" s="103"/>
      <c r="AG289" s="103"/>
      <c r="AH289" s="227">
        <f ca="1">4*AH234/AH287</f>
        <v>5.1791507622435472E-2</v>
      </c>
      <c r="AI289" s="227">
        <f>4*AI234/AI287</f>
        <v>4.3495856696806161E-2</v>
      </c>
      <c r="AJ289" s="227">
        <f>4*AJ234/AJ287</f>
        <v>5.0037085336072581E-2</v>
      </c>
      <c r="AK289" s="227">
        <f>4*AK234/AK287</f>
        <v>6.1986554908304098E-2</v>
      </c>
      <c r="AL289" s="103"/>
      <c r="AM289" s="103"/>
      <c r="AN289" s="227">
        <f>4*AN234/AN287</f>
        <v>5.6451035102860425E-2</v>
      </c>
      <c r="AO289" s="227">
        <f>4*AO234/AO287</f>
        <v>6.2890681759530706E-2</v>
      </c>
      <c r="AP289" s="227">
        <v>6.2E-2</v>
      </c>
      <c r="AQ289" s="227">
        <v>7.4999999999999997E-2</v>
      </c>
      <c r="AR289" s="103"/>
      <c r="AS289" s="103"/>
      <c r="AT289" s="227">
        <f>4*AT274/AT286</f>
        <v>5.2838587836329859E-2</v>
      </c>
      <c r="AU289" s="227">
        <f>4*AU274/AU286</f>
        <v>4.1138581217701461E-2</v>
      </c>
      <c r="AV289" s="227">
        <f>4*AV274/AV286</f>
        <v>4.6673124691270856E-2</v>
      </c>
      <c r="AW289" s="227">
        <f>4*AW274/AW286</f>
        <v>4.6614623355050941E-2</v>
      </c>
      <c r="AX289" s="103"/>
      <c r="AY289" s="103"/>
      <c r="AZ289" s="227">
        <v>4.9000000000000002E-2</v>
      </c>
      <c r="BA289" s="227">
        <f>AZ289</f>
        <v>4.9000000000000002E-2</v>
      </c>
      <c r="BB289" s="227">
        <f>BA289</f>
        <v>4.9000000000000002E-2</v>
      </c>
      <c r="BC289" s="227">
        <f>BB289</f>
        <v>4.9000000000000002E-2</v>
      </c>
      <c r="BD289" s="103"/>
      <c r="BE289" s="103"/>
      <c r="BF289" s="227">
        <v>4.9000000000000002E-2</v>
      </c>
      <c r="BG289" s="227">
        <f>BF289</f>
        <v>4.9000000000000002E-2</v>
      </c>
      <c r="BH289" s="227">
        <f>BG289</f>
        <v>4.9000000000000002E-2</v>
      </c>
      <c r="BI289" s="227">
        <f>BH289</f>
        <v>4.9000000000000002E-2</v>
      </c>
      <c r="BJ289" s="103"/>
      <c r="BK289" s="103"/>
      <c r="BL289" s="227">
        <f>BI289</f>
        <v>4.9000000000000002E-2</v>
      </c>
      <c r="BM289" s="227">
        <f>BL289</f>
        <v>4.9000000000000002E-2</v>
      </c>
      <c r="BN289" s="227">
        <f>BM289</f>
        <v>4.9000000000000002E-2</v>
      </c>
      <c r="BO289" s="227">
        <f>BN289</f>
        <v>4.9000000000000002E-2</v>
      </c>
      <c r="BP289" s="103"/>
      <c r="BQ289" s="103"/>
      <c r="BR289" s="227">
        <f>BO289</f>
        <v>4.9000000000000002E-2</v>
      </c>
      <c r="BS289" s="227">
        <f>BR289</f>
        <v>4.9000000000000002E-2</v>
      </c>
      <c r="BT289" s="227">
        <f>BS289</f>
        <v>4.9000000000000002E-2</v>
      </c>
      <c r="BU289" s="227">
        <f>BT289</f>
        <v>4.9000000000000002E-2</v>
      </c>
      <c r="BV289" s="103"/>
      <c r="BW289" s="103"/>
      <c r="BX289" s="227">
        <f>BU289</f>
        <v>4.9000000000000002E-2</v>
      </c>
      <c r="BY289" s="227">
        <f>BX289</f>
        <v>4.9000000000000002E-2</v>
      </c>
      <c r="BZ289" s="227">
        <f>BY289</f>
        <v>4.9000000000000002E-2</v>
      </c>
      <c r="CA289" s="227">
        <f>BZ289</f>
        <v>4.9000000000000002E-2</v>
      </c>
      <c r="CB289" s="103"/>
      <c r="CC289" s="103"/>
      <c r="CD289" s="227">
        <f>CA289</f>
        <v>4.9000000000000002E-2</v>
      </c>
      <c r="CE289" s="227">
        <f>CD289</f>
        <v>4.9000000000000002E-2</v>
      </c>
      <c r="CF289" s="227">
        <f>CE289</f>
        <v>4.9000000000000002E-2</v>
      </c>
      <c r="CG289" s="227">
        <f>CF289</f>
        <v>4.9000000000000002E-2</v>
      </c>
      <c r="CH289" s="103"/>
      <c r="CI289" s="103"/>
      <c r="CJ289" s="227">
        <f>CG289</f>
        <v>4.9000000000000002E-2</v>
      </c>
      <c r="CK289" s="227">
        <f>CJ289</f>
        <v>4.9000000000000002E-2</v>
      </c>
      <c r="CL289" s="227">
        <f>CK289</f>
        <v>4.9000000000000002E-2</v>
      </c>
      <c r="CM289" s="227">
        <f>CL289</f>
        <v>4.9000000000000002E-2</v>
      </c>
      <c r="CN289" s="103"/>
      <c r="CO289" s="103"/>
      <c r="CP289" s="227">
        <f>CM289</f>
        <v>4.9000000000000002E-2</v>
      </c>
      <c r="CQ289" s="227">
        <f>CP289</f>
        <v>4.9000000000000002E-2</v>
      </c>
      <c r="CR289" s="227">
        <f>CQ289</f>
        <v>4.9000000000000002E-2</v>
      </c>
      <c r="CS289" s="227">
        <f>CR289</f>
        <v>4.9000000000000002E-2</v>
      </c>
      <c r="CT289" s="103"/>
    </row>
    <row r="290" spans="1:98" x14ac:dyDescent="0.2">
      <c r="P290" s="103"/>
      <c r="Q290" s="103"/>
      <c r="R290" s="103"/>
      <c r="S290" s="103"/>
      <c r="T290" s="103"/>
      <c r="U290" s="103"/>
      <c r="V290" s="103"/>
      <c r="W290" s="103"/>
      <c r="X290" s="103"/>
      <c r="Y290" s="103"/>
      <c r="Z290" s="103"/>
      <c r="AA290" s="103"/>
      <c r="AB290" s="103"/>
      <c r="AC290" s="103"/>
      <c r="AD290" s="103"/>
      <c r="AE290" s="103"/>
      <c r="AF290" s="103"/>
      <c r="AG290" s="103"/>
      <c r="AH290" s="103"/>
      <c r="AI290" s="103"/>
      <c r="AJ290" s="103"/>
      <c r="AK290" s="103"/>
      <c r="AL290" s="103"/>
      <c r="AM290" s="103"/>
      <c r="AN290" s="103"/>
      <c r="AO290" s="103"/>
      <c r="AP290" s="103"/>
      <c r="AQ290" s="103"/>
      <c r="AR290" s="103"/>
      <c r="AS290" s="103"/>
      <c r="AT290" s="103"/>
      <c r="AU290" s="103"/>
      <c r="AV290" s="103"/>
      <c r="AW290" s="103"/>
      <c r="AX290" s="103"/>
      <c r="AY290" s="103"/>
      <c r="AZ290" s="103"/>
      <c r="BA290" s="103"/>
      <c r="BB290" s="103"/>
      <c r="BC290" s="103"/>
      <c r="BD290" s="114">
        <f ca="1">BD258-BD261-BD274</f>
        <v>3063.0143517877377</v>
      </c>
      <c r="BE290" s="103"/>
      <c r="BF290" s="103"/>
      <c r="BG290" s="103"/>
      <c r="BH290" s="103"/>
      <c r="BI290" s="103"/>
      <c r="BJ290" s="114">
        <f ca="1">BJ258-BJ261-BJ274</f>
        <v>3618.7639624710473</v>
      </c>
      <c r="BK290" s="103"/>
      <c r="BL290" s="103"/>
      <c r="BM290" s="103"/>
      <c r="BN290" s="103"/>
      <c r="BO290" s="103"/>
      <c r="BP290" s="103"/>
      <c r="BQ290" s="103"/>
      <c r="BR290" s="103"/>
      <c r="BS290" s="103"/>
      <c r="BT290" s="103"/>
      <c r="BU290" s="103"/>
      <c r="BV290" s="103"/>
      <c r="BW290" s="103"/>
      <c r="BX290" s="103"/>
      <c r="BY290" s="103"/>
      <c r="BZ290" s="103"/>
      <c r="CA290" s="103"/>
      <c r="CB290" s="103"/>
      <c r="CC290" s="103"/>
      <c r="CD290" s="103"/>
      <c r="CE290" s="103"/>
      <c r="CF290" s="103"/>
      <c r="CG290" s="103"/>
      <c r="CH290" s="103"/>
      <c r="CI290" s="103"/>
      <c r="CJ290" s="103"/>
      <c r="CK290" s="103"/>
      <c r="CL290" s="103"/>
      <c r="CM290" s="103"/>
      <c r="CN290" s="103"/>
      <c r="CO290" s="103"/>
      <c r="CP290" s="103"/>
      <c r="CQ290" s="103"/>
      <c r="CR290" s="103"/>
      <c r="CS290" s="103"/>
      <c r="CT290" s="103"/>
    </row>
    <row r="291" spans="1:98" x14ac:dyDescent="0.2">
      <c r="P291" s="103"/>
      <c r="Q291" s="103"/>
      <c r="R291" s="103"/>
      <c r="S291" s="103"/>
      <c r="T291" s="103"/>
      <c r="U291" s="103"/>
      <c r="V291" s="103">
        <f>V286*0.74</f>
        <v>12545.96</v>
      </c>
      <c r="W291" s="103"/>
      <c r="X291" s="103"/>
      <c r="Y291" s="103"/>
      <c r="Z291" s="103"/>
      <c r="AA291" s="103"/>
      <c r="AB291" s="103"/>
      <c r="AC291" s="103"/>
      <c r="AD291" s="103"/>
      <c r="AE291" s="103"/>
      <c r="AF291" s="103"/>
      <c r="AG291" s="103"/>
      <c r="AH291" s="103"/>
      <c r="AI291" s="103"/>
      <c r="AJ291" s="103"/>
      <c r="AK291" s="103"/>
      <c r="AL291" s="103"/>
      <c r="AM291" s="103"/>
      <c r="AN291" s="103"/>
      <c r="AO291" s="103"/>
      <c r="AP291" s="103"/>
      <c r="AQ291" s="103"/>
      <c r="AR291" s="103"/>
      <c r="AS291" s="103"/>
      <c r="AT291" s="246">
        <v>25359.945750000003</v>
      </c>
      <c r="AU291" s="246">
        <v>30238.945750000003</v>
      </c>
      <c r="AV291" s="246">
        <v>30166.945750000003</v>
      </c>
      <c r="AW291" s="246">
        <v>29689.945750000003</v>
      </c>
      <c r="AX291" s="103"/>
      <c r="AY291" s="103"/>
      <c r="AZ291" s="103"/>
      <c r="BA291" s="103"/>
      <c r="BB291" s="103"/>
      <c r="BC291" s="103"/>
      <c r="BD291" s="103">
        <f ca="1">BD290*0.35/1.06</f>
        <v>1011.3726633261398</v>
      </c>
      <c r="BE291" s="103"/>
      <c r="BF291" s="103"/>
      <c r="BG291" s="103"/>
      <c r="BH291" s="103"/>
      <c r="BI291" s="103"/>
      <c r="BJ291" s="103">
        <f ca="1">BJ290*0.35/1.06</f>
        <v>1194.8748932687417</v>
      </c>
      <c r="BK291" s="103"/>
      <c r="BL291" s="103"/>
      <c r="BM291" s="103"/>
      <c r="BN291" s="103"/>
      <c r="BO291" s="103"/>
      <c r="BP291" s="103"/>
      <c r="BQ291" s="103"/>
      <c r="BR291" s="103"/>
      <c r="BS291" s="103"/>
      <c r="BT291" s="103"/>
      <c r="BU291" s="103"/>
      <c r="BV291" s="103"/>
      <c r="BW291" s="103"/>
      <c r="BX291" s="103"/>
      <c r="BY291" s="103"/>
      <c r="BZ291" s="103"/>
      <c r="CA291" s="103"/>
      <c r="CB291" s="103"/>
      <c r="CC291" s="103"/>
      <c r="CD291" s="103"/>
      <c r="CE291" s="103"/>
      <c r="CF291" s="103"/>
      <c r="CG291" s="103"/>
      <c r="CH291" s="103"/>
      <c r="CI291" s="103"/>
      <c r="CJ291" s="103"/>
      <c r="CK291" s="103"/>
      <c r="CL291" s="103"/>
      <c r="CM291" s="103"/>
      <c r="CN291" s="103"/>
      <c r="CO291" s="103"/>
      <c r="CP291" s="103"/>
      <c r="CQ291" s="103"/>
      <c r="CR291" s="103"/>
      <c r="CS291" s="103"/>
      <c r="CT291" s="103"/>
    </row>
    <row r="292" spans="1:98" x14ac:dyDescent="0.2">
      <c r="A292" s="278"/>
      <c r="B292" s="278"/>
      <c r="C292" s="278"/>
      <c r="D292" s="278"/>
      <c r="E292" s="278"/>
      <c r="F292" s="278"/>
      <c r="G292" s="278"/>
      <c r="H292" s="278"/>
      <c r="I292" s="278"/>
      <c r="J292" s="278"/>
      <c r="K292" s="278"/>
      <c r="L292" s="278"/>
      <c r="M292" s="278"/>
      <c r="N292" s="278"/>
      <c r="O292" s="278"/>
      <c r="P292" s="278"/>
      <c r="Q292" s="278"/>
      <c r="R292" s="278"/>
      <c r="S292" s="278"/>
      <c r="T292" s="278"/>
      <c r="U292" s="278"/>
      <c r="V292" s="278"/>
      <c r="W292" s="278"/>
      <c r="X292" s="278"/>
      <c r="Y292" s="278"/>
      <c r="Z292" s="278"/>
      <c r="AA292" s="278"/>
      <c r="AB292" s="278"/>
      <c r="AC292" s="278"/>
      <c r="AD292" s="278"/>
      <c r="AE292" s="278"/>
      <c r="AF292" s="278"/>
      <c r="AG292" s="278"/>
      <c r="AH292" s="278"/>
      <c r="AI292" s="278"/>
      <c r="AJ292" s="278"/>
      <c r="AK292" s="278"/>
      <c r="AL292" s="278"/>
      <c r="AM292" s="278"/>
      <c r="AN292" s="278"/>
      <c r="AO292" s="278"/>
      <c r="AP292" s="278"/>
      <c r="AQ292" s="278"/>
      <c r="AR292" s="278"/>
      <c r="AS292" s="278"/>
      <c r="AT292" s="278"/>
      <c r="AU292" s="278"/>
      <c r="AV292" s="278"/>
      <c r="AW292" s="278"/>
      <c r="AX292" s="278"/>
      <c r="AY292" s="278"/>
      <c r="AZ292" s="278"/>
      <c r="BA292" s="278"/>
      <c r="BB292" s="278"/>
      <c r="BC292" s="278"/>
      <c r="BD292" s="278"/>
      <c r="BE292" s="278"/>
      <c r="BF292" s="278"/>
      <c r="BG292" s="278"/>
      <c r="BH292" s="278"/>
      <c r="BI292" s="278"/>
      <c r="BJ292" s="278"/>
      <c r="BK292" s="278"/>
      <c r="BL292" s="278"/>
      <c r="BM292" s="278"/>
      <c r="BN292" s="278"/>
      <c r="BO292" s="278"/>
      <c r="BP292" s="278"/>
      <c r="BQ292" s="278"/>
      <c r="BR292" s="278"/>
      <c r="BS292" s="278"/>
      <c r="BT292" s="278"/>
      <c r="BU292" s="278"/>
      <c r="BV292" s="278"/>
      <c r="BW292" s="278"/>
      <c r="BX292" s="278"/>
      <c r="BY292" s="278"/>
      <c r="BZ292" s="278"/>
      <c r="CA292" s="278"/>
      <c r="CB292" s="278"/>
      <c r="CC292" s="278"/>
      <c r="CD292" s="278"/>
      <c r="CE292" s="278"/>
      <c r="CF292" s="278"/>
      <c r="CG292" s="278"/>
      <c r="CH292" s="278"/>
      <c r="CI292" s="278"/>
      <c r="CJ292" s="278"/>
      <c r="CK292" s="278"/>
      <c r="CL292" s="278"/>
      <c r="CM292" s="278"/>
      <c r="CN292" s="278"/>
      <c r="CO292" s="278"/>
      <c r="CP292" s="278"/>
      <c r="CQ292" s="278"/>
      <c r="CR292" s="278"/>
      <c r="CS292" s="278"/>
      <c r="CT292" s="278"/>
    </row>
    <row r="294" spans="1:98" x14ac:dyDescent="0.2">
      <c r="B294" s="226" t="s">
        <v>292</v>
      </c>
    </row>
    <row r="295" spans="1:98" x14ac:dyDescent="0.2">
      <c r="B295" t="s">
        <v>165</v>
      </c>
      <c r="J295">
        <f>Interims!AA154</f>
        <v>735</v>
      </c>
      <c r="K295">
        <f>Interims!AB154</f>
        <v>755</v>
      </c>
      <c r="L295">
        <f>Interims!AC154</f>
        <v>731</v>
      </c>
      <c r="M295">
        <f>Interims!AD154</f>
        <v>745</v>
      </c>
      <c r="N295">
        <f>J295+K295+L295+M295</f>
        <v>2966</v>
      </c>
      <c r="P295">
        <f>Interims!AG154</f>
        <v>745</v>
      </c>
      <c r="Q295">
        <f>Interims!AH154</f>
        <v>819</v>
      </c>
      <c r="R295">
        <f>Interims!AI154</f>
        <v>825</v>
      </c>
      <c r="S295">
        <f>Interims!AJ154</f>
        <v>796</v>
      </c>
      <c r="T295">
        <f>P295+Q295+R295+S295</f>
        <v>3185</v>
      </c>
      <c r="V295">
        <f>Interims!AM154</f>
        <v>755</v>
      </c>
    </row>
    <row r="296" spans="1:98" x14ac:dyDescent="0.2">
      <c r="B296" t="s">
        <v>112</v>
      </c>
      <c r="J296">
        <v>129</v>
      </c>
      <c r="K296">
        <v>135</v>
      </c>
      <c r="L296">
        <v>139</v>
      </c>
      <c r="M296">
        <v>136</v>
      </c>
      <c r="N296">
        <f>J296+K296+L296+M296</f>
        <v>539</v>
      </c>
      <c r="P296">
        <v>153</v>
      </c>
      <c r="Q296">
        <v>153</v>
      </c>
      <c r="R296">
        <v>163</v>
      </c>
      <c r="S296">
        <v>172</v>
      </c>
      <c r="T296">
        <f>P296+Q296+R296+S296</f>
        <v>641</v>
      </c>
      <c r="V296">
        <v>175</v>
      </c>
    </row>
    <row r="297" spans="1:98" x14ac:dyDescent="0.2">
      <c r="B297" s="226" t="s">
        <v>80</v>
      </c>
      <c r="J297" s="226">
        <f>J295+J296</f>
        <v>864</v>
      </c>
      <c r="K297" s="226">
        <f>K295+K296</f>
        <v>890</v>
      </c>
      <c r="L297" s="226">
        <f>L295+L296</f>
        <v>870</v>
      </c>
      <c r="M297" s="226">
        <f>M295+M296</f>
        <v>881</v>
      </c>
      <c r="N297" s="226">
        <f>J297+K297+L297+M297</f>
        <v>3505</v>
      </c>
      <c r="P297" s="226">
        <f>P295+P296</f>
        <v>898</v>
      </c>
      <c r="Q297" s="226">
        <f>Q295+Q296</f>
        <v>972</v>
      </c>
      <c r="R297" s="226">
        <f>R295+R296</f>
        <v>988</v>
      </c>
      <c r="S297" s="226">
        <f>S295+S296</f>
        <v>968</v>
      </c>
      <c r="T297" s="226">
        <f>P297+Q297+R297+S297</f>
        <v>3826</v>
      </c>
      <c r="V297" s="346">
        <f>V295+V296</f>
        <v>930</v>
      </c>
      <c r="W297" s="346">
        <v>888</v>
      </c>
      <c r="X297" s="346">
        <v>987</v>
      </c>
      <c r="Y297" s="346">
        <v>997</v>
      </c>
      <c r="Z297" s="346">
        <f>V297+W297+X297+Y297</f>
        <v>3802</v>
      </c>
      <c r="AB297" s="346">
        <v>1055</v>
      </c>
      <c r="AC297" s="346">
        <v>1129</v>
      </c>
      <c r="AD297" s="346">
        <v>1138</v>
      </c>
      <c r="AE297" s="346">
        <v>1090</v>
      </c>
      <c r="AH297" s="346">
        <v>1087</v>
      </c>
      <c r="AI297" s="549">
        <f>AI228</f>
        <v>1075</v>
      </c>
      <c r="AJ297" s="549">
        <f>AJ228</f>
        <v>1157</v>
      </c>
      <c r="AK297" s="549">
        <f>AK228</f>
        <v>1369</v>
      </c>
      <c r="AN297" s="346">
        <f>AN228</f>
        <v>1552</v>
      </c>
      <c r="AO297" s="346">
        <f>AO228</f>
        <v>1575</v>
      </c>
      <c r="AP297" s="346">
        <f>AP228</f>
        <v>1568</v>
      </c>
      <c r="AQ297" s="346">
        <f>AQ228</f>
        <v>1548</v>
      </c>
      <c r="AT297" s="346">
        <f>AT228</f>
        <v>1564</v>
      </c>
      <c r="AU297" s="346">
        <f>AU228</f>
        <v>1519</v>
      </c>
      <c r="AV297" s="346">
        <f>AV228</f>
        <v>1416</v>
      </c>
      <c r="AW297" s="346">
        <f>AW228</f>
        <v>1485</v>
      </c>
    </row>
    <row r="298" spans="1:98" x14ac:dyDescent="0.2">
      <c r="P298" s="429">
        <f>P297/J297-1</f>
        <v>3.935185185185186E-2</v>
      </c>
      <c r="Q298" s="429">
        <f>Q297/K297-1</f>
        <v>9.2134831460674249E-2</v>
      </c>
      <c r="R298" s="429">
        <f>R297/L297-1</f>
        <v>0.13563218390804588</v>
      </c>
      <c r="S298" s="429">
        <f>S297/M297-1</f>
        <v>9.8751418842224714E-2</v>
      </c>
      <c r="T298" s="429">
        <f>T297/N297-1</f>
        <v>9.1583452211126959E-2</v>
      </c>
      <c r="V298" s="429">
        <f>V297/P297-1</f>
        <v>3.563474387527843E-2</v>
      </c>
      <c r="W298" s="345">
        <f>W297/Q297-1</f>
        <v>-8.6419753086419804E-2</v>
      </c>
      <c r="X298" s="345">
        <f>X297/R297-1</f>
        <v>-1.0121457489878916E-3</v>
      </c>
      <c r="Y298" s="345">
        <f>Y297/S297-1</f>
        <v>2.9958677685950397E-2</v>
      </c>
      <c r="Z298" s="429">
        <f>Z297/T297-1</f>
        <v>-6.2728698379508341E-3</v>
      </c>
      <c r="AB298" s="429">
        <f>AB297/V297-1</f>
        <v>0.13440860215053774</v>
      </c>
      <c r="AC298" s="429">
        <f>AC297/W297-1</f>
        <v>0.27139639639639634</v>
      </c>
      <c r="AD298" s="429">
        <f>AD297/X297-1</f>
        <v>0.15298885511651461</v>
      </c>
      <c r="AE298" s="429">
        <f>AE297/Y297-1</f>
        <v>9.3279839518555674E-2</v>
      </c>
      <c r="AH298" s="429">
        <f>AH297/AB297-1</f>
        <v>3.0331753554502461E-2</v>
      </c>
      <c r="AI298" s="429">
        <f>AI297/AC297-1</f>
        <v>-4.7829937998228544E-2</v>
      </c>
      <c r="AJ298" s="429">
        <f>AJ297/AD297-1</f>
        <v>1.6695957820738183E-2</v>
      </c>
      <c r="AK298" s="429">
        <f>AK297/AE297-1</f>
        <v>0.25596330275229362</v>
      </c>
    </row>
    <row r="300" spans="1:98" x14ac:dyDescent="0.2">
      <c r="A300" s="278"/>
      <c r="B300" s="278"/>
      <c r="C300" s="278"/>
      <c r="D300" s="278"/>
      <c r="E300" s="278"/>
      <c r="F300" s="278"/>
      <c r="G300" s="278"/>
      <c r="H300" s="278"/>
      <c r="I300" s="278"/>
      <c r="J300" s="278"/>
      <c r="K300" s="278"/>
      <c r="L300" s="278"/>
      <c r="M300" s="278"/>
      <c r="N300" s="278"/>
      <c r="O300" s="278"/>
      <c r="P300" s="278"/>
      <c r="Q300" s="278"/>
      <c r="R300" s="278"/>
      <c r="S300" s="278"/>
      <c r="T300" s="278"/>
      <c r="U300" s="278"/>
      <c r="V300" s="278"/>
      <c r="W300" s="278"/>
      <c r="X300" s="278"/>
      <c r="Y300" s="278"/>
      <c r="Z300" s="278"/>
      <c r="AA300" s="278"/>
      <c r="AB300" s="278"/>
      <c r="AC300" s="278"/>
      <c r="AD300" s="278"/>
      <c r="AE300" s="278"/>
      <c r="AF300" s="278"/>
      <c r="AG300" s="278"/>
      <c r="AH300" s="278"/>
      <c r="AI300" s="278"/>
      <c r="AJ300" s="278"/>
      <c r="AK300" s="278"/>
      <c r="AL300" s="278"/>
      <c r="AM300" s="278"/>
      <c r="AN300" s="278"/>
      <c r="AO300" s="278"/>
      <c r="AP300" s="278"/>
      <c r="AQ300" s="278"/>
      <c r="AR300" s="278"/>
      <c r="AS300" s="278"/>
      <c r="AT300" s="278"/>
      <c r="AU300" s="278"/>
      <c r="AV300" s="278"/>
      <c r="AW300" s="278"/>
      <c r="AX300" s="278"/>
      <c r="AY300" s="278"/>
      <c r="AZ300" s="278"/>
      <c r="BA300" s="278"/>
      <c r="BB300" s="278"/>
      <c r="BC300" s="278"/>
      <c r="BD300" s="278"/>
      <c r="BE300" s="278"/>
      <c r="BF300" s="278"/>
      <c r="BG300" s="278"/>
      <c r="BH300" s="278"/>
      <c r="BI300" s="278"/>
      <c r="BJ300" s="278"/>
      <c r="BK300" s="278"/>
      <c r="BL300" s="278"/>
      <c r="BM300" s="278"/>
      <c r="BN300" s="278"/>
      <c r="BO300" s="278"/>
      <c r="BP300" s="278"/>
      <c r="BQ300" s="278"/>
      <c r="BR300" s="278"/>
      <c r="BS300" s="278"/>
      <c r="BT300" s="278"/>
      <c r="BU300" s="278"/>
      <c r="BV300" s="278"/>
      <c r="BW300" s="278"/>
      <c r="BX300" s="278"/>
      <c r="BY300" s="278"/>
      <c r="BZ300" s="278"/>
      <c r="CA300" s="278"/>
      <c r="CB300" s="278"/>
      <c r="CC300" s="278"/>
      <c r="CD300" s="278"/>
      <c r="CE300" s="278"/>
      <c r="CF300" s="278"/>
      <c r="CG300" s="278"/>
      <c r="CH300" s="278"/>
      <c r="CI300" s="278"/>
      <c r="CJ300" s="278"/>
      <c r="CK300" s="278"/>
      <c r="CL300" s="278"/>
      <c r="CM300" s="278"/>
      <c r="CN300" s="278"/>
      <c r="CO300" s="278"/>
      <c r="CP300" s="278"/>
      <c r="CQ300" s="278"/>
      <c r="CR300" s="278"/>
      <c r="CS300" s="278"/>
      <c r="CT300" s="278"/>
    </row>
    <row r="303" spans="1:98" ht="15" x14ac:dyDescent="0.3">
      <c r="B303" s="397" t="s">
        <v>236</v>
      </c>
      <c r="V303" s="433">
        <v>0.75699000000000005</v>
      </c>
      <c r="W303" s="433">
        <v>0.76529999999999998</v>
      </c>
      <c r="X303" s="433">
        <v>0.75504000000000004</v>
      </c>
      <c r="Y303" s="433">
        <v>0.73456999999999995</v>
      </c>
      <c r="AB303" s="433">
        <v>0.73014999999999997</v>
      </c>
      <c r="AC303" s="433">
        <v>0.72902</v>
      </c>
      <c r="AD303" s="433">
        <v>0.75414999999999999</v>
      </c>
      <c r="AE303" s="433">
        <v>0.79996999999999996</v>
      </c>
      <c r="AH303" s="433">
        <v>0.88736000000000004</v>
      </c>
      <c r="AI303" s="433">
        <v>0.88736000000000004</v>
      </c>
      <c r="AJ303">
        <f>1/AJ304</f>
        <v>0.89923205582432597</v>
      </c>
      <c r="AK303">
        <f>1/AK304</f>
        <v>0.91306690041179317</v>
      </c>
      <c r="BA303">
        <f>AT304/BA304-1</f>
        <v>-0.12730327868852465</v>
      </c>
    </row>
    <row r="304" spans="1:98" ht="15" x14ac:dyDescent="0.3">
      <c r="B304" s="1"/>
      <c r="V304" s="404">
        <f>1/V303</f>
        <v>1.321021413757117</v>
      </c>
      <c r="W304" s="404">
        <f>1/W303</f>
        <v>1.3066771200836274</v>
      </c>
      <c r="X304" s="404">
        <f>1/X303</f>
        <v>1.3244331426149607</v>
      </c>
      <c r="Y304" s="404">
        <f>1/Y303</f>
        <v>1.3613406482704169</v>
      </c>
      <c r="Z304" s="245"/>
      <c r="AA304" s="245"/>
      <c r="AB304" s="404">
        <f>1/AB303</f>
        <v>1.3695815928233925</v>
      </c>
      <c r="AC304" s="404">
        <f>1/AC303</f>
        <v>1.3717044799868316</v>
      </c>
      <c r="AD304" s="404">
        <f>1/AD303</f>
        <v>1.3259961546111516</v>
      </c>
      <c r="AE304" s="404">
        <f>1/AE303</f>
        <v>1.2500468767578785</v>
      </c>
      <c r="AF304" s="245">
        <f>AF286/AE304</f>
        <v>15262.830693227181</v>
      </c>
      <c r="AG304" s="245"/>
      <c r="AH304" s="404">
        <f>1/AH303</f>
        <v>1.126938333934367</v>
      </c>
      <c r="AI304" s="404">
        <v>1.10453</v>
      </c>
      <c r="AJ304" s="245">
        <v>1.11206</v>
      </c>
      <c r="AK304" s="245">
        <v>1.09521</v>
      </c>
      <c r="AL304" s="668">
        <f>(AH304+AI304+AJ304+AK304)/4</f>
        <v>1.1096845834835918</v>
      </c>
      <c r="AM304" s="245"/>
      <c r="AN304" s="245">
        <f>1.10248</f>
        <v>1.1024799999999999</v>
      </c>
      <c r="AO304" s="245">
        <v>1.1293500000000001</v>
      </c>
      <c r="AP304" s="245">
        <v>1.1165099999999999</v>
      </c>
      <c r="AQ304" s="245">
        <v>1.07782</v>
      </c>
      <c r="AR304" s="668">
        <f>(AN304+AO304+AP304+AQ304)/4</f>
        <v>1.1065399999999999</v>
      </c>
      <c r="AS304" s="245"/>
      <c r="AT304" s="245">
        <v>1.0646899999999999</v>
      </c>
      <c r="AU304" s="245">
        <v>1.08192</v>
      </c>
      <c r="AV304" s="245">
        <v>1.1745300000000001</v>
      </c>
      <c r="AW304" s="245">
        <v>1.1775199999999999</v>
      </c>
      <c r="AX304" s="668">
        <f>(AT304+AU304+AV304+AW304)/4</f>
        <v>1.1246649999999998</v>
      </c>
      <c r="AY304" s="245"/>
      <c r="AZ304" s="245">
        <v>1.2</v>
      </c>
      <c r="BA304" s="245">
        <v>1.22</v>
      </c>
      <c r="BB304" s="245">
        <v>1.22</v>
      </c>
      <c r="BC304" s="245">
        <v>1.22</v>
      </c>
      <c r="BD304" s="668">
        <f>(AZ304+BA304+BB304+BC304)/4</f>
        <v>1.2149999999999999</v>
      </c>
      <c r="BE304" s="245"/>
      <c r="BF304" s="245">
        <v>1.22</v>
      </c>
      <c r="BG304" s="245">
        <v>1.22</v>
      </c>
      <c r="BH304" s="245">
        <v>1.22</v>
      </c>
      <c r="BI304" s="245">
        <v>1.22</v>
      </c>
      <c r="BJ304" s="668">
        <f>(BF304+BG304+BH304+BI304)/4</f>
        <v>1.22</v>
      </c>
      <c r="BK304" s="245"/>
      <c r="BL304" s="245">
        <v>1.22</v>
      </c>
      <c r="BM304" s="245">
        <v>1.22</v>
      </c>
      <c r="BN304" s="245">
        <v>1.22</v>
      </c>
      <c r="BO304" s="245">
        <v>1.22</v>
      </c>
      <c r="BP304" s="668">
        <f>(BL304+BM304+BN304+BO304)/4</f>
        <v>1.22</v>
      </c>
      <c r="BQ304" s="245"/>
      <c r="BR304" s="245">
        <v>1.22</v>
      </c>
      <c r="BS304" s="245">
        <v>1.22</v>
      </c>
      <c r="BT304" s="245">
        <v>1.22</v>
      </c>
      <c r="BU304" s="245">
        <v>1.22</v>
      </c>
      <c r="BV304" s="668">
        <f>(BR304+BS304+BT304+BU304)/4</f>
        <v>1.22</v>
      </c>
      <c r="BW304" s="245"/>
      <c r="BX304" s="245">
        <v>1.22</v>
      </c>
      <c r="BY304" s="245">
        <v>1.22</v>
      </c>
      <c r="BZ304" s="245">
        <v>1.22</v>
      </c>
      <c r="CA304" s="245">
        <v>1.22</v>
      </c>
      <c r="CB304" s="668">
        <f>(BX304+BY304+BZ304+CA304)/4</f>
        <v>1.22</v>
      </c>
      <c r="CC304" s="245"/>
      <c r="CD304" s="245">
        <v>1.22</v>
      </c>
      <c r="CE304" s="245">
        <v>1.22</v>
      </c>
      <c r="CF304" s="245">
        <v>1.22</v>
      </c>
      <c r="CG304" s="245">
        <v>1.22</v>
      </c>
      <c r="CH304" s="668">
        <f>(CD304+CE304+CF304+CG304)/4</f>
        <v>1.22</v>
      </c>
      <c r="CI304" s="245"/>
      <c r="CJ304" s="245">
        <v>1.22</v>
      </c>
      <c r="CK304" s="245">
        <v>1.22</v>
      </c>
      <c r="CL304" s="245">
        <v>1.22</v>
      </c>
      <c r="CM304" s="245">
        <v>1.22</v>
      </c>
      <c r="CN304" s="668">
        <f>(CJ304+CK304+CL304+CM304)/4</f>
        <v>1.22</v>
      </c>
      <c r="CO304" s="245"/>
      <c r="CP304" s="245">
        <v>1.22</v>
      </c>
      <c r="CQ304" s="245">
        <v>1.22</v>
      </c>
      <c r="CR304" s="245">
        <v>1.22</v>
      </c>
      <c r="CS304" s="245">
        <v>1.22</v>
      </c>
      <c r="CT304" s="668">
        <f>(CP304+CQ304+CR304+CS304)/4</f>
        <v>1.22</v>
      </c>
    </row>
    <row r="305" spans="2:97" ht="15.75" thickBot="1" x14ac:dyDescent="0.35">
      <c r="B305" s="1"/>
      <c r="AF305">
        <f>AF304*0.1</f>
        <v>1526.2830693227181</v>
      </c>
    </row>
    <row r="306" spans="2:97" ht="15" x14ac:dyDescent="0.3">
      <c r="B306" s="42" t="s">
        <v>145</v>
      </c>
      <c r="V306" s="17">
        <f>V33/V304</f>
        <v>3540.4422300000001</v>
      </c>
      <c r="W306" s="197">
        <f>((0.33333*W33)+(0.666666666666*W173))/W304</f>
        <v>4765.0700629244029</v>
      </c>
      <c r="X306" s="197">
        <f>X173/X304</f>
        <v>5049.4612573936538</v>
      </c>
      <c r="Y306" s="197">
        <f>Y173/Y304</f>
        <v>5014.9655102055258</v>
      </c>
      <c r="Z306" s="197"/>
      <c r="AA306" s="197"/>
      <c r="AB306" s="197">
        <f>AB173/AB304</f>
        <v>5019.78125</v>
      </c>
      <c r="AC306" s="197">
        <f>AC173/AC304</f>
        <v>5238.0087000000003</v>
      </c>
      <c r="AD306" s="197">
        <f>AD173/AD304</f>
        <v>5543.0025000000005</v>
      </c>
      <c r="AE306" s="197">
        <f>AE173/AE304</f>
        <v>6522.9553799999994</v>
      </c>
      <c r="AF306" s="197"/>
      <c r="AG306" s="197"/>
      <c r="AH306" s="197">
        <f>AH173/AH304</f>
        <v>6901.8860800000002</v>
      </c>
      <c r="AI306" s="197">
        <f>AI173/AI304</f>
        <v>7404.9595755660775</v>
      </c>
      <c r="AJ306" s="197">
        <f>AJ173/AJ304</f>
        <v>7058.0724061651345</v>
      </c>
      <c r="AK306" s="197">
        <f>AK173/AK304</f>
        <v>7530.0627276960586</v>
      </c>
      <c r="AL306" s="197"/>
      <c r="AM306" s="197"/>
      <c r="AN306" s="197">
        <f>AN173/AN304</f>
        <v>7799.6879761991158</v>
      </c>
      <c r="AO306" s="197">
        <f>AO173/AO304</f>
        <v>8165.7590649488639</v>
      </c>
      <c r="AP306" s="197">
        <f>AP173/AP304</f>
        <v>8281.1618346454579</v>
      </c>
      <c r="AQ306" s="197">
        <f>AQ173/AQ304</f>
        <v>9440.3518212688577</v>
      </c>
      <c r="AR306" s="197"/>
      <c r="AS306" s="197"/>
      <c r="AT306" s="197">
        <f>AT173/AT304</f>
        <v>9028.9192159220056</v>
      </c>
      <c r="AU306" s="197">
        <f>AU173/AU304</f>
        <v>9439.6997929606623</v>
      </c>
      <c r="AV306" s="197">
        <f>AV173/AV304</f>
        <v>8530.2205988778478</v>
      </c>
      <c r="AW306" s="197">
        <f>AW173/AW304</f>
        <v>9136.9997961818062</v>
      </c>
      <c r="AX306" s="197"/>
      <c r="AY306" s="197"/>
      <c r="AZ306" s="197">
        <f>AZ173/AZ304</f>
        <v>8561.5208738462461</v>
      </c>
      <c r="BA306" s="197">
        <f>BA173/BA304</f>
        <v>8839.8832626119947</v>
      </c>
      <c r="BB306" s="197">
        <f>BB173/BB304</f>
        <v>8735.1075135035207</v>
      </c>
      <c r="BC306" s="197">
        <f>BC173/BC304</f>
        <v>9056.477180241498</v>
      </c>
      <c r="BE306" s="197"/>
      <c r="BF306" s="197">
        <f>BF173/BF304</f>
        <v>8914.091122201482</v>
      </c>
      <c r="BG306" s="197">
        <f>BG173/BG304</f>
        <v>9291.5700686618748</v>
      </c>
      <c r="BH306" s="197">
        <f>BH173/BH304</f>
        <v>9155.9800392315556</v>
      </c>
      <c r="BI306" s="197">
        <f>BI173/BI304</f>
        <v>9456.116680585792</v>
      </c>
      <c r="BK306" s="197"/>
      <c r="BL306" s="197">
        <f>BL173/BL304</f>
        <v>9411.2702307943455</v>
      </c>
      <c r="BM306" s="197">
        <f>BM173/BM304</f>
        <v>9710.1754926824487</v>
      </c>
      <c r="BN306" s="197">
        <f>BN173/BN304</f>
        <v>9563.6454104783352</v>
      </c>
      <c r="BO306" s="197">
        <f>BO173/BO304</f>
        <v>9832.5964382195434</v>
      </c>
      <c r="BQ306" s="197"/>
      <c r="BR306" s="197">
        <f>BR173/BR304</f>
        <v>9851.4931855817467</v>
      </c>
      <c r="BS306" s="197">
        <f>BS173/BS304</f>
        <v>10081.805007524463</v>
      </c>
      <c r="BT306" s="197">
        <f>BT173/BT304</f>
        <v>9926.9272319600968</v>
      </c>
      <c r="BU306" s="197">
        <f>BU173/BU304</f>
        <v>10154.822305257903</v>
      </c>
      <c r="BW306" s="197"/>
      <c r="BX306" s="197">
        <f>BX173/BX304</f>
        <v>10240.843288933025</v>
      </c>
      <c r="BY306" s="197">
        <f>BY173/BY304</f>
        <v>10400.968415194817</v>
      </c>
      <c r="BZ306" s="197">
        <f>BZ173/BZ304</f>
        <v>10239.876877898449</v>
      </c>
      <c r="CA306" s="197">
        <f>CA173/CA304</f>
        <v>10465.086295593366</v>
      </c>
      <c r="CC306" s="197"/>
      <c r="CD306" s="197">
        <f>CD173/CD304</f>
        <v>10579.663189316972</v>
      </c>
      <c r="CE306" s="197">
        <f>CE173/CE304</f>
        <v>10691.438101705326</v>
      </c>
      <c r="CF306" s="197">
        <f>CF173/CF304</f>
        <v>10528.036107829628</v>
      </c>
      <c r="CG306" s="197">
        <f>CG173/CG304</f>
        <v>10744.168109960554</v>
      </c>
      <c r="CI306" s="197"/>
      <c r="CJ306" s="197">
        <f>CJ173/CJ304</f>
        <v>10919.002275562871</v>
      </c>
      <c r="CK306" s="197">
        <f>CK173/CK304</f>
        <v>10941.647980607639</v>
      </c>
      <c r="CL306" s="197">
        <f>CL173/CL304</f>
        <v>10771.282890794684</v>
      </c>
      <c r="CM306" s="197">
        <f>CM173/CM304</f>
        <v>10976.855579272198</v>
      </c>
      <c r="CO306" s="197"/>
      <c r="CP306" s="197">
        <f>CP173/CP304</f>
        <v>11148.160623274338</v>
      </c>
      <c r="CQ306" s="197">
        <f>CQ173/CQ304</f>
        <v>11143.685836252409</v>
      </c>
      <c r="CR306" s="197">
        <f>CR173/CR304</f>
        <v>10975.193678793194</v>
      </c>
      <c r="CS306" s="197">
        <f>CS173/CS304</f>
        <v>11182.912598508885</v>
      </c>
    </row>
    <row r="307" spans="2:97" ht="15" x14ac:dyDescent="0.3">
      <c r="B307" s="40" t="s">
        <v>23</v>
      </c>
      <c r="V307" s="9" t="s">
        <v>35</v>
      </c>
      <c r="W307" s="197"/>
    </row>
    <row r="308" spans="2:97" ht="15" x14ac:dyDescent="0.3">
      <c r="B308" s="40"/>
      <c r="V308" s="6"/>
      <c r="W308" s="197"/>
    </row>
    <row r="309" spans="2:97" ht="15" x14ac:dyDescent="0.3">
      <c r="B309" s="39" t="s">
        <v>82</v>
      </c>
      <c r="V309" s="17">
        <f>V47/V304</f>
        <v>891.73421999999994</v>
      </c>
      <c r="W309" s="197">
        <f>((0.33333*W47)+(0.666666666666*W187))/W304</f>
        <v>873.07360414948039</v>
      </c>
      <c r="X309" s="197">
        <f>X187/X304</f>
        <v>1014.8257425659418</v>
      </c>
      <c r="Y309" s="197">
        <f>Y187/Y304</f>
        <v>910.32812737035533</v>
      </c>
      <c r="AB309" s="197">
        <f>AB187/AB304</f>
        <v>794.40319999999997</v>
      </c>
      <c r="AC309" s="197">
        <f>AC187/AC304</f>
        <v>1057.8080199999999</v>
      </c>
      <c r="AD309" s="197">
        <f>AD187/AD304</f>
        <v>1015.0859</v>
      </c>
      <c r="AE309" s="197">
        <f>AE187/AE304</f>
        <v>1400.7474699999998</v>
      </c>
      <c r="AH309" s="197">
        <f>AH187/AH304</f>
        <v>1231.6556800000001</v>
      </c>
      <c r="AI309" s="197">
        <f>AI187/AI304</f>
        <v>1645.0435932025387</v>
      </c>
      <c r="AJ309" s="197">
        <f>AJ187/AJ304</f>
        <v>1715.7347625128141</v>
      </c>
      <c r="AK309" s="197">
        <f>AK187/AK304</f>
        <v>2081.7925329388886</v>
      </c>
      <c r="AN309" s="197">
        <f>AN187/AN304</f>
        <v>2493.4692692837966</v>
      </c>
      <c r="AO309" s="197">
        <f>AO187/AO304</f>
        <v>2181.7859830876168</v>
      </c>
      <c r="AP309" s="197">
        <f>AP187/AP304</f>
        <v>2355.5543613581608</v>
      </c>
      <c r="AQ309" s="197">
        <f>AQ187/AQ304</f>
        <v>2364.0310998125847</v>
      </c>
      <c r="AT309" s="197">
        <f>AT187/AT304</f>
        <v>2505.8937343264238</v>
      </c>
      <c r="AU309" s="197">
        <f>AU187/AU304</f>
        <v>2783.9396628216505</v>
      </c>
      <c r="AV309" s="197">
        <f>AV187/AV304</f>
        <v>2402.6631929367491</v>
      </c>
      <c r="AW309" s="197">
        <f>AW187/AW304</f>
        <v>2302.2963516543246</v>
      </c>
      <c r="AZ309" s="197">
        <f>AZ187/AZ304</f>
        <v>2402.3426638883657</v>
      </c>
      <c r="BA309" s="197">
        <f>BA187/BA304</f>
        <v>2650.3352155880775</v>
      </c>
      <c r="BB309" s="197">
        <f>BB187/BB304</f>
        <v>2480.0185589953212</v>
      </c>
      <c r="BC309" s="197">
        <f>BC187/BC304</f>
        <v>2246.2122490543857</v>
      </c>
      <c r="BF309" s="197">
        <f>BF187/BF304</f>
        <v>2495.8561067374535</v>
      </c>
      <c r="BG309" s="197">
        <f>BG187/BG304</f>
        <v>2789.4343141808035</v>
      </c>
      <c r="BH309" s="197">
        <f>BH187/BH304</f>
        <v>2619.359371301588</v>
      </c>
      <c r="BI309" s="197">
        <f>BI187/BI304</f>
        <v>2382.0303288674263</v>
      </c>
      <c r="BL309" s="197">
        <f>BL187/BL304</f>
        <v>2637.2527374581264</v>
      </c>
      <c r="BM309" s="197">
        <f>BM187/BM304</f>
        <v>2949.7109991306279</v>
      </c>
      <c r="BN309" s="197">
        <f>BN187/BN304</f>
        <v>2773.1618616486894</v>
      </c>
      <c r="BO309" s="197">
        <f>BO187/BO304</f>
        <v>2530.875564310712</v>
      </c>
      <c r="BR309" s="197">
        <f>BR187/BR304</f>
        <v>2777.214799634266</v>
      </c>
      <c r="BS309" s="197">
        <f>BS187/BS304</f>
        <v>3106.8140868305491</v>
      </c>
      <c r="BT309" s="197">
        <f>BT187/BT304</f>
        <v>2925.0897825420534</v>
      </c>
      <c r="BU309" s="197">
        <f>BU187/BU304</f>
        <v>2681.9098123948143</v>
      </c>
      <c r="BX309" s="197">
        <f>BX187/BX304</f>
        <v>2903.259211043056</v>
      </c>
      <c r="BY309" s="197">
        <f>BY187/BY304</f>
        <v>3248.3252205511599</v>
      </c>
      <c r="BZ309" s="197">
        <f>BZ187/BZ304</f>
        <v>3063.5839481965845</v>
      </c>
      <c r="CA309" s="197">
        <f>CA187/CA304</f>
        <v>2813.3422156081047</v>
      </c>
      <c r="CD309" s="197">
        <f>CD187/CD304</f>
        <v>3018.2946810841786</v>
      </c>
      <c r="CE309" s="197">
        <f>CE187/CE304</f>
        <v>3376.1380099121811</v>
      </c>
      <c r="CF309" s="197">
        <f>CF187/CF304</f>
        <v>3189.2133138238855</v>
      </c>
      <c r="CG309" s="197">
        <f>CG187/CG304</f>
        <v>2935.3352006396885</v>
      </c>
      <c r="CJ309" s="197">
        <f>CJ187/CJ304</f>
        <v>3142.1171869950808</v>
      </c>
      <c r="CK309" s="197">
        <f>CK187/CK304</f>
        <v>3513.0585793137516</v>
      </c>
      <c r="CL309" s="197">
        <f>CL187/CL304</f>
        <v>3325.7972059561948</v>
      </c>
      <c r="CM309" s="197">
        <f>CM187/CM304</f>
        <v>3064.9226995488302</v>
      </c>
      <c r="CP309" s="197">
        <f>CP187/CP304</f>
        <v>3230.7522794797492</v>
      </c>
      <c r="CQ309" s="197">
        <f>CQ187/CQ304</f>
        <v>3609.6046593524529</v>
      </c>
      <c r="CR309" s="197">
        <f>CR187/CR304</f>
        <v>3421.7295956882713</v>
      </c>
      <c r="CS309" s="197">
        <f>CS187/CS304</f>
        <v>3157.1932440191435</v>
      </c>
    </row>
    <row r="310" spans="2:97" ht="15" x14ac:dyDescent="0.3">
      <c r="B310" s="40" t="s">
        <v>23</v>
      </c>
      <c r="V310" s="9" t="s">
        <v>35</v>
      </c>
      <c r="W310" s="197"/>
    </row>
    <row r="311" spans="2:97" ht="15" x14ac:dyDescent="0.3">
      <c r="B311" s="40"/>
      <c r="V311" s="6"/>
      <c r="W311" s="197"/>
    </row>
    <row r="312" spans="2:97" ht="15" x14ac:dyDescent="0.3">
      <c r="B312" s="39" t="s">
        <v>90</v>
      </c>
      <c r="V312" s="17">
        <f>V53/V304</f>
        <v>814.52124000000003</v>
      </c>
      <c r="W312" s="197">
        <f>((0.33333*W53)+(0.666666666666*W193))/W304</f>
        <v>818.35828471343325</v>
      </c>
      <c r="X312" s="197">
        <f>X193/X304</f>
        <v>767.8756800000001</v>
      </c>
      <c r="Y312" s="197">
        <f>Y193/Y304</f>
        <v>647.89073999999994</v>
      </c>
      <c r="AB312" s="197">
        <f>AB193/AB304</f>
        <v>691.45204999999999</v>
      </c>
      <c r="AC312" s="197">
        <f>AC193/AC304</f>
        <v>685.27880000000005</v>
      </c>
      <c r="AD312" s="197">
        <f>AD193/AD304</f>
        <v>852.94365000000005</v>
      </c>
      <c r="AE312" s="197">
        <f>AE193/AE304</f>
        <v>1039.16103</v>
      </c>
      <c r="AH312" s="197">
        <f>AH193/AH304</f>
        <v>871.38752000000011</v>
      </c>
      <c r="AI312" s="197">
        <f>AI193/AI304</f>
        <v>1078.286692077173</v>
      </c>
      <c r="AJ312" s="197">
        <f>AJ193/AJ304</f>
        <v>1007.1399025232452</v>
      </c>
      <c r="AK312" s="197">
        <f>AK193/AK304</f>
        <v>1306.598734489276</v>
      </c>
      <c r="AN312" s="197">
        <f>AN193/AN304</f>
        <v>1210.9063202960599</v>
      </c>
      <c r="AO312" s="197">
        <f>AO193/AO304</f>
        <v>1194.4924071368484</v>
      </c>
      <c r="AP312" s="197">
        <f>AP193/AP304</f>
        <v>1038.0560854806497</v>
      </c>
      <c r="AQ312" s="197">
        <f>AQ193/AQ304</f>
        <v>796.97908741719391</v>
      </c>
      <c r="AT312" s="197">
        <f>AT193/AT304</f>
        <v>1435.1595300040387</v>
      </c>
      <c r="AU312" s="197">
        <f>AU193/AU304</f>
        <v>1245.0088731144631</v>
      </c>
      <c r="AV312" s="197">
        <f>AV193/AV304</f>
        <v>1226.8737282146901</v>
      </c>
      <c r="AW312" s="197">
        <f>AW193/AW304</f>
        <v>782.15232013044374</v>
      </c>
      <c r="AZ312" s="197">
        <f>AZ193/AZ304</f>
        <v>1187.5</v>
      </c>
      <c r="BA312" s="197">
        <f>BA193/BA304</f>
        <v>1184.4262295081967</v>
      </c>
      <c r="BB312" s="197">
        <f>BB193/BB304</f>
        <v>1065.5737704918033</v>
      </c>
      <c r="BC312" s="197">
        <f>BC193/BC304</f>
        <v>942.62295081967216</v>
      </c>
      <c r="BF312" s="197">
        <f>BF193/BF304</f>
        <v>1065.5737704918033</v>
      </c>
      <c r="BG312" s="197">
        <f>BG193/BG304</f>
        <v>1065.5737704918033</v>
      </c>
      <c r="BH312" s="197">
        <f>BH193/BH304</f>
        <v>1065.5737704918033</v>
      </c>
      <c r="BI312" s="197">
        <f>BI193/BI304</f>
        <v>1290.983606557377</v>
      </c>
      <c r="BL312" s="197">
        <f>BL193/BL304</f>
        <v>1065.5737704918033</v>
      </c>
      <c r="BM312" s="197">
        <f>BM193/BM304</f>
        <v>1065.5737704918033</v>
      </c>
      <c r="BN312" s="197">
        <f>BN193/BN304</f>
        <v>1065.5737704918033</v>
      </c>
      <c r="BO312" s="197">
        <f>BO193/BO304</f>
        <v>1454.9180327868853</v>
      </c>
      <c r="BR312" s="197">
        <f>BR193/BR304</f>
        <v>1147.5409836065573</v>
      </c>
      <c r="BS312" s="197">
        <f>BS193/BS304</f>
        <v>1147.5409836065573</v>
      </c>
      <c r="BT312" s="197">
        <f>BT193/BT304</f>
        <v>1147.5409836065573</v>
      </c>
      <c r="BU312" s="197">
        <f>BU193/BU304</f>
        <v>1352.4590163934427</v>
      </c>
      <c r="BX312" s="197">
        <f>BX193/BX304</f>
        <v>1168.032786885246</v>
      </c>
      <c r="BY312" s="197">
        <f>BY193/BY304</f>
        <v>1168.032786885246</v>
      </c>
      <c r="BZ312" s="197">
        <f>BZ193/BZ304</f>
        <v>1168.032786885246</v>
      </c>
      <c r="CA312" s="197">
        <f>CA193/CA304</f>
        <v>1393.4426229508197</v>
      </c>
      <c r="CD312" s="197">
        <f>CD193/CD304</f>
        <v>1168.032786885246</v>
      </c>
      <c r="CE312" s="197">
        <f>CE193/CE304</f>
        <v>1168.032786885246</v>
      </c>
      <c r="CF312" s="197">
        <f>CF193/CF304</f>
        <v>1168.032786885246</v>
      </c>
      <c r="CG312" s="197">
        <f>CG193/CG304</f>
        <v>1454.9180327868853</v>
      </c>
      <c r="CJ312" s="197">
        <f>CJ193/CJ304</f>
        <v>1209.016393442623</v>
      </c>
      <c r="CK312" s="197">
        <f>CK193/CK304</f>
        <v>1209.016393442623</v>
      </c>
      <c r="CL312" s="197">
        <f>CL193/CL304</f>
        <v>1209.016393442623</v>
      </c>
      <c r="CM312" s="197">
        <f>CM193/CM304</f>
        <v>1454.9180327868853</v>
      </c>
      <c r="CP312" s="197">
        <f>CP193/CP304</f>
        <v>1270.4918032786886</v>
      </c>
      <c r="CQ312" s="197">
        <f>CQ193/CQ304</f>
        <v>1270.4918032786886</v>
      </c>
      <c r="CR312" s="197">
        <f>CR193/CR304</f>
        <v>1270.4918032786886</v>
      </c>
      <c r="CS312" s="197">
        <f>CS193/CS304</f>
        <v>1454.9180327868853</v>
      </c>
    </row>
    <row r="313" spans="2:97" ht="15" x14ac:dyDescent="0.3">
      <c r="B313" s="40" t="s">
        <v>23</v>
      </c>
      <c r="V313" s="9" t="s">
        <v>35</v>
      </c>
    </row>
    <row r="314" spans="2:97" ht="15" x14ac:dyDescent="0.3">
      <c r="B314" s="40"/>
      <c r="V314" s="6"/>
    </row>
    <row r="315" spans="2:97" ht="15" x14ac:dyDescent="0.3">
      <c r="B315" s="39" t="s">
        <v>38</v>
      </c>
      <c r="V315" s="17">
        <f>V309-V312</f>
        <v>77.212979999999902</v>
      </c>
      <c r="W315" s="17">
        <f>W309-W312</f>
        <v>54.715319436047139</v>
      </c>
      <c r="X315" s="17">
        <f>X309-X312</f>
        <v>246.95006256594172</v>
      </c>
      <c r="Y315" s="17">
        <f>Y309-Y312</f>
        <v>262.4373873703554</v>
      </c>
      <c r="AB315" s="17">
        <f>AB309-AB312</f>
        <v>102.95114999999998</v>
      </c>
      <c r="AC315" s="17">
        <f>AC309-AC312</f>
        <v>372.5292199999999</v>
      </c>
      <c r="AD315" s="17">
        <f>AD309-AD312</f>
        <v>162.14224999999999</v>
      </c>
      <c r="AE315" s="17">
        <f>AE309-AE312</f>
        <v>361.58643999999981</v>
      </c>
      <c r="AH315" s="17">
        <f>AH309-AH312</f>
        <v>360.26815999999997</v>
      </c>
      <c r="AI315" s="17">
        <f>AI309-AI312</f>
        <v>566.75690112536563</v>
      </c>
      <c r="AJ315" s="17">
        <f>AJ309-AJ312</f>
        <v>708.59485998956893</v>
      </c>
      <c r="AK315" s="17">
        <f>AK309-AK312</f>
        <v>775.19379844961259</v>
      </c>
      <c r="AN315" s="17">
        <f>AN309-AN312</f>
        <v>1282.5629489877367</v>
      </c>
      <c r="AO315" s="17">
        <f>AO309-AO312</f>
        <v>987.2935759507684</v>
      </c>
      <c r="AP315" s="17">
        <f>AP309-AP312</f>
        <v>1317.4982758775111</v>
      </c>
      <c r="AQ315" s="17">
        <f>AQ309-AQ312</f>
        <v>1567.0520123953906</v>
      </c>
      <c r="AT315" s="17">
        <f>AT309-AT312</f>
        <v>1070.734204322385</v>
      </c>
      <c r="AU315" s="17">
        <f>AU309-AU312</f>
        <v>1538.9307897071874</v>
      </c>
      <c r="AV315" s="17">
        <f>AV309-AV312</f>
        <v>1175.7894647220589</v>
      </c>
      <c r="AW315" s="17">
        <f>AW309-AW312</f>
        <v>1520.1440315238808</v>
      </c>
      <c r="AZ315" s="17">
        <f>AZ309-AZ312</f>
        <v>1214.8426638883657</v>
      </c>
      <c r="BA315" s="17">
        <f>BA309-BA312</f>
        <v>1465.9089860798808</v>
      </c>
      <c r="BB315" s="17">
        <f>BB309-BB312</f>
        <v>1414.4447885035179</v>
      </c>
      <c r="BC315" s="17">
        <f>BC309-BC312</f>
        <v>1303.5892982347136</v>
      </c>
      <c r="BF315" s="17">
        <f>BF309-BF312</f>
        <v>1430.2823362456502</v>
      </c>
      <c r="BG315" s="17">
        <f>BG309-BG312</f>
        <v>1723.8605436890002</v>
      </c>
      <c r="BH315" s="17">
        <f>BH309-BH312</f>
        <v>1553.7856008097847</v>
      </c>
      <c r="BI315" s="17">
        <f>BI309-BI312</f>
        <v>1091.0467223100493</v>
      </c>
      <c r="BL315" s="17">
        <f>BL309-BL312</f>
        <v>1571.6789669663231</v>
      </c>
      <c r="BM315" s="17">
        <f>BM309-BM312</f>
        <v>1884.1372286388246</v>
      </c>
      <c r="BN315" s="17">
        <f>BN309-BN312</f>
        <v>1707.5880911568861</v>
      </c>
      <c r="BO315" s="17">
        <f>BO309-BO312</f>
        <v>1075.9575315238267</v>
      </c>
      <c r="BR315" s="17">
        <f>BR309-BR312</f>
        <v>1629.6738160277087</v>
      </c>
      <c r="BS315" s="17">
        <f>BS309-BS312</f>
        <v>1959.2731032239917</v>
      </c>
      <c r="BT315" s="17">
        <f>BT309-BT312</f>
        <v>1777.5487989354961</v>
      </c>
      <c r="BU315" s="17">
        <f>BU309-BU312</f>
        <v>1329.4507960013716</v>
      </c>
      <c r="BX315" s="17">
        <f>BX309-BX312</f>
        <v>1735.22642415781</v>
      </c>
      <c r="BY315" s="17">
        <f>BY309-BY312</f>
        <v>2080.2924336659139</v>
      </c>
      <c r="BZ315" s="17">
        <f>BZ309-BZ312</f>
        <v>1895.5511613113385</v>
      </c>
      <c r="CA315" s="17">
        <f>CA309-CA312</f>
        <v>1419.899592657285</v>
      </c>
      <c r="CD315" s="17">
        <f>CD309-CD312</f>
        <v>1850.2618941989326</v>
      </c>
      <c r="CE315" s="17">
        <f>CE309-CE312</f>
        <v>2208.1052230269352</v>
      </c>
      <c r="CF315" s="17">
        <f>CF309-CF312</f>
        <v>2021.1805269386396</v>
      </c>
      <c r="CG315" s="17">
        <f>CG309-CG312</f>
        <v>1480.4171678528032</v>
      </c>
      <c r="CJ315" s="17">
        <f>CJ309-CJ312</f>
        <v>1933.1007935524578</v>
      </c>
      <c r="CK315" s="17">
        <f>CK309-CK312</f>
        <v>2304.0421858711288</v>
      </c>
      <c r="CL315" s="17">
        <f>CL309-CL312</f>
        <v>2116.7808125135716</v>
      </c>
      <c r="CM315" s="17">
        <f>CM309-CM312</f>
        <v>1610.0046667619449</v>
      </c>
      <c r="CP315" s="17">
        <f>CP309-CP312</f>
        <v>1960.2604762010606</v>
      </c>
      <c r="CQ315" s="17">
        <f>CQ309-CQ312</f>
        <v>2339.1128560737643</v>
      </c>
      <c r="CR315" s="17">
        <f>CR309-CR312</f>
        <v>2151.2377924095827</v>
      </c>
      <c r="CS315" s="17">
        <f>CS309-CS312</f>
        <v>1702.2752112322582</v>
      </c>
    </row>
    <row r="316" spans="2:97" ht="15.75" thickBot="1" x14ac:dyDescent="0.35">
      <c r="B316" s="41" t="s">
        <v>23</v>
      </c>
      <c r="V316" s="9" t="s">
        <v>35</v>
      </c>
    </row>
  </sheetData>
  <mergeCells count="64">
    <mergeCell ref="CJ2:CM2"/>
    <mergeCell ref="CP2:CS2"/>
    <mergeCell ref="BF255:BI255"/>
    <mergeCell ref="CD142:CG142"/>
    <mergeCell ref="CD213:CG213"/>
    <mergeCell ref="CD255:CG255"/>
    <mergeCell ref="BR142:BU142"/>
    <mergeCell ref="BR213:BU213"/>
    <mergeCell ref="BR255:BU255"/>
    <mergeCell ref="BX142:CA142"/>
    <mergeCell ref="BX213:CA213"/>
    <mergeCell ref="BX255:CA255"/>
    <mergeCell ref="BF142:BI142"/>
    <mergeCell ref="BL142:BO142"/>
    <mergeCell ref="BL213:BO213"/>
    <mergeCell ref="BL2:BO2"/>
    <mergeCell ref="BR2:BU2"/>
    <mergeCell ref="BX2:CA2"/>
    <mergeCell ref="CD2:CG2"/>
    <mergeCell ref="BL255:BO255"/>
    <mergeCell ref="AT213:AW213"/>
    <mergeCell ref="AZ213:BC213"/>
    <mergeCell ref="AZ2:BC2"/>
    <mergeCell ref="AZ142:BC142"/>
    <mergeCell ref="BF213:BI213"/>
    <mergeCell ref="BF2:BI2"/>
    <mergeCell ref="AZ255:BC255"/>
    <mergeCell ref="AN2:AQ2"/>
    <mergeCell ref="AB142:AE142"/>
    <mergeCell ref="AH142:AK142"/>
    <mergeCell ref="AT2:AW2"/>
    <mergeCell ref="AB255:AE255"/>
    <mergeCell ref="AH255:AK255"/>
    <mergeCell ref="AB213:AE213"/>
    <mergeCell ref="AH213:AK213"/>
    <mergeCell ref="AN213:AQ213"/>
    <mergeCell ref="AT142:AW142"/>
    <mergeCell ref="AN142:AQ142"/>
    <mergeCell ref="AB2:AE2"/>
    <mergeCell ref="AH2:AK2"/>
    <mergeCell ref="AN255:AQ255"/>
    <mergeCell ref="AT255:AW255"/>
    <mergeCell ref="D2:G2"/>
    <mergeCell ref="V72:Y72"/>
    <mergeCell ref="D72:G72"/>
    <mergeCell ref="J72:M72"/>
    <mergeCell ref="P72:S72"/>
    <mergeCell ref="J2:M2"/>
    <mergeCell ref="P2:S2"/>
    <mergeCell ref="V2:Y2"/>
    <mergeCell ref="D142:G142"/>
    <mergeCell ref="J142:M142"/>
    <mergeCell ref="P142:S142"/>
    <mergeCell ref="V142:Y142"/>
    <mergeCell ref="P255:S255"/>
    <mergeCell ref="V255:Y255"/>
    <mergeCell ref="P213:S213"/>
    <mergeCell ref="V213:Y213"/>
    <mergeCell ref="CJ142:CM142"/>
    <mergeCell ref="CJ213:CM213"/>
    <mergeCell ref="CJ255:CM255"/>
    <mergeCell ref="CP142:CS142"/>
    <mergeCell ref="CP213:CS213"/>
    <mergeCell ref="CP255:CS255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DK80"/>
  <sheetViews>
    <sheetView zoomScale="50" workbookViewId="0">
      <pane xSplit="2" ySplit="3" topLeftCell="BJ4" activePane="bottomRight" state="frozen"/>
      <selection pane="topRight" activeCell="C1" sqref="C1"/>
      <selection pane="bottomLeft" activeCell="A4" sqref="A4"/>
      <selection pane="bottomRight" sqref="A1:XFD1"/>
    </sheetView>
  </sheetViews>
  <sheetFormatPr defaultRowHeight="12.75" x14ac:dyDescent="0.2"/>
  <cols>
    <col min="2" max="2" width="35.5703125" customWidth="1"/>
    <col min="3" max="8" width="9.140625" style="103"/>
    <col min="9" max="9" width="11" style="103" bestFit="1" customWidth="1"/>
    <col min="10" max="11" width="9.28515625" style="103" bestFit="1" customWidth="1"/>
    <col min="12" max="12" width="9.5703125" style="103" bestFit="1" customWidth="1"/>
    <col min="13" max="13" width="11" style="103" bestFit="1" customWidth="1"/>
    <col min="14" max="14" width="9.140625" style="103"/>
    <col min="15" max="19" width="9.28515625" style="103" bestFit="1" customWidth="1"/>
    <col min="20" max="20" width="9.140625" style="103"/>
    <col min="21" max="21" width="11" style="103" bestFit="1" customWidth="1"/>
    <col min="22" max="22" width="11.42578125" style="103" bestFit="1" customWidth="1"/>
    <col min="23" max="23" width="10.5703125" style="103" bestFit="1" customWidth="1"/>
    <col min="24" max="24" width="11" style="103" bestFit="1" customWidth="1"/>
    <col min="25" max="25" width="10.5703125" style="103" bestFit="1" customWidth="1"/>
    <col min="27" max="27" width="10.5703125" bestFit="1" customWidth="1"/>
    <col min="28" max="30" width="11.28515625" bestFit="1" customWidth="1"/>
    <col min="31" max="31" width="10.140625" bestFit="1" customWidth="1"/>
    <col min="33" max="34" width="10.5703125" bestFit="1" customWidth="1"/>
    <col min="35" max="35" width="11.140625" bestFit="1" customWidth="1"/>
    <col min="36" max="36" width="11.28515625" bestFit="1" customWidth="1"/>
    <col min="37" max="37" width="10.5703125" bestFit="1" customWidth="1"/>
    <col min="39" max="39" width="11.28515625" bestFit="1" customWidth="1"/>
    <col min="40" max="40" width="11.140625" bestFit="1" customWidth="1"/>
    <col min="41" max="41" width="10.85546875" bestFit="1" customWidth="1"/>
    <col min="42" max="42" width="11.140625" bestFit="1" customWidth="1"/>
    <col min="43" max="43" width="10.85546875" bestFit="1" customWidth="1"/>
    <col min="45" max="45" width="10.42578125" bestFit="1" customWidth="1"/>
    <col min="46" max="46" width="10.5703125" bestFit="1" customWidth="1"/>
    <col min="47" max="47" width="11.140625" bestFit="1" customWidth="1"/>
    <col min="48" max="48" width="10.140625" bestFit="1" customWidth="1"/>
    <col min="49" max="49" width="10.85546875" bestFit="1" customWidth="1"/>
    <col min="51" max="51" width="11.140625" bestFit="1" customWidth="1"/>
    <col min="52" max="52" width="10.42578125" bestFit="1" customWidth="1"/>
    <col min="53" max="53" width="11.140625" bestFit="1" customWidth="1"/>
    <col min="54" max="54" width="11.28515625" bestFit="1" customWidth="1"/>
    <col min="55" max="55" width="10.85546875" bestFit="1" customWidth="1"/>
    <col min="57" max="57" width="10.140625" bestFit="1" customWidth="1"/>
    <col min="58" max="58" width="10.5703125" bestFit="1" customWidth="1"/>
    <col min="59" max="59" width="10.85546875" bestFit="1" customWidth="1"/>
    <col min="60" max="60" width="11.28515625" bestFit="1" customWidth="1"/>
    <col min="61" max="61" width="10.85546875" bestFit="1" customWidth="1"/>
    <col min="63" max="63" width="11.28515625" bestFit="1" customWidth="1"/>
    <col min="64" max="64" width="10.5703125" bestFit="1" customWidth="1"/>
    <col min="65" max="65" width="10.140625" bestFit="1" customWidth="1"/>
    <col min="66" max="66" width="10.85546875" bestFit="1" customWidth="1"/>
    <col min="67" max="67" width="11.140625" bestFit="1" customWidth="1"/>
    <col min="69" max="69" width="10.5703125" bestFit="1" customWidth="1"/>
    <col min="70" max="70" width="11.28515625" bestFit="1" customWidth="1"/>
    <col min="71" max="71" width="10.85546875" bestFit="1" customWidth="1"/>
    <col min="72" max="72" width="10.5703125" bestFit="1" customWidth="1"/>
    <col min="73" max="73" width="10.85546875" bestFit="1" customWidth="1"/>
    <col min="75" max="103" width="10.85546875" customWidth="1"/>
    <col min="105" max="115" width="10.85546875" customWidth="1"/>
  </cols>
  <sheetData>
    <row r="1" spans="2:115" ht="13.5" thickBot="1" x14ac:dyDescent="0.25"/>
    <row r="2" spans="2:115" x14ac:dyDescent="0.2">
      <c r="C2" s="712">
        <v>2007</v>
      </c>
      <c r="D2" s="713"/>
      <c r="E2" s="713"/>
      <c r="F2" s="713"/>
      <c r="G2" s="714"/>
      <c r="H2" s="129"/>
      <c r="I2" s="712">
        <v>2008</v>
      </c>
      <c r="J2" s="713"/>
      <c r="K2" s="713"/>
      <c r="L2" s="713"/>
      <c r="M2" s="714"/>
      <c r="N2" s="129"/>
      <c r="O2" s="712">
        <v>2009</v>
      </c>
      <c r="P2" s="713"/>
      <c r="Q2" s="713"/>
      <c r="R2" s="713"/>
      <c r="S2" s="714"/>
      <c r="T2" s="129"/>
      <c r="U2" s="712">
        <v>2010</v>
      </c>
      <c r="V2" s="713"/>
      <c r="W2" s="713"/>
      <c r="X2" s="713"/>
      <c r="Y2" s="714"/>
      <c r="AA2" s="712">
        <v>2011</v>
      </c>
      <c r="AB2" s="713"/>
      <c r="AC2" s="713"/>
      <c r="AD2" s="713"/>
      <c r="AE2" s="714"/>
      <c r="AG2" s="712">
        <v>2012</v>
      </c>
      <c r="AH2" s="713"/>
      <c r="AI2" s="713"/>
      <c r="AJ2" s="713"/>
      <c r="AK2" s="714"/>
      <c r="AM2" s="712">
        <v>2013</v>
      </c>
      <c r="AN2" s="713"/>
      <c r="AO2" s="713"/>
      <c r="AP2" s="713"/>
      <c r="AQ2" s="714"/>
      <c r="AS2" s="712">
        <v>2014</v>
      </c>
      <c r="AT2" s="713"/>
      <c r="AU2" s="713"/>
      <c r="AV2" s="713"/>
      <c r="AW2" s="714"/>
      <c r="AY2" s="712">
        <v>2015</v>
      </c>
      <c r="AZ2" s="713"/>
      <c r="BA2" s="713"/>
      <c r="BB2" s="713"/>
      <c r="BC2" s="714"/>
      <c r="BE2" s="712">
        <v>2016</v>
      </c>
      <c r="BF2" s="713"/>
      <c r="BG2" s="713"/>
      <c r="BH2" s="713"/>
      <c r="BI2" s="714"/>
      <c r="BK2" s="712">
        <v>2017</v>
      </c>
      <c r="BL2" s="713"/>
      <c r="BM2" s="713"/>
      <c r="BN2" s="713"/>
      <c r="BO2" s="714"/>
      <c r="BQ2" s="712">
        <v>2018</v>
      </c>
      <c r="BR2" s="713"/>
      <c r="BS2" s="713"/>
      <c r="BT2" s="713"/>
      <c r="BU2" s="714"/>
      <c r="BW2" s="712">
        <v>2019</v>
      </c>
      <c r="BX2" s="713"/>
      <c r="BY2" s="713"/>
      <c r="BZ2" s="713"/>
      <c r="CA2" s="714"/>
      <c r="CC2" s="712">
        <v>2020</v>
      </c>
      <c r="CD2" s="713"/>
      <c r="CE2" s="713"/>
      <c r="CF2" s="713"/>
      <c r="CG2" s="714"/>
      <c r="CI2" s="712">
        <v>2021</v>
      </c>
      <c r="CJ2" s="713"/>
      <c r="CK2" s="713"/>
      <c r="CL2" s="713"/>
      <c r="CM2" s="714"/>
      <c r="CO2" s="712">
        <v>2022</v>
      </c>
      <c r="CP2" s="713"/>
      <c r="CQ2" s="713"/>
      <c r="CR2" s="713"/>
      <c r="CS2" s="714"/>
      <c r="CU2" s="712">
        <v>2023</v>
      </c>
      <c r="CV2" s="713"/>
      <c r="CW2" s="713"/>
      <c r="CX2" s="713"/>
      <c r="CY2" s="714"/>
      <c r="DA2" s="712">
        <v>2024</v>
      </c>
      <c r="DB2" s="713"/>
      <c r="DC2" s="713"/>
      <c r="DD2" s="713"/>
      <c r="DE2" s="714"/>
      <c r="DG2" s="712">
        <v>2025</v>
      </c>
      <c r="DH2" s="713"/>
      <c r="DI2" s="713"/>
      <c r="DJ2" s="713"/>
      <c r="DK2" s="714"/>
    </row>
    <row r="3" spans="2:115" ht="13.5" thickBot="1" x14ac:dyDescent="0.25">
      <c r="C3" s="130" t="s">
        <v>20</v>
      </c>
      <c r="D3" s="131" t="s">
        <v>19</v>
      </c>
      <c r="E3" s="131" t="s">
        <v>22</v>
      </c>
      <c r="F3" s="131" t="s">
        <v>21</v>
      </c>
      <c r="G3" s="132" t="s">
        <v>39</v>
      </c>
      <c r="H3" s="129"/>
      <c r="I3" s="130" t="s">
        <v>20</v>
      </c>
      <c r="J3" s="131" t="s">
        <v>19</v>
      </c>
      <c r="K3" s="131" t="s">
        <v>22</v>
      </c>
      <c r="L3" s="131" t="s">
        <v>21</v>
      </c>
      <c r="M3" s="132" t="s">
        <v>39</v>
      </c>
      <c r="N3" s="129"/>
      <c r="O3" s="130" t="s">
        <v>20</v>
      </c>
      <c r="P3" s="131" t="s">
        <v>19</v>
      </c>
      <c r="Q3" s="131" t="s">
        <v>22</v>
      </c>
      <c r="R3" s="131" t="s">
        <v>21</v>
      </c>
      <c r="S3" s="132" t="s">
        <v>39</v>
      </c>
      <c r="T3" s="129"/>
      <c r="U3" s="130" t="s">
        <v>20</v>
      </c>
      <c r="V3" s="131" t="s">
        <v>19</v>
      </c>
      <c r="W3" s="131" t="s">
        <v>22</v>
      </c>
      <c r="X3" s="131" t="s">
        <v>21</v>
      </c>
      <c r="Y3" s="132" t="s">
        <v>39</v>
      </c>
      <c r="AA3" s="130" t="s">
        <v>20</v>
      </c>
      <c r="AB3" s="131" t="s">
        <v>19</v>
      </c>
      <c r="AC3" s="131" t="s">
        <v>22</v>
      </c>
      <c r="AD3" s="131" t="s">
        <v>21</v>
      </c>
      <c r="AE3" s="132" t="s">
        <v>39</v>
      </c>
      <c r="AG3" s="130" t="s">
        <v>20</v>
      </c>
      <c r="AH3" s="131" t="s">
        <v>19</v>
      </c>
      <c r="AI3" s="131" t="s">
        <v>22</v>
      </c>
      <c r="AJ3" s="131" t="s">
        <v>21</v>
      </c>
      <c r="AK3" s="132" t="s">
        <v>39</v>
      </c>
      <c r="AM3" s="130" t="s">
        <v>20</v>
      </c>
      <c r="AN3" s="131" t="s">
        <v>19</v>
      </c>
      <c r="AO3" s="131" t="s">
        <v>22</v>
      </c>
      <c r="AP3" s="131" t="s">
        <v>21</v>
      </c>
      <c r="AQ3" s="132" t="s">
        <v>39</v>
      </c>
      <c r="AS3" s="130" t="s">
        <v>20</v>
      </c>
      <c r="AT3" s="131" t="s">
        <v>19</v>
      </c>
      <c r="AU3" s="131" t="s">
        <v>22</v>
      </c>
      <c r="AV3" s="131" t="s">
        <v>21</v>
      </c>
      <c r="AW3" s="132" t="s">
        <v>39</v>
      </c>
      <c r="AY3" s="130" t="s">
        <v>20</v>
      </c>
      <c r="AZ3" s="131" t="s">
        <v>19</v>
      </c>
      <c r="BA3" s="131" t="s">
        <v>22</v>
      </c>
      <c r="BB3" s="131" t="s">
        <v>21</v>
      </c>
      <c r="BC3" s="132" t="s">
        <v>39</v>
      </c>
      <c r="BE3" s="130" t="s">
        <v>20</v>
      </c>
      <c r="BF3" s="131" t="s">
        <v>19</v>
      </c>
      <c r="BG3" s="131" t="s">
        <v>22</v>
      </c>
      <c r="BH3" s="131" t="s">
        <v>21</v>
      </c>
      <c r="BI3" s="132" t="s">
        <v>39</v>
      </c>
      <c r="BK3" s="130" t="s">
        <v>20</v>
      </c>
      <c r="BL3" s="131" t="s">
        <v>19</v>
      </c>
      <c r="BM3" s="131" t="s">
        <v>22</v>
      </c>
      <c r="BN3" s="131" t="s">
        <v>21</v>
      </c>
      <c r="BO3" s="132" t="s">
        <v>39</v>
      </c>
      <c r="BQ3" s="130" t="s">
        <v>20</v>
      </c>
      <c r="BR3" s="131" t="s">
        <v>19</v>
      </c>
      <c r="BS3" s="131" t="s">
        <v>22</v>
      </c>
      <c r="BT3" s="131" t="s">
        <v>21</v>
      </c>
      <c r="BU3" s="132" t="s">
        <v>39</v>
      </c>
      <c r="BW3" s="130" t="s">
        <v>20</v>
      </c>
      <c r="BX3" s="131" t="s">
        <v>19</v>
      </c>
      <c r="BY3" s="131" t="s">
        <v>22</v>
      </c>
      <c r="BZ3" s="131" t="s">
        <v>21</v>
      </c>
      <c r="CA3" s="132" t="s">
        <v>39</v>
      </c>
      <c r="CC3" s="130" t="s">
        <v>20</v>
      </c>
      <c r="CD3" s="131" t="s">
        <v>19</v>
      </c>
      <c r="CE3" s="131" t="s">
        <v>22</v>
      </c>
      <c r="CF3" s="131" t="s">
        <v>21</v>
      </c>
      <c r="CG3" s="132" t="s">
        <v>39</v>
      </c>
      <c r="CI3" s="130" t="s">
        <v>20</v>
      </c>
      <c r="CJ3" s="131" t="s">
        <v>19</v>
      </c>
      <c r="CK3" s="131" t="s">
        <v>22</v>
      </c>
      <c r="CL3" s="131" t="s">
        <v>21</v>
      </c>
      <c r="CM3" s="132" t="s">
        <v>39</v>
      </c>
      <c r="CO3" s="130" t="s">
        <v>20</v>
      </c>
      <c r="CP3" s="131" t="s">
        <v>19</v>
      </c>
      <c r="CQ3" s="131" t="s">
        <v>22</v>
      </c>
      <c r="CR3" s="131" t="s">
        <v>21</v>
      </c>
      <c r="CS3" s="132" t="s">
        <v>39</v>
      </c>
      <c r="CU3" s="130" t="s">
        <v>20</v>
      </c>
      <c r="CV3" s="131" t="s">
        <v>19</v>
      </c>
      <c r="CW3" s="131" t="s">
        <v>22</v>
      </c>
      <c r="CX3" s="131" t="s">
        <v>21</v>
      </c>
      <c r="CY3" s="132" t="s">
        <v>39</v>
      </c>
      <c r="DA3" s="130" t="s">
        <v>20</v>
      </c>
      <c r="DB3" s="131" t="s">
        <v>19</v>
      </c>
      <c r="DC3" s="131" t="s">
        <v>22</v>
      </c>
      <c r="DD3" s="131" t="s">
        <v>21</v>
      </c>
      <c r="DE3" s="132" t="s">
        <v>39</v>
      </c>
      <c r="DG3" s="130" t="s">
        <v>20</v>
      </c>
      <c r="DH3" s="131" t="s">
        <v>19</v>
      </c>
      <c r="DI3" s="131" t="s">
        <v>22</v>
      </c>
      <c r="DJ3" s="131" t="s">
        <v>21</v>
      </c>
      <c r="DK3" s="132" t="s">
        <v>39</v>
      </c>
    </row>
    <row r="4" spans="2:115" ht="15" x14ac:dyDescent="0.3">
      <c r="B4" s="104" t="s">
        <v>25</v>
      </c>
      <c r="C4" s="111">
        <v>2552</v>
      </c>
      <c r="D4" s="112">
        <f>C6</f>
        <v>2592</v>
      </c>
      <c r="E4" s="112">
        <f>D6</f>
        <v>2638</v>
      </c>
      <c r="F4" s="112">
        <f>E6</f>
        <v>2639</v>
      </c>
      <c r="G4" s="113">
        <f>C4</f>
        <v>2552</v>
      </c>
      <c r="H4" s="114"/>
      <c r="I4" s="111">
        <f>G6</f>
        <v>4889</v>
      </c>
      <c r="J4" s="112">
        <f>I6</f>
        <v>5166</v>
      </c>
      <c r="K4" s="112">
        <f>J6</f>
        <v>5278</v>
      </c>
      <c r="L4" s="112">
        <f>K6</f>
        <v>5327</v>
      </c>
      <c r="M4" s="113">
        <f>I4</f>
        <v>4889</v>
      </c>
      <c r="N4" s="114"/>
      <c r="O4" s="111">
        <f>M6</f>
        <v>5308</v>
      </c>
      <c r="P4" s="112">
        <f>O6</f>
        <v>5235</v>
      </c>
      <c r="Q4" s="112">
        <f>P6</f>
        <v>5423</v>
      </c>
      <c r="R4" s="112">
        <f>Q6</f>
        <v>5474</v>
      </c>
      <c r="S4" s="113">
        <f>O4</f>
        <v>5308</v>
      </c>
      <c r="T4" s="114"/>
      <c r="U4" s="111">
        <f>S6</f>
        <v>4592</v>
      </c>
      <c r="V4" s="112">
        <f>U6</f>
        <v>4392</v>
      </c>
      <c r="W4" s="112">
        <f>V6</f>
        <v>4382</v>
      </c>
      <c r="X4" s="112">
        <f>W6</f>
        <v>4461</v>
      </c>
      <c r="Y4" s="113">
        <f>U4</f>
        <v>4592</v>
      </c>
      <c r="AA4" s="111">
        <f>Y6</f>
        <v>4526</v>
      </c>
      <c r="AB4" s="112">
        <f>AA6</f>
        <v>4718</v>
      </c>
      <c r="AC4" s="112">
        <f>AB6</f>
        <v>4829</v>
      </c>
      <c r="AD4" s="112">
        <f>AC6</f>
        <v>4935</v>
      </c>
      <c r="AE4" s="113">
        <f>AA4</f>
        <v>4526</v>
      </c>
      <c r="AG4" s="111">
        <f>AE6</f>
        <v>4909</v>
      </c>
      <c r="AH4" s="112">
        <f>AG6</f>
        <v>4856</v>
      </c>
      <c r="AI4" s="112">
        <f>AH6</f>
        <v>4744</v>
      </c>
      <c r="AJ4" s="112">
        <f>AI6</f>
        <v>4761</v>
      </c>
      <c r="AK4" s="113">
        <f>AG4</f>
        <v>4909</v>
      </c>
      <c r="AM4" s="111">
        <f>AK6</f>
        <v>4720</v>
      </c>
      <c r="AN4" s="112">
        <f>AM6</f>
        <v>4622</v>
      </c>
      <c r="AO4" s="112">
        <f>AN6</f>
        <v>4561</v>
      </c>
      <c r="AP4" s="112">
        <f>AO6</f>
        <v>4534</v>
      </c>
      <c r="AQ4" s="113">
        <f>AM4</f>
        <v>4720</v>
      </c>
      <c r="AS4" s="111">
        <f>AQ6</f>
        <v>4441</v>
      </c>
      <c r="AT4" s="112">
        <f>AS6</f>
        <v>4343</v>
      </c>
      <c r="AU4" s="112">
        <f>AT6</f>
        <v>4277</v>
      </c>
      <c r="AV4" s="112">
        <f>AU6</f>
        <v>3964</v>
      </c>
      <c r="AW4" s="113">
        <f>AS4</f>
        <v>4441</v>
      </c>
      <c r="AY4" s="111">
        <f>AW6</f>
        <v>3900</v>
      </c>
      <c r="AZ4" s="112">
        <f>AY6</f>
        <v>3830</v>
      </c>
      <c r="BA4" s="112">
        <f>AZ6</f>
        <v>3689</v>
      </c>
      <c r="BB4" s="112">
        <f>BA6</f>
        <v>3686</v>
      </c>
      <c r="BC4" s="113">
        <f>AY4</f>
        <v>3900</v>
      </c>
      <c r="BE4" s="111">
        <f>BC6</f>
        <v>3677</v>
      </c>
      <c r="BF4" s="112">
        <f>BE6</f>
        <v>3668</v>
      </c>
      <c r="BG4" s="112">
        <f>BF6</f>
        <v>3671</v>
      </c>
      <c r="BH4" s="112">
        <f>BG6</f>
        <v>3703</v>
      </c>
      <c r="BI4" s="113">
        <f>BE4</f>
        <v>3677</v>
      </c>
      <c r="BK4" s="111">
        <f>BI6</f>
        <v>3746</v>
      </c>
      <c r="BL4" s="112">
        <f>BK6</f>
        <v>3789</v>
      </c>
      <c r="BM4" s="112">
        <f>BL6</f>
        <v>3830</v>
      </c>
      <c r="BN4" s="112">
        <f>BM6</f>
        <v>3876</v>
      </c>
      <c r="BO4" s="113">
        <f>BK4</f>
        <v>3746</v>
      </c>
      <c r="BQ4" s="111">
        <f>BO6</f>
        <v>3850</v>
      </c>
      <c r="BR4" s="112">
        <f>BQ6</f>
        <v>3855</v>
      </c>
      <c r="BS4" s="112">
        <f>BR6</f>
        <v>3860</v>
      </c>
      <c r="BT4" s="112">
        <f>BS6</f>
        <v>3870</v>
      </c>
      <c r="BU4" s="113">
        <f>BQ4</f>
        <v>3850</v>
      </c>
      <c r="BW4" s="111">
        <f>BU6</f>
        <v>3895</v>
      </c>
      <c r="BX4" s="112">
        <f>BW6</f>
        <v>3900</v>
      </c>
      <c r="BY4" s="112">
        <f>BX6</f>
        <v>3905</v>
      </c>
      <c r="BZ4" s="112">
        <f>BY6</f>
        <v>3910</v>
      </c>
      <c r="CA4" s="113">
        <f>BW4</f>
        <v>3895</v>
      </c>
      <c r="CC4" s="111">
        <f>CA6</f>
        <v>3925</v>
      </c>
      <c r="CD4" s="112">
        <f>CC6</f>
        <v>3930</v>
      </c>
      <c r="CE4" s="112">
        <f>CD6</f>
        <v>3935</v>
      </c>
      <c r="CF4" s="112">
        <f>CE6</f>
        <v>3940</v>
      </c>
      <c r="CG4" s="113">
        <f>CC4</f>
        <v>3925</v>
      </c>
      <c r="CI4" s="111">
        <f>CG6</f>
        <v>3950</v>
      </c>
      <c r="CJ4" s="112">
        <f>CI6</f>
        <v>3955</v>
      </c>
      <c r="CK4" s="112">
        <f>CJ6</f>
        <v>3960</v>
      </c>
      <c r="CL4" s="112">
        <f>CK6</f>
        <v>3965</v>
      </c>
      <c r="CM4" s="113">
        <f>CI4</f>
        <v>3950</v>
      </c>
      <c r="CO4" s="111">
        <f>CM6</f>
        <v>3975</v>
      </c>
      <c r="CP4" s="112">
        <f>CO6</f>
        <v>3980</v>
      </c>
      <c r="CQ4" s="112">
        <f>CP6</f>
        <v>3985</v>
      </c>
      <c r="CR4" s="112">
        <f>CQ6</f>
        <v>3990</v>
      </c>
      <c r="CS4" s="113">
        <f>CO4</f>
        <v>3975</v>
      </c>
      <c r="CU4" s="111">
        <f>CS6</f>
        <v>4000</v>
      </c>
      <c r="CV4" s="112">
        <f>CU6</f>
        <v>4005</v>
      </c>
      <c r="CW4" s="112">
        <f>CV6</f>
        <v>4010</v>
      </c>
      <c r="CX4" s="112">
        <f>CW6</f>
        <v>4015</v>
      </c>
      <c r="CY4" s="113">
        <f>CU4</f>
        <v>4000</v>
      </c>
      <c r="DA4" s="111">
        <f>CY6</f>
        <v>4025</v>
      </c>
      <c r="DB4" s="112">
        <f>DA6</f>
        <v>4030</v>
      </c>
      <c r="DC4" s="112">
        <f>DB6</f>
        <v>4035</v>
      </c>
      <c r="DD4" s="112">
        <f>DC6</f>
        <v>4040</v>
      </c>
      <c r="DE4" s="113">
        <f>DA4</f>
        <v>4025</v>
      </c>
      <c r="DG4" s="111">
        <f>DE6</f>
        <v>4050</v>
      </c>
      <c r="DH4" s="112">
        <f>DG6</f>
        <v>4055</v>
      </c>
      <c r="DI4" s="112">
        <f>DH6</f>
        <v>4060</v>
      </c>
      <c r="DJ4" s="112">
        <f>DI6</f>
        <v>4065</v>
      </c>
      <c r="DK4" s="113">
        <f>DG4</f>
        <v>4050</v>
      </c>
    </row>
    <row r="5" spans="2:115" ht="15" x14ac:dyDescent="0.3">
      <c r="B5" s="105" t="s">
        <v>26</v>
      </c>
      <c r="C5" s="116">
        <f>C6-C4</f>
        <v>40</v>
      </c>
      <c r="D5" s="117">
        <f>D6-D4</f>
        <v>46</v>
      </c>
      <c r="E5" s="117">
        <f>E6-E4</f>
        <v>1</v>
      </c>
      <c r="F5" s="117">
        <f>F6-F4</f>
        <v>2250</v>
      </c>
      <c r="G5" s="118">
        <f>C5+D5+E5+F5</f>
        <v>2337</v>
      </c>
      <c r="H5" s="114"/>
      <c r="I5" s="116">
        <f>I6-I4</f>
        <v>277</v>
      </c>
      <c r="J5" s="117">
        <f>J6-J4</f>
        <v>112</v>
      </c>
      <c r="K5" s="117">
        <f>K6-K4</f>
        <v>49</v>
      </c>
      <c r="L5" s="117">
        <f>L6-L4</f>
        <v>-19</v>
      </c>
      <c r="M5" s="118">
        <f>I5+J5+K5+L5</f>
        <v>419</v>
      </c>
      <c r="N5" s="114"/>
      <c r="O5" s="116">
        <f>O6-O4</f>
        <v>-73</v>
      </c>
      <c r="P5" s="117">
        <f>P6-P4</f>
        <v>188</v>
      </c>
      <c r="Q5" s="117">
        <f>Q6-Q4</f>
        <v>51</v>
      </c>
      <c r="R5" s="117">
        <f>R6-R4</f>
        <v>-882</v>
      </c>
      <c r="S5" s="118">
        <f>O5+P5+Q5+R5</f>
        <v>-716</v>
      </c>
      <c r="T5" s="114"/>
      <c r="U5" s="116">
        <f>U6-U4</f>
        <v>-200</v>
      </c>
      <c r="V5" s="117">
        <v>-10</v>
      </c>
      <c r="W5" s="117">
        <v>79</v>
      </c>
      <c r="X5" s="117">
        <v>65</v>
      </c>
      <c r="Y5" s="118">
        <f>U5+V5+W5+X5</f>
        <v>-66</v>
      </c>
      <c r="AA5" s="116">
        <v>192</v>
      </c>
      <c r="AB5" s="117">
        <v>111</v>
      </c>
      <c r="AC5" s="117">
        <v>106</v>
      </c>
      <c r="AD5" s="117">
        <v>-26</v>
      </c>
      <c r="AE5" s="118">
        <f>AA5+AB5+AC5+AD5</f>
        <v>383</v>
      </c>
      <c r="AG5" s="116">
        <v>-53</v>
      </c>
      <c r="AH5" s="117">
        <v>-112</v>
      </c>
      <c r="AI5" s="117">
        <v>17</v>
      </c>
      <c r="AJ5" s="117">
        <v>-41</v>
      </c>
      <c r="AK5" s="118">
        <f>AG5+AH5+AI5+AJ5</f>
        <v>-189</v>
      </c>
      <c r="AM5" s="116">
        <v>-98</v>
      </c>
      <c r="AN5" s="117">
        <v>-61</v>
      </c>
      <c r="AO5" s="117">
        <v>-27</v>
      </c>
      <c r="AP5" s="117">
        <v>-93</v>
      </c>
      <c r="AQ5" s="118">
        <f>AM5+AN5+AO5+AP5</f>
        <v>-279</v>
      </c>
      <c r="AS5" s="116">
        <v>-98</v>
      </c>
      <c r="AT5" s="117">
        <v>-66</v>
      </c>
      <c r="AU5" s="117">
        <v>-313</v>
      </c>
      <c r="AV5" s="117">
        <v>-64</v>
      </c>
      <c r="AW5" s="118">
        <f>AS5+AT5+AU5+AV5</f>
        <v>-541</v>
      </c>
      <c r="AY5" s="116">
        <v>-70</v>
      </c>
      <c r="AZ5" s="117">
        <v>-141</v>
      </c>
      <c r="BA5" s="117">
        <v>-3</v>
      </c>
      <c r="BB5" s="117">
        <v>-9</v>
      </c>
      <c r="BC5" s="118">
        <f>AY5+AZ5+BA5+BB5</f>
        <v>-223</v>
      </c>
      <c r="BE5" s="116">
        <v>-9</v>
      </c>
      <c r="BF5" s="117">
        <v>3</v>
      </c>
      <c r="BG5" s="117">
        <v>32</v>
      </c>
      <c r="BH5" s="117">
        <v>43</v>
      </c>
      <c r="BI5" s="118">
        <f>BE5+BF5+BG5+BH5</f>
        <v>69</v>
      </c>
      <c r="BK5" s="116">
        <v>43</v>
      </c>
      <c r="BL5" s="117">
        <v>41</v>
      </c>
      <c r="BM5" s="117">
        <v>46</v>
      </c>
      <c r="BN5" s="117">
        <v>-26</v>
      </c>
      <c r="BO5" s="118">
        <f>BK5+BL5+BM5+BN5</f>
        <v>104</v>
      </c>
      <c r="BQ5" s="116">
        <v>5</v>
      </c>
      <c r="BR5" s="117">
        <v>5</v>
      </c>
      <c r="BS5" s="117">
        <v>10</v>
      </c>
      <c r="BT5" s="117">
        <v>25</v>
      </c>
      <c r="BU5" s="118">
        <f>BQ5+BR5+BS5+BT5</f>
        <v>45</v>
      </c>
      <c r="BW5" s="116">
        <v>5</v>
      </c>
      <c r="BX5" s="117">
        <v>5</v>
      </c>
      <c r="BY5" s="117">
        <v>5</v>
      </c>
      <c r="BZ5" s="117">
        <v>15</v>
      </c>
      <c r="CA5" s="118">
        <f>BW5+BX5+BY5+BZ5</f>
        <v>30</v>
      </c>
      <c r="CC5" s="116">
        <v>5</v>
      </c>
      <c r="CD5" s="117">
        <v>5</v>
      </c>
      <c r="CE5" s="117">
        <v>5</v>
      </c>
      <c r="CF5" s="117">
        <v>10</v>
      </c>
      <c r="CG5" s="118">
        <f>CC5+CD5+CE5+CF5</f>
        <v>25</v>
      </c>
      <c r="CI5" s="116">
        <v>5</v>
      </c>
      <c r="CJ5" s="117">
        <v>5</v>
      </c>
      <c r="CK5" s="117">
        <v>5</v>
      </c>
      <c r="CL5" s="117">
        <v>10</v>
      </c>
      <c r="CM5" s="118">
        <f>CI5+CJ5+CK5+CL5</f>
        <v>25</v>
      </c>
      <c r="CO5" s="116">
        <v>5</v>
      </c>
      <c r="CP5" s="117">
        <v>5</v>
      </c>
      <c r="CQ5" s="117">
        <v>5</v>
      </c>
      <c r="CR5" s="117">
        <v>10</v>
      </c>
      <c r="CS5" s="118">
        <f>CO5+CP5+CQ5+CR5</f>
        <v>25</v>
      </c>
      <c r="CU5" s="116">
        <v>5</v>
      </c>
      <c r="CV5" s="117">
        <v>5</v>
      </c>
      <c r="CW5" s="117">
        <v>5</v>
      </c>
      <c r="CX5" s="117">
        <v>10</v>
      </c>
      <c r="CY5" s="118">
        <f>CU5+CV5+CW5+CX5</f>
        <v>25</v>
      </c>
      <c r="DA5" s="116">
        <v>5</v>
      </c>
      <c r="DB5" s="117">
        <v>5</v>
      </c>
      <c r="DC5" s="117">
        <v>5</v>
      </c>
      <c r="DD5" s="117">
        <v>10</v>
      </c>
      <c r="DE5" s="118">
        <f>DA5+DB5+DC5+DD5</f>
        <v>25</v>
      </c>
      <c r="DG5" s="116">
        <v>5</v>
      </c>
      <c r="DH5" s="117">
        <v>5</v>
      </c>
      <c r="DI5" s="117">
        <v>5</v>
      </c>
      <c r="DJ5" s="117">
        <v>10</v>
      </c>
      <c r="DK5" s="118">
        <f>DG5+DH5+DI5+DJ5</f>
        <v>25</v>
      </c>
    </row>
    <row r="6" spans="2:115" ht="15.75" thickBot="1" x14ac:dyDescent="0.35">
      <c r="B6" s="5" t="s">
        <v>27</v>
      </c>
      <c r="C6" s="116">
        <v>2592</v>
      </c>
      <c r="D6" s="117">
        <v>2638</v>
      </c>
      <c r="E6" s="117">
        <v>2639</v>
      </c>
      <c r="F6" s="117">
        <v>4889</v>
      </c>
      <c r="G6" s="118">
        <f>F6</f>
        <v>4889</v>
      </c>
      <c r="H6" s="114"/>
      <c r="I6" s="123">
        <v>5166</v>
      </c>
      <c r="J6" s="124">
        <v>5278</v>
      </c>
      <c r="K6" s="124">
        <v>5327</v>
      </c>
      <c r="L6" s="125">
        <v>5308</v>
      </c>
      <c r="M6" s="121">
        <f>L6</f>
        <v>5308</v>
      </c>
      <c r="N6" s="114"/>
      <c r="O6" s="123">
        <v>5235</v>
      </c>
      <c r="P6" s="124">
        <v>5423</v>
      </c>
      <c r="Q6" s="124">
        <v>5474</v>
      </c>
      <c r="R6" s="125">
        <v>4592</v>
      </c>
      <c r="S6" s="121">
        <f>R6</f>
        <v>4592</v>
      </c>
      <c r="T6" s="114"/>
      <c r="U6" s="123">
        <v>4392</v>
      </c>
      <c r="V6" s="124">
        <f>V4+V5</f>
        <v>4382</v>
      </c>
      <c r="W6" s="124">
        <f>W4+W5</f>
        <v>4461</v>
      </c>
      <c r="X6" s="124">
        <f>X4+X5</f>
        <v>4526</v>
      </c>
      <c r="Y6" s="121">
        <f>X6</f>
        <v>4526</v>
      </c>
      <c r="AA6" s="123">
        <f>AA4+AA5</f>
        <v>4718</v>
      </c>
      <c r="AB6" s="124">
        <f>AB4+AB5</f>
        <v>4829</v>
      </c>
      <c r="AC6" s="124">
        <f>AC4+AC5</f>
        <v>4935</v>
      </c>
      <c r="AD6" s="124">
        <f>AD4+AD5</f>
        <v>4909</v>
      </c>
      <c r="AE6" s="121">
        <f>AD6</f>
        <v>4909</v>
      </c>
      <c r="AG6" s="123">
        <f>AG4+AG5</f>
        <v>4856</v>
      </c>
      <c r="AH6" s="124">
        <f>AH4+AH5</f>
        <v>4744</v>
      </c>
      <c r="AI6" s="124">
        <f>AI4+AI5</f>
        <v>4761</v>
      </c>
      <c r="AJ6" s="124">
        <f>AJ4+AJ5</f>
        <v>4720</v>
      </c>
      <c r="AK6" s="121">
        <f>AJ6</f>
        <v>4720</v>
      </c>
      <c r="AM6" s="123">
        <f>AM4+AM5</f>
        <v>4622</v>
      </c>
      <c r="AN6" s="124">
        <f>AN4+AN5</f>
        <v>4561</v>
      </c>
      <c r="AO6" s="124">
        <f>AO4+AO5</f>
        <v>4534</v>
      </c>
      <c r="AP6" s="124">
        <f>AP4+AP5</f>
        <v>4441</v>
      </c>
      <c r="AQ6" s="121">
        <f>AP6</f>
        <v>4441</v>
      </c>
      <c r="AS6" s="123">
        <f>AS4+AS5</f>
        <v>4343</v>
      </c>
      <c r="AT6" s="124">
        <f>AT4+AT5</f>
        <v>4277</v>
      </c>
      <c r="AU6" s="124">
        <f>AU4+AU5</f>
        <v>3964</v>
      </c>
      <c r="AV6" s="124">
        <f>AV4+AV5</f>
        <v>3900</v>
      </c>
      <c r="AW6" s="121">
        <f>AV6</f>
        <v>3900</v>
      </c>
      <c r="AY6" s="123">
        <f>AY4+AY5</f>
        <v>3830</v>
      </c>
      <c r="AZ6" s="124">
        <f>AZ4+AZ5</f>
        <v>3689</v>
      </c>
      <c r="BA6" s="124">
        <f>BA4+BA5</f>
        <v>3686</v>
      </c>
      <c r="BB6" s="124">
        <f>BB4+BB5</f>
        <v>3677</v>
      </c>
      <c r="BC6" s="121">
        <f>BB6</f>
        <v>3677</v>
      </c>
      <c r="BE6" s="123">
        <f>BE4+BE5</f>
        <v>3668</v>
      </c>
      <c r="BF6" s="124">
        <f>BF4+BF5</f>
        <v>3671</v>
      </c>
      <c r="BG6" s="124">
        <f>BG4+BG5</f>
        <v>3703</v>
      </c>
      <c r="BH6" s="124">
        <f>BH4+BH5</f>
        <v>3746</v>
      </c>
      <c r="BI6" s="121">
        <f>BH6</f>
        <v>3746</v>
      </c>
      <c r="BK6" s="123">
        <f>BK4+BK5</f>
        <v>3789</v>
      </c>
      <c r="BL6" s="124">
        <f>BL4+BL5</f>
        <v>3830</v>
      </c>
      <c r="BM6" s="124">
        <f>BM4+BM5</f>
        <v>3876</v>
      </c>
      <c r="BN6" s="124">
        <f>BN4+BN5</f>
        <v>3850</v>
      </c>
      <c r="BO6" s="121">
        <f>BN6</f>
        <v>3850</v>
      </c>
      <c r="BQ6" s="123">
        <f>BQ4+BQ5</f>
        <v>3855</v>
      </c>
      <c r="BR6" s="124">
        <f>BR4+BR5</f>
        <v>3860</v>
      </c>
      <c r="BS6" s="124">
        <f>BS4+BS5</f>
        <v>3870</v>
      </c>
      <c r="BT6" s="124">
        <f>BT4+BT5</f>
        <v>3895</v>
      </c>
      <c r="BU6" s="121">
        <f>BT6</f>
        <v>3895</v>
      </c>
      <c r="BW6" s="123">
        <f>BW4+BW5</f>
        <v>3900</v>
      </c>
      <c r="BX6" s="124">
        <f>BX4+BX5</f>
        <v>3905</v>
      </c>
      <c r="BY6" s="124">
        <f>BY4+BY5</f>
        <v>3910</v>
      </c>
      <c r="BZ6" s="124">
        <f>BZ4+BZ5</f>
        <v>3925</v>
      </c>
      <c r="CA6" s="121">
        <f>BZ6</f>
        <v>3925</v>
      </c>
      <c r="CC6" s="123">
        <f>CC4+CC5</f>
        <v>3930</v>
      </c>
      <c r="CD6" s="124">
        <f>CD4+CD5</f>
        <v>3935</v>
      </c>
      <c r="CE6" s="124">
        <f>CE4+CE5</f>
        <v>3940</v>
      </c>
      <c r="CF6" s="124">
        <f>CF4+CF5</f>
        <v>3950</v>
      </c>
      <c r="CG6" s="121">
        <f>CF6</f>
        <v>3950</v>
      </c>
      <c r="CI6" s="123">
        <f>CI4+CI5</f>
        <v>3955</v>
      </c>
      <c r="CJ6" s="124">
        <f>CJ4+CJ5</f>
        <v>3960</v>
      </c>
      <c r="CK6" s="124">
        <f>CK4+CK5</f>
        <v>3965</v>
      </c>
      <c r="CL6" s="124">
        <f>CL4+CL5</f>
        <v>3975</v>
      </c>
      <c r="CM6" s="121">
        <f>CL6</f>
        <v>3975</v>
      </c>
      <c r="CO6" s="123">
        <f>CO4+CO5</f>
        <v>3980</v>
      </c>
      <c r="CP6" s="124">
        <f>CP4+CP5</f>
        <v>3985</v>
      </c>
      <c r="CQ6" s="124">
        <f>CQ4+CQ5</f>
        <v>3990</v>
      </c>
      <c r="CR6" s="124">
        <f>CR4+CR5</f>
        <v>4000</v>
      </c>
      <c r="CS6" s="121">
        <f>CR6</f>
        <v>4000</v>
      </c>
      <c r="CU6" s="123">
        <f>CU4+CU5</f>
        <v>4005</v>
      </c>
      <c r="CV6" s="124">
        <f>CV4+CV5</f>
        <v>4010</v>
      </c>
      <c r="CW6" s="124">
        <f>CW4+CW5</f>
        <v>4015</v>
      </c>
      <c r="CX6" s="124">
        <f>CX4+CX5</f>
        <v>4025</v>
      </c>
      <c r="CY6" s="121">
        <f>CX6</f>
        <v>4025</v>
      </c>
      <c r="DA6" s="123">
        <f>DA4+DA5</f>
        <v>4030</v>
      </c>
      <c r="DB6" s="124">
        <f>DB4+DB5</f>
        <v>4035</v>
      </c>
      <c r="DC6" s="124">
        <f>DC4+DC5</f>
        <v>4040</v>
      </c>
      <c r="DD6" s="124">
        <f>DD4+DD5</f>
        <v>4050</v>
      </c>
      <c r="DE6" s="121">
        <f>DD6</f>
        <v>4050</v>
      </c>
      <c r="DG6" s="123">
        <f>DG4+DG5</f>
        <v>4055</v>
      </c>
      <c r="DH6" s="124">
        <f>DH4+DH5</f>
        <v>4060</v>
      </c>
      <c r="DI6" s="124">
        <f>DI4+DI5</f>
        <v>4065</v>
      </c>
      <c r="DJ6" s="124">
        <f>DJ4+DJ5</f>
        <v>4075</v>
      </c>
      <c r="DK6" s="121">
        <f>DJ6</f>
        <v>4075</v>
      </c>
    </row>
    <row r="7" spans="2:115" ht="15" x14ac:dyDescent="0.3">
      <c r="B7" s="38" t="s">
        <v>28</v>
      </c>
      <c r="C7" s="112">
        <f>C6-C5/2</f>
        <v>2572</v>
      </c>
      <c r="D7" s="112">
        <f>D6-D5/2</f>
        <v>2615</v>
      </c>
      <c r="E7" s="112">
        <f>E6-E5/2</f>
        <v>2638.5</v>
      </c>
      <c r="F7" s="112">
        <f>F6-F5/2</f>
        <v>3764</v>
      </c>
      <c r="G7" s="113">
        <f>(C7+D7+E7+F7)/4</f>
        <v>2897.375</v>
      </c>
      <c r="H7" s="114"/>
      <c r="I7" s="116">
        <f>I6-I5/2</f>
        <v>5027.5</v>
      </c>
      <c r="J7" s="117">
        <f>J6-J5/2</f>
        <v>5222</v>
      </c>
      <c r="K7" s="117">
        <f>K6-K5/2</f>
        <v>5302.5</v>
      </c>
      <c r="L7" s="119">
        <f>L6-L5/2</f>
        <v>5317.5</v>
      </c>
      <c r="M7" s="118">
        <f>(I7+J7+K7+L7)/4</f>
        <v>5217.375</v>
      </c>
      <c r="N7" s="114"/>
      <c r="O7" s="116">
        <f>O6-O5/2</f>
        <v>5271.5</v>
      </c>
      <c r="P7" s="117">
        <f>P6-P5/2</f>
        <v>5329</v>
      </c>
      <c r="Q7" s="117">
        <f>Q6-Q5/2</f>
        <v>5448.5</v>
      </c>
      <c r="R7" s="119">
        <f>R6-R5/2</f>
        <v>5033</v>
      </c>
      <c r="S7" s="118">
        <f>(O7+P7+Q7+R7)/4</f>
        <v>5270.5</v>
      </c>
      <c r="T7" s="114"/>
      <c r="U7" s="116">
        <f>U6-U5/2</f>
        <v>4492</v>
      </c>
      <c r="V7" s="117">
        <f>V6-V5/2</f>
        <v>4387</v>
      </c>
      <c r="W7" s="117">
        <f>W6-W5/2</f>
        <v>4421.5</v>
      </c>
      <c r="X7" s="117">
        <f>X6-X5/2</f>
        <v>4493.5</v>
      </c>
      <c r="Y7" s="118">
        <f>(U7+V7+W7+X7)/4</f>
        <v>4448.5</v>
      </c>
      <c r="AA7" s="116">
        <f>AA6-AA5/2</f>
        <v>4622</v>
      </c>
      <c r="AB7" s="117">
        <f>AB6-AB5/2</f>
        <v>4773.5</v>
      </c>
      <c r="AC7" s="117">
        <f>AC6-AC5/2</f>
        <v>4882</v>
      </c>
      <c r="AD7" s="117">
        <f>AD6-AD5/2</f>
        <v>4922</v>
      </c>
      <c r="AE7" s="118">
        <f>(AA7+AB7+AC7+AD7)/4</f>
        <v>4799.875</v>
      </c>
      <c r="AG7" s="116">
        <f>AG6-AG5/2</f>
        <v>4882.5</v>
      </c>
      <c r="AH7" s="117">
        <f>AH6-AH5/2</f>
        <v>4800</v>
      </c>
      <c r="AI7" s="117">
        <f>AI6-AI5/2</f>
        <v>4752.5</v>
      </c>
      <c r="AJ7" s="117">
        <f>AJ6-AJ5/2</f>
        <v>4740.5</v>
      </c>
      <c r="AK7" s="118">
        <f>(AG7+AH7+AI7+AJ7)/4</f>
        <v>4793.875</v>
      </c>
      <c r="AM7" s="116">
        <f>AM6-AM5/2</f>
        <v>4671</v>
      </c>
      <c r="AN7" s="117">
        <f>AN6-AN5/2</f>
        <v>4591.5</v>
      </c>
      <c r="AO7" s="117">
        <f>AO6-AO5/2</f>
        <v>4547.5</v>
      </c>
      <c r="AP7" s="117">
        <f>AP6-AP5/2</f>
        <v>4487.5</v>
      </c>
      <c r="AQ7" s="118">
        <f>(AM7+AN7+AO7+AP7)/4</f>
        <v>4574.375</v>
      </c>
      <c r="AS7" s="116">
        <f>AS6-AS5/2</f>
        <v>4392</v>
      </c>
      <c r="AT7" s="117">
        <f>AT6-AT5/2</f>
        <v>4310</v>
      </c>
      <c r="AU7" s="117">
        <f>AU6-AU5/2</f>
        <v>4120.5</v>
      </c>
      <c r="AV7" s="117">
        <f>AV6-AV5/2</f>
        <v>3932</v>
      </c>
      <c r="AW7" s="118">
        <f>(AS7+AT7+AU7+AV7)/4</f>
        <v>4188.625</v>
      </c>
      <c r="AY7" s="116">
        <f>AY6-AY5/2</f>
        <v>3865</v>
      </c>
      <c r="AZ7" s="117">
        <f>AZ6-AZ5/2</f>
        <v>3759.5</v>
      </c>
      <c r="BA7" s="117">
        <f>BA6-BA5/2</f>
        <v>3687.5</v>
      </c>
      <c r="BB7" s="117">
        <f>BB6-BB5/2</f>
        <v>3681.5</v>
      </c>
      <c r="BC7" s="118">
        <f>(AY7+AZ7+BA7+BB7)/4</f>
        <v>3748.375</v>
      </c>
      <c r="BE7" s="116">
        <f>BE6-BE5/2</f>
        <v>3672.5</v>
      </c>
      <c r="BF7" s="117">
        <f>BF6-BF5/2</f>
        <v>3669.5</v>
      </c>
      <c r="BG7" s="117">
        <f>BG6-BG5/2</f>
        <v>3687</v>
      </c>
      <c r="BH7" s="117">
        <f>BH6-BH5/2</f>
        <v>3724.5</v>
      </c>
      <c r="BI7" s="118">
        <f>(BE7+BF7+BG7+BH7)/4</f>
        <v>3688.375</v>
      </c>
      <c r="BK7" s="116">
        <f>BK6-BK5/2</f>
        <v>3767.5</v>
      </c>
      <c r="BL7" s="117">
        <f>BL6-BL5/2</f>
        <v>3809.5</v>
      </c>
      <c r="BM7" s="117">
        <f>BM6-BM5/2</f>
        <v>3853</v>
      </c>
      <c r="BN7" s="117">
        <f>BN6-BN5/2</f>
        <v>3863</v>
      </c>
      <c r="BO7" s="118">
        <f>(BK7+BL7+BM7+BN7)/4</f>
        <v>3823.25</v>
      </c>
      <c r="BQ7" s="116">
        <f>BQ6-BQ5/2</f>
        <v>3852.5</v>
      </c>
      <c r="BR7" s="117">
        <f>BR6-BR5/2</f>
        <v>3857.5</v>
      </c>
      <c r="BS7" s="117">
        <f>BS6-BS5/2</f>
        <v>3865</v>
      </c>
      <c r="BT7" s="117">
        <f>BT6-BT5/2</f>
        <v>3882.5</v>
      </c>
      <c r="BU7" s="118">
        <f>(BQ7+BR7+BS7+BT7)/4</f>
        <v>3864.375</v>
      </c>
      <c r="BW7" s="116">
        <f>BW6-BW5/2</f>
        <v>3897.5</v>
      </c>
      <c r="BX7" s="117">
        <f>BX6-BX5/2</f>
        <v>3902.5</v>
      </c>
      <c r="BY7" s="117">
        <f>BY6-BY5/2</f>
        <v>3907.5</v>
      </c>
      <c r="BZ7" s="117">
        <f>BZ6-BZ5/2</f>
        <v>3917.5</v>
      </c>
      <c r="CA7" s="118">
        <f>(BW7+BX7+BY7+BZ7)/4</f>
        <v>3906.25</v>
      </c>
      <c r="CC7" s="116">
        <f>CC6-CC5/2</f>
        <v>3927.5</v>
      </c>
      <c r="CD7" s="117">
        <f>CD6-CD5/2</f>
        <v>3932.5</v>
      </c>
      <c r="CE7" s="117">
        <f>CE6-CE5/2</f>
        <v>3937.5</v>
      </c>
      <c r="CF7" s="117">
        <f>CF6-CF5/2</f>
        <v>3945</v>
      </c>
      <c r="CG7" s="118">
        <f>(CC7+CD7+CE7+CF7)/4</f>
        <v>3935.625</v>
      </c>
      <c r="CI7" s="116">
        <f>CI6-CI5/2</f>
        <v>3952.5</v>
      </c>
      <c r="CJ7" s="117">
        <f>CJ6-CJ5/2</f>
        <v>3957.5</v>
      </c>
      <c r="CK7" s="117">
        <f>CK6-CK5/2</f>
        <v>3962.5</v>
      </c>
      <c r="CL7" s="117">
        <f>CL6-CL5/2</f>
        <v>3970</v>
      </c>
      <c r="CM7" s="118">
        <f>(CI7+CJ7+CK7+CL7)/4</f>
        <v>3960.625</v>
      </c>
      <c r="CO7" s="116">
        <f>CO6-CO5/2</f>
        <v>3977.5</v>
      </c>
      <c r="CP7" s="117">
        <f>CP6-CP5/2</f>
        <v>3982.5</v>
      </c>
      <c r="CQ7" s="117">
        <f>CQ6-CQ5/2</f>
        <v>3987.5</v>
      </c>
      <c r="CR7" s="117">
        <f>CR6-CR5/2</f>
        <v>3995</v>
      </c>
      <c r="CS7" s="118">
        <f>(CO7+CP7+CQ7+CR7)/4</f>
        <v>3985.625</v>
      </c>
      <c r="CU7" s="116">
        <f>CU6-CU5/2</f>
        <v>4002.5</v>
      </c>
      <c r="CV7" s="117">
        <f>CV6-CV5/2</f>
        <v>4007.5</v>
      </c>
      <c r="CW7" s="117">
        <f>CW6-CW5/2</f>
        <v>4012.5</v>
      </c>
      <c r="CX7" s="117">
        <f>CX6-CX5/2</f>
        <v>4020</v>
      </c>
      <c r="CY7" s="118">
        <f>(CU7+CV7+CW7+CX7)/4</f>
        <v>4010.625</v>
      </c>
      <c r="DA7" s="116">
        <f>DA6-DA5/2</f>
        <v>4027.5</v>
      </c>
      <c r="DB7" s="117">
        <f>DB6-DB5/2</f>
        <v>4032.5</v>
      </c>
      <c r="DC7" s="117">
        <f>DC6-DC5/2</f>
        <v>4037.5</v>
      </c>
      <c r="DD7" s="117">
        <f>DD6-DD5/2</f>
        <v>4045</v>
      </c>
      <c r="DE7" s="118">
        <f>(DA7+DB7+DC7+DD7)/4</f>
        <v>4035.625</v>
      </c>
      <c r="DG7" s="116">
        <f>DG6-DG5/2</f>
        <v>4052.5</v>
      </c>
      <c r="DH7" s="117">
        <f>DH6-DH5/2</f>
        <v>4057.5</v>
      </c>
      <c r="DI7" s="117">
        <f>DI6-DI5/2</f>
        <v>4062.5</v>
      </c>
      <c r="DJ7" s="117">
        <f>DJ6-DJ5/2</f>
        <v>4070</v>
      </c>
      <c r="DK7" s="118">
        <f>(DG7+DH7+DI7+DJ7)/4</f>
        <v>4060.625</v>
      </c>
    </row>
    <row r="8" spans="2:115" ht="15.75" thickBot="1" x14ac:dyDescent="0.35">
      <c r="B8" s="41" t="s">
        <v>56</v>
      </c>
      <c r="C8" s="106" t="s">
        <v>35</v>
      </c>
      <c r="D8" s="106" t="s">
        <v>35</v>
      </c>
      <c r="E8" s="106" t="s">
        <v>35</v>
      </c>
      <c r="F8" s="106" t="s">
        <v>35</v>
      </c>
      <c r="G8" s="108" t="s">
        <v>35</v>
      </c>
      <c r="I8" s="109">
        <f>I7/C7-1</f>
        <v>0.9547045101088647</v>
      </c>
      <c r="J8" s="110">
        <f>J7/D7-1</f>
        <v>0.99694072657743793</v>
      </c>
      <c r="K8" s="110">
        <f>K7/E7-1</f>
        <v>1.0096645821489481</v>
      </c>
      <c r="L8" s="120">
        <f>L7/F7-1</f>
        <v>0.41272582359192356</v>
      </c>
      <c r="M8" s="122">
        <f>M7/G7-1</f>
        <v>0.80072479399456409</v>
      </c>
      <c r="O8" s="109">
        <f>O7/I7-1</f>
        <v>4.8533068125310885E-2</v>
      </c>
      <c r="P8" s="110">
        <f>P7/J7-1</f>
        <v>2.0490233626962784E-2</v>
      </c>
      <c r="Q8" s="110">
        <f>Q7/K7-1</f>
        <v>2.7534181989627537E-2</v>
      </c>
      <c r="R8" s="120">
        <f>R7/L7-1</f>
        <v>-5.3502585801598501E-2</v>
      </c>
      <c r="S8" s="122">
        <f>S7/M7-1</f>
        <v>1.0182323486427558E-2</v>
      </c>
      <c r="U8" s="109">
        <f>U7/O7-1</f>
        <v>-0.14787062505928106</v>
      </c>
      <c r="V8" s="110">
        <f>V7/P7-1</f>
        <v>-0.17676862450741226</v>
      </c>
      <c r="W8" s="110">
        <f>W7/Q7-1</f>
        <v>-0.18849224557217581</v>
      </c>
      <c r="X8" s="110">
        <f>X7/R7-1</f>
        <v>-0.10719252930657663</v>
      </c>
      <c r="Y8" s="122">
        <f>Y7/S7-1</f>
        <v>-0.15596243240679253</v>
      </c>
      <c r="AA8" s="109">
        <f>AA7/U7-1</f>
        <v>2.8940338379340957E-2</v>
      </c>
      <c r="AB8" s="110">
        <f>AB7/V7-1</f>
        <v>8.8101208114884866E-2</v>
      </c>
      <c r="AC8" s="110">
        <f>AC7/W7-1</f>
        <v>0.10415017527988235</v>
      </c>
      <c r="AD8" s="110">
        <f>AD7/X7-1</f>
        <v>9.5359964393012087E-2</v>
      </c>
      <c r="AE8" s="122">
        <f>AE7/Y7-1</f>
        <v>7.8987299089580798E-2</v>
      </c>
      <c r="AG8" s="109">
        <f>AG7/AA7-1</f>
        <v>5.636088273474682E-2</v>
      </c>
      <c r="AH8" s="110">
        <f>AH7/AB7-1</f>
        <v>5.5514821409867743E-3</v>
      </c>
      <c r="AI8" s="110">
        <f>AI7/AC7-1</f>
        <v>-2.6526013928717784E-2</v>
      </c>
      <c r="AJ8" s="110">
        <f>AJ7/AD7-1</f>
        <v>-3.6875253961804133E-2</v>
      </c>
      <c r="AK8" s="122">
        <f>AK7/AE7-1</f>
        <v>-1.2500325529311018E-3</v>
      </c>
      <c r="AM8" s="109">
        <f>AM7/AG7-1</f>
        <v>-4.3317972350230383E-2</v>
      </c>
      <c r="AN8" s="110">
        <f>AN7/AH7-1</f>
        <v>-4.3437500000000018E-2</v>
      </c>
      <c r="AO8" s="110">
        <f>AO7/AI7-1</f>
        <v>-4.3135192004208345E-2</v>
      </c>
      <c r="AP8" s="110">
        <f>AP7/AJ7-1</f>
        <v>-5.336989769011713E-2</v>
      </c>
      <c r="AQ8" s="122">
        <f>AQ7/AK7-1</f>
        <v>-4.5787593543844984E-2</v>
      </c>
      <c r="AS8" s="109">
        <f>AS7/AM7-1</f>
        <v>-5.9730250481695557E-2</v>
      </c>
      <c r="AT8" s="110">
        <f>AT7/AN7-1</f>
        <v>-6.1308940433409509E-2</v>
      </c>
      <c r="AU8" s="110">
        <f>AU7/AO7-1</f>
        <v>-9.389774601429357E-2</v>
      </c>
      <c r="AV8" s="110">
        <f>AV7/AP7-1</f>
        <v>-0.12378830083565462</v>
      </c>
      <c r="AW8" s="122">
        <f>AW7/AQ7-1</f>
        <v>-8.4328460172154673E-2</v>
      </c>
      <c r="AY8" s="109">
        <f>AY7/AS7-1</f>
        <v>-0.11999089253187611</v>
      </c>
      <c r="AZ8" s="110">
        <f>AZ7/AT7-1</f>
        <v>-0.12772621809744777</v>
      </c>
      <c r="BA8" s="110">
        <f>BA7/AU7-1</f>
        <v>-0.10508433442543386</v>
      </c>
      <c r="BB8" s="110">
        <f>BB7/AV7-1</f>
        <v>-6.3708036622583952E-2</v>
      </c>
      <c r="BC8" s="122">
        <f>BC7/AW7-1</f>
        <v>-0.10510609090095202</v>
      </c>
      <c r="BE8" s="109">
        <f>BE7/AY7-1</f>
        <v>-4.9805950840879687E-2</v>
      </c>
      <c r="BF8" s="110">
        <f>BF7/AZ7-1</f>
        <v>-2.393935363745181E-2</v>
      </c>
      <c r="BG8" s="110">
        <f>BG7/BA7-1</f>
        <v>-1.3559322033895871E-4</v>
      </c>
      <c r="BH8" s="110">
        <f>BH7/BB7-1</f>
        <v>1.1680021730273049E-2</v>
      </c>
      <c r="BI8" s="122">
        <f>BI7/BC7-1</f>
        <v>-1.6006936339080235E-2</v>
      </c>
      <c r="BK8" s="109">
        <f>BK7/BE7-1</f>
        <v>2.586793737236226E-2</v>
      </c>
      <c r="BL8" s="110">
        <f>BL7/BF7-1</f>
        <v>3.8152336830630906E-2</v>
      </c>
      <c r="BM8" s="110">
        <f>BM7/BG7-1</f>
        <v>4.5023053973420213E-2</v>
      </c>
      <c r="BN8" s="110">
        <f>BN7/BH7-1</f>
        <v>3.7186199489864347E-2</v>
      </c>
      <c r="BO8" s="122">
        <f>BO7/BI7-1</f>
        <v>3.6567594130206382E-2</v>
      </c>
      <c r="BQ8" s="109">
        <f>BQ7/BK7-1</f>
        <v>2.2561380225613714E-2</v>
      </c>
      <c r="BR8" s="110">
        <f>BR7/BL7-1</f>
        <v>1.2600078750492294E-2</v>
      </c>
      <c r="BS8" s="110">
        <f>BS7/BM7-1</f>
        <v>3.1144562678433463E-3</v>
      </c>
      <c r="BT8" s="110">
        <f>BT7/BN7-1</f>
        <v>5.0478902407455895E-3</v>
      </c>
      <c r="BU8" s="122">
        <f>BU7/BO7-1</f>
        <v>1.0756555286732583E-2</v>
      </c>
      <c r="BW8" s="109">
        <f>BW7/BQ7-1</f>
        <v>1.1680726800778807E-2</v>
      </c>
      <c r="BX8" s="110">
        <f>BX7/BR7-1</f>
        <v>1.1665586519766791E-2</v>
      </c>
      <c r="BY8" s="110">
        <f>BY7/BS7-1</f>
        <v>1.0996119016817518E-2</v>
      </c>
      <c r="BZ8" s="110">
        <f>BZ7/BT7-1</f>
        <v>9.0148100450739843E-3</v>
      </c>
      <c r="CA8" s="122">
        <f>CA7/BU7-1</f>
        <v>1.0836163674591726E-2</v>
      </c>
      <c r="CC8" s="109">
        <f>CC7/BW7-1</f>
        <v>7.6972418216805227E-3</v>
      </c>
      <c r="CD8" s="110">
        <f>CD7/BX7-1</f>
        <v>7.6873798846892605E-3</v>
      </c>
      <c r="CE8" s="110">
        <f>CE7/BY7-1</f>
        <v>7.6775431861804133E-3</v>
      </c>
      <c r="CF8" s="110">
        <f>CF7/BZ7-1</f>
        <v>7.0197830248883708E-3</v>
      </c>
      <c r="CG8" s="122">
        <f>CG7/CA7-1</f>
        <v>7.5199999999999712E-3</v>
      </c>
      <c r="CI8" s="109">
        <f>CI7/CC7-1</f>
        <v>6.3653723742838064E-3</v>
      </c>
      <c r="CJ8" s="110">
        <f>CJ7/CD7-1</f>
        <v>6.357279084551859E-3</v>
      </c>
      <c r="CK8" s="110">
        <f>CK7/CE7-1</f>
        <v>6.3492063492063266E-3</v>
      </c>
      <c r="CL8" s="110">
        <f>CL7/CF7-1</f>
        <v>6.3371356147021718E-3</v>
      </c>
      <c r="CM8" s="122">
        <f>CM7/CG7-1</f>
        <v>6.3522312212165311E-3</v>
      </c>
      <c r="CO8" s="109">
        <f>CO7/CI7-1</f>
        <v>6.3251106894370857E-3</v>
      </c>
      <c r="CP8" s="110">
        <f>CP7/CJ7-1</f>
        <v>6.3171193935565029E-3</v>
      </c>
      <c r="CQ8" s="110">
        <f>CQ7/CK7-1</f>
        <v>6.3091482649841879E-3</v>
      </c>
      <c r="CR8" s="110">
        <f>CR7/CL7-1</f>
        <v>6.297229219143663E-3</v>
      </c>
      <c r="CS8" s="122">
        <f>CS7/CM7-1</f>
        <v>6.3121350796906395E-3</v>
      </c>
      <c r="CU8" s="109">
        <f>CU7/CO7-1</f>
        <v>6.28535512256434E-3</v>
      </c>
      <c r="CV8" s="110">
        <f>CV7/CP7-1</f>
        <v>6.2774639045826142E-3</v>
      </c>
      <c r="CW8" s="110">
        <f>CW7/CQ7-1</f>
        <v>6.2695924764890609E-3</v>
      </c>
      <c r="CX8" s="110">
        <f>CX7/CR7-1</f>
        <v>6.2578222778473247E-3</v>
      </c>
      <c r="CY8" s="122">
        <f>CY7/CS7-1</f>
        <v>6.2725419476241662E-3</v>
      </c>
      <c r="DA8" s="109">
        <f>DA7/CU7-1</f>
        <v>6.2460961898813672E-3</v>
      </c>
      <c r="DB8" s="110">
        <f>DB7/CV7-1</f>
        <v>6.2383031815347323E-3</v>
      </c>
      <c r="DC8" s="110">
        <f>DC7/CW7-1</f>
        <v>6.230529595015577E-3</v>
      </c>
      <c r="DD8" s="110">
        <f>DD7/CX7-1</f>
        <v>6.2189054726369264E-3</v>
      </c>
      <c r="DE8" s="122">
        <f>DE7/CY7-1</f>
        <v>6.2334424185757076E-3</v>
      </c>
      <c r="DG8" s="109">
        <f>DG7/DA7-1</f>
        <v>6.2073246430789375E-3</v>
      </c>
      <c r="DH8" s="110">
        <f>DH7/DB7-1</f>
        <v>6.1996280223186595E-3</v>
      </c>
      <c r="DI8" s="110">
        <f>DI7/DC7-1</f>
        <v>6.1919504643963563E-3</v>
      </c>
      <c r="DJ8" s="110">
        <f>DJ7/DD7-1</f>
        <v>6.1804697156984112E-3</v>
      </c>
      <c r="DK8" s="122">
        <f>DK7/DE7-1</f>
        <v>6.1948273191885228E-3</v>
      </c>
    </row>
    <row r="9" spans="2:115" ht="15.75" thickBot="1" x14ac:dyDescent="0.35">
      <c r="B9" s="1"/>
      <c r="AA9" s="103"/>
      <c r="AB9" s="103"/>
      <c r="AC9" s="103"/>
      <c r="AD9" s="103"/>
      <c r="AE9" s="103"/>
      <c r="AG9" s="103"/>
      <c r="AH9" s="103"/>
      <c r="AI9" s="103"/>
      <c r="AJ9" s="103"/>
      <c r="AK9" s="103"/>
      <c r="AM9" s="103"/>
      <c r="AN9" s="103"/>
      <c r="AO9" s="103"/>
      <c r="AP9" s="103"/>
      <c r="AQ9" s="103"/>
      <c r="AS9" s="103"/>
      <c r="AT9" s="103"/>
      <c r="AU9" s="103"/>
      <c r="AV9" s="103"/>
      <c r="AW9" s="103"/>
      <c r="AY9" s="103"/>
      <c r="AZ9" s="103"/>
      <c r="BA9" s="103"/>
      <c r="BB9" s="103"/>
      <c r="BC9" s="103"/>
      <c r="BE9" s="103"/>
      <c r="BF9" s="103"/>
      <c r="BG9" s="103"/>
      <c r="BH9" s="103"/>
      <c r="BI9" s="103"/>
      <c r="BK9" s="103"/>
      <c r="BL9" s="103"/>
      <c r="BM9" s="103"/>
      <c r="BN9" s="103"/>
      <c r="BO9" s="103"/>
      <c r="BQ9" s="103"/>
      <c r="BR9" s="103"/>
      <c r="BS9" s="103"/>
      <c r="BT9" s="103"/>
      <c r="BU9" s="103"/>
      <c r="BW9" s="103"/>
      <c r="BX9" s="103"/>
      <c r="BY9" s="103"/>
      <c r="BZ9" s="103"/>
      <c r="CA9" s="103"/>
      <c r="CC9" s="103"/>
      <c r="CD9" s="103"/>
      <c r="CE9" s="103"/>
      <c r="CF9" s="103"/>
      <c r="CG9" s="103"/>
      <c r="CI9" s="103"/>
      <c r="CJ9" s="103"/>
      <c r="CK9" s="103"/>
      <c r="CL9" s="103"/>
      <c r="CM9" s="103"/>
      <c r="CO9" s="103"/>
      <c r="CP9" s="103"/>
      <c r="CQ9" s="103"/>
      <c r="CR9" s="103"/>
      <c r="CS9" s="103"/>
      <c r="CU9" s="103"/>
      <c r="CV9" s="103"/>
      <c r="CW9" s="103"/>
      <c r="CX9" s="103"/>
      <c r="CY9" s="103"/>
      <c r="DA9" s="103"/>
      <c r="DB9" s="103"/>
      <c r="DC9" s="103"/>
      <c r="DD9" s="103"/>
      <c r="DE9" s="103"/>
      <c r="DG9" s="103"/>
      <c r="DH9" s="103"/>
      <c r="DI9" s="103"/>
      <c r="DJ9" s="103"/>
      <c r="DK9" s="103"/>
    </row>
    <row r="10" spans="2:115" s="135" customFormat="1" ht="15" x14ac:dyDescent="0.3">
      <c r="B10" s="139" t="s">
        <v>46</v>
      </c>
      <c r="C10" s="141">
        <f>C17-C13</f>
        <v>28.343701399688957</v>
      </c>
      <c r="D10" s="142">
        <f>D17-D13</f>
        <v>29.219885277246654</v>
      </c>
      <c r="E10" s="142">
        <f>E17-E13</f>
        <v>27.591434527193478</v>
      </c>
      <c r="F10" s="143">
        <f>F17-F13</f>
        <v>27.774530641161888</v>
      </c>
      <c r="G10" s="149">
        <f>G61*1000/(G7*12)</f>
        <v>28.185282655277042</v>
      </c>
      <c r="H10" s="134"/>
      <c r="I10" s="141">
        <f>I17-I13</f>
        <v>19.55312448201558</v>
      </c>
      <c r="J10" s="142">
        <f>J17-J13</f>
        <v>19.80786416443253</v>
      </c>
      <c r="K10" s="142">
        <f>K17-K13</f>
        <v>18.537168002514537</v>
      </c>
      <c r="L10" s="143">
        <f>L17-L13</f>
        <v>18.535025858015985</v>
      </c>
      <c r="M10" s="149">
        <f>M61*1000/(M7*12)</f>
        <v>19.099323574275058</v>
      </c>
      <c r="N10" s="134"/>
      <c r="O10" s="141">
        <f>O17-O13</f>
        <v>16.377375193651396</v>
      </c>
      <c r="P10" s="142">
        <f>P17-P13</f>
        <v>17.126415212360044</v>
      </c>
      <c r="Q10" s="142">
        <f>Q17-Q13</f>
        <v>16.66024288030345</v>
      </c>
      <c r="R10" s="143">
        <f>R17-R13</f>
        <v>18.378700576197097</v>
      </c>
      <c r="S10" s="149">
        <f>S61*1000/(S7*12)</f>
        <v>17.117604275369192</v>
      </c>
      <c r="T10" s="134"/>
      <c r="U10" s="141">
        <f>U17-U13</f>
        <v>19.880528346690411</v>
      </c>
      <c r="V10" s="142">
        <f>V17-V13</f>
        <v>20.952815135627993</v>
      </c>
      <c r="W10" s="142">
        <f>W17-W13</f>
        <v>19.858268310151157</v>
      </c>
      <c r="X10" s="142">
        <f>X17-X13</f>
        <v>18.693668632469123</v>
      </c>
      <c r="Y10" s="149">
        <f>Y61*1000/(Y7*12)</f>
        <v>19.839646322730509</v>
      </c>
      <c r="AA10" s="141">
        <f>AA17-AA13</f>
        <v>16.032020770229337</v>
      </c>
      <c r="AB10" s="142">
        <f>AB17-AB13</f>
        <v>16.453336126531894</v>
      </c>
      <c r="AC10" s="142">
        <f>AC17-AC13</f>
        <v>15.399426464563705</v>
      </c>
      <c r="AD10" s="142">
        <f>AD17-AD13</f>
        <v>15.245835026412026</v>
      </c>
      <c r="AE10" s="149">
        <f>AE61*1000/(AE7*12)</f>
        <v>15.774369124195943</v>
      </c>
      <c r="AG10" s="141">
        <f>AG17-AG13</f>
        <v>14.8994708994709</v>
      </c>
      <c r="AH10" s="142">
        <f>AH17-AH13</f>
        <v>14.708333333333332</v>
      </c>
      <c r="AI10" s="142">
        <f>AI17-AI13</f>
        <v>14.392425039452919</v>
      </c>
      <c r="AJ10" s="142">
        <f>AJ17-AJ13</f>
        <v>14.154625039552789</v>
      </c>
      <c r="AK10" s="149">
        <f>AK61*1000/(AK7*12)</f>
        <v>14.541819856935499</v>
      </c>
      <c r="AM10" s="141">
        <f>AM17-AM13</f>
        <v>13.316206379790195</v>
      </c>
      <c r="AN10" s="142">
        <f>AN17-AN13</f>
        <v>13.749319394533378</v>
      </c>
      <c r="AO10" s="142">
        <f>AO17-AO13</f>
        <v>13.53710830126443</v>
      </c>
      <c r="AP10" s="142">
        <f>AP17-AP13</f>
        <v>13.103064066852367</v>
      </c>
      <c r="AQ10" s="149">
        <f>AQ61*1000/(AQ7*12)</f>
        <v>13.427517420412626</v>
      </c>
      <c r="AS10" s="141">
        <f>AS17-AS13</f>
        <v>12.418032786885245</v>
      </c>
      <c r="AT10" s="142">
        <f>AT17-AT13</f>
        <v>12.105181747873162</v>
      </c>
      <c r="AU10" s="142">
        <f>AU17-AU13</f>
        <v>11.93220887432755</v>
      </c>
      <c r="AV10" s="142">
        <f>AV17-AV13</f>
        <v>14.053916581892167</v>
      </c>
      <c r="AW10" s="149">
        <f>AW61*1000/(AW7*12)</f>
        <v>12.601987525739354</v>
      </c>
      <c r="AY10" s="141">
        <f>AY17-AY13</f>
        <v>10.195774040534713</v>
      </c>
      <c r="AZ10" s="142">
        <f>AZ17-AZ13</f>
        <v>9.4959436095225431</v>
      </c>
      <c r="BA10" s="142">
        <f>BA17-BA13</f>
        <v>9.5249717514124299</v>
      </c>
      <c r="BB10" s="142">
        <f>BB17-BB13</f>
        <v>8.4385893431119552</v>
      </c>
      <c r="BC10" s="149">
        <f>BC61*1000/(BC7*12)</f>
        <v>9.423861451073245</v>
      </c>
      <c r="BE10" s="141">
        <f>BE17-BE13</f>
        <v>8.0707964601769913</v>
      </c>
      <c r="BF10" s="142">
        <f>BF17-BF13</f>
        <v>7.8012444928918558</v>
      </c>
      <c r="BG10" s="142">
        <f>BG17-BG13</f>
        <v>7.5508543531326282</v>
      </c>
      <c r="BH10" s="142">
        <f>BH17-BH13</f>
        <v>8.2337673960710607</v>
      </c>
      <c r="BI10" s="149">
        <f>BI61*1000/(BI7*12)</f>
        <v>7.9149580325572479</v>
      </c>
      <c r="BK10" s="141">
        <f>BK17-BK13</f>
        <v>8.7980535279805352</v>
      </c>
      <c r="BL10" s="142">
        <f>BL17-BL13</f>
        <v>8.1795511221945141</v>
      </c>
      <c r="BM10" s="142">
        <f>BM17-BM13</f>
        <v>7.4227874383597197</v>
      </c>
      <c r="BN10" s="142">
        <f>BN17-BN13</f>
        <v>6.9842091638622836</v>
      </c>
      <c r="BO10" s="149">
        <f>BO61*1000/(BO7*12)</f>
        <v>7.8393164628697223</v>
      </c>
      <c r="BQ10" s="141">
        <f>BK10*(1+BQ11)</f>
        <v>7.4343552311435523</v>
      </c>
      <c r="BR10" s="142">
        <f>BL10*(1+BR11)</f>
        <v>7.0344139650872819</v>
      </c>
      <c r="BS10" s="142">
        <f>BM10*(1+BS11)</f>
        <v>6.6062808201401504</v>
      </c>
      <c r="BT10" s="142">
        <f>BN10*(1+BT11)</f>
        <v>6.2857882474760558</v>
      </c>
      <c r="BU10" s="149">
        <f>BU61*1000/(BU7*12)</f>
        <v>6.8390071899707063</v>
      </c>
      <c r="BW10" s="141">
        <f>BQ10*(1+BW11)</f>
        <v>6.5422326034063261</v>
      </c>
      <c r="BX10" s="142">
        <f>BR10*(1+BX11)</f>
        <v>6.190284289276808</v>
      </c>
      <c r="BY10" s="142">
        <f>BS10*(1+BY11)</f>
        <v>5.8135271217233324</v>
      </c>
      <c r="BZ10" s="142">
        <f>BT10*(1+BZ11)</f>
        <v>5.5314936577789293</v>
      </c>
      <c r="CA10" s="149">
        <f>CA61*1000/(CA7*12)</f>
        <v>6.0186828571623527</v>
      </c>
      <c r="CC10" s="141">
        <f>BW10*(1+CC11)</f>
        <v>5.7571646909975671</v>
      </c>
      <c r="CD10" s="142">
        <f>BX10*(1+CD11)</f>
        <v>5.447450174563591</v>
      </c>
      <c r="CE10" s="142">
        <f>BY10*(1+CE11)</f>
        <v>5.1159038671165327</v>
      </c>
      <c r="CF10" s="142">
        <f>BZ10*(1+CF11)</f>
        <v>4.8677144188454582</v>
      </c>
      <c r="CG10" s="149">
        <f>CG61*1000/(CG7*12)</f>
        <v>5.2965137045882766</v>
      </c>
      <c r="CI10" s="141">
        <f>CC10*(1+CI11)</f>
        <v>5.0663049280778587</v>
      </c>
      <c r="CJ10" s="142">
        <f>CD10*(1+CJ11)</f>
        <v>4.7937561536159601</v>
      </c>
      <c r="CK10" s="142">
        <f>CE10*(1+CK11)</f>
        <v>4.5019954030625486</v>
      </c>
      <c r="CL10" s="142">
        <f>CF10*(1+CL11)</f>
        <v>4.2835886885840031</v>
      </c>
      <c r="CM10" s="149">
        <f>CM61*1000/(CM7*12)</f>
        <v>4.6609350850229916</v>
      </c>
      <c r="CO10" s="141">
        <f>CI10*(1+CO11)</f>
        <v>4.4583483367085153</v>
      </c>
      <c r="CP10" s="142">
        <f>CJ10*(1+CP11)</f>
        <v>4.2185054151820447</v>
      </c>
      <c r="CQ10" s="142">
        <f>CK10*(1+CQ11)</f>
        <v>3.9617559546950427</v>
      </c>
      <c r="CR10" s="142">
        <f>CL10*(1+CR11)</f>
        <v>3.7695580459539229</v>
      </c>
      <c r="CS10" s="149">
        <f>CS61*1000/(CS7*12)</f>
        <v>4.1016255034124516</v>
      </c>
      <c r="CU10" s="141">
        <f>CO10*(1+CU11)</f>
        <v>3.9233465363034936</v>
      </c>
      <c r="CV10" s="142">
        <f>CP10*(1+CV11)</f>
        <v>3.7122847653601991</v>
      </c>
      <c r="CW10" s="142">
        <f>CQ10*(1+CW11)</f>
        <v>3.4863452401316377</v>
      </c>
      <c r="CX10" s="142">
        <f>CR10*(1+CX11)</f>
        <v>3.3172110804394523</v>
      </c>
      <c r="CY10" s="149">
        <f>CY61*1000/(CY7*12)</f>
        <v>3.6094327273261979</v>
      </c>
      <c r="DA10" s="141">
        <f>CU10*(1+DA11)</f>
        <v>3.4525449519470746</v>
      </c>
      <c r="DB10" s="142">
        <f>CV10*(1+DB11)</f>
        <v>3.2668105935169751</v>
      </c>
      <c r="DC10" s="142">
        <f>CW10*(1+DC11)</f>
        <v>3.0679838113158411</v>
      </c>
      <c r="DD10" s="142">
        <f>CX10*(1+DD11)</f>
        <v>2.919145750786718</v>
      </c>
      <c r="DE10" s="149">
        <f>DE61*1000/(DE7*12)</f>
        <v>3.176302785345765</v>
      </c>
      <c r="DG10" s="141">
        <f>DA10*(1+DG11)</f>
        <v>3.0382395577134256</v>
      </c>
      <c r="DH10" s="142">
        <f>DB10*(1+DH11)</f>
        <v>2.8747933222949382</v>
      </c>
      <c r="DI10" s="142">
        <f>DC10*(1+DI11)</f>
        <v>2.6998257539579402</v>
      </c>
      <c r="DJ10" s="142">
        <f>DD10*(1+DJ11)</f>
        <v>2.5688482606923118</v>
      </c>
      <c r="DK10" s="149">
        <f>DK61*1000/(DK7*12)</f>
        <v>2.7951481766548993</v>
      </c>
    </row>
    <row r="11" spans="2:115" ht="15" x14ac:dyDescent="0.3">
      <c r="B11" s="5" t="s">
        <v>23</v>
      </c>
      <c r="C11" s="144" t="s">
        <v>35</v>
      </c>
      <c r="D11" s="107" t="s">
        <v>35</v>
      </c>
      <c r="E11" s="107" t="s">
        <v>35</v>
      </c>
      <c r="F11" s="145" t="s">
        <v>35</v>
      </c>
      <c r="G11" s="138" t="s">
        <v>35</v>
      </c>
      <c r="H11" s="107"/>
      <c r="I11" s="151">
        <f>I10/C10-1</f>
        <v>-0.31014216505152159</v>
      </c>
      <c r="J11" s="133">
        <f>J10/D10-1</f>
        <v>-0.32211013231264141</v>
      </c>
      <c r="K11" s="133">
        <f>K10/E10-1</f>
        <v>-0.32815497562315088</v>
      </c>
      <c r="L11" s="152">
        <f>L10/F10-1</f>
        <v>-0.33266105924587419</v>
      </c>
      <c r="M11" s="153">
        <f>M10/G10-1</f>
        <v>-0.32236537032921497</v>
      </c>
      <c r="N11" s="107"/>
      <c r="O11" s="151">
        <f>O10/I10-1</f>
        <v>-0.162416461434854</v>
      </c>
      <c r="P11" s="133">
        <f>P10/J10-1</f>
        <v>-0.1353729473209615</v>
      </c>
      <c r="Q11" s="133">
        <f>Q10/K10-1</f>
        <v>-0.10125198854304418</v>
      </c>
      <c r="R11" s="152">
        <f>R10/L10-1</f>
        <v>-8.4340471395285554E-3</v>
      </c>
      <c r="S11" s="153">
        <f>S10/M10-1</f>
        <v>-0.1037586117225141</v>
      </c>
      <c r="T11" s="107"/>
      <c r="U11" s="151">
        <f>U10/O10-1</f>
        <v>0.21390199049704828</v>
      </c>
      <c r="V11" s="133">
        <f>V10/P10-1</f>
        <v>0.22342094803975421</v>
      </c>
      <c r="W11" s="133">
        <f>W10/Q10-1</f>
        <v>0.19195551066236671</v>
      </c>
      <c r="X11" s="133">
        <f>X10/R10-1</f>
        <v>1.7137667321265981E-2</v>
      </c>
      <c r="Y11" s="153">
        <f>Y10/S10-1</f>
        <v>0.15902003595667358</v>
      </c>
      <c r="AA11" s="151">
        <f>AA10/U10-1</f>
        <v>-0.19358175544171341</v>
      </c>
      <c r="AB11" s="133">
        <f>AB10/V10-1</f>
        <v>-0.2147434118027044</v>
      </c>
      <c r="AC11" s="133">
        <f>AC10/W10-1</f>
        <v>-0.22453326624196024</v>
      </c>
      <c r="AD11" s="133">
        <f>AD10/X10-1</f>
        <v>-0.18443857510497097</v>
      </c>
      <c r="AE11" s="153">
        <f>AE10/Y10-1</f>
        <v>-0.20490673736844456</v>
      </c>
      <c r="AG11" s="151">
        <f>AG10/AA10-1</f>
        <v>-7.0642989239480425E-2</v>
      </c>
      <c r="AH11" s="133">
        <f>AH10/AB10-1</f>
        <v>-0.10605768822680595</v>
      </c>
      <c r="AI11" s="133">
        <f>AI10/AC10-1</f>
        <v>-6.5392138299958269E-2</v>
      </c>
      <c r="AJ11" s="133">
        <f>AJ10/AD10-1</f>
        <v>-7.1574301110356675E-2</v>
      </c>
      <c r="AK11" s="153">
        <f>AK10/AE10-1</f>
        <v>-7.8136200411962231E-2</v>
      </c>
      <c r="AM11" s="151">
        <f>AM10/AG10-1</f>
        <v>-0.10626313715186553</v>
      </c>
      <c r="AN11" s="133">
        <f>AN10/AH10-1</f>
        <v>-6.5202080824926067E-2</v>
      </c>
      <c r="AO11" s="133">
        <f>AO10/AI10-1</f>
        <v>-5.9428257284222075E-2</v>
      </c>
      <c r="AP11" s="133">
        <f>AP10/AJ10-1</f>
        <v>-7.4290980493090131E-2</v>
      </c>
      <c r="AQ11" s="153">
        <f>AQ10/AK10-1</f>
        <v>-7.6627440546337411E-2</v>
      </c>
      <c r="AS11" s="151">
        <f>AS10/AM10-1</f>
        <v>-6.744966000737973E-2</v>
      </c>
      <c r="AT11" s="133">
        <f>AT10/AN10-1</f>
        <v>-0.11957956604847741</v>
      </c>
      <c r="AU11" s="133">
        <f>AU10/AO10-1</f>
        <v>-0.1185555578946631</v>
      </c>
      <c r="AV11" s="133">
        <f>AV10/AP10-1</f>
        <v>7.2567188116345216E-2</v>
      </c>
      <c r="AW11" s="153">
        <f>AW10/AQ10-1</f>
        <v>-6.1480456053499055E-2</v>
      </c>
      <c r="AY11" s="151">
        <f>AY10/AS10-1</f>
        <v>-0.17895416967311217</v>
      </c>
      <c r="AZ11" s="133">
        <f>AZ10/AT10-1</f>
        <v>-0.21554720884790124</v>
      </c>
      <c r="BA11" s="133">
        <f>BA10/AU10-1</f>
        <v>-0.2017427911519678</v>
      </c>
      <c r="BB11" s="133">
        <f>BB10/AV10-1</f>
        <v>-0.39955603877820833</v>
      </c>
      <c r="BC11" s="153">
        <f>BC10/AW10-1</f>
        <v>-0.25219244727665679</v>
      </c>
      <c r="BE11" s="151">
        <f>BE10/AY10-1</f>
        <v>-0.20841748472549304</v>
      </c>
      <c r="BF11" s="133">
        <f>BF10/AZ10-1</f>
        <v>-0.17846558344462382</v>
      </c>
      <c r="BG11" s="133">
        <f>BG10/BA10-1</f>
        <v>-0.2072570344355158</v>
      </c>
      <c r="BH11" s="133">
        <f>BH10/BB10-1</f>
        <v>-2.4272060022458741E-2</v>
      </c>
      <c r="BI11" s="153">
        <f>BI10/BC10-1</f>
        <v>-0.16011519549071407</v>
      </c>
      <c r="BK11" s="151">
        <f>BK10/BE10-1</f>
        <v>9.0109702480044351E-2</v>
      </c>
      <c r="BL11" s="133">
        <f>BL10/BF10-1</f>
        <v>4.8493112816468509E-2</v>
      </c>
      <c r="BM11" s="133">
        <f>BM10/BG10-1</f>
        <v>-1.6960586018955226E-2</v>
      </c>
      <c r="BN11" s="133">
        <f>BN10/BH10-1</f>
        <v>-0.1517602055172258</v>
      </c>
      <c r="BO11" s="153">
        <f>BO10/BI10-1</f>
        <v>-9.5567872092793271E-3</v>
      </c>
      <c r="BQ11" s="151">
        <v>-0.155</v>
      </c>
      <c r="BR11" s="133">
        <v>-0.14000000000000001</v>
      </c>
      <c r="BS11" s="133">
        <v>-0.11</v>
      </c>
      <c r="BT11" s="133">
        <v>-0.1</v>
      </c>
      <c r="BU11" s="153">
        <f>BU10/BO10-1</f>
        <v>-0.12760159353648992</v>
      </c>
      <c r="BW11" s="151">
        <v>-0.12</v>
      </c>
      <c r="BX11" s="133">
        <v>-0.12</v>
      </c>
      <c r="BY11" s="133">
        <v>-0.12</v>
      </c>
      <c r="BZ11" s="133">
        <v>-0.12</v>
      </c>
      <c r="CA11" s="153">
        <f>CA10/BU10-1</f>
        <v>-0.11994786816591541</v>
      </c>
      <c r="CC11" s="151">
        <v>-0.12</v>
      </c>
      <c r="CD11" s="133">
        <v>-0.12</v>
      </c>
      <c r="CE11" s="133">
        <v>-0.12</v>
      </c>
      <c r="CF11" s="133">
        <v>-0.12</v>
      </c>
      <c r="CG11" s="153">
        <f>CG10/CA10-1</f>
        <v>-0.11998790594435138</v>
      </c>
      <c r="CI11" s="151">
        <v>-0.12</v>
      </c>
      <c r="CJ11" s="133">
        <v>-0.12</v>
      </c>
      <c r="CK11" s="133">
        <v>-0.12</v>
      </c>
      <c r="CL11" s="133">
        <v>-0.12</v>
      </c>
      <c r="CM11" s="153">
        <f>CM10/CG10-1</f>
        <v>-0.11999942887237214</v>
      </c>
      <c r="CO11" s="151">
        <v>-0.12</v>
      </c>
      <c r="CP11" s="133">
        <v>-0.12</v>
      </c>
      <c r="CQ11" s="133">
        <v>-0.12</v>
      </c>
      <c r="CR11" s="133">
        <v>-0.12</v>
      </c>
      <c r="CS11" s="153">
        <f>CS10/CM10-1</f>
        <v>-0.11999943603758234</v>
      </c>
      <c r="CU11" s="151">
        <v>-0.12</v>
      </c>
      <c r="CV11" s="133">
        <v>-0.12</v>
      </c>
      <c r="CW11" s="133">
        <v>-0.12</v>
      </c>
      <c r="CX11" s="133">
        <v>-0.12</v>
      </c>
      <c r="CY11" s="153">
        <f>CY10/CS10-1</f>
        <v>-0.1199994430687934</v>
      </c>
      <c r="DA11" s="151">
        <v>-0.12</v>
      </c>
      <c r="DB11" s="133">
        <v>-0.12</v>
      </c>
      <c r="DC11" s="133">
        <v>-0.12</v>
      </c>
      <c r="DD11" s="133">
        <v>-0.12</v>
      </c>
      <c r="DE11" s="153">
        <f>DE10/CY10-1</f>
        <v>-0.11999944996932732</v>
      </c>
      <c r="DG11" s="151">
        <v>-0.12</v>
      </c>
      <c r="DH11" s="133">
        <v>-0.12</v>
      </c>
      <c r="DI11" s="133">
        <v>-0.12</v>
      </c>
      <c r="DJ11" s="133">
        <v>-0.12</v>
      </c>
      <c r="DK11" s="153">
        <f>DK10/DE10-1</f>
        <v>-0.11999945674240065</v>
      </c>
    </row>
    <row r="12" spans="2:115" ht="15" x14ac:dyDescent="0.3">
      <c r="B12" s="5"/>
      <c r="C12" s="144"/>
      <c r="D12" s="107"/>
      <c r="E12" s="107"/>
      <c r="F12" s="145"/>
      <c r="G12" s="138"/>
      <c r="I12" s="144"/>
      <c r="J12" s="107"/>
      <c r="K12" s="107"/>
      <c r="L12" s="145"/>
      <c r="M12" s="138"/>
      <c r="O12" s="144"/>
      <c r="P12" s="107"/>
      <c r="Q12" s="107"/>
      <c r="R12" s="145"/>
      <c r="S12" s="138"/>
      <c r="U12" s="144"/>
      <c r="V12" s="107"/>
      <c r="W12" s="107"/>
      <c r="X12" s="145"/>
      <c r="Y12" s="138"/>
      <c r="AA12" s="144"/>
      <c r="AB12" s="107"/>
      <c r="AC12" s="107"/>
      <c r="AD12" s="145"/>
      <c r="AE12" s="138"/>
      <c r="AG12" s="144"/>
      <c r="AH12" s="107"/>
      <c r="AI12" s="107"/>
      <c r="AJ12" s="145"/>
      <c r="AK12" s="138"/>
      <c r="AM12" s="144"/>
      <c r="AN12" s="107"/>
      <c r="AO12" s="107"/>
      <c r="AP12" s="145"/>
      <c r="AQ12" s="138"/>
      <c r="AS12" s="144"/>
      <c r="AT12" s="107"/>
      <c r="AU12" s="107"/>
      <c r="AV12" s="107"/>
      <c r="AW12" s="138"/>
      <c r="AY12" s="144"/>
      <c r="AZ12" s="107"/>
      <c r="BA12" s="107"/>
      <c r="BB12" s="107"/>
      <c r="BC12" s="138"/>
      <c r="BE12" s="144"/>
      <c r="BF12" s="107"/>
      <c r="BG12" s="107"/>
      <c r="BH12" s="107"/>
      <c r="BI12" s="138"/>
      <c r="BK12" s="144"/>
      <c r="BL12" s="107"/>
      <c r="BM12" s="107"/>
      <c r="BN12" s="107"/>
      <c r="BO12" s="138"/>
      <c r="BQ12" s="144"/>
      <c r="BR12" s="107"/>
      <c r="BS12" s="107"/>
      <c r="BT12" s="145"/>
      <c r="BU12" s="138"/>
      <c r="BW12" s="144"/>
      <c r="BX12" s="107"/>
      <c r="BY12" s="107"/>
      <c r="BZ12" s="145"/>
      <c r="CA12" s="138"/>
      <c r="CC12" s="144"/>
      <c r="CD12" s="107"/>
      <c r="CE12" s="107"/>
      <c r="CF12" s="145"/>
      <c r="CG12" s="138"/>
      <c r="CI12" s="144"/>
      <c r="CJ12" s="107"/>
      <c r="CK12" s="107"/>
      <c r="CL12" s="145"/>
      <c r="CM12" s="138"/>
      <c r="CO12" s="144"/>
      <c r="CP12" s="107"/>
      <c r="CQ12" s="107"/>
      <c r="CR12" s="145"/>
      <c r="CS12" s="138"/>
      <c r="CU12" s="144"/>
      <c r="CV12" s="107"/>
      <c r="CW12" s="107"/>
      <c r="CX12" s="145"/>
      <c r="CY12" s="138"/>
      <c r="DA12" s="144"/>
      <c r="DB12" s="107"/>
      <c r="DC12" s="107"/>
      <c r="DD12" s="145"/>
      <c r="DE12" s="138"/>
      <c r="DG12" s="144"/>
      <c r="DH12" s="107"/>
      <c r="DI12" s="107"/>
      <c r="DJ12" s="145"/>
      <c r="DK12" s="138"/>
    </row>
    <row r="13" spans="2:115" ht="15" x14ac:dyDescent="0.3">
      <c r="B13" s="105" t="s">
        <v>47</v>
      </c>
      <c r="C13" s="161">
        <f>C15*C17</f>
        <v>6.6485225505443237</v>
      </c>
      <c r="D13" s="162">
        <f>D17*D15</f>
        <v>6.8540471637985974</v>
      </c>
      <c r="E13" s="162">
        <f>E17*E15</f>
        <v>6.8978586317983703</v>
      </c>
      <c r="F13" s="163">
        <f>F17*F15</f>
        <v>7.3831030818278425</v>
      </c>
      <c r="G13" s="164">
        <f>G17-G10</f>
        <v>6.9902354142399048</v>
      </c>
      <c r="H13" s="134"/>
      <c r="I13" s="161">
        <f>I15*I17</f>
        <v>5.8405436764462122</v>
      </c>
      <c r="J13" s="162">
        <f>J17*J15</f>
        <v>5.9166347504149117</v>
      </c>
      <c r="K13" s="162">
        <f>K17*K15</f>
        <v>5.8538425271098538</v>
      </c>
      <c r="L13" s="163">
        <f>L17*L15</f>
        <v>5.5364362952515283</v>
      </c>
      <c r="M13" s="164">
        <f>M17-M10</f>
        <v>5.7854764129471228</v>
      </c>
      <c r="N13" s="134"/>
      <c r="O13" s="161">
        <f>O15*O17</f>
        <v>5.7542129058775178</v>
      </c>
      <c r="P13" s="162">
        <f>P17*P15</f>
        <v>6.017389128667042</v>
      </c>
      <c r="Q13" s="162">
        <f>Q17*Q15</f>
        <v>5.8535988498363469</v>
      </c>
      <c r="R13" s="163">
        <f>R17*R15</f>
        <v>6.1262335253990328</v>
      </c>
      <c r="S13" s="164">
        <f>S17-S10</f>
        <v>5.9352370110362713</v>
      </c>
      <c r="U13" s="161">
        <f>U15*U17</f>
        <v>7.3530721282279607</v>
      </c>
      <c r="V13" s="162">
        <f>V17*V15</f>
        <v>8.1483169971886635</v>
      </c>
      <c r="W13" s="162">
        <f>W17*W15</f>
        <v>8.1111236759772325</v>
      </c>
      <c r="X13" s="162">
        <f>X17*X15</f>
        <v>8.0115722710581956</v>
      </c>
      <c r="Y13" s="164">
        <f>Y17-Y10</f>
        <v>7.9037877936383047</v>
      </c>
      <c r="AA13" s="161">
        <f>AA15*AA17</f>
        <v>8.6326265685850281</v>
      </c>
      <c r="AB13" s="162">
        <f>AB17*AB15</f>
        <v>8.4759610348800685</v>
      </c>
      <c r="AC13" s="162">
        <f>AC17*AC15</f>
        <v>9.044107606172334</v>
      </c>
      <c r="AD13" s="162">
        <f>AD17*AD15</f>
        <v>7.5091426249492077</v>
      </c>
      <c r="AE13" s="164">
        <f>AE17-AE10</f>
        <v>8.4102884623731526</v>
      </c>
      <c r="AG13" s="161">
        <f>AG15*AG17</f>
        <v>8.3809523809523814</v>
      </c>
      <c r="AH13" s="162">
        <f>AH17*AH15</f>
        <v>9.8055555555555571</v>
      </c>
      <c r="AI13" s="162">
        <f>AI17*AI15</f>
        <v>9.5949500263019463</v>
      </c>
      <c r="AJ13" s="162">
        <f>AJ17*AJ15</f>
        <v>9.0496783039763731</v>
      </c>
      <c r="AK13" s="164">
        <f>AK17-AK10</f>
        <v>9.2037582679286931</v>
      </c>
      <c r="AM13" s="161">
        <f>AM15*AM17</f>
        <v>8.87747091986013</v>
      </c>
      <c r="AN13" s="162">
        <f>AN17*AN15</f>
        <v>9.5546117826418371</v>
      </c>
      <c r="AO13" s="162">
        <f>AO17*AO15</f>
        <v>10.212204507971412</v>
      </c>
      <c r="AP13" s="162">
        <f>AP17*AP15</f>
        <v>10.295264623955431</v>
      </c>
      <c r="AQ13" s="164">
        <f>AQ17-AQ10</f>
        <v>9.7268297126201215</v>
      </c>
      <c r="AS13" s="161">
        <f>AS15*AS17</f>
        <v>10.578324225865209</v>
      </c>
      <c r="AT13" s="162">
        <f>AT17*AT15</f>
        <v>11.174013921113689</v>
      </c>
      <c r="AU13" s="162">
        <f>AU17*AU15</f>
        <v>11.93220887432755</v>
      </c>
      <c r="AV13" s="162">
        <f>AV17*AV15</f>
        <v>11.97185486605629</v>
      </c>
      <c r="AW13" s="164">
        <f>AW17-AW10</f>
        <v>11.391566444835714</v>
      </c>
      <c r="AY13" s="161">
        <f>AY15*AY17</f>
        <v>11.968952134540752</v>
      </c>
      <c r="AZ13" s="162">
        <f>AZ17*AZ15</f>
        <v>13.113445936959701</v>
      </c>
      <c r="BA13" s="162">
        <f>BA17*BA15</f>
        <v>13.706666666666667</v>
      </c>
      <c r="BB13" s="162">
        <f>BB17*BB15</f>
        <v>12.657884014667934</v>
      </c>
      <c r="BC13" s="164">
        <f>BC17-BC10</f>
        <v>12.852458287480127</v>
      </c>
      <c r="BE13" s="161">
        <f>BE15*BE17</f>
        <v>12.623553437712731</v>
      </c>
      <c r="BF13" s="162">
        <f>BF17*BF15</f>
        <v>12.728346277876186</v>
      </c>
      <c r="BG13" s="162">
        <f>BG17*BG15</f>
        <v>13.423741072235785</v>
      </c>
      <c r="BH13" s="162">
        <f>BH17*BH15</f>
        <v>12.35065109410659</v>
      </c>
      <c r="BI13" s="164">
        <f>BI17-BI10</f>
        <v>12.78069610600874</v>
      </c>
      <c r="BK13" s="161">
        <f>BK15*BK17</f>
        <v>11.197522671975229</v>
      </c>
      <c r="BL13" s="162">
        <f>BL17*BL15</f>
        <v>11.770573566084789</v>
      </c>
      <c r="BM13" s="162">
        <f>BM17*BM15</f>
        <v>11.610000865126739</v>
      </c>
      <c r="BN13" s="162">
        <f>BN17*BN15</f>
        <v>11.395288635775303</v>
      </c>
      <c r="BO13" s="164">
        <f>BO17-BO10</f>
        <v>11.494147649251293</v>
      </c>
      <c r="BQ13" s="161">
        <f>BK13*(1+BQ14)</f>
        <v>10.525671311656714</v>
      </c>
      <c r="BR13" s="162">
        <f>BL13*(1+BR14)</f>
        <v>11.417456359102244</v>
      </c>
      <c r="BS13" s="162">
        <f>BM13*(1+BS14)</f>
        <v>11.377800847824204</v>
      </c>
      <c r="BT13" s="162">
        <f>BN13*(1+BT14)</f>
        <v>11.395288635775303</v>
      </c>
      <c r="BU13" s="164">
        <f>BU17-BU10</f>
        <v>11.179711792892286</v>
      </c>
      <c r="BW13" s="161">
        <f>BQ13*(1+BW14)</f>
        <v>10.999326520681265</v>
      </c>
      <c r="BX13" s="162">
        <f>BR13*(1+BX14)</f>
        <v>11.931241895261845</v>
      </c>
      <c r="BY13" s="162">
        <f>BS13*(1+BY14)</f>
        <v>11.946690890215415</v>
      </c>
      <c r="BZ13" s="162">
        <f>BT13*(1+BZ14)</f>
        <v>11.965053067564069</v>
      </c>
      <c r="CA13" s="164">
        <f>CA17-CA10</f>
        <v>11.711125546004066</v>
      </c>
      <c r="CC13" s="161">
        <f>BW13*(1+CC14)</f>
        <v>11.549292846715328</v>
      </c>
      <c r="CD13" s="162">
        <f>BX13*(1+CD14)</f>
        <v>12.527803990024937</v>
      </c>
      <c r="CE13" s="162">
        <f>BY13*(1+CE14)</f>
        <v>12.544025434726185</v>
      </c>
      <c r="CF13" s="162">
        <f>BZ13*(1+CF14)</f>
        <v>12.563305720942273</v>
      </c>
      <c r="CG13" s="164">
        <f>CG17-CG10</f>
        <v>12.296635100180984</v>
      </c>
      <c r="CI13" s="161">
        <f>CC13*(1+CI14)</f>
        <v>12.126757489051096</v>
      </c>
      <c r="CJ13" s="162">
        <f>CD13*(1+CJ14)</f>
        <v>13.154194189526185</v>
      </c>
      <c r="CK13" s="162">
        <f>CE13*(1+CK14)</f>
        <v>13.171226706462495</v>
      </c>
      <c r="CL13" s="162">
        <f>CF13*(1+CL14)</f>
        <v>13.191471006989387</v>
      </c>
      <c r="CM13" s="164">
        <f>CM17-CM10</f>
        <v>12.911463355065791</v>
      </c>
      <c r="CO13" s="161">
        <f>CI13*(1+CO14)</f>
        <v>12.733095363503651</v>
      </c>
      <c r="CP13" s="162">
        <f>CJ13*(1+CP14)</f>
        <v>13.811903899002495</v>
      </c>
      <c r="CQ13" s="162">
        <f>CK13*(1+CQ14)</f>
        <v>13.829788041785619</v>
      </c>
      <c r="CR13" s="162">
        <f>CL13*(1+CR14)</f>
        <v>13.851044557338856</v>
      </c>
      <c r="CS13" s="164">
        <f>CS17-CS10</f>
        <v>13.557032893793449</v>
      </c>
      <c r="CU13" s="161">
        <f>CO13*(1+CU14)</f>
        <v>13.306084654861314</v>
      </c>
      <c r="CV13" s="162">
        <f>CP13*(1+CV14)</f>
        <v>14.433439574457607</v>
      </c>
      <c r="CW13" s="162">
        <f>CQ13*(1+CW14)</f>
        <v>14.452128503665971</v>
      </c>
      <c r="CX13" s="162">
        <f>CR13*(1+CX14)</f>
        <v>14.474341562419104</v>
      </c>
      <c r="CY13" s="164">
        <f>CY17-CY10</f>
        <v>14.167095628960933</v>
      </c>
      <c r="DA13" s="161">
        <f>CU13*(1+DA14)</f>
        <v>13.838328041055767</v>
      </c>
      <c r="DB13" s="162">
        <f>CV13*(1+DB14)</f>
        <v>15.010777157435912</v>
      </c>
      <c r="DC13" s="162">
        <f>CW13*(1+DC14)</f>
        <v>15.03021364381261</v>
      </c>
      <c r="DD13" s="162">
        <f>CX13*(1+DD14)</f>
        <v>15.053315224915869</v>
      </c>
      <c r="DE13" s="164">
        <f>DE17-DE10</f>
        <v>14.733775607519934</v>
      </c>
      <c r="DG13" s="161">
        <f>DA13*(1+DG14)</f>
        <v>14.322669522492719</v>
      </c>
      <c r="DH13" s="162">
        <f>DB13*(1+DH14)</f>
        <v>15.536154357946169</v>
      </c>
      <c r="DI13" s="162">
        <f>DC13*(1+DI14)</f>
        <v>15.55627112134605</v>
      </c>
      <c r="DJ13" s="162">
        <f>DD13*(1+DJ14)</f>
        <v>15.580181257787922</v>
      </c>
      <c r="DK13" s="164">
        <f>DK17-DK10</f>
        <v>15.249453821575093</v>
      </c>
    </row>
    <row r="14" spans="2:115" ht="15" x14ac:dyDescent="0.3">
      <c r="B14" s="5" t="s">
        <v>23</v>
      </c>
      <c r="C14" s="144" t="s">
        <v>35</v>
      </c>
      <c r="D14" s="107" t="s">
        <v>35</v>
      </c>
      <c r="E14" s="107" t="s">
        <v>35</v>
      </c>
      <c r="F14" s="145" t="s">
        <v>35</v>
      </c>
      <c r="G14" s="138" t="s">
        <v>35</v>
      </c>
      <c r="I14" s="151">
        <f>I13/C13-1</f>
        <v>-0.12152758270060482</v>
      </c>
      <c r="J14" s="133">
        <f>J13/D13-1</f>
        <v>-0.13676772146168892</v>
      </c>
      <c r="K14" s="133">
        <f>K13/E13-1</f>
        <v>-0.15135365341871709</v>
      </c>
      <c r="L14" s="152">
        <f>L13/F13-1</f>
        <v>-0.2501206831476519</v>
      </c>
      <c r="M14" s="153">
        <f>M13/G13-1</f>
        <v>-0.17234884519605032</v>
      </c>
      <c r="O14" s="151">
        <f>O13/I13-1</f>
        <v>-1.4781290124898816E-2</v>
      </c>
      <c r="P14" s="133">
        <f>P13/J13-1</f>
        <v>1.7029000859832388E-2</v>
      </c>
      <c r="Q14" s="133">
        <f>Q13/K13-1</f>
        <v>-4.1626892486101852E-5</v>
      </c>
      <c r="R14" s="152">
        <f>R13/L13-1</f>
        <v>0.10653012130806228</v>
      </c>
      <c r="S14" s="153">
        <f>S13/M13-1</f>
        <v>2.5885612074055597E-2</v>
      </c>
      <c r="U14" s="151">
        <f>U13/O13-1</f>
        <v>0.27785889199847347</v>
      </c>
      <c r="V14" s="133">
        <f>V13/P13-1</f>
        <v>0.35412831428331781</v>
      </c>
      <c r="W14" s="133">
        <f>W13/Q13-1</f>
        <v>0.38566442355440889</v>
      </c>
      <c r="X14" s="133">
        <f>X13/R13-1</f>
        <v>0.30774842941305613</v>
      </c>
      <c r="Y14" s="153">
        <f>Y13/S13-1</f>
        <v>0.3316718066930795</v>
      </c>
      <c r="AA14" s="151">
        <f>AA13/U13-1</f>
        <v>0.1740163047557961</v>
      </c>
      <c r="AB14" s="133">
        <f>AB13/V13-1</f>
        <v>4.0210025923690607E-2</v>
      </c>
      <c r="AC14" s="133">
        <f>AC13/W13-1</f>
        <v>0.11502523786665053</v>
      </c>
      <c r="AD14" s="133">
        <f>AD13/X13-1</f>
        <v>-6.2712989299742672E-2</v>
      </c>
      <c r="AE14" s="153">
        <f>AE13/Y13-1</f>
        <v>6.4083282846045808E-2</v>
      </c>
      <c r="AG14" s="151">
        <f>AG13/AA13-1</f>
        <v>-2.9153836973385805E-2</v>
      </c>
      <c r="AH14" s="133">
        <f>AH13/AB13-1</f>
        <v>0.15686652111825117</v>
      </c>
      <c r="AI14" s="133">
        <f>AI13/AC13-1</f>
        <v>6.0906221389236848E-2</v>
      </c>
      <c r="AJ14" s="133">
        <f>AJ13/AD13-1</f>
        <v>0.20515467024274092</v>
      </c>
      <c r="AK14" s="153">
        <f>AK13/AE13-1</f>
        <v>9.4345135616388243E-2</v>
      </c>
      <c r="AM14" s="151">
        <f>AM13/AG13-1</f>
        <v>5.9243689301492708E-2</v>
      </c>
      <c r="AN14" s="133">
        <f>AN13/AH13-1</f>
        <v>-2.5591999503948748E-2</v>
      </c>
      <c r="AO14" s="133">
        <f>AO13/AI13-1</f>
        <v>6.4331182546801369E-2</v>
      </c>
      <c r="AP14" s="133">
        <f>AP13/AJ13-1</f>
        <v>0.13763874008999366</v>
      </c>
      <c r="AQ14" s="153">
        <f>AQ13/AK13-1</f>
        <v>5.6832375369322508E-2</v>
      </c>
      <c r="AS14" s="151">
        <f>AS13/AM13-1</f>
        <v>0.19159210110168146</v>
      </c>
      <c r="AT14" s="133">
        <f>AT13/AN13-1</f>
        <v>0.16948905673110337</v>
      </c>
      <c r="AU14" s="133">
        <f>AU13/AO13-1</f>
        <v>0.16842635348846979</v>
      </c>
      <c r="AV14" s="133">
        <f>AV13/AP13-1</f>
        <v>0.16285062145947204</v>
      </c>
      <c r="AW14" s="153">
        <f>AW13/AQ13-1</f>
        <v>0.17114895411972442</v>
      </c>
      <c r="AY14" s="151">
        <f>AY13/AS13-1</f>
        <v>0.1314601329079419</v>
      </c>
      <c r="AZ14" s="133">
        <f>AZ13/AT13-1</f>
        <v>0.17356627882675069</v>
      </c>
      <c r="BA14" s="133">
        <f>BA13/AU13-1</f>
        <v>0.14871159322033889</v>
      </c>
      <c r="BB14" s="133">
        <f>BB13/AV13-1</f>
        <v>5.7303496934024478E-2</v>
      </c>
      <c r="BC14" s="153">
        <f>BC13/AW13-1</f>
        <v>0.12824327977358174</v>
      </c>
      <c r="BE14" s="151">
        <f>BE13/AY13-1</f>
        <v>5.4691613418929919E-2</v>
      </c>
      <c r="BF14" s="133">
        <f>BF13/AZ13-1</f>
        <v>-2.9366778262159721E-2</v>
      </c>
      <c r="BG14" s="133">
        <f>BG13/BA13-1</f>
        <v>-2.0641458737661655E-2</v>
      </c>
      <c r="BH14" s="133">
        <f>BH13/BB13-1</f>
        <v>-2.4272060022458963E-2</v>
      </c>
      <c r="BI14" s="153">
        <f>BI13/BC13-1</f>
        <v>-5.5835373954329359E-3</v>
      </c>
      <c r="BK14" s="151">
        <f>BK13/BE13-1</f>
        <v>-0.11296587547823511</v>
      </c>
      <c r="BL14" s="133">
        <f>BL13/BF13-1</f>
        <v>-7.5247223078472758E-2</v>
      </c>
      <c r="BM14" s="133">
        <f>BM13/BG13-1</f>
        <v>-0.13511436173783098</v>
      </c>
      <c r="BN14" s="133">
        <f>BN13/BH13-1</f>
        <v>-7.7353206001192998E-2</v>
      </c>
      <c r="BO14" s="153">
        <f>BO13/BI13-1</f>
        <v>-0.1006634103562315</v>
      </c>
      <c r="BQ14" s="151">
        <v>-0.06</v>
      </c>
      <c r="BR14" s="133">
        <v>-0.03</v>
      </c>
      <c r="BS14" s="133">
        <v>-0.02</v>
      </c>
      <c r="BT14" s="152">
        <v>0</v>
      </c>
      <c r="BU14" s="153">
        <f>BU13/BO13-1</f>
        <v>-2.7356169935705332E-2</v>
      </c>
      <c r="BW14" s="151">
        <v>4.4999999999999998E-2</v>
      </c>
      <c r="BX14" s="133">
        <v>4.4999999999999998E-2</v>
      </c>
      <c r="BY14" s="133">
        <v>0.05</v>
      </c>
      <c r="BZ14" s="152">
        <v>0.05</v>
      </c>
      <c r="CA14" s="153">
        <f>CA13/BU13-1</f>
        <v>4.7533761420364806E-2</v>
      </c>
      <c r="CC14" s="151">
        <v>0.05</v>
      </c>
      <c r="CD14" s="133">
        <v>0.05</v>
      </c>
      <c r="CE14" s="133">
        <v>0.05</v>
      </c>
      <c r="CF14" s="152">
        <v>0.05</v>
      </c>
      <c r="CG14" s="153">
        <f>CG13/CA13-1</f>
        <v>4.999601036440926E-2</v>
      </c>
      <c r="CI14" s="151">
        <v>0.05</v>
      </c>
      <c r="CJ14" s="133">
        <v>0.05</v>
      </c>
      <c r="CK14" s="133">
        <v>0.05</v>
      </c>
      <c r="CL14" s="152">
        <v>0.05</v>
      </c>
      <c r="CM14" s="153">
        <f>CM13/CG13-1</f>
        <v>4.9999715359184682E-2</v>
      </c>
      <c r="CO14" s="151">
        <v>0.05</v>
      </c>
      <c r="CP14" s="133">
        <v>0.05</v>
      </c>
      <c r="CQ14" s="133">
        <v>0.05</v>
      </c>
      <c r="CR14" s="152">
        <v>0.05</v>
      </c>
      <c r="CS14" s="153">
        <f>CS13/CM13-1</f>
        <v>4.9999718929951475E-2</v>
      </c>
      <c r="CU14" s="151">
        <v>4.4999999999999998E-2</v>
      </c>
      <c r="CV14" s="133">
        <v>4.4999999999999998E-2</v>
      </c>
      <c r="CW14" s="133">
        <v>4.4999999999999998E-2</v>
      </c>
      <c r="CX14" s="133">
        <v>4.4999999999999998E-2</v>
      </c>
      <c r="CY14" s="153">
        <f>CY13/CS13-1</f>
        <v>4.4999723755688281E-2</v>
      </c>
      <c r="DA14" s="151">
        <v>0.04</v>
      </c>
      <c r="DB14" s="133">
        <v>0.04</v>
      </c>
      <c r="DC14" s="133">
        <v>0.04</v>
      </c>
      <c r="DD14" s="133">
        <v>0.04</v>
      </c>
      <c r="DE14" s="153">
        <f>DE13/CY13-1</f>
        <v>3.9999728483555375E-2</v>
      </c>
      <c r="DG14" s="151">
        <v>3.5000000000000003E-2</v>
      </c>
      <c r="DH14" s="133">
        <v>3.5000000000000003E-2</v>
      </c>
      <c r="DI14" s="133">
        <v>3.5000000000000003E-2</v>
      </c>
      <c r="DJ14" s="133">
        <v>3.5000000000000003E-2</v>
      </c>
      <c r="DK14" s="153">
        <f>DK13/DE13-1</f>
        <v>3.4999733116063192E-2</v>
      </c>
    </row>
    <row r="15" spans="2:115" ht="15.75" thickBot="1" x14ac:dyDescent="0.35">
      <c r="B15" s="140" t="s">
        <v>48</v>
      </c>
      <c r="C15" s="146">
        <v>0.19</v>
      </c>
      <c r="D15" s="147">
        <v>0.19</v>
      </c>
      <c r="E15" s="147">
        <v>0.2</v>
      </c>
      <c r="F15" s="148">
        <v>0.21</v>
      </c>
      <c r="G15" s="150">
        <f>G13/G17</f>
        <v>0.19872444807849562</v>
      </c>
      <c r="I15" s="146">
        <v>0.23</v>
      </c>
      <c r="J15" s="147">
        <v>0.23</v>
      </c>
      <c r="K15" s="147">
        <v>0.24</v>
      </c>
      <c r="L15" s="148">
        <v>0.23</v>
      </c>
      <c r="M15" s="150">
        <f>M13/M17</f>
        <v>0.23249037227214375</v>
      </c>
      <c r="O15" s="146">
        <v>0.26</v>
      </c>
      <c r="P15" s="147">
        <v>0.26</v>
      </c>
      <c r="Q15" s="147">
        <v>0.26</v>
      </c>
      <c r="R15" s="148">
        <v>0.25</v>
      </c>
      <c r="S15" s="150">
        <f>S13/S17</f>
        <v>0.25746227709190672</v>
      </c>
      <c r="U15" s="168">
        <v>0.27</v>
      </c>
      <c r="V15" s="169">
        <v>0.28000000000000003</v>
      </c>
      <c r="W15" s="169">
        <v>0.28999999999999998</v>
      </c>
      <c r="X15" s="169">
        <v>0.3</v>
      </c>
      <c r="Y15" s="150">
        <f>Y13/Y17</f>
        <v>0.2848885887913572</v>
      </c>
      <c r="AA15" s="168">
        <v>0.35</v>
      </c>
      <c r="AB15" s="169">
        <v>0.34</v>
      </c>
      <c r="AC15" s="169">
        <v>0.37</v>
      </c>
      <c r="AD15" s="170">
        <v>0.33</v>
      </c>
      <c r="AE15" s="150">
        <f>AE13/AE17</f>
        <v>0.34775305096913139</v>
      </c>
      <c r="AG15" s="168">
        <v>0.36</v>
      </c>
      <c r="AH15" s="169">
        <v>0.4</v>
      </c>
      <c r="AI15" s="169">
        <v>0.4</v>
      </c>
      <c r="AJ15" s="170">
        <v>0.39</v>
      </c>
      <c r="AK15" s="150">
        <f>AK13/AK17</f>
        <v>0.3875988286969253</v>
      </c>
      <c r="AM15" s="168">
        <v>0.4</v>
      </c>
      <c r="AN15" s="169">
        <v>0.41</v>
      </c>
      <c r="AO15" s="169">
        <v>0.43</v>
      </c>
      <c r="AP15" s="170">
        <v>0.44</v>
      </c>
      <c r="AQ15" s="150">
        <f>AQ13/AQ17</f>
        <v>0.42008654602675061</v>
      </c>
      <c r="AS15" s="168">
        <v>0.46</v>
      </c>
      <c r="AT15" s="169">
        <v>0.48</v>
      </c>
      <c r="AU15" s="169">
        <v>0.5</v>
      </c>
      <c r="AV15" s="170">
        <v>0.46</v>
      </c>
      <c r="AW15" s="150">
        <f>AW13/AW17</f>
        <v>0.47477611940298503</v>
      </c>
      <c r="AY15" s="168">
        <v>0.54</v>
      </c>
      <c r="AZ15" s="169">
        <v>0.57999999999999996</v>
      </c>
      <c r="BA15" s="169">
        <v>0.59</v>
      </c>
      <c r="BB15" s="170">
        <v>0.6</v>
      </c>
      <c r="BC15" s="150">
        <f>BC13/BC17</f>
        <v>0.57695608782435115</v>
      </c>
      <c r="BE15" s="168">
        <v>0.61</v>
      </c>
      <c r="BF15" s="169">
        <v>0.62</v>
      </c>
      <c r="BG15" s="169">
        <v>0.64</v>
      </c>
      <c r="BH15" s="170">
        <v>0.6</v>
      </c>
      <c r="BI15" s="150">
        <f>BI13/BI17</f>
        <v>0.61755458515283834</v>
      </c>
      <c r="BK15" s="168">
        <v>0.56000000000000005</v>
      </c>
      <c r="BL15" s="169">
        <v>0.59</v>
      </c>
      <c r="BM15" s="169">
        <v>0.61</v>
      </c>
      <c r="BN15" s="170">
        <v>0.62</v>
      </c>
      <c r="BO15" s="150">
        <f>BO13/BO17</f>
        <v>0.59452085682074418</v>
      </c>
      <c r="BQ15" s="168">
        <f>BQ13/BQ17</f>
        <v>0.58606101091071039</v>
      </c>
      <c r="BR15" s="169">
        <f>BR13/BR17</f>
        <v>0.61876959671315812</v>
      </c>
      <c r="BS15" s="169">
        <f>BS13/BS17</f>
        <v>0.6326595406921367</v>
      </c>
      <c r="BT15" s="169">
        <f>BT13/BT17</f>
        <v>0.64449064449064453</v>
      </c>
      <c r="BU15" s="150">
        <f>BU13/BU17</f>
        <v>0.62044986680379111</v>
      </c>
      <c r="BW15" s="168">
        <f>BW13/BW17</f>
        <v>0.62704383589126289</v>
      </c>
      <c r="BX15" s="169">
        <f>BX13/BX17</f>
        <v>0.65840160336173126</v>
      </c>
      <c r="BY15" s="169">
        <f>BY13/BY17</f>
        <v>0.67266577933810434</v>
      </c>
      <c r="BZ15" s="169">
        <f>BZ13/BZ17</f>
        <v>0.68385226270011346</v>
      </c>
      <c r="CA15" s="150">
        <f>CA13/CA17</f>
        <v>0.6605331134831971</v>
      </c>
      <c r="CC15" s="168">
        <f>CC13/CC17</f>
        <v>0.66734008514151455</v>
      </c>
      <c r="CD15" s="169">
        <f>CD13/CD17</f>
        <v>0.6969472517782177</v>
      </c>
      <c r="CE15" s="169">
        <f>CE13/CE17</f>
        <v>0.71031005958881643</v>
      </c>
      <c r="CF15" s="169">
        <f>CF13/CF17</f>
        <v>0.72074414579244839</v>
      </c>
      <c r="CG15" s="150">
        <f>CG13/CG17</f>
        <v>0.69894452872742918</v>
      </c>
      <c r="CI15" s="168">
        <f>CI13/CI17</f>
        <v>0.70532853280225138</v>
      </c>
      <c r="CJ15" s="169">
        <f>CJ13/CJ17</f>
        <v>0.73290787739182484</v>
      </c>
      <c r="CK15" s="169">
        <f>CK13/CK17</f>
        <v>0.74526459435847969</v>
      </c>
      <c r="CL15" s="169">
        <f>CL13/CL17</f>
        <v>0.75487415990521167</v>
      </c>
      <c r="CM15" s="150">
        <f>CM13/CM17</f>
        <v>0.73475817197555859</v>
      </c>
      <c r="CO15" s="168">
        <f>CO13/CO17</f>
        <v>0.74066469259626566</v>
      </c>
      <c r="CP15" s="169">
        <f>CP13/CP17</f>
        <v>0.76603385194015861</v>
      </c>
      <c r="CQ15" s="169">
        <f>CQ13/CQ17</f>
        <v>0.77732365693057803</v>
      </c>
      <c r="CR15" s="169">
        <f>CR13/CR17</f>
        <v>0.78607099139449965</v>
      </c>
      <c r="CS15" s="150">
        <f>CS13/CS17</f>
        <v>0.76772722982956365</v>
      </c>
      <c r="CU15" s="168">
        <f>CU13/CU17</f>
        <v>0.77228809861608361</v>
      </c>
      <c r="CV15" s="169">
        <f>CV13/CV17</f>
        <v>0.79541821005104751</v>
      </c>
      <c r="CW15" s="169">
        <f>CW13/CW17</f>
        <v>0.80564984011880758</v>
      </c>
      <c r="CX15" s="169">
        <f>CX13/CX17</f>
        <v>0.81355134388616923</v>
      </c>
      <c r="CY15" s="150">
        <f>CY13/CY17</f>
        <v>0.79695513910343307</v>
      </c>
      <c r="DA15" s="168">
        <f>DA13/DA17</f>
        <v>0.80032558487103411</v>
      </c>
      <c r="DB15" s="169">
        <f>DB13/DB17</f>
        <v>0.82126686310962116</v>
      </c>
      <c r="DC15" s="169">
        <f>DC13/DC17</f>
        <v>0.830481249918816</v>
      </c>
      <c r="DD15" s="169">
        <f>DD13/DD17</f>
        <v>0.83757673727970905</v>
      </c>
      <c r="DE15" s="150">
        <f>DE13/DE17</f>
        <v>0.82265277037475093</v>
      </c>
      <c r="DG15" s="168">
        <f>DG13/DG17</f>
        <v>0.82499536495024661</v>
      </c>
      <c r="DH15" s="169">
        <f>DH13/DH17</f>
        <v>0.84385413655918384</v>
      </c>
      <c r="DI15" s="169">
        <f>DI13/DI17</f>
        <v>0.8521137474018261</v>
      </c>
      <c r="DJ15" s="169">
        <f>DJ13/DJ17</f>
        <v>0.85845809231416015</v>
      </c>
      <c r="DK15" s="150">
        <f>DK13/DK17</f>
        <v>0.84509782055990612</v>
      </c>
    </row>
    <row r="16" spans="2:115" ht="15.75" thickBot="1" x14ac:dyDescent="0.35">
      <c r="B16" s="1"/>
      <c r="AA16" s="103"/>
      <c r="AB16" s="103"/>
      <c r="AC16" s="103"/>
      <c r="AD16" s="103"/>
      <c r="AE16" s="103"/>
      <c r="AG16" s="103"/>
      <c r="AH16" s="103"/>
      <c r="AI16" s="103"/>
      <c r="AJ16" s="103"/>
      <c r="AK16" s="103"/>
      <c r="AM16" s="103"/>
      <c r="AN16" s="103"/>
      <c r="AO16" s="103"/>
      <c r="AP16" s="103"/>
      <c r="AQ16" s="103"/>
      <c r="AS16" s="103"/>
      <c r="AT16" s="103"/>
      <c r="AU16" s="103"/>
      <c r="AV16" s="103"/>
      <c r="AW16" s="103"/>
      <c r="AY16" s="103"/>
      <c r="AZ16" s="103"/>
      <c r="BA16" s="103"/>
      <c r="BB16" s="103"/>
      <c r="BC16" s="103"/>
      <c r="BE16" s="103"/>
      <c r="BF16" s="103"/>
      <c r="BG16" s="103"/>
      <c r="BH16" s="103"/>
      <c r="BI16" s="103"/>
      <c r="BK16" s="103"/>
      <c r="BL16" s="103"/>
      <c r="BM16" s="103"/>
      <c r="BN16" s="103"/>
      <c r="BO16" s="103"/>
      <c r="BQ16" s="103"/>
      <c r="BR16" s="103"/>
      <c r="BS16" s="103"/>
      <c r="BT16" s="103"/>
      <c r="BU16" s="103"/>
      <c r="BW16" s="103"/>
      <c r="BX16" s="103"/>
      <c r="BY16" s="103"/>
      <c r="BZ16" s="103"/>
      <c r="CA16" s="103"/>
      <c r="CC16" s="103"/>
      <c r="CD16" s="103"/>
      <c r="CE16" s="103"/>
      <c r="CF16" s="103"/>
      <c r="CG16" s="103"/>
      <c r="CI16" s="103"/>
      <c r="CJ16" s="103"/>
      <c r="CK16" s="103"/>
      <c r="CL16" s="103"/>
      <c r="CM16" s="103"/>
      <c r="CO16" s="103"/>
      <c r="CP16" s="103"/>
      <c r="CQ16" s="103"/>
      <c r="CR16" s="103"/>
      <c r="CS16" s="103"/>
      <c r="CU16" s="103"/>
      <c r="CV16" s="103"/>
      <c r="CW16" s="103"/>
      <c r="CX16" s="103"/>
      <c r="CY16" s="103"/>
      <c r="DA16" s="103"/>
      <c r="DB16" s="103"/>
      <c r="DC16" s="103"/>
      <c r="DD16" s="103"/>
      <c r="DE16" s="103"/>
      <c r="DG16" s="103"/>
      <c r="DH16" s="103"/>
      <c r="DI16" s="103"/>
      <c r="DJ16" s="103"/>
      <c r="DK16" s="103"/>
    </row>
    <row r="17" spans="2:115" s="135" customFormat="1" ht="15" x14ac:dyDescent="0.3">
      <c r="B17" s="42" t="s">
        <v>60</v>
      </c>
      <c r="C17" s="141">
        <f>C20*1000/(C7*3)</f>
        <v>34.992223950233281</v>
      </c>
      <c r="D17" s="142">
        <f>D20*1000/(D7*3)</f>
        <v>36.073932441045251</v>
      </c>
      <c r="E17" s="142">
        <f>E20*1000/(E7*3)</f>
        <v>34.489293158991849</v>
      </c>
      <c r="F17" s="142">
        <f>F20*1000/(F7*3)</f>
        <v>35.157633722989729</v>
      </c>
      <c r="G17" s="149">
        <f>G20*1000/(G7*12)</f>
        <v>35.175518069516947</v>
      </c>
      <c r="H17" s="134"/>
      <c r="I17" s="141">
        <f>I20*1000/(I7*3)</f>
        <v>25.393668158461793</v>
      </c>
      <c r="J17" s="142">
        <f>J20*1000/(J7*3)</f>
        <v>25.724498914847441</v>
      </c>
      <c r="K17" s="142">
        <f>K20*1000/(K7*3)</f>
        <v>24.391010529624392</v>
      </c>
      <c r="L17" s="142">
        <f>L20*1000/(L7*3)</f>
        <v>24.071462153267515</v>
      </c>
      <c r="M17" s="149">
        <f>M20*1000/(M7*12)</f>
        <v>24.884799987222181</v>
      </c>
      <c r="N17" s="134"/>
      <c r="O17" s="141">
        <f>O20*1000/(O7*3)</f>
        <v>22.131588099528912</v>
      </c>
      <c r="P17" s="142">
        <f>P20*1000/(P7*3)</f>
        <v>23.143804341027085</v>
      </c>
      <c r="Q17" s="142">
        <f>Q20*1000/(Q7*3)</f>
        <v>22.513841730139795</v>
      </c>
      <c r="R17" s="143">
        <f>R20*1000/(R7*3)</f>
        <v>24.504934101596131</v>
      </c>
      <c r="S17" s="149">
        <f>S20*1000/(S7*12)</f>
        <v>23.052841286405464</v>
      </c>
      <c r="T17" s="134"/>
      <c r="U17" s="141">
        <f>U20*1000/(U7*3)</f>
        <v>27.233600474918372</v>
      </c>
      <c r="V17" s="142">
        <f>V20*1000/(V7*3)</f>
        <v>29.101132132816655</v>
      </c>
      <c r="W17" s="142">
        <f>W20*1000/(W7*3)</f>
        <v>27.96939198612839</v>
      </c>
      <c r="X17" s="142">
        <f>X20*1000/(X7*3)</f>
        <v>26.705240903527319</v>
      </c>
      <c r="Y17" s="149">
        <f>Y20*1000/(Y7*12)</f>
        <v>27.743434116368814</v>
      </c>
      <c r="AA17" s="141">
        <f>AA20*1000/(AA7*3)</f>
        <v>24.664647338814365</v>
      </c>
      <c r="AB17" s="142">
        <f>AB20*1000/(AB7*3)</f>
        <v>24.929297161411963</v>
      </c>
      <c r="AC17" s="142">
        <f>AC20*1000/(AC7*3)</f>
        <v>24.443534070736039</v>
      </c>
      <c r="AD17" s="142">
        <f>AD20*1000/(AD7*3)</f>
        <v>22.754977651361234</v>
      </c>
      <c r="AE17" s="149">
        <f>AE20*1000/(AE7*12)</f>
        <v>24.184657586569095</v>
      </c>
      <c r="AG17" s="141">
        <f>AG20*1000/(AG7*3)</f>
        <v>23.280423280423282</v>
      </c>
      <c r="AH17" s="142">
        <f>AH20*1000/(AH7*3)</f>
        <v>24.513888888888889</v>
      </c>
      <c r="AI17" s="142">
        <f>AI20*1000/(AI7*3)</f>
        <v>23.987375065754865</v>
      </c>
      <c r="AJ17" s="142">
        <f>AJ20*1000/(AJ7*3)</f>
        <v>23.204303343529162</v>
      </c>
      <c r="AK17" s="149">
        <f>AK20*1000/(AK7*12)</f>
        <v>23.745578124864192</v>
      </c>
      <c r="AM17" s="141">
        <f>AM20*1000/(AM7*3)</f>
        <v>22.193677299650325</v>
      </c>
      <c r="AN17" s="142">
        <f>AN20*1000/(AN7*3)</f>
        <v>23.303931177175215</v>
      </c>
      <c r="AO17" s="142">
        <f>AO20*1000/(AO7*3)</f>
        <v>23.749312809235843</v>
      </c>
      <c r="AP17" s="142">
        <f>AP20*1000/(AP7*3)</f>
        <v>23.398328690807798</v>
      </c>
      <c r="AQ17" s="149">
        <f>AQ20*1000/(AQ7*12)</f>
        <v>23.154347133032747</v>
      </c>
      <c r="AS17" s="141">
        <f>AS20*1000/(AS7*3)</f>
        <v>22.996357012750455</v>
      </c>
      <c r="AT17" s="142">
        <f>AT20*1000/(AT7*3)</f>
        <v>23.279195668986851</v>
      </c>
      <c r="AU17" s="142">
        <f>AU20*1000/(AU7*3)</f>
        <v>23.8644177486551</v>
      </c>
      <c r="AV17" s="142">
        <f>AV20*1000/(AV7*3)</f>
        <v>26.025771447948458</v>
      </c>
      <c r="AW17" s="149">
        <f>AW20*1000/(AW7*12)</f>
        <v>23.993553970575068</v>
      </c>
      <c r="AY17" s="141">
        <f>AY20*1000/(AY7*3)</f>
        <v>22.164726175075465</v>
      </c>
      <c r="AZ17" s="142">
        <f>AZ20*1000/(AZ7*3)</f>
        <v>22.609389546482245</v>
      </c>
      <c r="BA17" s="142">
        <f>BA20*1000/(BA7*3)</f>
        <v>23.231638418079097</v>
      </c>
      <c r="BB17" s="142">
        <f>BB20*1000/(BB7*3)</f>
        <v>21.096473357779889</v>
      </c>
      <c r="BC17" s="149">
        <f>BC20*1000/(BC7*12)</f>
        <v>22.276319738553372</v>
      </c>
      <c r="BE17" s="141">
        <f>BE20*1000/(BE7*3)</f>
        <v>20.694349897889722</v>
      </c>
      <c r="BF17" s="142">
        <f>BF20*1000/(BF7*3)</f>
        <v>20.529590770768042</v>
      </c>
      <c r="BG17" s="142">
        <f>BG20*1000/(BG7*3)</f>
        <v>20.974595425368413</v>
      </c>
      <c r="BH17" s="142">
        <f>BH20*1000/(BH7*3)</f>
        <v>20.584418490177651</v>
      </c>
      <c r="BI17" s="149">
        <f>BI20*1000/(BI7*12)</f>
        <v>20.695654138565988</v>
      </c>
      <c r="BK17" s="141">
        <f>BK20*1000/(BK7*3)</f>
        <v>19.995576199955764</v>
      </c>
      <c r="BL17" s="142">
        <f>BL20*1000/(BL7*3)</f>
        <v>19.950124688279303</v>
      </c>
      <c r="BM17" s="142">
        <f>BM20*1000/(BM7*3)</f>
        <v>19.032788303486459</v>
      </c>
      <c r="BN17" s="142">
        <f>BN20*1000/(BN7*3)</f>
        <v>18.379497799637587</v>
      </c>
      <c r="BO17" s="149">
        <f>BO20*1000/(BO7*12)</f>
        <v>19.333464112121014</v>
      </c>
      <c r="BQ17" s="141">
        <f>BQ10+BQ13</f>
        <v>17.960026542800264</v>
      </c>
      <c r="BR17" s="142">
        <f>BR10+BR13</f>
        <v>18.451870324189528</v>
      </c>
      <c r="BS17" s="142">
        <f>BS10+BS13</f>
        <v>17.984081667964354</v>
      </c>
      <c r="BT17" s="142">
        <f>BT10+BT13</f>
        <v>17.681076883251357</v>
      </c>
      <c r="BU17" s="149">
        <f>BU20*1000/(BU7*12)</f>
        <v>18.018718982862993</v>
      </c>
      <c r="BW17" s="141">
        <f>BW10+BW13</f>
        <v>17.541559124087591</v>
      </c>
      <c r="BX17" s="142">
        <f>BX10+BX13</f>
        <v>18.121526184538652</v>
      </c>
      <c r="BY17" s="142">
        <f>BY10+BY13</f>
        <v>17.760218011938747</v>
      </c>
      <c r="BZ17" s="142">
        <f>BZ10+BZ13</f>
        <v>17.496546725342998</v>
      </c>
      <c r="CA17" s="149">
        <f>CA20*1000/(CA7*12)</f>
        <v>17.72980840316642</v>
      </c>
      <c r="CC17" s="141">
        <f>CC10+CC13</f>
        <v>17.306457537712895</v>
      </c>
      <c r="CD17" s="142">
        <f>CD10+CD13</f>
        <v>17.975254164588527</v>
      </c>
      <c r="CE17" s="142">
        <f>CE10+CE13</f>
        <v>17.659929301842716</v>
      </c>
      <c r="CF17" s="142">
        <f>CF10+CF13</f>
        <v>17.43102013978773</v>
      </c>
      <c r="CG17" s="149">
        <f>CG20*1000/(CG7*12)</f>
        <v>17.59314880476926</v>
      </c>
      <c r="CI17" s="141">
        <f>CI10+CI13</f>
        <v>17.193062417128957</v>
      </c>
      <c r="CJ17" s="142">
        <f>CJ10+CJ13</f>
        <v>17.947950343142146</v>
      </c>
      <c r="CK17" s="142">
        <f>CK10+CK13</f>
        <v>17.673222109525042</v>
      </c>
      <c r="CL17" s="142">
        <f>CL10+CL13</f>
        <v>17.475059695573389</v>
      </c>
      <c r="CM17" s="149">
        <f>CM20*1000/(CM7*12)</f>
        <v>17.572398440088783</v>
      </c>
      <c r="CO17" s="141">
        <f>CO10+CO13</f>
        <v>17.191443700212165</v>
      </c>
      <c r="CP17" s="142">
        <f>CP10+CP13</f>
        <v>18.030409314184539</v>
      </c>
      <c r="CQ17" s="142">
        <f>CQ10+CQ13</f>
        <v>17.791543996480662</v>
      </c>
      <c r="CR17" s="142">
        <f>CR10+CR13</f>
        <v>17.620602603292777</v>
      </c>
      <c r="CS17" s="149">
        <f>CS20*1000/(CS7*12)</f>
        <v>17.658658397205901</v>
      </c>
      <c r="CU17" s="141">
        <f>CU10+CU13</f>
        <v>17.229431191164807</v>
      </c>
      <c r="CV17" s="142">
        <f>CV10+CV13</f>
        <v>18.145724339817807</v>
      </c>
      <c r="CW17" s="142">
        <f>CW10+CW13</f>
        <v>17.938473743797609</v>
      </c>
      <c r="CX17" s="142">
        <f>CX10+CX13</f>
        <v>17.791552642858555</v>
      </c>
      <c r="CY17" s="149">
        <f>CY20*1000/(CY7*12)</f>
        <v>17.77652835628713</v>
      </c>
      <c r="DA17" s="141">
        <f>DA10+DA13</f>
        <v>17.290872993002843</v>
      </c>
      <c r="DB17" s="142">
        <f>DB10+DB13</f>
        <v>18.277587750952886</v>
      </c>
      <c r="DC17" s="142">
        <f>DC10+DC13</f>
        <v>18.098197455128449</v>
      </c>
      <c r="DD17" s="142">
        <f>DD10+DD13</f>
        <v>17.972460975702585</v>
      </c>
      <c r="DE17" s="149">
        <f>DE20*1000/(DE7*12)</f>
        <v>17.910078392865699</v>
      </c>
      <c r="DG17" s="141">
        <f>DG10+DG13</f>
        <v>17.360909080206145</v>
      </c>
      <c r="DH17" s="142">
        <f>DH10+DH13</f>
        <v>18.410947680241108</v>
      </c>
      <c r="DI17" s="142">
        <f>DI10+DI13</f>
        <v>18.256096875303989</v>
      </c>
      <c r="DJ17" s="142">
        <f>DJ10+DJ13</f>
        <v>18.149029518480233</v>
      </c>
      <c r="DK17" s="149">
        <f>DK20*1000/(DK7*12)</f>
        <v>18.044601998229993</v>
      </c>
    </row>
    <row r="18" spans="2:115" ht="15" x14ac:dyDescent="0.3">
      <c r="B18" s="40" t="s">
        <v>23</v>
      </c>
      <c r="C18" s="144" t="s">
        <v>35</v>
      </c>
      <c r="D18" s="107" t="s">
        <v>35</v>
      </c>
      <c r="E18" s="107" t="s">
        <v>35</v>
      </c>
      <c r="F18" s="145" t="s">
        <v>35</v>
      </c>
      <c r="G18" s="138" t="s">
        <v>35</v>
      </c>
      <c r="I18" s="151">
        <f>I17/C17-1</f>
        <v>-0.27430539440484747</v>
      </c>
      <c r="J18" s="133">
        <f>J17/D17-1</f>
        <v>-0.2868950742509605</v>
      </c>
      <c r="K18" s="133">
        <f>K17/E17-1</f>
        <v>-0.29279471118226419</v>
      </c>
      <c r="L18" s="133">
        <f>L17/F17-1</f>
        <v>-0.31532758026524743</v>
      </c>
      <c r="M18" s="153">
        <f>M17/G17-1</f>
        <v>-0.29255341916947308</v>
      </c>
      <c r="O18" s="151">
        <f>O17/I17-1</f>
        <v>-0.12846037203356442</v>
      </c>
      <c r="P18" s="133">
        <f>P17/J17-1</f>
        <v>-0.10032049923937891</v>
      </c>
      <c r="Q18" s="133">
        <f>Q17/K17-1</f>
        <v>-7.696150174691041E-2</v>
      </c>
      <c r="R18" s="152">
        <f>R17/L17-1</f>
        <v>1.8007711603417409E-2</v>
      </c>
      <c r="S18" s="153">
        <f>S17/M17-1</f>
        <v>-7.3617577869116491E-2</v>
      </c>
      <c r="U18" s="151">
        <f>U17/O17-1</f>
        <v>0.23053078488741896</v>
      </c>
      <c r="V18" s="133">
        <f>V17/P17-1</f>
        <v>0.25740486326308076</v>
      </c>
      <c r="W18" s="133">
        <f>W17/Q17-1</f>
        <v>0.24231982801429774</v>
      </c>
      <c r="X18" s="133">
        <f>X17/R17-1</f>
        <v>8.9790357844213631E-2</v>
      </c>
      <c r="Y18" s="153">
        <f>Y17/S17-1</f>
        <v>0.2034713539944184</v>
      </c>
      <c r="AA18" s="151">
        <f>AA17/U17-1</f>
        <v>-9.4330279188385768E-2</v>
      </c>
      <c r="AB18" s="133">
        <f>AB17/V17-1</f>
        <v>-0.14335644923931368</v>
      </c>
      <c r="AC18" s="133">
        <f>AC17/W17-1</f>
        <v>-0.12606130005046312</v>
      </c>
      <c r="AD18" s="133">
        <f>AD17/X17-1</f>
        <v>-0.14792089936340247</v>
      </c>
      <c r="AE18" s="153">
        <f>AE17/Y17-1</f>
        <v>-0.12827455011057975</v>
      </c>
      <c r="AG18" s="151">
        <f>AG17/AA17-1</f>
        <v>-5.6121785946347313E-2</v>
      </c>
      <c r="AH18" s="133">
        <f>AH17/AB17-1</f>
        <v>-1.6663457049486463E-2</v>
      </c>
      <c r="AI18" s="133">
        <f>AI17/AC17-1</f>
        <v>-1.8661745214956116E-2</v>
      </c>
      <c r="AJ18" s="133">
        <f>AJ17/AD17-1</f>
        <v>1.9746259436165481E-2</v>
      </c>
      <c r="AK18" s="153">
        <f>AK17/AE17-1</f>
        <v>-1.815528957287138E-2</v>
      </c>
      <c r="AM18" s="151">
        <f>AM17/AG17-1</f>
        <v>-4.6680679628656518E-2</v>
      </c>
      <c r="AN18" s="133">
        <f>AN17/AH17-1</f>
        <v>-4.9358048296535117E-2</v>
      </c>
      <c r="AO18" s="133">
        <f>AO17/AI17-1</f>
        <v>-9.9244813518127861E-3</v>
      </c>
      <c r="AP18" s="133">
        <f>AP17/AJ17-1</f>
        <v>8.3616105343125025E-3</v>
      </c>
      <c r="AQ18" s="153">
        <f>AQ17/AK17-1</f>
        <v>-2.4898572219320347E-2</v>
      </c>
      <c r="AS18" s="151">
        <f>AS17/AM17-1</f>
        <v>3.6167044436244744E-2</v>
      </c>
      <c r="AT18" s="133">
        <f>AT17/AN17-1</f>
        <v>-1.0614307088492314E-3</v>
      </c>
      <c r="AU18" s="133">
        <f>AU17/AO17-1</f>
        <v>4.8466640000839334E-3</v>
      </c>
      <c r="AV18" s="133">
        <f>AV17/AP17-1</f>
        <v>0.11229189878732115</v>
      </c>
      <c r="AW18" s="153">
        <f>AW17/AQ17-1</f>
        <v>3.6244029370410491E-2</v>
      </c>
      <c r="AY18" s="151">
        <f>AY17/AS17-1</f>
        <v>-3.6163590485827291E-2</v>
      </c>
      <c r="AZ18" s="133">
        <f>AZ17/AT17-1</f>
        <v>-2.8772734764068275E-2</v>
      </c>
      <c r="BA18" s="133">
        <f>BA17/AU17-1</f>
        <v>-2.6515598965814458E-2</v>
      </c>
      <c r="BB18" s="133">
        <f>BB17/AV17-1</f>
        <v>-0.18940065235058123</v>
      </c>
      <c r="BC18" s="153">
        <f>BC17/AW17-1</f>
        <v>-7.1570649105491269E-2</v>
      </c>
      <c r="BE18" s="151">
        <f>BE17/AY17-1</f>
        <v>-6.6338571727504569E-2</v>
      </c>
      <c r="BF18" s="133">
        <f>BF17/AZ17-1</f>
        <v>-9.1988276438794592E-2</v>
      </c>
      <c r="BG18" s="133">
        <f>BG17/BA17-1</f>
        <v>-9.7153844773781861E-2</v>
      </c>
      <c r="BH18" s="133">
        <f>BH17/BB17-1</f>
        <v>-2.4272060022458852E-2</v>
      </c>
      <c r="BI18" s="153">
        <f>BI17/BC17-1</f>
        <v>-7.0957214591050422E-2</v>
      </c>
      <c r="BK18" s="151">
        <f>BK17/BE17-1</f>
        <v>-3.3766400074506042E-2</v>
      </c>
      <c r="BL18" s="133">
        <f>BL17/BF17-1</f>
        <v>-2.8225895438395043E-2</v>
      </c>
      <c r="BM18" s="133">
        <f>BM17/BG17-1</f>
        <v>-9.2579002479035721E-2</v>
      </c>
      <c r="BN18" s="133">
        <f>BN17/BH17-1</f>
        <v>-0.10711600580760616</v>
      </c>
      <c r="BO18" s="153">
        <f>BO17/BI17-1</f>
        <v>-6.5820100071471432E-2</v>
      </c>
      <c r="BQ18" s="151">
        <f>BQ17/BK17-1</f>
        <v>-0.10180000000000011</v>
      </c>
      <c r="BR18" s="133">
        <f>BR17/BL17-1</f>
        <v>-7.5099999999999945E-2</v>
      </c>
      <c r="BS18" s="133">
        <f>BS17/BM17-1</f>
        <v>-5.5100000000000038E-2</v>
      </c>
      <c r="BT18" s="133">
        <f>BT17/BN17-1</f>
        <v>-3.8000000000000034E-2</v>
      </c>
      <c r="BU18" s="153">
        <f>BU17/BO17-1</f>
        <v>-6.8003598404992927E-2</v>
      </c>
      <c r="BW18" s="151">
        <f>BW17/BQ17-1</f>
        <v>-2.3299933199732781E-2</v>
      </c>
      <c r="BX18" s="133">
        <f>BX17/BR17-1</f>
        <v>-1.7903016542329064E-2</v>
      </c>
      <c r="BY18" s="133">
        <f>BY17/BS17-1</f>
        <v>-1.2447878082336716E-2</v>
      </c>
      <c r="BZ18" s="133">
        <f>BZ17/BT17-1</f>
        <v>-1.0436590436590287E-2</v>
      </c>
      <c r="CA18" s="153">
        <f>CA17/BU17-1</f>
        <v>-1.6033913397025978E-2</v>
      </c>
      <c r="CC18" s="151">
        <f>CC17/BW17-1</f>
        <v>-1.3402547898485384E-2</v>
      </c>
      <c r="CD18" s="133">
        <f>CD17/BX17-1</f>
        <v>-8.0717274285057039E-3</v>
      </c>
      <c r="CE18" s="133">
        <f>CE17/BY17-1</f>
        <v>-5.6468175125223841E-3</v>
      </c>
      <c r="CF18" s="133">
        <f>CF17/BZ17-1</f>
        <v>-3.7451153409807647E-3</v>
      </c>
      <c r="CG18" s="153">
        <f>CG17/CA17-1</f>
        <v>-7.707900462858519E-3</v>
      </c>
      <c r="CI18" s="151">
        <f>CI17/CC17-1</f>
        <v>-6.5521855259423889E-3</v>
      </c>
      <c r="CJ18" s="133">
        <f>CJ17/CD17-1</f>
        <v>-1.5189671977028363E-3</v>
      </c>
      <c r="CK18" s="133">
        <f>CK17/CE17-1</f>
        <v>7.5271013009881038E-4</v>
      </c>
      <c r="CL18" s="133">
        <f>CL17/CF17-1</f>
        <v>2.5265047847162769E-3</v>
      </c>
      <c r="CM18" s="153">
        <f>CM17/CG17-1</f>
        <v>-1.1794571233804119E-3</v>
      </c>
      <c r="CO18" s="151">
        <f>CO17/CI17-1</f>
        <v>-9.4149423617406747E-5</v>
      </c>
      <c r="CP18" s="133">
        <f>CP17/CJ17-1</f>
        <v>4.5943391566101166E-3</v>
      </c>
      <c r="CQ18" s="133">
        <f>CQ17/CK17-1</f>
        <v>6.6949810409415722E-3</v>
      </c>
      <c r="CR18" s="133">
        <f>CR17/CL17-1</f>
        <v>8.3286071838859499E-3</v>
      </c>
      <c r="CS18" s="153">
        <f>CS17/CM17-1</f>
        <v>4.9088323037524972E-3</v>
      </c>
      <c r="CU18" s="151">
        <f>CU17/CO17-1</f>
        <v>2.2096742783836998E-3</v>
      </c>
      <c r="CV18" s="133">
        <f>CV17/CP17-1</f>
        <v>6.3955855701263165E-3</v>
      </c>
      <c r="CW18" s="133">
        <f>CW17/CQ17-1</f>
        <v>8.2584033935453327E-3</v>
      </c>
      <c r="CX18" s="133">
        <f>CX17/CR17-1</f>
        <v>9.7017135800925303E-3</v>
      </c>
      <c r="CY18" s="153">
        <f>CY17/CS17-1</f>
        <v>6.6749102015519757E-3</v>
      </c>
      <c r="DA18" s="151">
        <f>DA17/CU17-1</f>
        <v>3.5660957785734748E-3</v>
      </c>
      <c r="DB18" s="133">
        <f>DB17/CV17-1</f>
        <v>7.2669136081675578E-3</v>
      </c>
      <c r="DC18" s="133">
        <f>DC17/CW17-1</f>
        <v>8.9039744190091419E-3</v>
      </c>
      <c r="DD18" s="133">
        <f>DD17/CX17-1</f>
        <v>1.0168215021786997E-2</v>
      </c>
      <c r="DE18" s="153">
        <f>DE17/CY17-1</f>
        <v>7.5127175510247834E-3</v>
      </c>
      <c r="DG18" s="151">
        <f>DG17/DA17-1</f>
        <v>4.0504656550102158E-3</v>
      </c>
      <c r="DH18" s="133">
        <f>DH17/DB17-1</f>
        <v>7.2963637819913885E-3</v>
      </c>
      <c r="DI18" s="133">
        <f>DI17/DC17-1</f>
        <v>8.7245937374165194E-3</v>
      </c>
      <c r="DJ18" s="133">
        <f>DJ17/DD17-1</f>
        <v>9.8243942783549087E-3</v>
      </c>
      <c r="DK18" s="153">
        <f>DK17/DE17-1</f>
        <v>7.5110562005065162E-3</v>
      </c>
    </row>
    <row r="19" spans="2:115" ht="15" x14ac:dyDescent="0.3">
      <c r="B19" s="40"/>
      <c r="C19" s="144"/>
      <c r="D19" s="107"/>
      <c r="E19" s="107"/>
      <c r="F19" s="145"/>
      <c r="G19" s="138"/>
      <c r="I19" s="144"/>
      <c r="J19" s="107"/>
      <c r="K19" s="107"/>
      <c r="L19" s="107"/>
      <c r="M19" s="138"/>
      <c r="O19" s="144"/>
      <c r="P19" s="107"/>
      <c r="Q19" s="107"/>
      <c r="R19" s="145"/>
      <c r="S19" s="138"/>
      <c r="U19" s="144"/>
      <c r="V19" s="107"/>
      <c r="W19" s="107"/>
      <c r="X19" s="145"/>
      <c r="Y19" s="138"/>
      <c r="AA19" s="144"/>
      <c r="AB19" s="107"/>
      <c r="AC19" s="107"/>
      <c r="AD19" s="145"/>
      <c r="AE19" s="138"/>
      <c r="AG19" s="144"/>
      <c r="AH19" s="107"/>
      <c r="AI19" s="107"/>
      <c r="AJ19" s="145"/>
      <c r="AK19" s="138"/>
      <c r="AM19" s="144"/>
      <c r="AN19" s="107"/>
      <c r="AO19" s="107"/>
      <c r="AP19" s="145"/>
      <c r="AQ19" s="138"/>
      <c r="AS19" s="144"/>
      <c r="AT19" s="107"/>
      <c r="AU19" s="107"/>
      <c r="AV19" s="145"/>
      <c r="AW19" s="138"/>
      <c r="AY19" s="144"/>
      <c r="AZ19" s="107"/>
      <c r="BA19" s="107"/>
      <c r="BB19" s="145"/>
      <c r="BC19" s="138"/>
      <c r="BE19" s="144"/>
      <c r="BF19" s="107"/>
      <c r="BG19" s="107"/>
      <c r="BH19" s="145"/>
      <c r="BI19" s="138"/>
      <c r="BK19" s="144"/>
      <c r="BL19" s="107"/>
      <c r="BM19" s="107"/>
      <c r="BN19" s="145"/>
      <c r="BO19" s="138"/>
      <c r="BQ19" s="144"/>
      <c r="BR19" s="107"/>
      <c r="BS19" s="107"/>
      <c r="BT19" s="107"/>
      <c r="BU19" s="138"/>
      <c r="BW19" s="144"/>
      <c r="BX19" s="107"/>
      <c r="BY19" s="107"/>
      <c r="BZ19" s="107"/>
      <c r="CA19" s="138"/>
      <c r="CC19" s="144"/>
      <c r="CD19" s="107"/>
      <c r="CE19" s="107"/>
      <c r="CF19" s="107"/>
      <c r="CG19" s="138"/>
      <c r="CI19" s="144"/>
      <c r="CJ19" s="107"/>
      <c r="CK19" s="107"/>
      <c r="CL19" s="107"/>
      <c r="CM19" s="138"/>
      <c r="CO19" s="144"/>
      <c r="CP19" s="107"/>
      <c r="CQ19" s="107"/>
      <c r="CR19" s="107"/>
      <c r="CS19" s="138"/>
      <c r="CU19" s="144"/>
      <c r="CV19" s="107"/>
      <c r="CW19" s="107"/>
      <c r="CX19" s="107"/>
      <c r="CY19" s="138"/>
      <c r="DA19" s="144"/>
      <c r="DB19" s="107"/>
      <c r="DC19" s="107"/>
      <c r="DD19" s="107"/>
      <c r="DE19" s="138"/>
      <c r="DG19" s="144"/>
      <c r="DH19" s="107"/>
      <c r="DI19" s="107"/>
      <c r="DJ19" s="107"/>
      <c r="DK19" s="138"/>
    </row>
    <row r="20" spans="2:115" s="135" customFormat="1" ht="15" x14ac:dyDescent="0.3">
      <c r="B20" s="39" t="s">
        <v>59</v>
      </c>
      <c r="C20" s="156">
        <v>270</v>
      </c>
      <c r="D20" s="157">
        <v>283</v>
      </c>
      <c r="E20" s="157">
        <v>273</v>
      </c>
      <c r="F20" s="158">
        <v>397</v>
      </c>
      <c r="G20" s="159">
        <f>C20+D20+E20+F20</f>
        <v>1223</v>
      </c>
      <c r="H20" s="160"/>
      <c r="I20" s="156">
        <v>383</v>
      </c>
      <c r="J20" s="157">
        <v>403</v>
      </c>
      <c r="K20" s="157">
        <v>388</v>
      </c>
      <c r="L20" s="157">
        <v>384</v>
      </c>
      <c r="M20" s="159">
        <f>I20+J20+K20+L20</f>
        <v>1558</v>
      </c>
      <c r="N20" s="160"/>
      <c r="O20" s="156">
        <v>350</v>
      </c>
      <c r="P20" s="157">
        <v>370</v>
      </c>
      <c r="Q20" s="157">
        <v>368</v>
      </c>
      <c r="R20" s="158">
        <v>370</v>
      </c>
      <c r="S20" s="159">
        <f>O20+P20+Q20+R20</f>
        <v>1458</v>
      </c>
      <c r="T20" s="134"/>
      <c r="U20" s="156">
        <v>367</v>
      </c>
      <c r="V20" s="157">
        <v>383</v>
      </c>
      <c r="W20" s="157">
        <v>371</v>
      </c>
      <c r="X20" s="157">
        <v>360</v>
      </c>
      <c r="Y20" s="159">
        <f>U20+V20+W20+X20</f>
        <v>1481</v>
      </c>
      <c r="AA20" s="156">
        <v>342</v>
      </c>
      <c r="AB20" s="157">
        <v>357</v>
      </c>
      <c r="AC20" s="157">
        <v>358</v>
      </c>
      <c r="AD20" s="158">
        <f>383-47</f>
        <v>336</v>
      </c>
      <c r="AE20" s="159">
        <f>AA20+AB20+AC20+AD20</f>
        <v>1393</v>
      </c>
      <c r="AG20" s="156">
        <v>341</v>
      </c>
      <c r="AH20" s="157">
        <v>353</v>
      </c>
      <c r="AI20" s="157">
        <v>342</v>
      </c>
      <c r="AJ20" s="158">
        <v>330</v>
      </c>
      <c r="AK20" s="159">
        <f>AG20+AH20+AI20+AJ20</f>
        <v>1366</v>
      </c>
      <c r="AM20" s="156">
        <v>311</v>
      </c>
      <c r="AN20" s="157">
        <v>321</v>
      </c>
      <c r="AO20" s="157">
        <v>324</v>
      </c>
      <c r="AP20" s="158">
        <v>315</v>
      </c>
      <c r="AQ20" s="159">
        <f>AM20+AN20+AO20+AP20</f>
        <v>1271</v>
      </c>
      <c r="AS20" s="156">
        <v>303</v>
      </c>
      <c r="AT20" s="157">
        <v>301</v>
      </c>
      <c r="AU20" s="157">
        <v>295</v>
      </c>
      <c r="AV20" s="158">
        <v>307</v>
      </c>
      <c r="AW20" s="159">
        <f>AS20+AT20+AU20+AV20</f>
        <v>1206</v>
      </c>
      <c r="AY20" s="156">
        <v>257</v>
      </c>
      <c r="AZ20" s="157">
        <v>255</v>
      </c>
      <c r="BA20" s="157">
        <v>257</v>
      </c>
      <c r="BB20" s="158">
        <v>233</v>
      </c>
      <c r="BC20" s="159">
        <f>AY20+AZ20+BA20+BB20</f>
        <v>1002</v>
      </c>
      <c r="BE20" s="156">
        <v>228</v>
      </c>
      <c r="BF20" s="157">
        <v>226</v>
      </c>
      <c r="BG20" s="157">
        <v>232</v>
      </c>
      <c r="BH20" s="158">
        <v>230</v>
      </c>
      <c r="BI20" s="159">
        <f>BE20+BF20+BG20+BH20</f>
        <v>916</v>
      </c>
      <c r="BK20" s="156">
        <v>226</v>
      </c>
      <c r="BL20" s="157">
        <v>228</v>
      </c>
      <c r="BM20" s="157">
        <v>220</v>
      </c>
      <c r="BN20" s="158">
        <v>213</v>
      </c>
      <c r="BO20" s="159">
        <f>BK20+BL20+BM20+BN20</f>
        <v>887</v>
      </c>
      <c r="BQ20" s="156">
        <f>BQ17*BQ7*3/1000</f>
        <v>207.57300676841405</v>
      </c>
      <c r="BR20" s="157">
        <f>BR17*BR7*3/1000</f>
        <v>213.5342693266833</v>
      </c>
      <c r="BS20" s="157">
        <f>BS17*BS7*3/1000</f>
        <v>208.52542694004669</v>
      </c>
      <c r="BT20" s="157">
        <f>BT17*BT7*3/1000</f>
        <v>205.94034299767017</v>
      </c>
      <c r="BU20" s="159">
        <f>BQ20+BR20+BS20+BT20</f>
        <v>835.5730460328142</v>
      </c>
      <c r="BW20" s="156">
        <f>BW17*BW7*3/1000</f>
        <v>205.10468005839414</v>
      </c>
      <c r="BX20" s="157">
        <f>BX17*BX7*3/1000</f>
        <v>212.15776780548629</v>
      </c>
      <c r="BY20" s="157">
        <f>BY17*BY7*3/1000</f>
        <v>208.19415564495196</v>
      </c>
      <c r="BZ20" s="157">
        <f>BZ17*BZ7*3/1000</f>
        <v>205.62816538959359</v>
      </c>
      <c r="CA20" s="159">
        <f>BW20+BX20+BY20+BZ20</f>
        <v>831.08476889842598</v>
      </c>
      <c r="CC20" s="156">
        <f>CC17*CC7*3/1000</f>
        <v>203.91333593810222</v>
      </c>
      <c r="CD20" s="157">
        <f>CD17*CD7*3/1000</f>
        <v>212.06306100673316</v>
      </c>
      <c r="CE20" s="157">
        <f>CE17*CE7*3/1000</f>
        <v>208.60791487801706</v>
      </c>
      <c r="CF20" s="157">
        <f>CF17*CF7*3/1000</f>
        <v>206.29612335438782</v>
      </c>
      <c r="CG20" s="159">
        <f>CC20+CD20+CE20+CF20</f>
        <v>830.88043517724032</v>
      </c>
      <c r="CI20" s="156">
        <f>CI17*CI7*3/1000</f>
        <v>203.8667376111066</v>
      </c>
      <c r="CJ20" s="157">
        <f>CJ17*CJ7*3/1000</f>
        <v>213.08704044895515</v>
      </c>
      <c r="CK20" s="157">
        <f>CK17*CK7*3/1000</f>
        <v>210.0904278269789</v>
      </c>
      <c r="CL20" s="157">
        <f>CL17*CL7*3/1000</f>
        <v>208.12796097427906</v>
      </c>
      <c r="CM20" s="159">
        <f>CI20+CJ20+CK20+CL20</f>
        <v>835.17216686131962</v>
      </c>
      <c r="CO20" s="156">
        <f>CO17*CO7*3/1000</f>
        <v>205.13690195278167</v>
      </c>
      <c r="CP20" s="157">
        <f>CP17*CP7*3/1000</f>
        <v>215.41831528121978</v>
      </c>
      <c r="CQ20" s="157">
        <f>CQ17*CQ7*3/1000</f>
        <v>212.83134505789988</v>
      </c>
      <c r="CR20" s="157">
        <f>CR17*CR7*3/1000</f>
        <v>211.18292220046393</v>
      </c>
      <c r="CS20" s="159">
        <f>CO20+CP20+CQ20+CR20</f>
        <v>844.56948449236529</v>
      </c>
      <c r="CU20" s="156">
        <f>CU17*CU7*3/1000</f>
        <v>206.8823950279114</v>
      </c>
      <c r="CV20" s="157">
        <f>CV17*CV7*3/1000</f>
        <v>218.15697087545962</v>
      </c>
      <c r="CW20" s="157">
        <f>CW17*CW7*3/1000</f>
        <v>215.93437769096369</v>
      </c>
      <c r="CX20" s="157">
        <f>CX17*CX7*3/1000</f>
        <v>214.56612487287418</v>
      </c>
      <c r="CY20" s="159">
        <f>CU20+CV20+CW20+CX20</f>
        <v>855.53986846720898</v>
      </c>
      <c r="DA20" s="156">
        <f>DA17*DA7*3/1000</f>
        <v>208.91697293795684</v>
      </c>
      <c r="DB20" s="157">
        <f>DB17*DB7*3/1000</f>
        <v>221.11311781715253</v>
      </c>
      <c r="DC20" s="157">
        <f>DC17*DC7*3/1000</f>
        <v>219.21441667524334</v>
      </c>
      <c r="DD20" s="157">
        <f>DD17*DD7*3/1000</f>
        <v>218.09581394015083</v>
      </c>
      <c r="DE20" s="159">
        <f>DA20+DB20+DC20+DD20</f>
        <v>867.3403213705036</v>
      </c>
      <c r="DG20" s="156">
        <f>DG17*DG7*3/1000</f>
        <v>211.06525214260623</v>
      </c>
      <c r="DH20" s="157">
        <f>DH17*DH7*3/1000</f>
        <v>224.10726063773487</v>
      </c>
      <c r="DI20" s="157">
        <f>DI17*DI7*3/1000</f>
        <v>222.49618066776736</v>
      </c>
      <c r="DJ20" s="157">
        <f>DJ17*DJ7*3/1000</f>
        <v>221.59965042064363</v>
      </c>
      <c r="DK20" s="159">
        <f>DG20+DH20+DI20+DJ20</f>
        <v>879.26834386875203</v>
      </c>
    </row>
    <row r="21" spans="2:115" ht="15.75" thickBot="1" x14ac:dyDescent="0.35">
      <c r="B21" s="41" t="s">
        <v>23</v>
      </c>
      <c r="C21" s="155" t="s">
        <v>35</v>
      </c>
      <c r="D21" s="106" t="s">
        <v>35</v>
      </c>
      <c r="E21" s="106" t="s">
        <v>35</v>
      </c>
      <c r="F21" s="154" t="s">
        <v>35</v>
      </c>
      <c r="G21" s="108" t="s">
        <v>35</v>
      </c>
      <c r="I21" s="109">
        <f>I20/C20-1</f>
        <v>0.41851851851851851</v>
      </c>
      <c r="J21" s="110">
        <f>J20/D20-1</f>
        <v>0.42402826855123665</v>
      </c>
      <c r="K21" s="110">
        <f>K20/E20-1</f>
        <v>0.4212454212454213</v>
      </c>
      <c r="L21" s="110">
        <f>L20/F20-1</f>
        <v>-3.2745591939546626E-2</v>
      </c>
      <c r="M21" s="122">
        <f>M20/G20-1</f>
        <v>0.27391659852820927</v>
      </c>
      <c r="O21" s="109">
        <f>O20/I20-1</f>
        <v>-8.6161879895561344E-2</v>
      </c>
      <c r="P21" s="110">
        <f>P20/J20-1</f>
        <v>-8.1885856079404462E-2</v>
      </c>
      <c r="Q21" s="110">
        <f>Q20/K20-1</f>
        <v>-5.1546391752577359E-2</v>
      </c>
      <c r="R21" s="120">
        <f>R20/L20-1</f>
        <v>-3.645833333333337E-2</v>
      </c>
      <c r="S21" s="122">
        <f>S20/M20-1</f>
        <v>-6.4184852374839507E-2</v>
      </c>
      <c r="U21" s="109">
        <f>U20/O20-1</f>
        <v>4.8571428571428488E-2</v>
      </c>
      <c r="V21" s="110">
        <f>V20/P20-1</f>
        <v>3.513513513513522E-2</v>
      </c>
      <c r="W21" s="110">
        <f>W20/Q20-1</f>
        <v>8.152173913043459E-3</v>
      </c>
      <c r="X21" s="120">
        <f>X20/R20-1</f>
        <v>-2.7027027027026973E-2</v>
      </c>
      <c r="Y21" s="122">
        <f>Y20/S20-1</f>
        <v>1.5775034293552759E-2</v>
      </c>
      <c r="AA21" s="109">
        <f>AA20/U20-1</f>
        <v>-6.8119891008174394E-2</v>
      </c>
      <c r="AB21" s="110">
        <f>AB20/V20-1</f>
        <v>-6.7885117493472591E-2</v>
      </c>
      <c r="AC21" s="110">
        <f>AC20/W20-1</f>
        <v>-3.5040431266846306E-2</v>
      </c>
      <c r="AD21" s="120">
        <f>AD20/X20-1</f>
        <v>-6.6666666666666652E-2</v>
      </c>
      <c r="AE21" s="122">
        <f>AE20/Y20-1</f>
        <v>-5.9419311276164732E-2</v>
      </c>
      <c r="AG21" s="109">
        <f>AG20/AA20-1</f>
        <v>-2.9239766081871066E-3</v>
      </c>
      <c r="AH21" s="110">
        <f>AH20/AB20-1</f>
        <v>-1.1204481792717047E-2</v>
      </c>
      <c r="AI21" s="110">
        <f>AI20/AC20-1</f>
        <v>-4.4692737430167551E-2</v>
      </c>
      <c r="AJ21" s="120">
        <f>AJ20/AD20-1</f>
        <v>-1.7857142857142905E-2</v>
      </c>
      <c r="AK21" s="122">
        <f>AK20/AE20-1</f>
        <v>-1.938262742282848E-2</v>
      </c>
      <c r="AM21" s="109">
        <f>AM20/AG20-1</f>
        <v>-8.7976539589442848E-2</v>
      </c>
      <c r="AN21" s="110">
        <f>AN20/AH20-1</f>
        <v>-9.0651558073654437E-2</v>
      </c>
      <c r="AO21" s="110">
        <f>AO20/AI20-1</f>
        <v>-5.2631578947368474E-2</v>
      </c>
      <c r="AP21" s="120">
        <f>AP20/AJ20-1</f>
        <v>-4.5454545454545414E-2</v>
      </c>
      <c r="AQ21" s="122">
        <f>AQ20/AK20-1</f>
        <v>-6.9546120058565197E-2</v>
      </c>
      <c r="AS21" s="109">
        <f>AS20/AM20-1</f>
        <v>-2.5723472668810254E-2</v>
      </c>
      <c r="AT21" s="110">
        <f>AT20/AN20-1</f>
        <v>-6.230529595015577E-2</v>
      </c>
      <c r="AU21" s="110">
        <f>AU20/AO20-1</f>
        <v>-8.9506172839506126E-2</v>
      </c>
      <c r="AV21" s="120">
        <f>AV20/AP20-1</f>
        <v>-2.5396825396825418E-2</v>
      </c>
      <c r="AW21" s="122">
        <f>AW20/AQ20-1</f>
        <v>-5.1140833988985057E-2</v>
      </c>
      <c r="AY21" s="109">
        <f>AY20/AS20-1</f>
        <v>-0.15181518151815176</v>
      </c>
      <c r="AZ21" s="110">
        <f>AZ20/AT20-1</f>
        <v>-0.15282392026578073</v>
      </c>
      <c r="BA21" s="110">
        <f>BA20/AU20-1</f>
        <v>-0.12881355932203387</v>
      </c>
      <c r="BB21" s="120">
        <f>BB20/AV20-1</f>
        <v>-0.24104234527687296</v>
      </c>
      <c r="BC21" s="122">
        <f>BC20/AW20-1</f>
        <v>-0.1691542288557214</v>
      </c>
      <c r="BE21" s="109">
        <f>BE20/AY20-1</f>
        <v>-0.11284046692607008</v>
      </c>
      <c r="BF21" s="110">
        <f>BF20/AZ20-1</f>
        <v>-0.11372549019607847</v>
      </c>
      <c r="BG21" s="110">
        <f>BG20/BA20-1</f>
        <v>-9.7276264591439676E-2</v>
      </c>
      <c r="BH21" s="120">
        <f>BH20/BB20-1</f>
        <v>-1.2875536480686733E-2</v>
      </c>
      <c r="BI21" s="122">
        <f>BI20/BC20-1</f>
        <v>-8.5828343313373301E-2</v>
      </c>
      <c r="BK21" s="109">
        <f>BK20/BE20-1</f>
        <v>-8.7719298245614308E-3</v>
      </c>
      <c r="BL21" s="110">
        <f>BL20/BF20-1</f>
        <v>8.8495575221239076E-3</v>
      </c>
      <c r="BM21" s="110">
        <f>BM20/BG20-1</f>
        <v>-5.1724137931034475E-2</v>
      </c>
      <c r="BN21" s="120">
        <f>BN20/BH20-1</f>
        <v>-7.3913043478260887E-2</v>
      </c>
      <c r="BO21" s="122">
        <f>BO20/BI20-1</f>
        <v>-3.1659388646288256E-2</v>
      </c>
      <c r="BQ21" s="109">
        <f>BQ20/BK20-1</f>
        <v>-8.1535368281353771E-2</v>
      </c>
      <c r="BR21" s="110">
        <f>BR20/BL20-1</f>
        <v>-6.3446187163669787E-2</v>
      </c>
      <c r="BS21" s="110">
        <f>BS20/BM20-1</f>
        <v>-5.2157150272515107E-2</v>
      </c>
      <c r="BT21" s="110">
        <f>BT20/BN20-1</f>
        <v>-3.3143929588402954E-2</v>
      </c>
      <c r="BU21" s="122">
        <f>BU20/BO20-1</f>
        <v>-5.7978527584200412E-2</v>
      </c>
      <c r="BW21" s="109">
        <f>BW20/BQ20-1</f>
        <v>-1.1891366553136606E-2</v>
      </c>
      <c r="BX21" s="110">
        <f>BX20/BR20-1</f>
        <v>-6.4462792110016043E-3</v>
      </c>
      <c r="BY21" s="110">
        <f>BY20/BS20-1</f>
        <v>-1.5886374144192805E-3</v>
      </c>
      <c r="BZ21" s="110">
        <f>BZ20/BT20-1</f>
        <v>-1.5158642718202664E-3</v>
      </c>
      <c r="CA21" s="122">
        <f>CA20/BU20-1</f>
        <v>-5.3714958323487494E-3</v>
      </c>
      <c r="CC21" s="109">
        <f>CC20/BW20-1</f>
        <v>-5.8084687290057557E-3</v>
      </c>
      <c r="CD21" s="110">
        <f>CD20/BX20-1</f>
        <v>-4.4639797888501587E-4</v>
      </c>
      <c r="CE21" s="110">
        <f>CE20/BY20-1</f>
        <v>1.9873719883409802E-3</v>
      </c>
      <c r="CF21" s="110">
        <f>CF20/BZ20-1</f>
        <v>3.2483777868108632E-3</v>
      </c>
      <c r="CG21" s="122">
        <f>CG20/CA20-1</f>
        <v>-2.4586387433922496E-4</v>
      </c>
      <c r="CI21" s="109">
        <f>CI20/CC20-1</f>
        <v>-2.2852025239661344E-4</v>
      </c>
      <c r="CJ21" s="110">
        <f>CJ20/CD20-1</f>
        <v>4.828655388452896E-3</v>
      </c>
      <c r="CK21" s="110">
        <f>CK20/CE20-1</f>
        <v>7.1066955912422181E-3</v>
      </c>
      <c r="CL21" s="110">
        <f>CL20/CF20-1</f>
        <v>8.8796512028701535E-3</v>
      </c>
      <c r="CM21" s="122">
        <f>CM20/CG20-1</f>
        <v>5.1652819134726524E-3</v>
      </c>
      <c r="CO21" s="109">
        <f>CO20/CI20-1</f>
        <v>6.2303657602940099E-3</v>
      </c>
      <c r="CP21" s="110">
        <f>CP20/CJ20-1</f>
        <v>1.0940481539153391E-2</v>
      </c>
      <c r="CQ21" s="110">
        <f>CQ20/CK20-1</f>
        <v>1.3046368933944397E-2</v>
      </c>
      <c r="CR21" s="110">
        <f>CR20/CL20-1</f>
        <v>1.4678283551542659E-2</v>
      </c>
      <c r="CS21" s="122">
        <f>CS20/CM20-1</f>
        <v>1.1251952596028181E-2</v>
      </c>
      <c r="CU21" s="109">
        <f>CU20/CO20-1</f>
        <v>8.5089179884929589E-3</v>
      </c>
      <c r="CV21" s="110">
        <f>CV20/CP20-1</f>
        <v>1.2713197532274068E-2</v>
      </c>
      <c r="CW21" s="110">
        <f>CW20/CQ20-1</f>
        <v>1.4579772693818382E-2</v>
      </c>
      <c r="CX21" s="110">
        <f>CX20/CR20-1</f>
        <v>1.6020247457314563E-2</v>
      </c>
      <c r="CY21" s="122">
        <f>CY20/CS20-1</f>
        <v>1.2989320803411974E-2</v>
      </c>
      <c r="DA21" s="109">
        <f>DA20/CU20-1</f>
        <v>9.8344661457101523E-3</v>
      </c>
      <c r="DB21" s="110">
        <f>DB20/CV20-1</f>
        <v>1.355054999998373E-2</v>
      </c>
      <c r="DC21" s="110">
        <f>DC20/CW20-1</f>
        <v>1.518998049015563E-2</v>
      </c>
      <c r="DD21" s="110">
        <f>DD20/CX20-1</f>
        <v>1.6450355662469551E-2</v>
      </c>
      <c r="DE21" s="122">
        <f>DE20/CY20-1</f>
        <v>1.3792990061861632E-2</v>
      </c>
      <c r="DG21" s="109">
        <f>DG20/DA20-1</f>
        <v>1.0282932853365567E-2</v>
      </c>
      <c r="DH21" s="110">
        <f>DH20/DB20-1</f>
        <v>1.3541226545673801E-2</v>
      </c>
      <c r="DI21" s="110">
        <f>DI20/DC20-1</f>
        <v>1.49705664540567E-2</v>
      </c>
      <c r="DJ21" s="110">
        <f>DJ20/DD20-1</f>
        <v>1.6065583365365788E-2</v>
      </c>
      <c r="DK21" s="122">
        <f>DK20/DE20-1</f>
        <v>1.3752413215841974E-2</v>
      </c>
    </row>
    <row r="22" spans="2:115" ht="15.75" thickBot="1" x14ac:dyDescent="0.35">
      <c r="B22" s="1"/>
      <c r="AA22" s="103"/>
      <c r="AB22" s="103"/>
      <c r="AC22" s="103"/>
      <c r="AD22" s="103"/>
      <c r="AE22" s="103"/>
      <c r="AG22" s="103"/>
      <c r="AH22" s="103"/>
      <c r="AI22" s="103"/>
      <c r="AJ22" s="103"/>
      <c r="AK22" s="103"/>
      <c r="AM22" s="103"/>
      <c r="AN22" s="103"/>
      <c r="AO22" s="103"/>
      <c r="AP22" s="103"/>
      <c r="AQ22" s="103"/>
      <c r="AS22" s="103"/>
      <c r="AT22" s="103"/>
      <c r="AU22" s="103"/>
      <c r="AV22" s="103"/>
      <c r="AW22" s="103"/>
      <c r="AY22" s="103"/>
      <c r="AZ22" s="103"/>
      <c r="BA22" s="103"/>
      <c r="BB22" s="103"/>
      <c r="BC22" s="103"/>
      <c r="BE22" s="103"/>
      <c r="BF22" s="103"/>
      <c r="BG22" s="103"/>
      <c r="BH22" s="103"/>
      <c r="BI22" s="103"/>
      <c r="BK22" s="103"/>
      <c r="BL22" s="103"/>
      <c r="BM22" s="103"/>
      <c r="BN22" s="103"/>
      <c r="BO22" s="103"/>
      <c r="BQ22" s="103"/>
      <c r="BR22" s="103"/>
      <c r="BS22" s="103"/>
      <c r="BT22" s="103"/>
      <c r="BU22" s="103"/>
      <c r="BW22" s="103"/>
      <c r="BX22" s="103"/>
      <c r="BY22" s="103"/>
      <c r="BZ22" s="103"/>
      <c r="CA22" s="103"/>
      <c r="CC22" s="103"/>
      <c r="CD22" s="103"/>
      <c r="CE22" s="103"/>
      <c r="CF22" s="103"/>
      <c r="CG22" s="103"/>
      <c r="CI22" s="103"/>
      <c r="CJ22" s="103"/>
      <c r="CK22" s="103"/>
      <c r="CL22" s="103"/>
      <c r="CM22" s="103"/>
      <c r="CO22" s="103"/>
      <c r="CP22" s="103"/>
      <c r="CQ22" s="103"/>
      <c r="CR22" s="103"/>
      <c r="CS22" s="103"/>
      <c r="CU22" s="103"/>
      <c r="CV22" s="103"/>
      <c r="CW22" s="103"/>
      <c r="CX22" s="103"/>
      <c r="CY22" s="103"/>
      <c r="DA22" s="103"/>
      <c r="DB22" s="103"/>
      <c r="DC22" s="103"/>
      <c r="DD22" s="103"/>
      <c r="DE22" s="103"/>
      <c r="DG22" s="103"/>
      <c r="DH22" s="103"/>
      <c r="DI22" s="103"/>
      <c r="DJ22" s="103"/>
      <c r="DK22" s="103"/>
    </row>
    <row r="23" spans="2:115" ht="15" x14ac:dyDescent="0.3">
      <c r="B23" s="38" t="s">
        <v>41</v>
      </c>
      <c r="C23" s="185">
        <v>2.9000000000000001E-2</v>
      </c>
      <c r="D23" s="186">
        <v>2.5999999999999999E-2</v>
      </c>
      <c r="E23" s="186">
        <v>3.2000000000000001E-2</v>
      </c>
      <c r="F23" s="187">
        <v>2.7E-2</v>
      </c>
      <c r="G23" s="191">
        <f>G24/G7/12</f>
        <v>2.8356529617326029E-2</v>
      </c>
      <c r="H23" s="136"/>
      <c r="I23" s="185">
        <v>2.5000000000000001E-2</v>
      </c>
      <c r="J23" s="186">
        <v>1.9E-2</v>
      </c>
      <c r="K23" s="186">
        <v>2.5999999999999999E-2</v>
      </c>
      <c r="L23" s="187">
        <v>2.9000000000000001E-2</v>
      </c>
      <c r="M23" s="191">
        <f>M24/M7/12</f>
        <v>2.4771939912312229E-2</v>
      </c>
      <c r="N23" s="136"/>
      <c r="O23" s="185">
        <v>3.4000000000000002E-2</v>
      </c>
      <c r="P23" s="186">
        <v>1.7999999999999999E-2</v>
      </c>
      <c r="Q23" s="186">
        <v>2.3E-2</v>
      </c>
      <c r="R23" s="187">
        <v>7.9000000000000001E-2</v>
      </c>
      <c r="S23" s="191">
        <f>S24/S7/12</f>
        <v>3.7855777440470549E-2</v>
      </c>
      <c r="T23" s="227"/>
      <c r="U23" s="185">
        <v>3.9E-2</v>
      </c>
      <c r="V23" s="186">
        <v>2.7E-2</v>
      </c>
      <c r="W23" s="186">
        <v>2.5000000000000001E-2</v>
      </c>
      <c r="X23" s="187">
        <v>2.5000000000000001E-2</v>
      </c>
      <c r="Y23" s="191">
        <f>Y24/Y7/12</f>
        <v>2.9027312577273239E-2</v>
      </c>
      <c r="Z23" s="227"/>
      <c r="AA23" s="185">
        <v>2.5999999999999999E-2</v>
      </c>
      <c r="AB23" s="186">
        <v>2.5000000000000001E-2</v>
      </c>
      <c r="AC23" s="186">
        <v>2.7E-2</v>
      </c>
      <c r="AD23" s="187">
        <v>2.9000000000000001E-2</v>
      </c>
      <c r="AE23" s="191">
        <f>AE24/AE7/12</f>
        <v>2.677473371702388E-2</v>
      </c>
      <c r="AG23" s="185">
        <v>2.9000000000000001E-2</v>
      </c>
      <c r="AH23" s="186">
        <v>3.2000000000000001E-2</v>
      </c>
      <c r="AI23" s="186">
        <v>2.5000000000000001E-2</v>
      </c>
      <c r="AJ23" s="187">
        <v>2.8000000000000001E-2</v>
      </c>
      <c r="AK23" s="191">
        <f>AK24/AK7/12</f>
        <v>2.85123725587338E-2</v>
      </c>
      <c r="AM23" s="185">
        <v>0.03</v>
      </c>
      <c r="AN23" s="186">
        <v>2.7E-2</v>
      </c>
      <c r="AO23" s="186">
        <v>2.5999999999999999E-2</v>
      </c>
      <c r="AP23" s="186">
        <v>2.5000000000000001E-2</v>
      </c>
      <c r="AQ23" s="191">
        <f>AQ24/AQ7/12</f>
        <v>2.7026806940838911E-2</v>
      </c>
      <c r="AS23" s="185">
        <v>2.4E-2</v>
      </c>
      <c r="AT23" s="186">
        <v>0.02</v>
      </c>
      <c r="AU23" s="186">
        <v>2.1000000000000001E-2</v>
      </c>
      <c r="AV23" s="186">
        <v>1.7999999999999999E-2</v>
      </c>
      <c r="AW23" s="191">
        <f>AW24/AW7/12</f>
        <v>2.0825121609119941E-2</v>
      </c>
      <c r="AY23" s="185">
        <v>1.7999999999999999E-2</v>
      </c>
      <c r="AZ23" s="186">
        <v>1.7000000000000001E-2</v>
      </c>
      <c r="BA23" s="186">
        <v>1.7000000000000001E-2</v>
      </c>
      <c r="BB23" s="186">
        <v>1.6E-2</v>
      </c>
      <c r="BC23" s="191">
        <f>BC24/BC7/12</f>
        <v>1.7012238636742592E-2</v>
      </c>
      <c r="BE23" s="185">
        <v>1.4999999999999999E-2</v>
      </c>
      <c r="BF23" s="186">
        <v>1.4E-2</v>
      </c>
      <c r="BG23" s="186">
        <v>1.4E-2</v>
      </c>
      <c r="BH23" s="186">
        <v>1.2999999999999999E-2</v>
      </c>
      <c r="BI23" s="191">
        <f>BI24/BI7/12</f>
        <v>1.3996475412613956E-2</v>
      </c>
      <c r="BK23" s="185">
        <v>1.2999999999999999E-2</v>
      </c>
      <c r="BL23" s="186">
        <v>1.2E-2</v>
      </c>
      <c r="BM23" s="186">
        <v>1.2E-2</v>
      </c>
      <c r="BN23" s="186">
        <v>0.02</v>
      </c>
      <c r="BO23" s="191">
        <f>BO24/BO7/12</f>
        <v>1.4267148368534625E-2</v>
      </c>
      <c r="BQ23" s="185">
        <v>1.4E-2</v>
      </c>
      <c r="BR23" s="186">
        <v>1.4E-2</v>
      </c>
      <c r="BS23" s="186">
        <v>1.4999999999999999E-2</v>
      </c>
      <c r="BT23" s="186">
        <v>1.4999999999999999E-2</v>
      </c>
      <c r="BU23" s="191">
        <f>BU24/BU7/12</f>
        <v>1.4501213003396409E-2</v>
      </c>
      <c r="BW23" s="185">
        <v>1.4E-2</v>
      </c>
      <c r="BX23" s="186">
        <v>1.4E-2</v>
      </c>
      <c r="BY23" s="186">
        <v>1.4999999999999999E-2</v>
      </c>
      <c r="BZ23" s="186">
        <v>1.4999999999999999E-2</v>
      </c>
      <c r="CA23" s="191">
        <f>CA24/CA7/12</f>
        <v>1.4500800000000001E-2</v>
      </c>
      <c r="CC23" s="185">
        <v>1.4E-2</v>
      </c>
      <c r="CD23" s="186">
        <v>1.4E-2</v>
      </c>
      <c r="CE23" s="186">
        <v>1.4999999999999999E-2</v>
      </c>
      <c r="CF23" s="186">
        <v>1.4999999999999999E-2</v>
      </c>
      <c r="CG23" s="191">
        <f>CG24/CG7/12</f>
        <v>1.4500714626012386E-2</v>
      </c>
      <c r="CI23" s="185">
        <v>1.4E-2</v>
      </c>
      <c r="CJ23" s="186">
        <v>1.4E-2</v>
      </c>
      <c r="CK23" s="186">
        <v>1.4999999999999999E-2</v>
      </c>
      <c r="CL23" s="186">
        <v>1.4999999999999999E-2</v>
      </c>
      <c r="CM23" s="191">
        <f>CM24/CM7/12</f>
        <v>1.4500710115196465E-2</v>
      </c>
      <c r="CO23" s="185">
        <v>1.4E-2</v>
      </c>
      <c r="CP23" s="186">
        <v>1.4E-2</v>
      </c>
      <c r="CQ23" s="186">
        <v>1.4999999999999999E-2</v>
      </c>
      <c r="CR23" s="186">
        <v>1.4999999999999999E-2</v>
      </c>
      <c r="CS23" s="191">
        <f>CS24/CS7/12</f>
        <v>1.4500705660969108E-2</v>
      </c>
      <c r="CU23" s="185">
        <v>1.4E-2</v>
      </c>
      <c r="CV23" s="186">
        <v>1.4E-2</v>
      </c>
      <c r="CW23" s="186">
        <v>1.4999999999999999E-2</v>
      </c>
      <c r="CX23" s="186">
        <v>1.4999999999999999E-2</v>
      </c>
      <c r="CY23" s="191">
        <f>CY24/CY7/12</f>
        <v>1.4500701262272091E-2</v>
      </c>
      <c r="DA23" s="185">
        <v>1.4E-2</v>
      </c>
      <c r="DB23" s="186">
        <v>1.4E-2</v>
      </c>
      <c r="DC23" s="186">
        <v>1.4999999999999999E-2</v>
      </c>
      <c r="DD23" s="186">
        <v>1.4999999999999999E-2</v>
      </c>
      <c r="DE23" s="191">
        <f>DE24/DE7/12</f>
        <v>1.4500696918073408E-2</v>
      </c>
      <c r="DG23" s="185">
        <v>1.4E-2</v>
      </c>
      <c r="DH23" s="186">
        <v>1.4E-2</v>
      </c>
      <c r="DI23" s="186">
        <v>1.4999999999999999E-2</v>
      </c>
      <c r="DJ23" s="186">
        <v>1.4999999999999999E-2</v>
      </c>
      <c r="DK23" s="191">
        <f>DK24/DK7/12</f>
        <v>1.4500692627366476E-2</v>
      </c>
    </row>
    <row r="24" spans="2:115" ht="15" x14ac:dyDescent="0.3">
      <c r="B24" s="40" t="s">
        <v>45</v>
      </c>
      <c r="C24" s="116">
        <f>C23*3*C7</f>
        <v>223.76400000000001</v>
      </c>
      <c r="D24" s="117">
        <f>D23*3*D7</f>
        <v>203.97</v>
      </c>
      <c r="E24" s="117">
        <f>E23*3*E7</f>
        <v>253.29599999999999</v>
      </c>
      <c r="F24" s="117">
        <f>F23*3*F7</f>
        <v>304.88400000000001</v>
      </c>
      <c r="G24" s="118">
        <f>C24+D24+E24+F24</f>
        <v>985.91399999999999</v>
      </c>
      <c r="I24" s="116">
        <f>I23*3*I7</f>
        <v>377.06250000000006</v>
      </c>
      <c r="J24" s="117">
        <f>J23*3*J7</f>
        <v>297.654</v>
      </c>
      <c r="K24" s="117">
        <f>K23*3*K7</f>
        <v>413.59500000000003</v>
      </c>
      <c r="L24" s="119">
        <f>L23*3*L7</f>
        <v>462.62250000000006</v>
      </c>
      <c r="M24" s="118">
        <f>I24+J24+K24+L24</f>
        <v>1550.9340000000002</v>
      </c>
      <c r="N24" s="114"/>
      <c r="O24" s="116">
        <f>O23*O7*3</f>
        <v>537.6930000000001</v>
      </c>
      <c r="P24" s="117">
        <f>P23*P7*3</f>
        <v>287.76599999999996</v>
      </c>
      <c r="Q24" s="117">
        <f>Q23*Q7*3</f>
        <v>375.94650000000001</v>
      </c>
      <c r="R24" s="119">
        <f>R23*R7*3</f>
        <v>1192.8210000000001</v>
      </c>
      <c r="S24" s="118">
        <f>O24+P24+Q24+R24</f>
        <v>2394.2265000000002</v>
      </c>
      <c r="U24" s="116">
        <f>U23*U7*3</f>
        <v>525.56399999999996</v>
      </c>
      <c r="V24" s="117">
        <f>V23*V7*3</f>
        <v>355.34699999999998</v>
      </c>
      <c r="W24" s="117">
        <f>W23*W7*3</f>
        <v>331.61250000000001</v>
      </c>
      <c r="X24" s="119">
        <f>X23*X7*3</f>
        <v>337.01250000000005</v>
      </c>
      <c r="Y24" s="118">
        <f>U24+V24+W24+X24</f>
        <v>1549.5360000000001</v>
      </c>
      <c r="AA24" s="116">
        <f>AA23*AA7*3</f>
        <v>360.51599999999996</v>
      </c>
      <c r="AB24" s="117">
        <f>AB23*AB7*3</f>
        <v>358.01250000000005</v>
      </c>
      <c r="AC24" s="117">
        <f>AC23*AC7*3</f>
        <v>395.44200000000001</v>
      </c>
      <c r="AD24" s="119">
        <f>AD23*AD7*3</f>
        <v>428.214</v>
      </c>
      <c r="AE24" s="118">
        <f>AA24+AB24+AC24+AD24</f>
        <v>1542.1844999999998</v>
      </c>
      <c r="AG24" s="116">
        <f>AG23*AG7*3</f>
        <v>424.77750000000003</v>
      </c>
      <c r="AH24" s="117">
        <f>AH23*AH7*3</f>
        <v>460.79999999999995</v>
      </c>
      <c r="AI24" s="117">
        <f>AI23*AI7*3</f>
        <v>356.4375</v>
      </c>
      <c r="AJ24" s="119">
        <f>AJ23*AJ7*3</f>
        <v>398.202</v>
      </c>
      <c r="AK24" s="118">
        <f>AG24+AH24+AI24+AJ24</f>
        <v>1640.2169999999999</v>
      </c>
      <c r="AM24" s="116">
        <f>AM23*AM7*3</f>
        <v>420.39</v>
      </c>
      <c r="AN24" s="117">
        <f>AN23*AN7*3</f>
        <v>371.91149999999999</v>
      </c>
      <c r="AO24" s="117">
        <f>AO23*AO7*3</f>
        <v>354.70499999999998</v>
      </c>
      <c r="AP24" s="119">
        <f>AP23*AP7*3</f>
        <v>336.5625</v>
      </c>
      <c r="AQ24" s="118">
        <f>AM24+AN24+AO24+AP24</f>
        <v>1483.569</v>
      </c>
      <c r="AS24" s="116">
        <f>AS23*AS7*3</f>
        <v>316.22399999999999</v>
      </c>
      <c r="AT24" s="117">
        <f>AT23*AT7*3</f>
        <v>258.60000000000002</v>
      </c>
      <c r="AU24" s="117">
        <f>AU23*AU7*3</f>
        <v>259.5915</v>
      </c>
      <c r="AV24" s="117">
        <f>AV23*AV7*3</f>
        <v>212.32799999999997</v>
      </c>
      <c r="AW24" s="118">
        <f>AS24+AT24+AU24+AV24</f>
        <v>1046.7435</v>
      </c>
      <c r="AY24" s="116">
        <f>AY23*AY7*3</f>
        <v>208.70999999999998</v>
      </c>
      <c r="AZ24" s="117">
        <f>AZ23*AZ7*3</f>
        <v>191.73450000000003</v>
      </c>
      <c r="BA24" s="117">
        <f>BA23*BA7*3</f>
        <v>188.06250000000003</v>
      </c>
      <c r="BB24" s="117">
        <f>BB23*BB7*3</f>
        <v>176.71200000000002</v>
      </c>
      <c r="BC24" s="118">
        <f>AY24+AZ24+BA24+BB24</f>
        <v>765.21900000000005</v>
      </c>
      <c r="BE24" s="116">
        <f>BE23*BE7*3</f>
        <v>165.26249999999999</v>
      </c>
      <c r="BF24" s="117">
        <f>BF23*BF7*3</f>
        <v>154.119</v>
      </c>
      <c r="BG24" s="117">
        <f>BG23*BG7*3</f>
        <v>154.85400000000001</v>
      </c>
      <c r="BH24" s="117">
        <f>BH23*BH7*3</f>
        <v>145.25549999999998</v>
      </c>
      <c r="BI24" s="118">
        <f>BE24+BF24+BG24+BH24</f>
        <v>619.49099999999999</v>
      </c>
      <c r="BK24" s="116">
        <f>BK23*BK7*3</f>
        <v>146.9325</v>
      </c>
      <c r="BL24" s="117">
        <f>BL23*BL7*3</f>
        <v>137.142</v>
      </c>
      <c r="BM24" s="117">
        <f>BM23*BM7*3</f>
        <v>138.70800000000003</v>
      </c>
      <c r="BN24" s="117">
        <f>BN23*BN7*3</f>
        <v>231.78000000000003</v>
      </c>
      <c r="BO24" s="118">
        <f>BK24+BL24+BM24+BN24</f>
        <v>654.5625</v>
      </c>
      <c r="BQ24" s="116">
        <f>BQ23*BQ7*3</f>
        <v>161.80500000000001</v>
      </c>
      <c r="BR24" s="117">
        <f>BR23*BR7*3</f>
        <v>162.01500000000001</v>
      </c>
      <c r="BS24" s="117">
        <f>BS23*BS7*3</f>
        <v>173.92499999999998</v>
      </c>
      <c r="BT24" s="119">
        <f>BT23*BT7*3</f>
        <v>174.71249999999998</v>
      </c>
      <c r="BU24" s="118">
        <f>BQ24+BR24+BS24+BT24</f>
        <v>672.45749999999998</v>
      </c>
      <c r="BW24" s="116">
        <f>BW23*BW7*3</f>
        <v>163.69499999999999</v>
      </c>
      <c r="BX24" s="117">
        <f>BX23*BX7*3</f>
        <v>163.905</v>
      </c>
      <c r="BY24" s="117">
        <f>BY23*BY7*3</f>
        <v>175.83749999999998</v>
      </c>
      <c r="BZ24" s="119">
        <f>BZ23*BZ7*3</f>
        <v>176.28749999999999</v>
      </c>
      <c r="CA24" s="118">
        <f>BW24+BX24+BY24+BZ24</f>
        <v>679.72500000000002</v>
      </c>
      <c r="CC24" s="116">
        <f>CC23*CC7*3</f>
        <v>164.95499999999998</v>
      </c>
      <c r="CD24" s="117">
        <f>CD23*CD7*3</f>
        <v>165.16499999999999</v>
      </c>
      <c r="CE24" s="117">
        <f>CE23*CE7*3</f>
        <v>177.1875</v>
      </c>
      <c r="CF24" s="119">
        <f>CF23*CF7*3</f>
        <v>177.52499999999998</v>
      </c>
      <c r="CG24" s="118">
        <f>CC24+CD24+CE24+CF24</f>
        <v>684.83249999999998</v>
      </c>
      <c r="CI24" s="116">
        <f>CI23*CI7*3</f>
        <v>166.005</v>
      </c>
      <c r="CJ24" s="117">
        <f>CJ23*CJ7*3</f>
        <v>166.215</v>
      </c>
      <c r="CK24" s="117">
        <f>CK23*CK7*3</f>
        <v>178.3125</v>
      </c>
      <c r="CL24" s="119">
        <f>CL23*CL7*3</f>
        <v>178.64999999999998</v>
      </c>
      <c r="CM24" s="118">
        <f>CI24+CJ24+CK24+CL24</f>
        <v>689.1825</v>
      </c>
      <c r="CO24" s="116">
        <f>CO23*CO7*3</f>
        <v>167.05500000000001</v>
      </c>
      <c r="CP24" s="117">
        <f>CP23*CP7*3</f>
        <v>167.26500000000001</v>
      </c>
      <c r="CQ24" s="117">
        <f>CQ23*CQ7*3</f>
        <v>179.4375</v>
      </c>
      <c r="CR24" s="119">
        <f>CR23*CR7*3</f>
        <v>179.77499999999998</v>
      </c>
      <c r="CS24" s="118">
        <f>CO24+CP24+CQ24+CR24</f>
        <v>693.53250000000003</v>
      </c>
      <c r="CU24" s="116">
        <f>CU23*CU7*3</f>
        <v>168.10500000000002</v>
      </c>
      <c r="CV24" s="117">
        <f>CV23*CV7*3</f>
        <v>168.315</v>
      </c>
      <c r="CW24" s="117">
        <f>CW23*CW7*3</f>
        <v>180.5625</v>
      </c>
      <c r="CX24" s="119">
        <f>CX23*CX7*3</f>
        <v>180.89999999999998</v>
      </c>
      <c r="CY24" s="118">
        <f>CU24+CV24+CW24+CX24</f>
        <v>697.88250000000005</v>
      </c>
      <c r="DA24" s="116">
        <f>DA23*DA7*3</f>
        <v>169.155</v>
      </c>
      <c r="DB24" s="117">
        <f>DB23*DB7*3</f>
        <v>169.36500000000001</v>
      </c>
      <c r="DC24" s="117">
        <f>DC23*DC7*3</f>
        <v>181.6875</v>
      </c>
      <c r="DD24" s="119">
        <f>DD23*DD7*3</f>
        <v>182.02499999999998</v>
      </c>
      <c r="DE24" s="118">
        <f>DA24+DB24+DC24+DD24</f>
        <v>702.23249999999996</v>
      </c>
      <c r="DG24" s="116">
        <f>DG23*DG7*3</f>
        <v>170.20499999999998</v>
      </c>
      <c r="DH24" s="117">
        <f>DH23*DH7*3</f>
        <v>170.41499999999999</v>
      </c>
      <c r="DI24" s="117">
        <f>DI23*DI7*3</f>
        <v>182.8125</v>
      </c>
      <c r="DJ24" s="119">
        <f>DJ23*DJ7*3</f>
        <v>183.14999999999998</v>
      </c>
      <c r="DK24" s="118">
        <f>DG24+DH24+DI24+DJ24</f>
        <v>706.58249999999998</v>
      </c>
    </row>
    <row r="25" spans="2:115" ht="15" x14ac:dyDescent="0.3">
      <c r="B25" s="40" t="s">
        <v>42</v>
      </c>
      <c r="C25" s="116">
        <f>C24+C5</f>
        <v>263.76400000000001</v>
      </c>
      <c r="D25" s="117">
        <f>D24+D5</f>
        <v>249.97</v>
      </c>
      <c r="E25" s="117">
        <f>E24+E5</f>
        <v>254.29599999999999</v>
      </c>
      <c r="F25" s="117">
        <f>F24+25</f>
        <v>329.88400000000001</v>
      </c>
      <c r="G25" s="118">
        <f>C25+D25+E25+F25</f>
        <v>1097.914</v>
      </c>
      <c r="I25" s="116">
        <f>I24+I5</f>
        <v>654.0625</v>
      </c>
      <c r="J25" s="117">
        <f>J24+J5</f>
        <v>409.654</v>
      </c>
      <c r="K25" s="117">
        <f>K24+K5</f>
        <v>462.59500000000003</v>
      </c>
      <c r="L25" s="119">
        <f>L24+L5</f>
        <v>443.62250000000006</v>
      </c>
      <c r="M25" s="118">
        <f>I25+J25+K25+L25</f>
        <v>1969.9340000000002</v>
      </c>
      <c r="O25" s="116">
        <f>O24</f>
        <v>537.6930000000001</v>
      </c>
      <c r="P25" s="117">
        <f>P24+P5</f>
        <v>475.76599999999996</v>
      </c>
      <c r="Q25" s="117">
        <f>Q24+Q5</f>
        <v>426.94650000000001</v>
      </c>
      <c r="R25" s="119">
        <f>Q25</f>
        <v>426.94650000000001</v>
      </c>
      <c r="S25" s="118">
        <f>O25+P25+Q25+R25</f>
        <v>1867.3520000000001</v>
      </c>
      <c r="U25" s="116">
        <f>U24+200</f>
        <v>725.56399999999996</v>
      </c>
      <c r="V25" s="117">
        <f>V24+V5</f>
        <v>345.34699999999998</v>
      </c>
      <c r="W25" s="117">
        <f>W24+W5</f>
        <v>410.61250000000001</v>
      </c>
      <c r="X25" s="119">
        <f>X24+X5</f>
        <v>402.01250000000005</v>
      </c>
      <c r="Y25" s="118">
        <f>U25+V25+W25+X25</f>
        <v>1883.5360000000001</v>
      </c>
      <c r="AA25" s="116">
        <f>AA24+AA5</f>
        <v>552.51599999999996</v>
      </c>
      <c r="AB25" s="117">
        <f>AB24+AB5</f>
        <v>469.01250000000005</v>
      </c>
      <c r="AC25" s="117">
        <f>AC24+AC5</f>
        <v>501.44200000000001</v>
      </c>
      <c r="AD25" s="119">
        <f>AD24+AD5</f>
        <v>402.214</v>
      </c>
      <c r="AE25" s="118">
        <f>AA25+AB25+AC25+AD25</f>
        <v>1925.1844999999998</v>
      </c>
      <c r="AG25" s="116">
        <f>AG24+AG5</f>
        <v>371.77750000000003</v>
      </c>
      <c r="AH25" s="117">
        <f>AH24+AH5</f>
        <v>348.79999999999995</v>
      </c>
      <c r="AI25" s="117">
        <f>AI24+AI5</f>
        <v>373.4375</v>
      </c>
      <c r="AJ25" s="119">
        <f>AJ24+AJ5</f>
        <v>357.202</v>
      </c>
      <c r="AK25" s="118">
        <f>AG25+AH25+AI25+AJ25</f>
        <v>1451.2169999999999</v>
      </c>
      <c r="AM25" s="116">
        <f>AM24+AM5</f>
        <v>322.39</v>
      </c>
      <c r="AN25" s="117">
        <f>AN24+AN5</f>
        <v>310.91149999999999</v>
      </c>
      <c r="AO25" s="117">
        <f>AO24+AO5</f>
        <v>327.70499999999998</v>
      </c>
      <c r="AP25" s="119">
        <f>AP24+AP5</f>
        <v>243.5625</v>
      </c>
      <c r="AQ25" s="118">
        <f>AM25+AN25+AO25+AP25</f>
        <v>1204.569</v>
      </c>
      <c r="AS25" s="116">
        <f>AS24+AS5</f>
        <v>218.22399999999999</v>
      </c>
      <c r="AT25" s="117">
        <f>AT24</f>
        <v>258.60000000000002</v>
      </c>
      <c r="AU25" s="117">
        <f>AU24</f>
        <v>259.5915</v>
      </c>
      <c r="AV25" s="117">
        <f>AU25</f>
        <v>259.5915</v>
      </c>
      <c r="AW25" s="118">
        <f>AS25+AT25+AU25+AV25</f>
        <v>996.00700000000006</v>
      </c>
      <c r="AY25" s="116">
        <f>AY24</f>
        <v>208.70999999999998</v>
      </c>
      <c r="AZ25" s="117">
        <f>AZ24</f>
        <v>191.73450000000003</v>
      </c>
      <c r="BA25" s="117">
        <f>BA24</f>
        <v>188.06250000000003</v>
      </c>
      <c r="BB25" s="117">
        <f>BB24</f>
        <v>176.71200000000002</v>
      </c>
      <c r="BC25" s="118">
        <f>AY25+AZ25+BA25+BB25</f>
        <v>765.21900000000005</v>
      </c>
      <c r="BE25" s="116">
        <f>BE24</f>
        <v>165.26249999999999</v>
      </c>
      <c r="BF25" s="117">
        <f>BF24</f>
        <v>154.119</v>
      </c>
      <c r="BG25" s="117">
        <f>BG24</f>
        <v>154.85400000000001</v>
      </c>
      <c r="BH25" s="117">
        <f>BH24</f>
        <v>145.25549999999998</v>
      </c>
      <c r="BI25" s="118">
        <f>BE25+BF25+BG25+BH25</f>
        <v>619.49099999999999</v>
      </c>
      <c r="BK25" s="116">
        <f>BK24</f>
        <v>146.9325</v>
      </c>
      <c r="BL25" s="117">
        <f>BL24</f>
        <v>137.142</v>
      </c>
      <c r="BM25" s="117">
        <f>BM24</f>
        <v>138.70800000000003</v>
      </c>
      <c r="BN25" s="117">
        <f>BN24</f>
        <v>231.78000000000003</v>
      </c>
      <c r="BO25" s="118">
        <f>BK25+BL25+BM25+BN25</f>
        <v>654.5625</v>
      </c>
      <c r="BQ25" s="116">
        <f>BQ24+BQ5</f>
        <v>166.80500000000001</v>
      </c>
      <c r="BR25" s="117">
        <f>BR24+BR5</f>
        <v>167.01500000000001</v>
      </c>
      <c r="BS25" s="117">
        <f>BS24+BS5</f>
        <v>183.92499999999998</v>
      </c>
      <c r="BT25" s="119">
        <f>BT24+BT5</f>
        <v>199.71249999999998</v>
      </c>
      <c r="BU25" s="118">
        <f>BQ25+BR25+BS25+BT25</f>
        <v>717.45749999999998</v>
      </c>
      <c r="BW25" s="116">
        <f>BW24+BW5</f>
        <v>168.69499999999999</v>
      </c>
      <c r="BX25" s="117">
        <f>BX24+BX5</f>
        <v>168.905</v>
      </c>
      <c r="BY25" s="117">
        <f>BY24+BY5</f>
        <v>180.83749999999998</v>
      </c>
      <c r="BZ25" s="119">
        <f>BZ24+BZ5</f>
        <v>191.28749999999999</v>
      </c>
      <c r="CA25" s="118">
        <f>BW25+BX25+BY25+BZ25</f>
        <v>709.72500000000002</v>
      </c>
      <c r="CC25" s="116">
        <f>CC24+CC5</f>
        <v>169.95499999999998</v>
      </c>
      <c r="CD25" s="117">
        <f>CD24+CD5</f>
        <v>170.16499999999999</v>
      </c>
      <c r="CE25" s="117">
        <f>CE24+CE5</f>
        <v>182.1875</v>
      </c>
      <c r="CF25" s="119">
        <f>CF24+CF5</f>
        <v>187.52499999999998</v>
      </c>
      <c r="CG25" s="118">
        <f>CC25+CD25+CE25+CF25</f>
        <v>709.83249999999998</v>
      </c>
      <c r="CI25" s="116">
        <f>CI24+CI5</f>
        <v>171.005</v>
      </c>
      <c r="CJ25" s="117">
        <f>CJ24+CJ5</f>
        <v>171.215</v>
      </c>
      <c r="CK25" s="117">
        <f>CK24+CK5</f>
        <v>183.3125</v>
      </c>
      <c r="CL25" s="119">
        <f>CL24+CL5</f>
        <v>188.64999999999998</v>
      </c>
      <c r="CM25" s="118">
        <f>CI25+CJ25+CK25+CL25</f>
        <v>714.1825</v>
      </c>
      <c r="CO25" s="116">
        <f>CO24+CO5</f>
        <v>172.05500000000001</v>
      </c>
      <c r="CP25" s="117">
        <f>CP24+CP5</f>
        <v>172.26500000000001</v>
      </c>
      <c r="CQ25" s="117">
        <f>CQ24+CQ5</f>
        <v>184.4375</v>
      </c>
      <c r="CR25" s="119">
        <f>CR24+CR5</f>
        <v>189.77499999999998</v>
      </c>
      <c r="CS25" s="118">
        <f>CO25+CP25+CQ25+CR25</f>
        <v>718.53250000000003</v>
      </c>
      <c r="CU25" s="116">
        <f>CU24+CU5</f>
        <v>173.10500000000002</v>
      </c>
      <c r="CV25" s="117">
        <f>CV24+CV5</f>
        <v>173.315</v>
      </c>
      <c r="CW25" s="117">
        <f>CW24+CW5</f>
        <v>185.5625</v>
      </c>
      <c r="CX25" s="119">
        <f>CX24+CX5</f>
        <v>190.89999999999998</v>
      </c>
      <c r="CY25" s="118">
        <f>CU25+CV25+CW25+CX25</f>
        <v>722.88250000000005</v>
      </c>
      <c r="DA25" s="116">
        <f>DA24+DA5</f>
        <v>174.155</v>
      </c>
      <c r="DB25" s="117">
        <f>DB24+DB5</f>
        <v>174.36500000000001</v>
      </c>
      <c r="DC25" s="117">
        <f>DC24+DC5</f>
        <v>186.6875</v>
      </c>
      <c r="DD25" s="119">
        <f>DD24+DD5</f>
        <v>192.02499999999998</v>
      </c>
      <c r="DE25" s="118">
        <f>DA25+DB25+DC25+DD25</f>
        <v>727.23249999999996</v>
      </c>
      <c r="DG25" s="116">
        <f>DG24+DG5</f>
        <v>175.20499999999998</v>
      </c>
      <c r="DH25" s="117">
        <f>DH24+DH5</f>
        <v>175.41499999999999</v>
      </c>
      <c r="DI25" s="117">
        <f>DI24+DI5</f>
        <v>187.8125</v>
      </c>
      <c r="DJ25" s="119">
        <f>DJ24+DJ5</f>
        <v>193.14999999999998</v>
      </c>
      <c r="DK25" s="118">
        <f>DG25+DH25+DI25+DJ25</f>
        <v>731.58249999999998</v>
      </c>
    </row>
    <row r="26" spans="2:115" s="135" customFormat="1" ht="15" x14ac:dyDescent="0.3">
      <c r="B26" s="39" t="s">
        <v>43</v>
      </c>
      <c r="C26" s="188">
        <f>C29*1000/C25</f>
        <v>68.242823129767515</v>
      </c>
      <c r="D26" s="189">
        <f>D29*1000/D25</f>
        <v>72.008641036924431</v>
      </c>
      <c r="E26" s="189">
        <f>E29*1000/E25</f>
        <v>82.580929310724514</v>
      </c>
      <c r="F26" s="190">
        <f>F29*1000/F25</f>
        <v>115.19200688726946</v>
      </c>
      <c r="G26" s="192">
        <f>G29*1000/G25</f>
        <v>86.527724393713896</v>
      </c>
      <c r="H26" s="134"/>
      <c r="I26" s="188">
        <f>I29*1000/I25</f>
        <v>50.453893932154799</v>
      </c>
      <c r="J26" s="189">
        <f>J29*1000/J25</f>
        <v>107.40771480322418</v>
      </c>
      <c r="K26" s="189">
        <f>K29*1000/K25</f>
        <v>192.39291388795814</v>
      </c>
      <c r="L26" s="190">
        <f>L29*1000/L25</f>
        <v>184.84184188132926</v>
      </c>
      <c r="M26" s="192">
        <f>M29*1000/M25</f>
        <v>125.89254259279751</v>
      </c>
      <c r="N26" s="134"/>
      <c r="O26" s="188">
        <f>O29*1000/O25</f>
        <v>174.82094801308551</v>
      </c>
      <c r="P26" s="189">
        <f>P29*1000/P25</f>
        <v>199.67799296292716</v>
      </c>
      <c r="Q26" s="189">
        <f>Q29*1000/Q25</f>
        <v>196.74596231612156</v>
      </c>
      <c r="R26" s="190">
        <f>R29*1000/R25</f>
        <v>178.00825161934807</v>
      </c>
      <c r="S26" s="192">
        <f>S29*1000/S25</f>
        <v>186.89566830463673</v>
      </c>
      <c r="T26" s="134"/>
      <c r="U26" s="188">
        <f>U29*1000/U25</f>
        <v>103.36786279363365</v>
      </c>
      <c r="V26" s="189">
        <f>V29*1000/V25</f>
        <v>188.21648950186335</v>
      </c>
      <c r="W26" s="189">
        <f>W29*1000/W25</f>
        <v>192.39550671253309</v>
      </c>
      <c r="X26" s="189">
        <f>X29*1000/X25</f>
        <v>166.66148440657938</v>
      </c>
      <c r="Y26" s="192">
        <f>Y29*1000/Y25</f>
        <v>151.84206726072662</v>
      </c>
      <c r="AA26" s="188">
        <f>AA29*1000/AA25</f>
        <v>137.55257766290933</v>
      </c>
      <c r="AB26" s="189">
        <f>AB29*1000/AB25</f>
        <v>168.43900748913939</v>
      </c>
      <c r="AC26" s="189">
        <f>AC29*1000/AC25</f>
        <v>139.59740109524131</v>
      </c>
      <c r="AD26" s="189">
        <f>AD29*1000/AD25</f>
        <v>203.87157085531584</v>
      </c>
      <c r="AE26" s="192">
        <f>AE29*1000/AE25</f>
        <v>159.46523566962026</v>
      </c>
      <c r="AG26" s="188">
        <f>AG29*1000/AG25</f>
        <v>215.18246800841899</v>
      </c>
      <c r="AH26" s="189">
        <f>AH29*1000/AH25</f>
        <v>189.22018348623857</v>
      </c>
      <c r="AI26" s="189">
        <f>AI29*1000/AI25</f>
        <v>190.12552301255229</v>
      </c>
      <c r="AJ26" s="189">
        <f>AJ29*1000/AJ25</f>
        <v>226.76244813858824</v>
      </c>
      <c r="AK26" s="192">
        <f>AK29*1000/AK25</f>
        <v>205.34489328611781</v>
      </c>
      <c r="AM26" s="188">
        <f>AM29*1000/AM25</f>
        <v>254.3503210397345</v>
      </c>
      <c r="AN26" s="189">
        <f>AN29*1000/AN25</f>
        <v>273.38969449505726</v>
      </c>
      <c r="AO26" s="189">
        <f>AO29*1000/AO25</f>
        <v>268.53419996643322</v>
      </c>
      <c r="AP26" s="189">
        <f>AP29*1000/AP25</f>
        <v>574.80112907364639</v>
      </c>
      <c r="AQ26" s="192">
        <f>AQ29*1000/AQ25</f>
        <v>327.91811843074163</v>
      </c>
      <c r="AS26" s="188">
        <f>AS29*1000/AS25</f>
        <v>412.42026541535307</v>
      </c>
      <c r="AT26" s="189">
        <f>AT29*1000/AT25</f>
        <v>301.62412993039442</v>
      </c>
      <c r="AU26" s="189">
        <f>AU29*1000/AU25</f>
        <v>312.02870664101096</v>
      </c>
      <c r="AV26" s="189">
        <f>AV29*1000/AV25</f>
        <v>369.81180046342041</v>
      </c>
      <c r="AW26" s="192">
        <f>AW29*1000/AW25</f>
        <v>346.3831077492427</v>
      </c>
      <c r="AY26" s="188">
        <f>AY29*1000/AY25</f>
        <v>426.42901633846009</v>
      </c>
      <c r="AZ26" s="189">
        <f>AZ29*1000/AZ25</f>
        <v>558.06336366173002</v>
      </c>
      <c r="BA26" s="189">
        <f>BA29*1000/BA25</f>
        <v>473.24692588899961</v>
      </c>
      <c r="BB26" s="189">
        <f>BB29*1000/BB25</f>
        <v>605.50500248992705</v>
      </c>
      <c r="BC26" s="192">
        <f>BC29*1000/BC25</f>
        <v>512.27165033800782</v>
      </c>
      <c r="BE26" s="188">
        <f>BE29*1000/BE25</f>
        <v>580.89403222146586</v>
      </c>
      <c r="BF26" s="189">
        <f>BF29*1000/BF25</f>
        <v>603.42981721916181</v>
      </c>
      <c r="BG26" s="189">
        <f>BG29*1000/BG25</f>
        <v>645.76956358892892</v>
      </c>
      <c r="BH26" s="189">
        <f>BH29*1000/BH25</f>
        <v>867.437033365346</v>
      </c>
      <c r="BI26" s="192">
        <f>BI29*1000/BI25</f>
        <v>669.90480894799123</v>
      </c>
      <c r="BK26" s="188">
        <f>BK29*1000/BK25</f>
        <v>782.6723155190308</v>
      </c>
      <c r="BL26" s="189">
        <f>BL29*1000/BL25</f>
        <v>853.13033206457544</v>
      </c>
      <c r="BM26" s="189">
        <f>BM29*1000/BM25</f>
        <v>771.40467745191324</v>
      </c>
      <c r="BN26" s="189">
        <f>BN29*1000/BN25</f>
        <v>556.56225731296911</v>
      </c>
      <c r="BO26" s="192">
        <f>BO29*1000/BO25</f>
        <v>714.98138069321112</v>
      </c>
      <c r="BQ26" s="188">
        <f>BK26*(1+BQ27)</f>
        <v>704.40508396712778</v>
      </c>
      <c r="BR26" s="189">
        <f>BL26*(1+BR27)</f>
        <v>703.83252395327474</v>
      </c>
      <c r="BS26" s="189">
        <f>BM26*(1+BS27)</f>
        <v>578.5535080889349</v>
      </c>
      <c r="BT26" s="190">
        <f>BN26*(1+BT27)</f>
        <v>653.96065234273874</v>
      </c>
      <c r="BU26" s="192">
        <f>BU29*1000/BU25</f>
        <v>657.96712665969699</v>
      </c>
      <c r="BW26" s="188">
        <f>BQ26*(1+BW27)</f>
        <v>704.40508396712778</v>
      </c>
      <c r="BX26" s="189">
        <f>BR26*(1+BX27)</f>
        <v>703.83252395327474</v>
      </c>
      <c r="BY26" s="189">
        <f>BS26*(1+BY27)</f>
        <v>593.01734579115828</v>
      </c>
      <c r="BZ26" s="190">
        <f>BT26*(1+BZ27)</f>
        <v>686.6586849598757</v>
      </c>
      <c r="CA26" s="192">
        <f>CA29*1000/CA25</f>
        <v>671.10422426564276</v>
      </c>
      <c r="CC26" s="188">
        <f>BW26*(1+CC27)</f>
        <v>704.40508396712778</v>
      </c>
      <c r="CD26" s="189">
        <f>BX26*(1+CD27)</f>
        <v>703.83252395327474</v>
      </c>
      <c r="CE26" s="189">
        <f>BY26*(1+CE27)</f>
        <v>593.01734579115828</v>
      </c>
      <c r="CF26" s="190">
        <f>BZ26*(1+CF27)</f>
        <v>686.6586849598757</v>
      </c>
      <c r="CG26" s="192">
        <f>CG29*1000/CG25</f>
        <v>670.99047319976125</v>
      </c>
      <c r="CI26" s="188">
        <f>CC26*(1+CI27)</f>
        <v>711.44913480679907</v>
      </c>
      <c r="CJ26" s="189">
        <f>CD26*(1+CJ27)</f>
        <v>710.87084919280755</v>
      </c>
      <c r="CK26" s="189">
        <f>CE26*(1+CK27)</f>
        <v>598.94751924906984</v>
      </c>
      <c r="CL26" s="190">
        <f>CF26*(1+CL27)</f>
        <v>693.52527180947448</v>
      </c>
      <c r="CM26" s="192">
        <f>CM29*1000/CM25</f>
        <v>677.69963754556534</v>
      </c>
      <c r="CO26" s="188">
        <f>CI26*(1+CO27)</f>
        <v>718.56362615486705</v>
      </c>
      <c r="CP26" s="189">
        <f>CJ26*(1+CP27)</f>
        <v>717.9795576847356</v>
      </c>
      <c r="CQ26" s="189">
        <f>CK26*(1+CQ27)</f>
        <v>604.9369944415605</v>
      </c>
      <c r="CR26" s="190">
        <f>CL26*(1+CR27)</f>
        <v>700.46052452756919</v>
      </c>
      <c r="CS26" s="192">
        <f>CS29*1000/CS25</f>
        <v>684.47589518521625</v>
      </c>
      <c r="CU26" s="188">
        <f>CO26*(1+CU27)</f>
        <v>725.74926241641572</v>
      </c>
      <c r="CV26" s="189">
        <f>CP26*(1+CV27)</f>
        <v>725.15935326158296</v>
      </c>
      <c r="CW26" s="189">
        <f>CQ26*(1+CW27)</f>
        <v>610.98636438597612</v>
      </c>
      <c r="CX26" s="190">
        <f>CR26*(1+CX27)</f>
        <v>707.46512977284488</v>
      </c>
      <c r="CY26" s="192">
        <f>CY29*1000/CY25</f>
        <v>691.31991699361049</v>
      </c>
      <c r="DA26" s="188">
        <f>CU26*(1+DA27)</f>
        <v>733.00675504057983</v>
      </c>
      <c r="DB26" s="189">
        <f>CV26*(1+DB27)</f>
        <v>732.41094679419882</v>
      </c>
      <c r="DC26" s="189">
        <f>CW26*(1+DC27)</f>
        <v>617.09622802983586</v>
      </c>
      <c r="DD26" s="190">
        <f>CX26*(1+DD27)</f>
        <v>714.53978107057333</v>
      </c>
      <c r="DE26" s="192">
        <f>DE29*1000/DE25</f>
        <v>698.23238055540628</v>
      </c>
      <c r="DG26" s="188">
        <f>DA26*(1+DG27)</f>
        <v>740.33682259098566</v>
      </c>
      <c r="DH26" s="189">
        <f>DB26*(1+DH27)</f>
        <v>739.7350562621408</v>
      </c>
      <c r="DI26" s="189">
        <f>DC26*(1+DI27)</f>
        <v>623.2671903101342</v>
      </c>
      <c r="DJ26" s="190">
        <f>DD26*(1+DJ27)</f>
        <v>721.68517888127906</v>
      </c>
      <c r="DK26" s="192">
        <f>DK29*1000/DK25</f>
        <v>705.21397023209033</v>
      </c>
    </row>
    <row r="27" spans="2:115" ht="15.75" thickBot="1" x14ac:dyDescent="0.35">
      <c r="B27" s="41" t="s">
        <v>23</v>
      </c>
      <c r="C27" s="155" t="s">
        <v>35</v>
      </c>
      <c r="D27" s="106" t="s">
        <v>35</v>
      </c>
      <c r="E27" s="106" t="s">
        <v>35</v>
      </c>
      <c r="F27" s="154" t="s">
        <v>35</v>
      </c>
      <c r="G27" s="108" t="s">
        <v>35</v>
      </c>
      <c r="I27" s="109">
        <f>I26/C26-1</f>
        <v>-0.26067106227106229</v>
      </c>
      <c r="J27" s="110">
        <f>J26/D26-1</f>
        <v>0.49159480385344168</v>
      </c>
      <c r="K27" s="110">
        <f>K26/E26-1</f>
        <v>1.3297499252405811</v>
      </c>
      <c r="L27" s="120">
        <f>L26/F26-1</f>
        <v>0.6046412149258007</v>
      </c>
      <c r="M27" s="122">
        <f>M26/G26-1</f>
        <v>0.45493878956030209</v>
      </c>
      <c r="O27" s="109">
        <f>O26/I26-1</f>
        <v>2.4649644336305681</v>
      </c>
      <c r="P27" s="110">
        <f>P26/J26-1</f>
        <v>0.85906564839170385</v>
      </c>
      <c r="Q27" s="110">
        <f>Q26/K26-1</f>
        <v>2.2625825141868061E-2</v>
      </c>
      <c r="R27" s="120">
        <f>R26/L26-1</f>
        <v>-3.6969931658484723E-2</v>
      </c>
      <c r="S27" s="122">
        <f>S26/M26-1</f>
        <v>0.48456504615333174</v>
      </c>
      <c r="U27" s="109">
        <f>U26/O26-1</f>
        <v>-0.40872152926492278</v>
      </c>
      <c r="V27" s="110">
        <f>V26/P26-1</f>
        <v>-5.7399933217436749E-2</v>
      </c>
      <c r="W27" s="110">
        <f>W26/Q26-1</f>
        <v>-2.2112045159017657E-2</v>
      </c>
      <c r="X27" s="110">
        <f>X26/R26-1</f>
        <v>-6.3742928260609899E-2</v>
      </c>
      <c r="Y27" s="122">
        <f>Y26/S26-1</f>
        <v>-0.1875570544886751</v>
      </c>
      <c r="AA27" s="109">
        <f>AA26/U26-1</f>
        <v>0.33070931279214855</v>
      </c>
      <c r="AB27" s="110">
        <f>AB26/V26-1</f>
        <v>-0.10507837047151047</v>
      </c>
      <c r="AC27" s="110">
        <f>AC26/W26-1</f>
        <v>-0.27442483725038258</v>
      </c>
      <c r="AD27" s="110">
        <f>AD26/X26-1</f>
        <v>0.22326746087272631</v>
      </c>
      <c r="AE27" s="122">
        <f>AE26/Y26-1</f>
        <v>5.0204587874873807E-2</v>
      </c>
      <c r="AG27" s="109">
        <f>AG26/AA26-1</f>
        <v>0.56436521702815279</v>
      </c>
      <c r="AH27" s="110">
        <f>AH26/AB26-1</f>
        <v>0.12337507983974039</v>
      </c>
      <c r="AI27" s="110">
        <f>AI26/AC26-1</f>
        <v>0.36195603586371794</v>
      </c>
      <c r="AJ27" s="110">
        <f>AJ26/AD26-1</f>
        <v>0.1122808697026112</v>
      </c>
      <c r="AK27" s="122">
        <f>AK26/AE26-1</f>
        <v>0.28770946484882098</v>
      </c>
      <c r="AM27" s="109">
        <f>AM26/AG26-1</f>
        <v>0.18202158100437371</v>
      </c>
      <c r="AN27" s="110">
        <f>AN26/AH26-1</f>
        <v>0.44482311272539321</v>
      </c>
      <c r="AO27" s="110">
        <f>AO26/AI26-1</f>
        <v>0.4124047929572523</v>
      </c>
      <c r="AP27" s="110">
        <f>AP26/AJ26-1</f>
        <v>1.5348162087328969</v>
      </c>
      <c r="AQ27" s="122">
        <f>AQ26/AK26-1</f>
        <v>0.59691391971377694</v>
      </c>
      <c r="AS27" s="109">
        <f>AS26/AM26-1</f>
        <v>0.62146548008848379</v>
      </c>
      <c r="AT27" s="110">
        <f>AT26/AN26-1</f>
        <v>0.10327541968063336</v>
      </c>
      <c r="AU27" s="110">
        <f>AU26/AO26-1</f>
        <v>0.16197008306582372</v>
      </c>
      <c r="AV27" s="110">
        <f>AV26/AP26-1</f>
        <v>-0.35662652392591543</v>
      </c>
      <c r="AW27" s="122">
        <f>AW26/AQ26-1</f>
        <v>5.6309756249107723E-2</v>
      </c>
      <c r="AY27" s="109">
        <f>AY26/AS26-1</f>
        <v>3.3967174016045654E-2</v>
      </c>
      <c r="AZ27" s="110">
        <f>AZ26/AT26-1</f>
        <v>0.85019469029388972</v>
      </c>
      <c r="BA27" s="110">
        <f>BA26/AU26-1</f>
        <v>0.51667752298659564</v>
      </c>
      <c r="BB27" s="110">
        <f>BB26/AV26-1</f>
        <v>0.63733283181108225</v>
      </c>
      <c r="BC27" s="122">
        <f>BC26/AW26-1</f>
        <v>0.47891637576292223</v>
      </c>
      <c r="BE27" s="109">
        <f>BE26/AY26-1</f>
        <v>0.36222914005552953</v>
      </c>
      <c r="BF27" s="110">
        <f>BF26/AZ26-1</f>
        <v>8.1292656912218764E-2</v>
      </c>
      <c r="BG27" s="110">
        <f>BG26/BA26-1</f>
        <v>0.3645509949712693</v>
      </c>
      <c r="BH27" s="110">
        <f>BH26/BB26-1</f>
        <v>0.4325844209351124</v>
      </c>
      <c r="BI27" s="122">
        <f>BI26/BC26-1</f>
        <v>0.30771399999584914</v>
      </c>
      <c r="BK27" s="109">
        <f>BK26/BE26-1</f>
        <v>0.34735816191108149</v>
      </c>
      <c r="BL27" s="110">
        <f>BL26/BF26-1</f>
        <v>0.41380208223075599</v>
      </c>
      <c r="BM27" s="110">
        <f>BM26/BG26-1</f>
        <v>0.19455099922138586</v>
      </c>
      <c r="BN27" s="110">
        <f>BN26/BH26-1</f>
        <v>-0.35838310343552404</v>
      </c>
      <c r="BO27" s="122">
        <f>BO26/BI26-1</f>
        <v>6.7288025318115618E-2</v>
      </c>
      <c r="BQ27" s="109">
        <v>-0.1</v>
      </c>
      <c r="BR27" s="110">
        <v>-0.17499999999999999</v>
      </c>
      <c r="BS27" s="110">
        <v>-0.25</v>
      </c>
      <c r="BT27" s="110">
        <v>0.17499999999999999</v>
      </c>
      <c r="BU27" s="122">
        <f>BU26/BO26-1</f>
        <v>-7.974229199959848E-2</v>
      </c>
      <c r="BW27" s="109">
        <v>0</v>
      </c>
      <c r="BX27" s="110">
        <v>0</v>
      </c>
      <c r="BY27" s="110">
        <v>2.5000000000000001E-2</v>
      </c>
      <c r="BZ27" s="120">
        <v>0.05</v>
      </c>
      <c r="CA27" s="122">
        <f>CA26/BU26-1</f>
        <v>1.9966191430625058E-2</v>
      </c>
      <c r="CC27" s="109">
        <v>0</v>
      </c>
      <c r="CD27" s="110">
        <v>0</v>
      </c>
      <c r="CE27" s="110">
        <v>0</v>
      </c>
      <c r="CF27" s="110">
        <v>0</v>
      </c>
      <c r="CG27" s="122">
        <f>CG26/CA26-1</f>
        <v>-1.6949836071433744E-4</v>
      </c>
      <c r="CI27" s="109">
        <v>0.01</v>
      </c>
      <c r="CJ27" s="110">
        <v>0.01</v>
      </c>
      <c r="CK27" s="110">
        <v>0.01</v>
      </c>
      <c r="CL27" s="110">
        <v>0.01</v>
      </c>
      <c r="CM27" s="122">
        <f>CM26/CG26-1</f>
        <v>9.9988965771897753E-3</v>
      </c>
      <c r="CO27" s="109">
        <v>0.01</v>
      </c>
      <c r="CP27" s="110">
        <v>0.01</v>
      </c>
      <c r="CQ27" s="110">
        <v>0.01</v>
      </c>
      <c r="CR27" s="110">
        <v>0.01</v>
      </c>
      <c r="CS27" s="122">
        <f>CS26/CM26-1</f>
        <v>9.9989099362551848E-3</v>
      </c>
      <c r="CU27" s="109">
        <v>0.01</v>
      </c>
      <c r="CV27" s="110">
        <v>0.01</v>
      </c>
      <c r="CW27" s="110">
        <v>0.01</v>
      </c>
      <c r="CX27" s="110">
        <v>0.01</v>
      </c>
      <c r="CY27" s="122">
        <f>CY26/CS26-1</f>
        <v>9.9989230541746021E-3</v>
      </c>
      <c r="DA27" s="109">
        <v>0.01</v>
      </c>
      <c r="DB27" s="110">
        <v>0.01</v>
      </c>
      <c r="DC27" s="110">
        <v>0.01</v>
      </c>
      <c r="DD27" s="110">
        <v>0.01</v>
      </c>
      <c r="DE27" s="122">
        <f>DE26/CY26-1</f>
        <v>9.9989359367171904E-3</v>
      </c>
      <c r="DG27" s="109">
        <v>0.01</v>
      </c>
      <c r="DH27" s="110">
        <v>0.01</v>
      </c>
      <c r="DI27" s="110">
        <v>0.01</v>
      </c>
      <c r="DJ27" s="110">
        <v>0.01</v>
      </c>
      <c r="DK27" s="122">
        <f>DK26/DE26-1</f>
        <v>9.9989485894804719E-3</v>
      </c>
    </row>
    <row r="28" spans="2:115" ht="15.75" thickBot="1" x14ac:dyDescent="0.35">
      <c r="B28" s="1"/>
      <c r="AA28" s="103"/>
      <c r="AB28" s="103"/>
      <c r="AC28" s="103"/>
      <c r="AD28" s="103"/>
      <c r="AE28" s="103"/>
      <c r="AG28" s="103"/>
      <c r="AH28" s="103"/>
      <c r="AI28" s="103"/>
      <c r="AJ28" s="103"/>
      <c r="AK28" s="103"/>
      <c r="AM28" s="103"/>
      <c r="AN28" s="103"/>
      <c r="AO28" s="103"/>
      <c r="AP28" s="103"/>
      <c r="AQ28" s="103"/>
      <c r="AS28" s="103"/>
      <c r="AT28" s="103"/>
      <c r="AU28" s="103"/>
      <c r="AV28" s="103"/>
      <c r="AW28" s="103"/>
      <c r="AY28" s="103"/>
      <c r="AZ28" s="103"/>
      <c r="BA28" s="103"/>
      <c r="BB28" s="103"/>
      <c r="BC28" s="103"/>
      <c r="BE28" s="103"/>
      <c r="BF28" s="103"/>
      <c r="BG28" s="103"/>
      <c r="BH28" s="103"/>
      <c r="BI28" s="103"/>
      <c r="BK28" s="103"/>
      <c r="BL28" s="103"/>
      <c r="BM28" s="103"/>
      <c r="BN28" s="103"/>
      <c r="BO28" s="103"/>
      <c r="BQ28" s="103"/>
      <c r="BR28" s="103"/>
      <c r="BS28" s="103"/>
      <c r="BT28" s="103"/>
      <c r="BU28" s="103"/>
      <c r="BW28" s="103"/>
      <c r="BX28" s="103"/>
      <c r="BY28" s="103"/>
      <c r="BZ28" s="103"/>
      <c r="CA28" s="103"/>
      <c r="CC28" s="103"/>
      <c r="CD28" s="103"/>
      <c r="CE28" s="103"/>
      <c r="CF28" s="103"/>
      <c r="CG28" s="103"/>
      <c r="CI28" s="103"/>
      <c r="CJ28" s="103"/>
      <c r="CK28" s="103"/>
      <c r="CL28" s="103"/>
      <c r="CM28" s="103"/>
      <c r="CO28" s="103"/>
      <c r="CP28" s="103"/>
      <c r="CQ28" s="103"/>
      <c r="CR28" s="103"/>
      <c r="CS28" s="103"/>
      <c r="CU28" s="103"/>
      <c r="CV28" s="103"/>
      <c r="CW28" s="103"/>
      <c r="CX28" s="103"/>
      <c r="CY28" s="103"/>
      <c r="DA28" s="103"/>
      <c r="DB28" s="103"/>
      <c r="DC28" s="103"/>
      <c r="DD28" s="103"/>
      <c r="DE28" s="103"/>
      <c r="DG28" s="103"/>
      <c r="DH28" s="103"/>
      <c r="DI28" s="103"/>
      <c r="DJ28" s="103"/>
      <c r="DK28" s="103"/>
    </row>
    <row r="29" spans="2:115" s="135" customFormat="1" ht="15" x14ac:dyDescent="0.3">
      <c r="B29" s="139" t="s">
        <v>34</v>
      </c>
      <c r="C29" s="181">
        <f>C32-C20</f>
        <v>18</v>
      </c>
      <c r="D29" s="182">
        <f>D32-D20</f>
        <v>18</v>
      </c>
      <c r="E29" s="182">
        <f>E32-E20</f>
        <v>21</v>
      </c>
      <c r="F29" s="183">
        <f>F32-F20</f>
        <v>38</v>
      </c>
      <c r="G29" s="184">
        <f>C29+D29+E29+F29</f>
        <v>95</v>
      </c>
      <c r="H29" s="134"/>
      <c r="I29" s="181">
        <f>I32-I20</f>
        <v>33</v>
      </c>
      <c r="J29" s="182">
        <f>J32-J20</f>
        <v>44</v>
      </c>
      <c r="K29" s="182">
        <f>K32-K20</f>
        <v>89</v>
      </c>
      <c r="L29" s="183">
        <f>L32-L20</f>
        <v>82</v>
      </c>
      <c r="M29" s="184">
        <f>I29+J29+K29+L29</f>
        <v>248</v>
      </c>
      <c r="N29" s="134"/>
      <c r="O29" s="181">
        <f>O32-O20</f>
        <v>94</v>
      </c>
      <c r="P29" s="182">
        <f>P32-P20</f>
        <v>95</v>
      </c>
      <c r="Q29" s="182">
        <f>Q32-Q20</f>
        <v>84</v>
      </c>
      <c r="R29" s="183">
        <f>R32-R20</f>
        <v>76</v>
      </c>
      <c r="S29" s="184">
        <f>O29+P29+Q29+R29</f>
        <v>349</v>
      </c>
      <c r="T29" s="134"/>
      <c r="U29" s="181">
        <f>U32-U20</f>
        <v>75</v>
      </c>
      <c r="V29" s="182">
        <f>V32-V20</f>
        <v>65</v>
      </c>
      <c r="W29" s="182">
        <f>W32-W20</f>
        <v>79</v>
      </c>
      <c r="X29" s="182">
        <f>X32-X20</f>
        <v>67</v>
      </c>
      <c r="Y29" s="184">
        <f>U29+V29+W29+X29</f>
        <v>286</v>
      </c>
      <c r="AA29" s="181">
        <f>AA32-AA20</f>
        <v>76</v>
      </c>
      <c r="AB29" s="182">
        <f>AB32-AB20</f>
        <v>79</v>
      </c>
      <c r="AC29" s="182">
        <f>AC32-AC20</f>
        <v>70</v>
      </c>
      <c r="AD29" s="182">
        <f>AD32-AD20</f>
        <v>82</v>
      </c>
      <c r="AE29" s="184">
        <f>AA29+AB29+AC29+AD29</f>
        <v>307</v>
      </c>
      <c r="AG29" s="181">
        <f>AG32-AG20</f>
        <v>80</v>
      </c>
      <c r="AH29" s="182">
        <f>AH32-AH20</f>
        <v>66</v>
      </c>
      <c r="AI29" s="182">
        <f>AI32-AI20</f>
        <v>71</v>
      </c>
      <c r="AJ29" s="182">
        <f>AJ32-AJ20</f>
        <v>81</v>
      </c>
      <c r="AK29" s="184">
        <f>AG29+AH29+AI29+AJ29</f>
        <v>298</v>
      </c>
      <c r="AM29" s="181">
        <f>AM32-AM20</f>
        <v>82</v>
      </c>
      <c r="AN29" s="182">
        <f>AN32-AN20</f>
        <v>85</v>
      </c>
      <c r="AO29" s="182">
        <f>AO32-AO20</f>
        <v>88</v>
      </c>
      <c r="AP29" s="182">
        <f>AP32-AP20</f>
        <v>140</v>
      </c>
      <c r="AQ29" s="184">
        <f>AM29+AN29+AO29+AP29</f>
        <v>395</v>
      </c>
      <c r="AS29" s="181">
        <f>AS32-AS20</f>
        <v>90</v>
      </c>
      <c r="AT29" s="182">
        <f>AT32-AT20</f>
        <v>78</v>
      </c>
      <c r="AU29" s="182">
        <f>AU32-AU20</f>
        <v>81</v>
      </c>
      <c r="AV29" s="182">
        <f>AV32-AV20</f>
        <v>96</v>
      </c>
      <c r="AW29" s="184">
        <f>AS29+AT29+AU29+AV29</f>
        <v>345</v>
      </c>
      <c r="AY29" s="181">
        <f>AY32-AY20</f>
        <v>89</v>
      </c>
      <c r="AZ29" s="182">
        <f>AZ32-AZ20</f>
        <v>107</v>
      </c>
      <c r="BA29" s="182">
        <f>BA32-BA20</f>
        <v>89</v>
      </c>
      <c r="BB29" s="182">
        <f>BB32-BB20</f>
        <v>107</v>
      </c>
      <c r="BC29" s="184">
        <f>AY29+AZ29+BA29+BB29</f>
        <v>392</v>
      </c>
      <c r="BE29" s="181">
        <f>BE32-BE20</f>
        <v>96</v>
      </c>
      <c r="BF29" s="182">
        <f>BF32-BF20</f>
        <v>93</v>
      </c>
      <c r="BG29" s="182">
        <f>BG32-BG20</f>
        <v>100</v>
      </c>
      <c r="BH29" s="182">
        <f>BH32-BH20</f>
        <v>126</v>
      </c>
      <c r="BI29" s="184">
        <f>BE29+BF29+BG29+BH29</f>
        <v>415</v>
      </c>
      <c r="BK29" s="181">
        <f>BK32-BK20</f>
        <v>115</v>
      </c>
      <c r="BL29" s="182">
        <f>BL32-BL20</f>
        <v>117</v>
      </c>
      <c r="BM29" s="182">
        <f>BM32-BM20</f>
        <v>107</v>
      </c>
      <c r="BN29" s="182">
        <f>BN32-BN20</f>
        <v>129</v>
      </c>
      <c r="BO29" s="184">
        <f>BK29+BL29+BM29+BN29</f>
        <v>468</v>
      </c>
      <c r="BQ29" s="181">
        <f>BQ26*BQ25/1000</f>
        <v>117.49829003113676</v>
      </c>
      <c r="BR29" s="182">
        <f>BR26*BR25/1000</f>
        <v>117.55058898805619</v>
      </c>
      <c r="BS29" s="182">
        <f>BS26*BS25/1000</f>
        <v>106.41045397525735</v>
      </c>
      <c r="BT29" s="182">
        <f>BT26*BT25/1000</f>
        <v>130.60411678099919</v>
      </c>
      <c r="BU29" s="184">
        <f>BQ29+BR29+BS29+BT29</f>
        <v>472.0634497754495</v>
      </c>
      <c r="BW29" s="181">
        <f>BW26*BW25/1000</f>
        <v>118.82961563983461</v>
      </c>
      <c r="BX29" s="182">
        <f>BX26*BX25/1000</f>
        <v>118.88083245832787</v>
      </c>
      <c r="BY29" s="182">
        <f>BY26*BY25/1000</f>
        <v>107.23977426950857</v>
      </c>
      <c r="BZ29" s="182">
        <f>BZ26*BZ25/1000</f>
        <v>131.34922319926221</v>
      </c>
      <c r="CA29" s="184">
        <f>BW29+BX29+BY29+BZ29</f>
        <v>476.29944556693329</v>
      </c>
      <c r="CC29" s="181">
        <f>CC26*CC25/1000</f>
        <v>119.71716604563319</v>
      </c>
      <c r="CD29" s="182">
        <f>CD26*CD25/1000</f>
        <v>119.76766143850899</v>
      </c>
      <c r="CE29" s="182">
        <f>CE26*CE25/1000</f>
        <v>108.04034768632665</v>
      </c>
      <c r="CF29" s="182">
        <f>CF26*CF25/1000</f>
        <v>128.76566989710068</v>
      </c>
      <c r="CG29" s="184">
        <f>CC29+CD29+CE29+CF29</f>
        <v>476.29084506756953</v>
      </c>
      <c r="CI29" s="181">
        <f>CI26*CI25/1000</f>
        <v>121.66135929763668</v>
      </c>
      <c r="CJ29" s="182">
        <f>CJ26*CJ25/1000</f>
        <v>121.71175244454655</v>
      </c>
      <c r="CK29" s="182">
        <f>CK26*CK25/1000</f>
        <v>109.79456712234511</v>
      </c>
      <c r="CL29" s="182">
        <f>CL26*CL25/1000</f>
        <v>130.83354252685734</v>
      </c>
      <c r="CM29" s="184">
        <f>CI29+CJ29+CK29+CL29</f>
        <v>484.00122139138568</v>
      </c>
      <c r="CO29" s="181">
        <f>CO26*CO25/1000</f>
        <v>123.63246469807565</v>
      </c>
      <c r="CP29" s="182">
        <f>CP26*CP25/1000</f>
        <v>123.68274850456099</v>
      </c>
      <c r="CQ29" s="182">
        <f>CQ26*CQ25/1000</f>
        <v>111.57306691231533</v>
      </c>
      <c r="CR29" s="182">
        <f>CR26*CR25/1000</f>
        <v>132.92989604221941</v>
      </c>
      <c r="CS29" s="184">
        <f>CO29+CP29+CQ29+CR29</f>
        <v>491.81817615717137</v>
      </c>
      <c r="CU29" s="181">
        <f>CU26*CU25/1000</f>
        <v>125.63082607059366</v>
      </c>
      <c r="CV29" s="182">
        <f>CV26*CV25/1000</f>
        <v>125.68099331053125</v>
      </c>
      <c r="CW29" s="182">
        <f>CW26*CW25/1000</f>
        <v>113.3761572413727</v>
      </c>
      <c r="CX29" s="182">
        <f>CX26*CX25/1000</f>
        <v>135.05509327363606</v>
      </c>
      <c r="CY29" s="184">
        <f>CU29+CV29+CW29+CX29</f>
        <v>499.74306989613365</v>
      </c>
      <c r="DA29" s="181">
        <f>DA26*DA25/1000</f>
        <v>127.65679142409218</v>
      </c>
      <c r="DB29" s="182">
        <f>DB26*DB25/1000</f>
        <v>127.70683473777048</v>
      </c>
      <c r="DC29" s="182">
        <f>DC26*DC25/1000</f>
        <v>115.20415207031998</v>
      </c>
      <c r="DD29" s="182">
        <f>DD26*DD25/1000</f>
        <v>137.20950146007684</v>
      </c>
      <c r="DE29" s="184">
        <f>DA29+DB29+DC29+DD29</f>
        <v>507.77727969225953</v>
      </c>
      <c r="DG29" s="181">
        <f>DG26*DG25/1000</f>
        <v>129.71071300205364</v>
      </c>
      <c r="DH29" s="182">
        <f>DH26*DH25/1000</f>
        <v>129.76062489422341</v>
      </c>
      <c r="DI29" s="182">
        <f>DI26*DI25/1000</f>
        <v>117.05736918012208</v>
      </c>
      <c r="DJ29" s="182">
        <f>DJ26*DJ25/1000</f>
        <v>139.39349230091904</v>
      </c>
      <c r="DK29" s="184">
        <f>DG29+DH29+DI29+DJ29</f>
        <v>515.92219937731818</v>
      </c>
    </row>
    <row r="30" spans="2:115" ht="15" x14ac:dyDescent="0.3">
      <c r="B30" s="5" t="s">
        <v>23</v>
      </c>
      <c r="C30" s="144" t="s">
        <v>35</v>
      </c>
      <c r="D30" s="107" t="s">
        <v>35</v>
      </c>
      <c r="E30" s="107" t="s">
        <v>35</v>
      </c>
      <c r="F30" s="107" t="s">
        <v>35</v>
      </c>
      <c r="G30" s="138" t="s">
        <v>35</v>
      </c>
      <c r="I30" s="151">
        <f>I29/C29-1</f>
        <v>0.83333333333333326</v>
      </c>
      <c r="J30" s="133">
        <f>J29/D29-1</f>
        <v>1.4444444444444446</v>
      </c>
      <c r="K30" s="133">
        <f>K29/E29-1</f>
        <v>3.2380952380952381</v>
      </c>
      <c r="L30" s="152">
        <f>L29/F29-1</f>
        <v>1.1578947368421053</v>
      </c>
      <c r="M30" s="153">
        <f>M29/G29-1</f>
        <v>1.6105263157894738</v>
      </c>
      <c r="O30" s="151">
        <f>O29/I29-1</f>
        <v>1.8484848484848486</v>
      </c>
      <c r="P30" s="133">
        <f>P29/J29-1</f>
        <v>1.1590909090909092</v>
      </c>
      <c r="Q30" s="133">
        <f>Q29/K29-1</f>
        <v>-5.6179775280898903E-2</v>
      </c>
      <c r="R30" s="152">
        <f>R29/L29-1</f>
        <v>-7.3170731707317027E-2</v>
      </c>
      <c r="S30" s="153">
        <f>S29/M29-1</f>
        <v>0.407258064516129</v>
      </c>
      <c r="U30" s="151">
        <f>U29/O29-1</f>
        <v>-0.2021276595744681</v>
      </c>
      <c r="V30" s="133">
        <f>V29/P29-1</f>
        <v>-0.31578947368421051</v>
      </c>
      <c r="W30" s="133">
        <f>W29/Q29-1</f>
        <v>-5.9523809523809534E-2</v>
      </c>
      <c r="X30" s="133">
        <f>X29/R29-1</f>
        <v>-0.11842105263157898</v>
      </c>
      <c r="Y30" s="153">
        <f>Y29/S29-1</f>
        <v>-0.18051575931232089</v>
      </c>
      <c r="AA30" s="151">
        <f>AA29/U29-1</f>
        <v>1.3333333333333419E-2</v>
      </c>
      <c r="AB30" s="133">
        <f>AB29/V29-1</f>
        <v>0.21538461538461529</v>
      </c>
      <c r="AC30" s="133">
        <f>AC29/W29-1</f>
        <v>-0.11392405063291144</v>
      </c>
      <c r="AD30" s="133">
        <f>AD29/X29-1</f>
        <v>0.22388059701492535</v>
      </c>
      <c r="AE30" s="153">
        <f>AE29/Y29-1</f>
        <v>7.3426573426573327E-2</v>
      </c>
      <c r="AG30" s="151">
        <f>AG29/AA29-1</f>
        <v>5.2631578947368363E-2</v>
      </c>
      <c r="AH30" s="133">
        <f>AH29/AB29-1</f>
        <v>-0.16455696202531644</v>
      </c>
      <c r="AI30" s="133">
        <f>AI29/AC29-1</f>
        <v>1.4285714285714235E-2</v>
      </c>
      <c r="AJ30" s="133">
        <f>AJ29/AD29-1</f>
        <v>-1.2195121951219523E-2</v>
      </c>
      <c r="AK30" s="153">
        <f>AK29/AE29-1</f>
        <v>-2.931596091205213E-2</v>
      </c>
      <c r="AM30" s="151">
        <f>AM29/AG29-1</f>
        <v>2.4999999999999911E-2</v>
      </c>
      <c r="AN30" s="133">
        <f>AN29/AH29-1</f>
        <v>0.28787878787878785</v>
      </c>
      <c r="AO30" s="133">
        <f>AO29/AI29-1</f>
        <v>0.23943661971830976</v>
      </c>
      <c r="AP30" s="152">
        <f>AP29/AJ29-1</f>
        <v>0.72839506172839497</v>
      </c>
      <c r="AQ30" s="153">
        <f>AQ29/AK29-1</f>
        <v>0.32550335570469802</v>
      </c>
      <c r="AS30" s="151">
        <f>AS29/AM29-1</f>
        <v>9.7560975609756184E-2</v>
      </c>
      <c r="AT30" s="133">
        <f>AT29/AN29-1</f>
        <v>-8.2352941176470629E-2</v>
      </c>
      <c r="AU30" s="133">
        <f>AU29/AO29-1</f>
        <v>-7.9545454545454586E-2</v>
      </c>
      <c r="AV30" s="152">
        <f>AV29/AP29-1</f>
        <v>-0.31428571428571428</v>
      </c>
      <c r="AW30" s="153">
        <f>AW29/AQ29-1</f>
        <v>-0.12658227848101267</v>
      </c>
      <c r="AY30" s="151">
        <f>AY29/AS29-1</f>
        <v>-1.1111111111111072E-2</v>
      </c>
      <c r="AZ30" s="133">
        <f>AZ29/AT29-1</f>
        <v>0.37179487179487181</v>
      </c>
      <c r="BA30" s="133">
        <f>BA29/AU29-1</f>
        <v>9.8765432098765427E-2</v>
      </c>
      <c r="BB30" s="133">
        <f>BB29/AV29-1</f>
        <v>0.11458333333333326</v>
      </c>
      <c r="BC30" s="153">
        <f>BC29/AW29-1</f>
        <v>0.13623188405797104</v>
      </c>
      <c r="BE30" s="151">
        <f>BE29/AY29-1</f>
        <v>7.8651685393258397E-2</v>
      </c>
      <c r="BF30" s="133">
        <f>BF29/AZ29-1</f>
        <v>-0.13084112149532712</v>
      </c>
      <c r="BG30" s="133">
        <f>BG29/BA29-1</f>
        <v>0.12359550561797761</v>
      </c>
      <c r="BH30" s="133">
        <f>BH29/BB29-1</f>
        <v>0.17757009345794383</v>
      </c>
      <c r="BI30" s="153">
        <f>BI29/BC29-1</f>
        <v>5.8673469387755084E-2</v>
      </c>
      <c r="BK30" s="151">
        <f>BK29/BE29-1</f>
        <v>0.19791666666666674</v>
      </c>
      <c r="BL30" s="133">
        <f>BL29/BF29-1</f>
        <v>0.25806451612903225</v>
      </c>
      <c r="BM30" s="133">
        <f>BM29/BG29-1</f>
        <v>7.0000000000000062E-2</v>
      </c>
      <c r="BN30" s="133">
        <f>BN29/BH29-1</f>
        <v>2.3809523809523725E-2</v>
      </c>
      <c r="BO30" s="153">
        <f>BO29/BI29-1</f>
        <v>0.12771084337349392</v>
      </c>
      <c r="BQ30" s="151">
        <f>BQ29/BK29-1</f>
        <v>2.1724261140319667E-2</v>
      </c>
      <c r="BR30" s="133">
        <f>BR29/BL29-1</f>
        <v>4.7058887868050014E-3</v>
      </c>
      <c r="BS30" s="133">
        <f>BS29/BM29-1</f>
        <v>-5.5097759321742767E-3</v>
      </c>
      <c r="BT30" s="152">
        <f>BT29/BN29-1</f>
        <v>1.2435013806195272E-2</v>
      </c>
      <c r="BU30" s="153">
        <f>BU29/BO29-1</f>
        <v>8.6825849902767427E-3</v>
      </c>
      <c r="BW30" s="151">
        <f>BW29/BQ29-1</f>
        <v>1.1330595605647087E-2</v>
      </c>
      <c r="BX30" s="133">
        <f>BX29/BR29-1</f>
        <v>1.1316348830943346E-2</v>
      </c>
      <c r="BY30" s="133">
        <f>BY29/BS29-1</f>
        <v>7.7935979339402994E-3</v>
      </c>
      <c r="BZ30" s="152">
        <f>BZ29/BT29-1</f>
        <v>5.7050760468173589E-3</v>
      </c>
      <c r="CA30" s="153">
        <f>CA29/BU29-1</f>
        <v>8.9733610884272785E-3</v>
      </c>
      <c r="CC30" s="151">
        <f>CC29/BW29-1</f>
        <v>7.4691010403391545E-3</v>
      </c>
      <c r="CD30" s="133">
        <f>CD29/BX29-1</f>
        <v>7.4598146887303596E-3</v>
      </c>
      <c r="CE30" s="133">
        <f>CE29/BY29-1</f>
        <v>7.4652657772864561E-3</v>
      </c>
      <c r="CF30" s="152">
        <f>CF29/BZ29-1</f>
        <v>-1.9669345879892886E-2</v>
      </c>
      <c r="CG30" s="153">
        <f>CG29/CA29-1</f>
        <v>-1.8056916596953521E-5</v>
      </c>
      <c r="CI30" s="151">
        <f>CI29/CC29-1</f>
        <v>1.6239887028919542E-2</v>
      </c>
      <c r="CJ30" s="133">
        <f>CJ29/CD29-1</f>
        <v>1.6232186407310722E-2</v>
      </c>
      <c r="CK30" s="133">
        <f>CK29/CE29-1</f>
        <v>1.6236706689536806E-2</v>
      </c>
      <c r="CL30" s="152">
        <f>CL29/CF29-1</f>
        <v>1.6059192107718889E-2</v>
      </c>
      <c r="CM30" s="153">
        <f>CM29/CG29-1</f>
        <v>1.6188378180399976E-2</v>
      </c>
      <c r="CO30" s="151">
        <f>CO29/CI29-1</f>
        <v>1.6201573053419516E-2</v>
      </c>
      <c r="CP30" s="133">
        <f>CP29/CJ29-1</f>
        <v>1.6193966650118297E-2</v>
      </c>
      <c r="CQ30" s="133">
        <f>CQ29/CK29-1</f>
        <v>1.6198431639959043E-2</v>
      </c>
      <c r="CR30" s="152">
        <f>CR29/CL29-1</f>
        <v>1.6023058574078819E-2</v>
      </c>
      <c r="CS30" s="153">
        <f>CS29/CM29-1</f>
        <v>1.6150692230308517E-2</v>
      </c>
      <c r="CU30" s="151">
        <f>CU29/CO29-1</f>
        <v>1.6163726715294535E-2</v>
      </c>
      <c r="CV30" s="133">
        <f>CV29/CP29-1</f>
        <v>1.6156212811656356E-2</v>
      </c>
      <c r="CW30" s="133">
        <f>CW29/CQ29-1</f>
        <v>1.6160623517451622E-2</v>
      </c>
      <c r="CX30" s="152">
        <f>CX29/CR29-1</f>
        <v>1.5987353444868901E-2</v>
      </c>
      <c r="CY30" s="153">
        <f>CY29/CS29-1</f>
        <v>1.6113462501291753E-2</v>
      </c>
      <c r="DA30" s="151">
        <f>DA29/CU29-1</f>
        <v>1.6126339504924481E-2</v>
      </c>
      <c r="DB30" s="133">
        <f>DB29/CV29-1</f>
        <v>1.6118916423852658E-2</v>
      </c>
      <c r="DC30" s="133">
        <f>DC29/CW29-1</f>
        <v>1.6123273829572238E-2</v>
      </c>
      <c r="DD30" s="152">
        <f>DD29/CX29-1</f>
        <v>1.5952069146149883E-2</v>
      </c>
      <c r="DE30" s="153">
        <f>DE29/CY29-1</f>
        <v>1.6076680758766004E-2</v>
      </c>
      <c r="DG30" s="151">
        <f>DG29/DA29-1</f>
        <v>1.6089403117912182E-2</v>
      </c>
      <c r="DH30" s="133">
        <f>DH29/DB29-1</f>
        <v>1.6082069222607576E-2</v>
      </c>
      <c r="DI30" s="133">
        <f>DI29/DC29-1</f>
        <v>1.6086374288583949E-2</v>
      </c>
      <c r="DJ30" s="152">
        <f>DJ29/DD29-1</f>
        <v>1.5917198281473643E-2</v>
      </c>
      <c r="DK30" s="153">
        <f>DK29/DE29-1</f>
        <v>1.6040338965136236E-2</v>
      </c>
    </row>
    <row r="31" spans="2:115" ht="15" x14ac:dyDescent="0.3">
      <c r="B31" s="5"/>
      <c r="C31" s="144"/>
      <c r="D31" s="107"/>
      <c r="E31" s="107"/>
      <c r="F31" s="145"/>
      <c r="G31" s="138"/>
      <c r="I31" s="144"/>
      <c r="J31" s="107"/>
      <c r="K31" s="107"/>
      <c r="L31" s="145"/>
      <c r="M31" s="138"/>
      <c r="O31" s="144"/>
      <c r="P31" s="107"/>
      <c r="Q31" s="107"/>
      <c r="R31" s="145"/>
      <c r="S31" s="138"/>
      <c r="U31" s="144"/>
      <c r="V31" s="107"/>
      <c r="W31" s="107"/>
      <c r="X31" s="145"/>
      <c r="Y31" s="138"/>
      <c r="AA31" s="144"/>
      <c r="AB31" s="107"/>
      <c r="AC31" s="107"/>
      <c r="AD31" s="145"/>
      <c r="AE31" s="138"/>
      <c r="AG31" s="144"/>
      <c r="AH31" s="107"/>
      <c r="AI31" s="107"/>
      <c r="AJ31" s="145"/>
      <c r="AK31" s="145"/>
      <c r="AM31" s="144"/>
      <c r="AN31" s="107"/>
      <c r="AO31" s="107"/>
      <c r="AP31" s="145"/>
      <c r="AQ31" s="145"/>
      <c r="AS31" s="144"/>
      <c r="AT31" s="107"/>
      <c r="AU31" s="107"/>
      <c r="AV31" s="145"/>
      <c r="AW31" s="145"/>
      <c r="AY31" s="144"/>
      <c r="AZ31" s="107"/>
      <c r="BA31" s="107"/>
      <c r="BB31" s="145"/>
      <c r="BC31" s="145"/>
      <c r="BE31" s="144"/>
      <c r="BF31" s="107"/>
      <c r="BG31" s="107"/>
      <c r="BH31" s="145"/>
      <c r="BI31" s="145"/>
      <c r="BK31" s="144"/>
      <c r="BL31" s="107"/>
      <c r="BM31" s="107"/>
      <c r="BN31" s="145"/>
      <c r="BO31" s="138"/>
      <c r="BQ31" s="144"/>
      <c r="BR31" s="107"/>
      <c r="BS31" s="107"/>
      <c r="BT31" s="145"/>
      <c r="BU31" s="145"/>
      <c r="BW31" s="144"/>
      <c r="BX31" s="107"/>
      <c r="BY31" s="107"/>
      <c r="BZ31" s="145"/>
      <c r="CA31" s="145"/>
      <c r="CC31" s="144"/>
      <c r="CD31" s="107"/>
      <c r="CE31" s="107"/>
      <c r="CF31" s="145"/>
      <c r="CG31" s="145"/>
      <c r="CI31" s="144"/>
      <c r="CJ31" s="107"/>
      <c r="CK31" s="107"/>
      <c r="CL31" s="145"/>
      <c r="CM31" s="145"/>
      <c r="CO31" s="144"/>
      <c r="CP31" s="107"/>
      <c r="CQ31" s="107"/>
      <c r="CR31" s="145"/>
      <c r="CS31" s="145"/>
      <c r="CU31" s="144"/>
      <c r="CV31" s="107"/>
      <c r="CW31" s="107"/>
      <c r="CX31" s="145"/>
      <c r="CY31" s="145"/>
      <c r="DA31" s="144"/>
      <c r="DB31" s="107"/>
      <c r="DC31" s="107"/>
      <c r="DD31" s="145"/>
      <c r="DE31" s="145"/>
      <c r="DG31" s="144"/>
      <c r="DH31" s="107"/>
      <c r="DI31" s="107"/>
      <c r="DJ31" s="145"/>
      <c r="DK31" s="145"/>
    </row>
    <row r="32" spans="2:115" s="135" customFormat="1" ht="15" x14ac:dyDescent="0.3">
      <c r="B32" s="105" t="s">
        <v>58</v>
      </c>
      <c r="C32" s="156">
        <v>288</v>
      </c>
      <c r="D32" s="157">
        <v>301</v>
      </c>
      <c r="E32" s="157">
        <v>294</v>
      </c>
      <c r="F32" s="158">
        <v>435</v>
      </c>
      <c r="G32" s="159">
        <f>C32+D32+E32+F32</f>
        <v>1318</v>
      </c>
      <c r="H32" s="160"/>
      <c r="I32" s="156">
        <v>416</v>
      </c>
      <c r="J32" s="157">
        <v>447</v>
      </c>
      <c r="K32" s="157">
        <v>477</v>
      </c>
      <c r="L32" s="158">
        <v>466</v>
      </c>
      <c r="M32" s="159">
        <f>I32+J32+K32+L32</f>
        <v>1806</v>
      </c>
      <c r="N32" s="160"/>
      <c r="O32" s="156">
        <v>444</v>
      </c>
      <c r="P32" s="157">
        <v>465</v>
      </c>
      <c r="Q32" s="157">
        <v>452</v>
      </c>
      <c r="R32" s="158">
        <v>446</v>
      </c>
      <c r="S32" s="159">
        <f>O32+P32+Q32+R32</f>
        <v>1807</v>
      </c>
      <c r="T32" s="160"/>
      <c r="U32" s="156">
        <v>442</v>
      </c>
      <c r="V32" s="157">
        <v>448</v>
      </c>
      <c r="W32" s="157">
        <v>450</v>
      </c>
      <c r="X32" s="158">
        <v>427</v>
      </c>
      <c r="Y32" s="159">
        <f>U32+V32+W32+X32</f>
        <v>1767</v>
      </c>
      <c r="AA32" s="156">
        <v>418</v>
      </c>
      <c r="AB32" s="157">
        <v>436</v>
      </c>
      <c r="AC32" s="157">
        <v>428</v>
      </c>
      <c r="AD32" s="158">
        <f>465-47</f>
        <v>418</v>
      </c>
      <c r="AE32" s="159">
        <f>AA32+AB32+AC32+AD32</f>
        <v>1700</v>
      </c>
      <c r="AF32" s="247"/>
      <c r="AG32" s="156">
        <v>421</v>
      </c>
      <c r="AH32" s="157">
        <v>419</v>
      </c>
      <c r="AI32" s="157">
        <v>413</v>
      </c>
      <c r="AJ32" s="157">
        <v>411</v>
      </c>
      <c r="AK32" s="159">
        <f>AG32+AH32+AI32+AJ32</f>
        <v>1664</v>
      </c>
      <c r="AM32" s="156">
        <v>393</v>
      </c>
      <c r="AN32" s="157">
        <v>406</v>
      </c>
      <c r="AO32" s="157">
        <v>412</v>
      </c>
      <c r="AP32" s="157">
        <v>455</v>
      </c>
      <c r="AQ32" s="159">
        <f>AM32+AN32+AO32+AP32</f>
        <v>1666</v>
      </c>
      <c r="AS32" s="156">
        <v>393</v>
      </c>
      <c r="AT32" s="157">
        <v>379</v>
      </c>
      <c r="AU32" s="157">
        <v>376</v>
      </c>
      <c r="AV32" s="157">
        <v>403</v>
      </c>
      <c r="AW32" s="159">
        <f>AS32+AT32+AU32+AV32</f>
        <v>1551</v>
      </c>
      <c r="AY32" s="156">
        <v>346</v>
      </c>
      <c r="AZ32" s="157">
        <v>362</v>
      </c>
      <c r="BA32" s="157">
        <v>346</v>
      </c>
      <c r="BB32" s="157">
        <v>340</v>
      </c>
      <c r="BC32" s="159">
        <f>AY32+AZ32+BA32+BB32</f>
        <v>1394</v>
      </c>
      <c r="BE32" s="156">
        <v>324</v>
      </c>
      <c r="BF32" s="157">
        <v>319</v>
      </c>
      <c r="BG32" s="157">
        <v>332</v>
      </c>
      <c r="BH32" s="157">
        <v>356</v>
      </c>
      <c r="BI32" s="159">
        <f>BE32+BF32+BG32+BH32</f>
        <v>1331</v>
      </c>
      <c r="BK32" s="156">
        <v>341</v>
      </c>
      <c r="BL32" s="157">
        <v>345</v>
      </c>
      <c r="BM32" s="157">
        <v>327</v>
      </c>
      <c r="BN32" s="158">
        <v>342</v>
      </c>
      <c r="BO32" s="159">
        <f>BK32+BL32+BM32+BN32</f>
        <v>1355</v>
      </c>
      <c r="BQ32" s="156">
        <f>BQ20+BQ29</f>
        <v>325.07129679955079</v>
      </c>
      <c r="BR32" s="157">
        <f>BR20+BR29</f>
        <v>331.08485831473951</v>
      </c>
      <c r="BS32" s="157">
        <f>BS20+BS29</f>
        <v>314.93588091530404</v>
      </c>
      <c r="BT32" s="157">
        <f>BT20+BT29</f>
        <v>336.54445977866936</v>
      </c>
      <c r="BU32" s="159">
        <f>BQ32+BR32+BS32+BT32</f>
        <v>1307.6364958082636</v>
      </c>
      <c r="BW32" s="156">
        <f>BW20+BW29</f>
        <v>323.93429569822877</v>
      </c>
      <c r="BX32" s="157">
        <f>BX20+BX29</f>
        <v>331.03860026381415</v>
      </c>
      <c r="BY32" s="157">
        <f>BY20+BY29</f>
        <v>315.43392991446052</v>
      </c>
      <c r="BZ32" s="157">
        <f>BZ20+BZ29</f>
        <v>336.97738858885577</v>
      </c>
      <c r="CA32" s="159">
        <f>BW32+BX32+BY32+BZ32</f>
        <v>1307.3842144653593</v>
      </c>
      <c r="CC32" s="156">
        <f>CC20+CC29</f>
        <v>323.63050198373543</v>
      </c>
      <c r="CD32" s="157">
        <f>CD20+CD29</f>
        <v>331.83072244524215</v>
      </c>
      <c r="CE32" s="157">
        <f>CE20+CE29</f>
        <v>316.64826256434372</v>
      </c>
      <c r="CF32" s="157">
        <f>CF20+CF29</f>
        <v>335.0617932514885</v>
      </c>
      <c r="CG32" s="159">
        <f>CC32+CD32+CE32+CF32</f>
        <v>1307.1712802448099</v>
      </c>
      <c r="CI32" s="156">
        <f>CI20+CI29</f>
        <v>325.52809690874329</v>
      </c>
      <c r="CJ32" s="157">
        <f>CJ20+CJ29</f>
        <v>334.79879289350168</v>
      </c>
      <c r="CK32" s="157">
        <f>CK20+CK29</f>
        <v>319.88499494932398</v>
      </c>
      <c r="CL32" s="157">
        <f>CL20+CL29</f>
        <v>338.96150350113641</v>
      </c>
      <c r="CM32" s="159">
        <f>CI32+CJ32+CK32+CL32</f>
        <v>1319.1733882527053</v>
      </c>
      <c r="CO32" s="156">
        <f>CO20+CO29</f>
        <v>328.76936665085731</v>
      </c>
      <c r="CP32" s="157">
        <f>CP20+CP29</f>
        <v>339.10106378578075</v>
      </c>
      <c r="CQ32" s="157">
        <f>CQ20+CQ29</f>
        <v>324.40441197021522</v>
      </c>
      <c r="CR32" s="157">
        <f>CR20+CR29</f>
        <v>344.11281824268337</v>
      </c>
      <c r="CS32" s="159">
        <f>CO32+CP32+CQ32+CR32</f>
        <v>1336.3876606495369</v>
      </c>
      <c r="CU32" s="156">
        <f>CU20+CU29</f>
        <v>332.51322109850503</v>
      </c>
      <c r="CV32" s="157">
        <f>CV20+CV29</f>
        <v>343.83796418599087</v>
      </c>
      <c r="CW32" s="157">
        <f>CW20+CW29</f>
        <v>329.3105349323364</v>
      </c>
      <c r="CX32" s="157">
        <f>CX20+CX29</f>
        <v>349.62121814651027</v>
      </c>
      <c r="CY32" s="159">
        <f>CU32+CV32+CW32+CX32</f>
        <v>1355.2829383633425</v>
      </c>
      <c r="DA32" s="156">
        <f>DA20+DA29</f>
        <v>336.57376436204902</v>
      </c>
      <c r="DB32" s="157">
        <f>DB20+DB29</f>
        <v>348.81995255492302</v>
      </c>
      <c r="DC32" s="157">
        <f>DC20+DC29</f>
        <v>334.41856874556333</v>
      </c>
      <c r="DD32" s="157">
        <f>DD20+DD29</f>
        <v>355.30531540022764</v>
      </c>
      <c r="DE32" s="159">
        <f>DA32+DB32+DC32+DD32</f>
        <v>1375.117601062763</v>
      </c>
      <c r="DG32" s="156">
        <f>DG20+DG29</f>
        <v>340.77596514465984</v>
      </c>
      <c r="DH32" s="157">
        <f>DH20+DH29</f>
        <v>353.86788553195828</v>
      </c>
      <c r="DI32" s="157">
        <f>DI20+DI29</f>
        <v>339.55354984788943</v>
      </c>
      <c r="DJ32" s="157">
        <f>DJ20+DJ29</f>
        <v>360.99314272156266</v>
      </c>
      <c r="DK32" s="159">
        <f>DG32+DH32+DI32+DJ32</f>
        <v>1395.1905432460701</v>
      </c>
    </row>
    <row r="33" spans="2:115" ht="15.75" thickBot="1" x14ac:dyDescent="0.35">
      <c r="B33" s="140" t="s">
        <v>23</v>
      </c>
      <c r="C33" s="155" t="s">
        <v>35</v>
      </c>
      <c r="D33" s="106" t="s">
        <v>35</v>
      </c>
      <c r="E33" s="106" t="s">
        <v>35</v>
      </c>
      <c r="F33" s="154" t="s">
        <v>35</v>
      </c>
      <c r="G33" s="108" t="s">
        <v>35</v>
      </c>
      <c r="I33" s="109">
        <f>I32/C32-1</f>
        <v>0.44444444444444442</v>
      </c>
      <c r="J33" s="110">
        <f>J32/D32-1</f>
        <v>0.48504983388704326</v>
      </c>
      <c r="K33" s="110">
        <f>K32/E32-1</f>
        <v>0.62244897959183665</v>
      </c>
      <c r="L33" s="120">
        <f>L32/F32-1</f>
        <v>7.1264367816092022E-2</v>
      </c>
      <c r="M33" s="122">
        <f>M32/G32-1</f>
        <v>0.37025796661608501</v>
      </c>
      <c r="O33" s="109">
        <f>O32/I32-1</f>
        <v>6.7307692307692291E-2</v>
      </c>
      <c r="P33" s="110">
        <f>P32/J32-1</f>
        <v>4.0268456375838868E-2</v>
      </c>
      <c r="Q33" s="110">
        <f>Q32/K32-1</f>
        <v>-5.2410901467505266E-2</v>
      </c>
      <c r="R33" s="120">
        <f>R32/L32-1</f>
        <v>-4.2918454935622297E-2</v>
      </c>
      <c r="S33" s="122">
        <f>S32/M32-1</f>
        <v>5.5370985603553358E-4</v>
      </c>
      <c r="U33" s="109">
        <f>U32/O32-1</f>
        <v>-4.5045045045044585E-3</v>
      </c>
      <c r="V33" s="110">
        <f>V32/P32-1</f>
        <v>-3.6559139784946182E-2</v>
      </c>
      <c r="W33" s="110">
        <f>W32/Q32-1</f>
        <v>-4.4247787610619538E-3</v>
      </c>
      <c r="X33" s="120">
        <f>X32/R32-1</f>
        <v>-4.2600896860986559E-2</v>
      </c>
      <c r="Y33" s="122">
        <f>Y32/S32-1</f>
        <v>-2.2136137244050946E-2</v>
      </c>
      <c r="AA33" s="109">
        <f>AA32/U32-1</f>
        <v>-5.4298642533936681E-2</v>
      </c>
      <c r="AB33" s="110">
        <f>AB32/V32-1</f>
        <v>-2.6785714285714302E-2</v>
      </c>
      <c r="AC33" s="110">
        <f>AC32/W32-1</f>
        <v>-4.8888888888888871E-2</v>
      </c>
      <c r="AD33" s="120">
        <f>AD32/X32-1</f>
        <v>-2.1077283372365363E-2</v>
      </c>
      <c r="AE33" s="122">
        <f>AE32/Y32-1</f>
        <v>-3.7917374080362221E-2</v>
      </c>
      <c r="AG33" s="109">
        <f>AG32/AA32-1</f>
        <v>7.1770334928229484E-3</v>
      </c>
      <c r="AH33" s="110">
        <f>AH32/AB32-1</f>
        <v>-3.8990825688073438E-2</v>
      </c>
      <c r="AI33" s="110">
        <f>AI32/AC32-1</f>
        <v>-3.5046728971962593E-2</v>
      </c>
      <c r="AJ33" s="120">
        <f>AJ32/AD32-1</f>
        <v>-1.674641148325362E-2</v>
      </c>
      <c r="AK33" s="122">
        <f>AK32/AE32-1</f>
        <v>-2.1176470588235241E-2</v>
      </c>
      <c r="AM33" s="109">
        <f>AM32/AG32-1</f>
        <v>-6.6508313539192399E-2</v>
      </c>
      <c r="AN33" s="110">
        <f>AN32/AH32-1</f>
        <v>-3.1026252983293534E-2</v>
      </c>
      <c r="AO33" s="110">
        <f>AO32/AI32-1</f>
        <v>-2.421307506053294E-3</v>
      </c>
      <c r="AP33" s="120">
        <f>AP32/AJ32-1</f>
        <v>0.1070559610705597</v>
      </c>
      <c r="AQ33" s="122">
        <f>AQ32/AK32-1</f>
        <v>1.2019230769231282E-3</v>
      </c>
      <c r="AS33" s="109">
        <f>AS32/AM32-1</f>
        <v>0</v>
      </c>
      <c r="AT33" s="110">
        <f>AT32/AN32-1</f>
        <v>-6.6502463054187166E-2</v>
      </c>
      <c r="AU33" s="110">
        <f>AU32/AO32-1</f>
        <v>-8.737864077669899E-2</v>
      </c>
      <c r="AV33" s="120">
        <f>AV32/AP32-1</f>
        <v>-0.11428571428571432</v>
      </c>
      <c r="AW33" s="122">
        <f>AW32/AQ32-1</f>
        <v>-6.9027611044417791E-2</v>
      </c>
      <c r="AY33" s="109">
        <f>AY32/AS32-1</f>
        <v>-0.11959287531806617</v>
      </c>
      <c r="AZ33" s="110">
        <f>AZ32/AT32-1</f>
        <v>-4.4854881266490731E-2</v>
      </c>
      <c r="BA33" s="110">
        <f>BA32/AU32-1</f>
        <v>-7.9787234042553168E-2</v>
      </c>
      <c r="BB33" s="120">
        <f>BB32/AV32-1</f>
        <v>-0.15632754342431765</v>
      </c>
      <c r="BC33" s="122">
        <f>BC32/AW32-1</f>
        <v>-0.1012250161186331</v>
      </c>
      <c r="BE33" s="109">
        <f>BE32/AY32-1</f>
        <v>-6.3583815028901758E-2</v>
      </c>
      <c r="BF33" s="110">
        <f>BF32/AZ32-1</f>
        <v>-0.11878453038674031</v>
      </c>
      <c r="BG33" s="110">
        <f>BG32/BA32-1</f>
        <v>-4.0462427745664775E-2</v>
      </c>
      <c r="BH33" s="120">
        <f>BH32/BB32-1</f>
        <v>4.705882352941182E-2</v>
      </c>
      <c r="BI33" s="122">
        <f>BI32/BC32-1</f>
        <v>-4.5193687230989932E-2</v>
      </c>
      <c r="BK33" s="109">
        <f>BK32/BE32-1</f>
        <v>5.2469135802469147E-2</v>
      </c>
      <c r="BL33" s="110">
        <f>BL32/BF32-1</f>
        <v>8.1504702194357348E-2</v>
      </c>
      <c r="BM33" s="110">
        <f>BM32/BG32-1</f>
        <v>-1.5060240963855387E-2</v>
      </c>
      <c r="BN33" s="120">
        <f>BN32/BH32-1</f>
        <v>-3.9325842696629199E-2</v>
      </c>
      <c r="BO33" s="122">
        <f>BO32/BI32-1</f>
        <v>1.8031555221637907E-2</v>
      </c>
      <c r="BQ33" s="109">
        <f>BQ32/BK32-1</f>
        <v>-4.6711739590760137E-2</v>
      </c>
      <c r="BR33" s="110">
        <f>BR32/BL32-1</f>
        <v>-4.0333744015247808E-2</v>
      </c>
      <c r="BS33" s="110">
        <f>BS32/BM32-1</f>
        <v>-3.6893330534238378E-2</v>
      </c>
      <c r="BT33" s="120">
        <f>BT32/BN32-1</f>
        <v>-1.5951871992194833E-2</v>
      </c>
      <c r="BU33" s="122">
        <f>BU32/BO32-1</f>
        <v>-3.4954615639657849E-2</v>
      </c>
      <c r="BW33" s="109">
        <f>BW32/BQ32-1</f>
        <v>-3.4976976205411958E-3</v>
      </c>
      <c r="BX33" s="110">
        <f>BX32/BR32-1</f>
        <v>-1.3971660063472058E-4</v>
      </c>
      <c r="BY33" s="110">
        <f>BY32/BS32-1</f>
        <v>1.5814298380640857E-3</v>
      </c>
      <c r="BZ33" s="120">
        <f>BZ32/BT32-1</f>
        <v>1.286394108140021E-3</v>
      </c>
      <c r="CA33" s="122">
        <f>CA32/BU32-1</f>
        <v>-1.9292926108516184E-4</v>
      </c>
      <c r="CC33" s="109">
        <f>CC32/BW32-1</f>
        <v>-9.3782510381779094E-4</v>
      </c>
      <c r="CD33" s="110">
        <f>CD32/BX32-1</f>
        <v>2.3928393268843884E-3</v>
      </c>
      <c r="CE33" s="110">
        <f>CE32/BY32-1</f>
        <v>3.8497210817254324E-3</v>
      </c>
      <c r="CF33" s="120">
        <f>CF32/BZ32-1</f>
        <v>-5.6846405789692245E-3</v>
      </c>
      <c r="CG33" s="122">
        <f>CG32/CA32-1</f>
        <v>-1.628704233945788E-4</v>
      </c>
      <c r="CI33" s="109">
        <f>CI32/CC32-1</f>
        <v>5.8634613034813654E-3</v>
      </c>
      <c r="CJ33" s="110">
        <f>CJ32/CD32-1</f>
        <v>8.9445317973815275E-3</v>
      </c>
      <c r="CK33" s="110">
        <f>CK32/CE32-1</f>
        <v>1.022185423904709E-2</v>
      </c>
      <c r="CL33" s="120">
        <f>CL32/CF32-1</f>
        <v>1.1638779258609455E-2</v>
      </c>
      <c r="CM33" s="122">
        <f>CM32/CG32-1</f>
        <v>9.1817409005863215E-3</v>
      </c>
      <c r="CO33" s="109">
        <f>CO32/CI32-1</f>
        <v>9.9569584711536319E-3</v>
      </c>
      <c r="CP33" s="110">
        <f>CP32/CJ32-1</f>
        <v>1.2850317813563938E-2</v>
      </c>
      <c r="CQ33" s="110">
        <f>CQ32/CK32-1</f>
        <v>1.4128255755188501E-2</v>
      </c>
      <c r="CR33" s="120">
        <f>CR32/CL32-1</f>
        <v>1.5197344501776788E-2</v>
      </c>
      <c r="CS33" s="122">
        <f>CS32/CM32-1</f>
        <v>1.3049287190088465E-2</v>
      </c>
      <c r="CU33" s="109">
        <f>CU32/CO32-1</f>
        <v>1.1387479575077242E-2</v>
      </c>
      <c r="CV33" s="110">
        <f>CV32/CP32-1</f>
        <v>1.3968993040972988E-2</v>
      </c>
      <c r="CW33" s="110">
        <f>CW32/CQ32-1</f>
        <v>1.5123477921661577E-2</v>
      </c>
      <c r="CX33" s="120">
        <f>CX32/CR32-1</f>
        <v>1.6007540584966229E-2</v>
      </c>
      <c r="CY33" s="122">
        <f>CY32/CS32-1</f>
        <v>1.4139069276217109E-2</v>
      </c>
      <c r="DA33" s="109">
        <f>DA32/CU32-1</f>
        <v>1.2211674621927626E-2</v>
      </c>
      <c r="DB33" s="110">
        <f>DB32/CV32-1</f>
        <v>1.4489349309424249E-2</v>
      </c>
      <c r="DC33" s="110">
        <f>DC32/CW32-1</f>
        <v>1.5511297913006317E-2</v>
      </c>
      <c r="DD33" s="120">
        <f>DD32/CX32-1</f>
        <v>1.6257872688194341E-2</v>
      </c>
      <c r="DE33" s="122">
        <f>DE32/CY32-1</f>
        <v>1.4635071495383123E-2</v>
      </c>
      <c r="DG33" s="109">
        <f>DG32/DA32-1</f>
        <v>1.2485229769990447E-2</v>
      </c>
      <c r="DH33" s="110">
        <f>DH32/DB32-1</f>
        <v>1.4471457094302753E-2</v>
      </c>
      <c r="DI33" s="110">
        <f>DI32/DC32-1</f>
        <v>1.5354952093682872E-2</v>
      </c>
      <c r="DJ33" s="120">
        <f>DJ32/DD32-1</f>
        <v>1.6008280976399281E-2</v>
      </c>
      <c r="DK33" s="122">
        <f>DK32/DE32-1</f>
        <v>1.459725493135533E-2</v>
      </c>
    </row>
    <row r="34" spans="2:115" ht="15.75" thickBot="1" x14ac:dyDescent="0.35">
      <c r="B34" s="1"/>
      <c r="AA34" s="103"/>
      <c r="AB34" s="103"/>
      <c r="AC34" s="103"/>
      <c r="AD34" s="103"/>
      <c r="AE34" s="103"/>
      <c r="AG34" s="103"/>
      <c r="AH34" s="103"/>
      <c r="AI34" s="103"/>
      <c r="AJ34" s="103"/>
      <c r="AK34" s="103"/>
      <c r="AM34" s="103"/>
      <c r="AN34" s="103"/>
      <c r="AO34" s="103"/>
      <c r="AP34" s="103"/>
      <c r="AQ34" s="103"/>
      <c r="AS34" s="103"/>
      <c r="AT34" s="103"/>
      <c r="AU34" s="103"/>
      <c r="AV34" s="103"/>
      <c r="AW34" s="103"/>
      <c r="AY34" s="103"/>
      <c r="AZ34" s="103"/>
      <c r="BA34" s="103"/>
      <c r="BB34" s="103"/>
      <c r="BC34" s="103"/>
      <c r="BE34" s="103"/>
      <c r="BF34" s="103"/>
      <c r="BG34" s="103"/>
      <c r="BH34" s="103"/>
      <c r="BI34" s="103"/>
      <c r="BK34" s="103"/>
      <c r="BL34" s="103"/>
      <c r="BM34" s="103"/>
      <c r="BN34" s="103"/>
      <c r="BO34" s="103"/>
      <c r="BQ34" s="103"/>
      <c r="BR34" s="103"/>
      <c r="BS34" s="103"/>
      <c r="BT34" s="103"/>
      <c r="BU34" s="103"/>
      <c r="BW34" s="103"/>
      <c r="BX34" s="103"/>
      <c r="BY34" s="103"/>
      <c r="BZ34" s="103"/>
      <c r="CA34" s="103"/>
      <c r="CC34" s="103"/>
      <c r="CD34" s="103"/>
      <c r="CE34" s="103"/>
      <c r="CF34" s="103"/>
      <c r="CG34" s="103"/>
      <c r="CI34" s="103"/>
      <c r="CJ34" s="103"/>
      <c r="CK34" s="103"/>
      <c r="CL34" s="103"/>
      <c r="CM34" s="103"/>
      <c r="CO34" s="103"/>
      <c r="CP34" s="103"/>
      <c r="CQ34" s="103"/>
      <c r="CR34" s="103"/>
      <c r="CS34" s="103"/>
      <c r="CU34" s="103"/>
      <c r="CV34" s="103"/>
      <c r="CW34" s="103"/>
      <c r="CX34" s="103"/>
      <c r="CY34" s="103"/>
      <c r="DA34" s="103"/>
      <c r="DB34" s="103"/>
      <c r="DC34" s="103"/>
      <c r="DD34" s="103"/>
      <c r="DE34" s="103"/>
      <c r="DG34" s="103"/>
      <c r="DH34" s="103"/>
      <c r="DI34" s="103"/>
      <c r="DJ34" s="103"/>
      <c r="DK34" s="103"/>
    </row>
    <row r="35" spans="2:115" s="135" customFormat="1" ht="15" x14ac:dyDescent="0.3">
      <c r="B35" s="42" t="s">
        <v>57</v>
      </c>
      <c r="C35" s="178">
        <v>92</v>
      </c>
      <c r="D35" s="179">
        <v>98</v>
      </c>
      <c r="E35" s="179">
        <v>77</v>
      </c>
      <c r="F35" s="180">
        <v>123</v>
      </c>
      <c r="G35" s="202">
        <f>G37*1000/G25</f>
        <v>99.206196478048369</v>
      </c>
      <c r="H35" s="134"/>
      <c r="I35" s="178">
        <v>118</v>
      </c>
      <c r="J35" s="179">
        <v>91</v>
      </c>
      <c r="K35" s="179">
        <v>122</v>
      </c>
      <c r="L35" s="180">
        <v>120</v>
      </c>
      <c r="M35" s="202">
        <f>M37*1000/M25</f>
        <v>113.77496860300903</v>
      </c>
      <c r="N35" s="134"/>
      <c r="O35" s="178">
        <v>133</v>
      </c>
      <c r="P35" s="179">
        <v>109</v>
      </c>
      <c r="Q35" s="179">
        <v>114</v>
      </c>
      <c r="R35" s="179">
        <v>125</v>
      </c>
      <c r="S35" s="202">
        <f>S37*1000/S25</f>
        <v>120.71204384604509</v>
      </c>
      <c r="T35" s="134"/>
      <c r="U35" s="211">
        <v>137</v>
      </c>
      <c r="V35" s="212">
        <v>117</v>
      </c>
      <c r="W35" s="212">
        <v>130</v>
      </c>
      <c r="X35" s="212">
        <v>97</v>
      </c>
      <c r="Y35" s="202">
        <f>Y37*1000/Y25</f>
        <v>123.26958683030215</v>
      </c>
      <c r="AA35" s="211">
        <v>92</v>
      </c>
      <c r="AB35" s="212">
        <v>86</v>
      </c>
      <c r="AC35" s="212">
        <v>81</v>
      </c>
      <c r="AD35" s="212">
        <v>84</v>
      </c>
      <c r="AE35" s="202">
        <f>AE37*1000/AE25</f>
        <v>86.001796191481901</v>
      </c>
      <c r="AG35" s="211">
        <v>120</v>
      </c>
      <c r="AH35" s="212">
        <v>102</v>
      </c>
      <c r="AI35" s="212">
        <v>96</v>
      </c>
      <c r="AJ35" s="212">
        <v>93</v>
      </c>
      <c r="AK35" s="202">
        <f>AK37*1000/AK25</f>
        <v>102.85207932376757</v>
      </c>
      <c r="AM35" s="211">
        <v>114</v>
      </c>
      <c r="AN35" s="212">
        <v>137</v>
      </c>
      <c r="AO35" s="212">
        <v>126</v>
      </c>
      <c r="AP35" s="212">
        <v>109</v>
      </c>
      <c r="AQ35" s="202">
        <f>AQ37*1000/AQ25</f>
        <v>122.19015930179177</v>
      </c>
      <c r="AS35" s="211">
        <v>125</v>
      </c>
      <c r="AT35" s="212">
        <v>148</v>
      </c>
      <c r="AU35" s="212">
        <v>98</v>
      </c>
      <c r="AV35" s="212">
        <v>123</v>
      </c>
      <c r="AW35" s="202">
        <f>AW37*1000/AW25</f>
        <v>123.41331085022495</v>
      </c>
      <c r="AY35" s="211">
        <v>143</v>
      </c>
      <c r="AZ35" s="212">
        <v>124</v>
      </c>
      <c r="BA35" s="212">
        <v>113</v>
      </c>
      <c r="BB35" s="212">
        <v>93</v>
      </c>
      <c r="BC35" s="202">
        <f>BC37*1000/BC25</f>
        <v>119.31994174216793</v>
      </c>
      <c r="BE35" s="211">
        <v>111</v>
      </c>
      <c r="BF35" s="212">
        <v>98</v>
      </c>
      <c r="BG35" s="212">
        <v>110</v>
      </c>
      <c r="BH35" s="212">
        <v>175</v>
      </c>
      <c r="BI35" s="202">
        <f>BI37*1000/BI25</f>
        <v>122.52228361671115</v>
      </c>
      <c r="BK35" s="211">
        <v>79</v>
      </c>
      <c r="BL35" s="212">
        <v>77</v>
      </c>
      <c r="BM35" s="212">
        <v>71</v>
      </c>
      <c r="BN35" s="212">
        <v>87</v>
      </c>
      <c r="BO35" s="202">
        <f>BO37*1000/BO25</f>
        <v>79.718482956173034</v>
      </c>
      <c r="BQ35" s="211">
        <f>BK35*(1+BQ36)</f>
        <v>51.35</v>
      </c>
      <c r="BR35" s="212">
        <f>BL35*(1+BR36)</f>
        <v>57.75</v>
      </c>
      <c r="BS35" s="212">
        <f>BM35*(1+BS36)</f>
        <v>53.25</v>
      </c>
      <c r="BT35" s="212">
        <f>BN35*(1+BT36)</f>
        <v>87</v>
      </c>
      <c r="BU35" s="202">
        <f>BU37*1000/BU25</f>
        <v>63.250501597655614</v>
      </c>
      <c r="BW35" s="211">
        <f>BQ35*(1+BW36)</f>
        <v>52.377000000000002</v>
      </c>
      <c r="BX35" s="212">
        <f>BR35*(1+BX36)</f>
        <v>58.905000000000001</v>
      </c>
      <c r="BY35" s="212">
        <f>BS35*(1+BY36)</f>
        <v>54.314999999999998</v>
      </c>
      <c r="BZ35" s="212">
        <f>BT35*(1+BZ36)</f>
        <v>88.74</v>
      </c>
      <c r="CA35" s="202">
        <f>CA37*1000/CA25</f>
        <v>64.225057032653481</v>
      </c>
      <c r="CC35" s="211">
        <f>BW35*(1+CC36)</f>
        <v>53.42454</v>
      </c>
      <c r="CD35" s="212">
        <f>BX35*(1+CD36)</f>
        <v>60.083100000000002</v>
      </c>
      <c r="CE35" s="212">
        <f>BY35*(1+CE36)</f>
        <v>55.401299999999999</v>
      </c>
      <c r="CF35" s="212">
        <f>BZ35*(1+CF36)</f>
        <v>90.514799999999994</v>
      </c>
      <c r="CG35" s="202">
        <f>CG37*1000/CG25</f>
        <v>65.326708231801149</v>
      </c>
      <c r="CI35" s="211">
        <f>CC35*(1+CI36)</f>
        <v>54.4930308</v>
      </c>
      <c r="CJ35" s="212">
        <f>CD35*(1+CJ36)</f>
        <v>61.284762000000001</v>
      </c>
      <c r="CK35" s="212">
        <f>CE35*(1+CK36)</f>
        <v>56.509326000000001</v>
      </c>
      <c r="CL35" s="212">
        <f>CF35*(1+CL36)</f>
        <v>92.325096000000002</v>
      </c>
      <c r="CM35" s="202">
        <f>CM37*1000/CM25</f>
        <v>66.632053348491453</v>
      </c>
      <c r="CO35" s="211">
        <f>CI35*(1+CO36)</f>
        <v>55.582891416000002</v>
      </c>
      <c r="CP35" s="212">
        <f>CJ35*(1+CP36)</f>
        <v>62.510457240000001</v>
      </c>
      <c r="CQ35" s="212">
        <f>CK35*(1+CQ36)</f>
        <v>57.639512520000004</v>
      </c>
      <c r="CR35" s="212">
        <f>CL35*(1+CR36)</f>
        <v>94.171597920000011</v>
      </c>
      <c r="CS35" s="202">
        <f>CS37*1000/CS25</f>
        <v>67.963496271503345</v>
      </c>
      <c r="CU35" s="211">
        <f>CO35*(1+CU36)</f>
        <v>56.694549244320001</v>
      </c>
      <c r="CV35" s="212">
        <f>CP35*(1+CV36)</f>
        <v>63.760666384800004</v>
      </c>
      <c r="CW35" s="212">
        <f>CQ35*(1+CW36)</f>
        <v>58.792302770400006</v>
      </c>
      <c r="CX35" s="212">
        <f>CR35*(1+CX36)</f>
        <v>96.055029878400006</v>
      </c>
      <c r="CY35" s="202">
        <f>CY37*1000/CY25</f>
        <v>69.321558798336568</v>
      </c>
      <c r="DA35" s="211">
        <f>CU35*(1+DA36)</f>
        <v>57.8284402292064</v>
      </c>
      <c r="DB35" s="212">
        <f>CV35*(1+DB36)</f>
        <v>65.035879712496012</v>
      </c>
      <c r="DC35" s="212">
        <f>CW35*(1+DC36)</f>
        <v>59.968148825808008</v>
      </c>
      <c r="DD35" s="212">
        <f>CX35*(1+DD36)</f>
        <v>97.976130475968006</v>
      </c>
      <c r="DE35" s="202">
        <f>DE37*1000/DE25</f>
        <v>70.70677316092528</v>
      </c>
      <c r="DG35" s="211">
        <f>DA35*(1+DG36)</f>
        <v>58.985009033790526</v>
      </c>
      <c r="DH35" s="212">
        <f>DB35*(1+DH36)</f>
        <v>66.336597306745929</v>
      </c>
      <c r="DI35" s="212">
        <f>DC35*(1+DI36)</f>
        <v>61.167511802324171</v>
      </c>
      <c r="DJ35" s="212">
        <f>DD35*(1+DJ36)</f>
        <v>99.935653085487374</v>
      </c>
      <c r="DK35" s="202">
        <f>DK37*1000/DK25</f>
        <v>72.119682234285264</v>
      </c>
    </row>
    <row r="36" spans="2:115" ht="15" x14ac:dyDescent="0.3">
      <c r="B36" s="40" t="s">
        <v>23</v>
      </c>
      <c r="C36" s="144" t="s">
        <v>35</v>
      </c>
      <c r="D36" s="107" t="s">
        <v>35</v>
      </c>
      <c r="E36" s="107" t="s">
        <v>35</v>
      </c>
      <c r="F36" s="107" t="s">
        <v>35</v>
      </c>
      <c r="G36" s="138" t="s">
        <v>35</v>
      </c>
      <c r="I36" s="151">
        <f>I35/C35-1</f>
        <v>0.28260869565217384</v>
      </c>
      <c r="J36" s="133">
        <f>J35/D35-1</f>
        <v>-7.1428571428571397E-2</v>
      </c>
      <c r="K36" s="133">
        <f>K35/E35-1</f>
        <v>0.5844155844155845</v>
      </c>
      <c r="L36" s="152">
        <f>L35/F35-1</f>
        <v>-2.4390243902439046E-2</v>
      </c>
      <c r="M36" s="153">
        <f>M35/G35-1</f>
        <v>0.14685344910067522</v>
      </c>
      <c r="O36" s="151">
        <f>O35/I35-1</f>
        <v>0.12711864406779672</v>
      </c>
      <c r="P36" s="133">
        <f>P35/J35-1</f>
        <v>0.19780219780219777</v>
      </c>
      <c r="Q36" s="133">
        <f>Q35/K35-1</f>
        <v>-6.557377049180324E-2</v>
      </c>
      <c r="R36" s="133">
        <f>R35/L35-1</f>
        <v>4.1666666666666741E-2</v>
      </c>
      <c r="S36" s="153">
        <f>S35/M35-1</f>
        <v>6.0971893275060918E-2</v>
      </c>
      <c r="U36" s="151">
        <f>U35/O35-1</f>
        <v>3.007518796992481E-2</v>
      </c>
      <c r="V36" s="133">
        <f>V35/P35-1</f>
        <v>7.3394495412844041E-2</v>
      </c>
      <c r="W36" s="133">
        <f>W35/Q35-1</f>
        <v>0.14035087719298245</v>
      </c>
      <c r="X36" s="133">
        <f>X35/R35-1</f>
        <v>-0.22399999999999998</v>
      </c>
      <c r="Y36" s="153">
        <f>Y35/S35-1</f>
        <v>2.118714009613587E-2</v>
      </c>
      <c r="AA36" s="151">
        <f>AA35/U35-1</f>
        <v>-0.32846715328467158</v>
      </c>
      <c r="AB36" s="133">
        <f>AB35/V35-1</f>
        <v>-0.2649572649572649</v>
      </c>
      <c r="AC36" s="133">
        <f>AC35/W35-1</f>
        <v>-0.37692307692307692</v>
      </c>
      <c r="AD36" s="133">
        <f>AD35/X35-1</f>
        <v>-0.134020618556701</v>
      </c>
      <c r="AE36" s="153">
        <f>AE35/Y35-1</f>
        <v>-0.30232753753060415</v>
      </c>
      <c r="AG36" s="151">
        <f>AG35/AA35-1</f>
        <v>0.30434782608695654</v>
      </c>
      <c r="AH36" s="133">
        <f>AH35/AB35-1</f>
        <v>0.18604651162790709</v>
      </c>
      <c r="AI36" s="133">
        <f>AI35/AC35-1</f>
        <v>0.18518518518518512</v>
      </c>
      <c r="AJ36" s="133">
        <f>AJ35/AD35-1</f>
        <v>0.10714285714285721</v>
      </c>
      <c r="AK36" s="153">
        <f>AK35/AE35-1</f>
        <v>0.19592943262218299</v>
      </c>
      <c r="AM36" s="151">
        <f>AM35/AG35-1</f>
        <v>-5.0000000000000044E-2</v>
      </c>
      <c r="AN36" s="133">
        <f>AN35/AH35-1</f>
        <v>0.34313725490196068</v>
      </c>
      <c r="AO36" s="133">
        <f>AO35/AI35-1</f>
        <v>0.3125</v>
      </c>
      <c r="AP36" s="133">
        <f>AP35/AJ35-1</f>
        <v>0.17204301075268824</v>
      </c>
      <c r="AQ36" s="153">
        <f>AQ35/AK35-1</f>
        <v>0.18801836681541406</v>
      </c>
      <c r="AS36" s="151">
        <f>AS35/AM35-1</f>
        <v>9.6491228070175517E-2</v>
      </c>
      <c r="AT36" s="133">
        <f>AT35/AN35-1</f>
        <v>8.0291970802919721E-2</v>
      </c>
      <c r="AU36" s="133">
        <f>AU35/AO35-1</f>
        <v>-0.22222222222222221</v>
      </c>
      <c r="AV36" s="133">
        <f>AV35/AP35-1</f>
        <v>0.12844036697247696</v>
      </c>
      <c r="AW36" s="153">
        <f>AW35/AQ35-1</f>
        <v>1.0010229591502329E-2</v>
      </c>
      <c r="AY36" s="151">
        <f>AY35/AS35-1</f>
        <v>0.14399999999999991</v>
      </c>
      <c r="AZ36" s="133">
        <f>AZ35/AT35-1</f>
        <v>-0.16216216216216217</v>
      </c>
      <c r="BA36" s="133">
        <f>BA35/AU35-1</f>
        <v>0.15306122448979598</v>
      </c>
      <c r="BB36" s="133">
        <f>BB35/AV35-1</f>
        <v>-0.24390243902439024</v>
      </c>
      <c r="BC36" s="153">
        <f>BC35/AW35-1</f>
        <v>-3.3167970941357816E-2</v>
      </c>
      <c r="BE36" s="151">
        <f>BE35/AY35-1</f>
        <v>-0.22377622377622375</v>
      </c>
      <c r="BF36" s="133">
        <f>BF35/AZ35-1</f>
        <v>-0.20967741935483875</v>
      </c>
      <c r="BG36" s="133">
        <f>BG35/BA35-1</f>
        <v>-2.6548672566371723E-2</v>
      </c>
      <c r="BH36" s="133">
        <f>BH35/BB35-1</f>
        <v>0.88172043010752699</v>
      </c>
      <c r="BI36" s="153">
        <f>BI35/BC35-1</f>
        <v>2.6838278897780565E-2</v>
      </c>
      <c r="BK36" s="151">
        <f>BK35/BE35-1</f>
        <v>-0.28828828828828834</v>
      </c>
      <c r="BL36" s="133">
        <f>BL35/BF35-1</f>
        <v>-0.2142857142857143</v>
      </c>
      <c r="BM36" s="133">
        <f>BM35/BG35-1</f>
        <v>-0.3545454545454545</v>
      </c>
      <c r="BN36" s="133">
        <f>BN35/BH35-1</f>
        <v>-0.50285714285714289</v>
      </c>
      <c r="BO36" s="153">
        <f>BO35/BI35-1</f>
        <v>-0.34935523071412933</v>
      </c>
      <c r="BQ36" s="151">
        <v>-0.35</v>
      </c>
      <c r="BR36" s="133">
        <v>-0.25</v>
      </c>
      <c r="BS36" s="133">
        <v>-0.25</v>
      </c>
      <c r="BT36" s="152">
        <v>0</v>
      </c>
      <c r="BU36" s="153">
        <f>BU35/BO35-1</f>
        <v>-0.20657670276504192</v>
      </c>
      <c r="BW36" s="151">
        <v>0.02</v>
      </c>
      <c r="BX36" s="133">
        <v>0.02</v>
      </c>
      <c r="BY36" s="133">
        <v>0.02</v>
      </c>
      <c r="BZ36" s="152">
        <v>0.02</v>
      </c>
      <c r="CA36" s="153">
        <f>CA35/BU35-1</f>
        <v>1.5407868876631703E-2</v>
      </c>
      <c r="CC36" s="151">
        <v>0.02</v>
      </c>
      <c r="CD36" s="133">
        <v>0.02</v>
      </c>
      <c r="CE36" s="133">
        <v>0.02</v>
      </c>
      <c r="CF36" s="152">
        <v>0.02</v>
      </c>
      <c r="CG36" s="153">
        <f>CG35/CA35-1</f>
        <v>1.7152981251344901E-2</v>
      </c>
      <c r="CI36" s="151">
        <v>0.02</v>
      </c>
      <c r="CJ36" s="133">
        <v>0.02</v>
      </c>
      <c r="CK36" s="133">
        <v>0.02</v>
      </c>
      <c r="CL36" s="152">
        <v>0.02</v>
      </c>
      <c r="CM36" s="153">
        <f>CM35/CG35-1</f>
        <v>1.998179844082304E-2</v>
      </c>
      <c r="CO36" s="151">
        <v>0.02</v>
      </c>
      <c r="CP36" s="133">
        <v>0.02</v>
      </c>
      <c r="CQ36" s="133">
        <v>0.02</v>
      </c>
      <c r="CR36" s="152">
        <v>0.02</v>
      </c>
      <c r="CS36" s="153">
        <f>CS35/CM35-1</f>
        <v>1.9982018504642651E-2</v>
      </c>
      <c r="CU36" s="151">
        <v>0.02</v>
      </c>
      <c r="CV36" s="133">
        <v>0.02</v>
      </c>
      <c r="CW36" s="133">
        <v>0.02</v>
      </c>
      <c r="CX36" s="152">
        <v>0.02</v>
      </c>
      <c r="CY36" s="153">
        <f>CY35/CS35-1</f>
        <v>1.998223460146864E-2</v>
      </c>
      <c r="DA36" s="151">
        <v>0.02</v>
      </c>
      <c r="DB36" s="133">
        <v>0.02</v>
      </c>
      <c r="DC36" s="133">
        <v>0.02</v>
      </c>
      <c r="DD36" s="152">
        <v>0.02</v>
      </c>
      <c r="DE36" s="153">
        <f>DE35/CY35-1</f>
        <v>1.9982446826079636E-2</v>
      </c>
      <c r="DG36" s="151">
        <v>0.02</v>
      </c>
      <c r="DH36" s="133">
        <v>0.02</v>
      </c>
      <c r="DI36" s="133">
        <v>0.02</v>
      </c>
      <c r="DJ36" s="152">
        <v>0.02</v>
      </c>
      <c r="DK36" s="153">
        <f>DK35/DE35-1</f>
        <v>1.9982655270440297E-2</v>
      </c>
    </row>
    <row r="37" spans="2:115" ht="15" x14ac:dyDescent="0.3">
      <c r="B37" s="39" t="s">
        <v>55</v>
      </c>
      <c r="C37" s="193">
        <f>C35*C25/1000</f>
        <v>24.266287999999999</v>
      </c>
      <c r="D37" s="194">
        <f>D35*D25/1000</f>
        <v>24.497060000000001</v>
      </c>
      <c r="E37" s="194">
        <f>E35*E25/1000</f>
        <v>19.580791999999999</v>
      </c>
      <c r="F37" s="195">
        <f>F35*F25/1000</f>
        <v>40.575732000000002</v>
      </c>
      <c r="G37" s="196">
        <f>C37+D37+E37+F37</f>
        <v>108.919872</v>
      </c>
      <c r="I37" s="193">
        <f>I35*I25/1000</f>
        <v>77.179374999999993</v>
      </c>
      <c r="J37" s="194">
        <f>J35*J25/1000</f>
        <v>37.278514000000001</v>
      </c>
      <c r="K37" s="194">
        <f>K35*K25/1000</f>
        <v>56.436590000000002</v>
      </c>
      <c r="L37" s="195">
        <f>L35*L25/1000</f>
        <v>53.234700000000004</v>
      </c>
      <c r="M37" s="196">
        <f>I37+J37+K37+L37</f>
        <v>224.12917899999999</v>
      </c>
      <c r="N37" s="129"/>
      <c r="O37" s="193">
        <f>O35*O25/1000</f>
        <v>71.513169000000005</v>
      </c>
      <c r="P37" s="194">
        <f>P35*P25/1000</f>
        <v>51.858494</v>
      </c>
      <c r="Q37" s="194">
        <f>Q35*Q25/1000</f>
        <v>48.671900999999998</v>
      </c>
      <c r="R37" s="194">
        <f>R35*R25/1000</f>
        <v>53.368312500000002</v>
      </c>
      <c r="S37" s="196">
        <f>O37+P37+Q37+R37</f>
        <v>225.41187650000001</v>
      </c>
      <c r="U37" s="193">
        <f>U35*U25/1000</f>
        <v>99.402267999999992</v>
      </c>
      <c r="V37" s="194">
        <f>V35*V25/1000</f>
        <v>40.405598999999995</v>
      </c>
      <c r="W37" s="194">
        <f>W35*W25/1000</f>
        <v>53.379624999999997</v>
      </c>
      <c r="X37" s="194">
        <f>X35*X25/1000</f>
        <v>38.995212500000001</v>
      </c>
      <c r="Y37" s="196">
        <f>U37+V37+W37+X37</f>
        <v>232.1827045</v>
      </c>
      <c r="AA37" s="193">
        <f>AA35*AA25/1000</f>
        <v>50.831471999999991</v>
      </c>
      <c r="AB37" s="194">
        <f>AB35*AB25/1000</f>
        <v>40.335075000000003</v>
      </c>
      <c r="AC37" s="194">
        <f>AC35*AC25/1000</f>
        <v>40.616802</v>
      </c>
      <c r="AD37" s="194">
        <f>AD35*AD25/1000</f>
        <v>33.785976000000005</v>
      </c>
      <c r="AE37" s="196">
        <f>AA37+AB37+AC37+AD37</f>
        <v>165.56932499999999</v>
      </c>
      <c r="AG37" s="193">
        <f>AG35*AG25/1000</f>
        <v>44.613300000000002</v>
      </c>
      <c r="AH37" s="194">
        <f>AH35*AH25/1000</f>
        <v>35.577599999999997</v>
      </c>
      <c r="AI37" s="194">
        <f>AI35*AI25/1000</f>
        <v>35.85</v>
      </c>
      <c r="AJ37" s="194">
        <f>AJ35*AJ25/1000</f>
        <v>33.219785999999999</v>
      </c>
      <c r="AK37" s="196">
        <f>AG37+AH37+AI37+AJ37</f>
        <v>149.26068599999999</v>
      </c>
      <c r="AM37" s="193">
        <f>AM35*AM25/1000</f>
        <v>36.752459999999999</v>
      </c>
      <c r="AN37" s="194">
        <f>AN35*AN25/1000</f>
        <v>42.594875500000001</v>
      </c>
      <c r="AO37" s="194">
        <f>AO35*AO25/1000</f>
        <v>41.290829999999993</v>
      </c>
      <c r="AP37" s="194">
        <f>AP35*AP25/1000</f>
        <v>26.548312500000002</v>
      </c>
      <c r="AQ37" s="196">
        <f>AM37+AN37+AO37+AP37</f>
        <v>147.18647799999999</v>
      </c>
      <c r="AS37" s="193">
        <f>AS35*AS25/1000</f>
        <v>27.277999999999999</v>
      </c>
      <c r="AT37" s="194">
        <f>AT35*AT25/1000</f>
        <v>38.272800000000004</v>
      </c>
      <c r="AU37" s="194">
        <f>AU35*AU25/1000</f>
        <v>25.439966999999999</v>
      </c>
      <c r="AV37" s="194">
        <f>AV35*AV25/1000</f>
        <v>31.929754499999998</v>
      </c>
      <c r="AW37" s="196">
        <f>AS37+AT37+AU37+AV37</f>
        <v>122.92052150000001</v>
      </c>
      <c r="AY37" s="193">
        <f>AY35*AY25/1000</f>
        <v>29.84553</v>
      </c>
      <c r="AZ37" s="194">
        <f>AZ35*AZ25/1000</f>
        <v>23.775078000000001</v>
      </c>
      <c r="BA37" s="194">
        <f>BA35*BA25/1000</f>
        <v>21.251062500000003</v>
      </c>
      <c r="BB37" s="194">
        <f>BB35*BB25/1000</f>
        <v>16.434215999999999</v>
      </c>
      <c r="BC37" s="196">
        <f>AY37+AZ37+BA37+BB37</f>
        <v>91.305886500000014</v>
      </c>
      <c r="BE37" s="193">
        <f>BE35*BE25/1000</f>
        <v>18.344137499999999</v>
      </c>
      <c r="BF37" s="194">
        <f>BF35*BF25/1000</f>
        <v>15.103662</v>
      </c>
      <c r="BG37" s="194">
        <f>BG35*BG25/1000</f>
        <v>17.033940000000001</v>
      </c>
      <c r="BH37" s="194">
        <f>BH35*BH25/1000</f>
        <v>25.419712499999999</v>
      </c>
      <c r="BI37" s="196">
        <f>BE37+BF37+BG37+BH37</f>
        <v>75.901452000000006</v>
      </c>
      <c r="BK37" s="193">
        <f>BK35*BK25/1000</f>
        <v>11.6076675</v>
      </c>
      <c r="BL37" s="194">
        <f>BL35*BL25/1000</f>
        <v>10.559934</v>
      </c>
      <c r="BM37" s="194">
        <f>BM35*BM25/1000</f>
        <v>9.8482680000000027</v>
      </c>
      <c r="BN37" s="194">
        <f>BN35*BN25/1000</f>
        <v>20.164860000000004</v>
      </c>
      <c r="BO37" s="196">
        <f>BK37+BL37+BM37+BN37</f>
        <v>52.180729500000005</v>
      </c>
      <c r="BQ37" s="193">
        <f>BQ35*BQ25/1000</f>
        <v>8.5654367499999999</v>
      </c>
      <c r="BR37" s="194">
        <f>BR35*BR25/1000</f>
        <v>9.6451162500000009</v>
      </c>
      <c r="BS37" s="194">
        <f>BS35*BS25/1000</f>
        <v>9.7940062499999989</v>
      </c>
      <c r="BT37" s="195">
        <f>BT35*BT25/1000</f>
        <v>17.3749875</v>
      </c>
      <c r="BU37" s="196">
        <f>BQ37+BR37+BS37+BT37</f>
        <v>45.379546750000003</v>
      </c>
      <c r="BW37" s="193">
        <f>BW35*BW25/1000</f>
        <v>8.8357380150000004</v>
      </c>
      <c r="BX37" s="194">
        <f>BX35*BX25/1000</f>
        <v>9.9493490250000001</v>
      </c>
      <c r="BY37" s="194">
        <f>BY35*BY25/1000</f>
        <v>9.8221888124999985</v>
      </c>
      <c r="BZ37" s="195">
        <f>BZ35*BZ25/1000</f>
        <v>16.974852749999997</v>
      </c>
      <c r="CA37" s="196">
        <f>BW37+BX37+BY37+BZ37</f>
        <v>45.582128602499992</v>
      </c>
      <c r="CC37" s="193">
        <f>CC35*CC25/1000</f>
        <v>9.0797676956999993</v>
      </c>
      <c r="CD37" s="194">
        <f>CD35*CD25/1000</f>
        <v>10.224040711499999</v>
      </c>
      <c r="CE37" s="194">
        <f>CE35*CE25/1000</f>
        <v>10.09342434375</v>
      </c>
      <c r="CF37" s="195">
        <f>CF35*CF25/1000</f>
        <v>16.973787869999995</v>
      </c>
      <c r="CG37" s="196">
        <f>CC37+CD37+CE37+CF37</f>
        <v>46.371020620949992</v>
      </c>
      <c r="CI37" s="193">
        <f>CI35*CI25/1000</f>
        <v>9.3185807319540004</v>
      </c>
      <c r="CJ37" s="194">
        <f>CJ35*CJ25/1000</f>
        <v>10.49287052583</v>
      </c>
      <c r="CK37" s="194">
        <f>CK35*CK25/1000</f>
        <v>10.358865822375002</v>
      </c>
      <c r="CL37" s="195">
        <f>CL35*CL25/1000</f>
        <v>17.417129360399997</v>
      </c>
      <c r="CM37" s="196">
        <f>CI37+CJ37+CK37+CL37</f>
        <v>47.587446440558999</v>
      </c>
      <c r="CO37" s="193">
        <f>CO35*CO25/1000</f>
        <v>9.5633143825798808</v>
      </c>
      <c r="CP37" s="194">
        <f>CP35*CP25/1000</f>
        <v>10.768363916448601</v>
      </c>
      <c r="CQ37" s="194">
        <f>CQ35*CQ25/1000</f>
        <v>10.630887590407502</v>
      </c>
      <c r="CR37" s="195">
        <f>CR35*CR25/1000</f>
        <v>17.871414995267997</v>
      </c>
      <c r="CS37" s="196">
        <f>CO37+CP37+CQ37+CR37</f>
        <v>48.833980884703983</v>
      </c>
      <c r="CU37" s="193">
        <f>CU35*CU25/1000</f>
        <v>9.8141099469380144</v>
      </c>
      <c r="CV37" s="194">
        <f>CV35*CV25/1000</f>
        <v>11.050679894481613</v>
      </c>
      <c r="CW37" s="194">
        <f>CW35*CW25/1000</f>
        <v>10.909646682832351</v>
      </c>
      <c r="CX37" s="195">
        <f>CX35*CX25/1000</f>
        <v>18.336905203786557</v>
      </c>
      <c r="CY37" s="196">
        <f>CU37+CV37+CW37+CX37</f>
        <v>50.111341728038539</v>
      </c>
      <c r="DA37" s="193">
        <f>DA35*DA25/1000</f>
        <v>10.071112008117442</v>
      </c>
      <c r="DB37" s="194">
        <f>DB35*DB25/1000</f>
        <v>11.339981166069368</v>
      </c>
      <c r="DC37" s="194">
        <f>DC35*DC25/1000</f>
        <v>11.195303783918032</v>
      </c>
      <c r="DD37" s="195">
        <f>DD35*DD25/1000</f>
        <v>18.813866454647755</v>
      </c>
      <c r="DE37" s="196">
        <f>DA37+DB37+DC37+DD37</f>
        <v>51.42026341275259</v>
      </c>
      <c r="DG37" s="193">
        <f>DG35*DG25/1000</f>
        <v>10.334468507765269</v>
      </c>
      <c r="DH37" s="194">
        <f>DH35*DH25/1000</f>
        <v>11.636434216562836</v>
      </c>
      <c r="DI37" s="194">
        <f>DI35*DI25/1000</f>
        <v>11.488023310374007</v>
      </c>
      <c r="DJ37" s="195">
        <f>DJ35*DJ25/1000</f>
        <v>19.302571393461882</v>
      </c>
      <c r="DK37" s="196">
        <f>DG37+DH37+DI37+DJ37</f>
        <v>52.761497428163999</v>
      </c>
    </row>
    <row r="38" spans="2:115" ht="15" x14ac:dyDescent="0.3">
      <c r="B38" s="40" t="s">
        <v>23</v>
      </c>
      <c r="C38" s="144" t="s">
        <v>35</v>
      </c>
      <c r="D38" s="107" t="s">
        <v>35</v>
      </c>
      <c r="E38" s="107" t="s">
        <v>35</v>
      </c>
      <c r="F38" s="107" t="s">
        <v>35</v>
      </c>
      <c r="G38" s="138" t="s">
        <v>35</v>
      </c>
      <c r="I38" s="151">
        <f>I37/C37-1</f>
        <v>2.1805183800670296</v>
      </c>
      <c r="J38" s="133">
        <f>J37/D37-1</f>
        <v>0.52175461055326644</v>
      </c>
      <c r="K38" s="133">
        <f>K37/E37-1</f>
        <v>1.882242454748511</v>
      </c>
      <c r="L38" s="152">
        <f>L37/F37-1</f>
        <v>0.31198372465591007</v>
      </c>
      <c r="M38" s="153">
        <f>M37/G37-1</f>
        <v>1.0577436870289381</v>
      </c>
      <c r="O38" s="151">
        <f>O37/I37-1</f>
        <v>-7.3416064848931373E-2</v>
      </c>
      <c r="P38" s="133">
        <f>P37/J37-1</f>
        <v>0.39110947394523277</v>
      </c>
      <c r="Q38" s="133">
        <f>Q37/K37-1</f>
        <v>-0.13758253289222477</v>
      </c>
      <c r="R38" s="133">
        <f>R37/L37-1</f>
        <v>2.5098760770700945E-3</v>
      </c>
      <c r="S38" s="153">
        <f>S37/M37-1</f>
        <v>5.7230277009134856E-3</v>
      </c>
      <c r="U38" s="151">
        <f>U37/O37-1</f>
        <v>0.38998550043279412</v>
      </c>
      <c r="V38" s="133">
        <f>V37/P37-1</f>
        <v>-0.22084897027669192</v>
      </c>
      <c r="W38" s="133">
        <f>W37/Q37-1</f>
        <v>9.6723651702036451E-2</v>
      </c>
      <c r="X38" s="133">
        <f>X37/R37-1</f>
        <v>-0.26931898961579492</v>
      </c>
      <c r="Y38" s="153">
        <f>Y37/S37-1</f>
        <v>3.0037583223792463E-2</v>
      </c>
      <c r="AA38" s="151">
        <f>AA37/U37-1</f>
        <v>-0.48862864980102871</v>
      </c>
      <c r="AB38" s="133">
        <f>AB37/V37-1</f>
        <v>-1.7454016706940356E-3</v>
      </c>
      <c r="AC38" s="133">
        <f>AC37/W37-1</f>
        <v>-0.23909540391113648</v>
      </c>
      <c r="AD38" s="133">
        <f>AD37/X37-1</f>
        <v>-0.13358656527387802</v>
      </c>
      <c r="AE38" s="153">
        <f>AE37/Y37-1</f>
        <v>-0.28690069591294642</v>
      </c>
      <c r="AG38" s="151">
        <f>AG37/AA37-1</f>
        <v>-0.12232917433514401</v>
      </c>
      <c r="AH38" s="133">
        <f>AH37/AB37-1</f>
        <v>-0.11794883237480047</v>
      </c>
      <c r="AI38" s="133">
        <f>AI37/AC37-1</f>
        <v>-0.11736034757241598</v>
      </c>
      <c r="AJ38" s="133">
        <f>AJ37/AD37-1</f>
        <v>-1.6758136571221272E-2</v>
      </c>
      <c r="AK38" s="153">
        <f>AK37/AE37-1</f>
        <v>-9.8500365330353334E-2</v>
      </c>
      <c r="AM38" s="151">
        <f>AM37/AG37-1</f>
        <v>-0.17619947414784387</v>
      </c>
      <c r="AN38" s="133">
        <f>AN37/AH37-1</f>
        <v>0.19723858551448115</v>
      </c>
      <c r="AO38" s="133">
        <f>AO37/AI37-1</f>
        <v>0.1517665271966524</v>
      </c>
      <c r="AP38" s="133">
        <f>AP37/AJ37-1</f>
        <v>-0.20082831057370443</v>
      </c>
      <c r="AQ38" s="153">
        <f>AQ37/AK37-1</f>
        <v>-1.3896546073759786E-2</v>
      </c>
      <c r="AS38" s="151">
        <f>AS37/AM37-1</f>
        <v>-0.2577911791482802</v>
      </c>
      <c r="AT38" s="133">
        <f>AT37/AN37-1</f>
        <v>-0.10146937746067597</v>
      </c>
      <c r="AU38" s="133">
        <f>AU37/AO37-1</f>
        <v>-0.3838833707145145</v>
      </c>
      <c r="AV38" s="133">
        <f>AV37/AP37-1</f>
        <v>0.20270373116935381</v>
      </c>
      <c r="AW38" s="153">
        <f>AW37/AQ37-1</f>
        <v>-0.16486539272989453</v>
      </c>
      <c r="AY38" s="151">
        <f>AY37/AS37-1</f>
        <v>9.4124569249945056E-2</v>
      </c>
      <c r="AZ38" s="133">
        <f>AZ37/AT37-1</f>
        <v>-0.37879961748291224</v>
      </c>
      <c r="BA38" s="133">
        <f>BA37/AU37-1</f>
        <v>-0.1646584093446346</v>
      </c>
      <c r="BB38" s="133">
        <f>BB37/AV37-1</f>
        <v>-0.48530089700501766</v>
      </c>
      <c r="BC38" s="153">
        <f>BC37/AW37-1</f>
        <v>-0.25719574416221458</v>
      </c>
      <c r="BE38" s="151">
        <f>BE37/AY37-1</f>
        <v>-0.38536398918028936</v>
      </c>
      <c r="BF38" s="133">
        <f>BF37/AZ37-1</f>
        <v>-0.36472713149458436</v>
      </c>
      <c r="BG38" s="133">
        <f>BG37/BA37-1</f>
        <v>-0.19844290138434262</v>
      </c>
      <c r="BH38" s="133">
        <f>BH37/BB37-1</f>
        <v>0.54675540956745361</v>
      </c>
      <c r="BI38" s="153">
        <f>BI37/BC37-1</f>
        <v>-0.16871239183467113</v>
      </c>
      <c r="BK38" s="151">
        <f>BK37/BE37-1</f>
        <v>-0.36722740439554591</v>
      </c>
      <c r="BL38" s="133">
        <f>BL37/BF37-1</f>
        <v>-0.30083618131814649</v>
      </c>
      <c r="BM38" s="133">
        <f>BM37/BG37-1</f>
        <v>-0.42184438832119864</v>
      </c>
      <c r="BN38" s="133">
        <f>BN37/BH37-1</f>
        <v>-0.20672352214841117</v>
      </c>
      <c r="BO38" s="153">
        <f>BO37/BI37-1</f>
        <v>-0.31252000949863246</v>
      </c>
      <c r="BQ38" s="151">
        <f>BQ37/BK37-1</f>
        <v>-0.26208803362088029</v>
      </c>
      <c r="BR38" s="133">
        <f>BR37/BL37-1</f>
        <v>-8.6631010193813585E-2</v>
      </c>
      <c r="BS38" s="133">
        <f>BS37/BM37-1</f>
        <v>-5.5097759321744988E-3</v>
      </c>
      <c r="BT38" s="133">
        <f>BT37/BN37-1</f>
        <v>-0.13835317973940831</v>
      </c>
      <c r="BU38" s="153">
        <f>BU37/BO37-1</f>
        <v>-0.13033897408429296</v>
      </c>
      <c r="BW38" s="151">
        <f>BW37/BQ37-1</f>
        <v>3.1557207517760366E-2</v>
      </c>
      <c r="BX38" s="133">
        <f>BX37/BR37-1</f>
        <v>3.1542675807562093E-2</v>
      </c>
      <c r="BY38" s="133">
        <f>BY37/BS37-1</f>
        <v>2.8775316025553277E-3</v>
      </c>
      <c r="BZ38" s="133">
        <f>BZ37/BT37-1</f>
        <v>-2.3029354697377658E-2</v>
      </c>
      <c r="CA38" s="153">
        <f>CA37/BU37-1</f>
        <v>4.4641665025000332E-3</v>
      </c>
      <c r="CC38" s="151">
        <f>CC37/BW37-1</f>
        <v>2.7618483061145671E-2</v>
      </c>
      <c r="CD38" s="133">
        <f>CD37/BX37-1</f>
        <v>2.76090109825049E-2</v>
      </c>
      <c r="CE38" s="133">
        <f>CE37/BY37-1</f>
        <v>2.7614571092832163E-2</v>
      </c>
      <c r="CF38" s="133">
        <f>CF37/BZ37-1</f>
        <v>-6.2732797490805403E-5</v>
      </c>
      <c r="CG38" s="153">
        <f>CG37/CA37-1</f>
        <v>1.7307046481517929E-2</v>
      </c>
      <c r="CI38" s="151">
        <f>CI37/CC37-1</f>
        <v>2.6301668088611896E-2</v>
      </c>
      <c r="CJ38" s="133">
        <f>CJ37/CD37-1</f>
        <v>2.6293891223224675E-2</v>
      </c>
      <c r="CK38" s="133">
        <f>CK37/CE37-1</f>
        <v>2.6298456260720693E-2</v>
      </c>
      <c r="CL38" s="133">
        <f>CL37/CF37-1</f>
        <v>2.6119184108785554E-2</v>
      </c>
      <c r="CM38" s="153">
        <f>CM37/CG37-1</f>
        <v>2.6232457326148095E-2</v>
      </c>
      <c r="CO38" s="151">
        <f>CO37/CI37-1</f>
        <v>2.6262974766819713E-2</v>
      </c>
      <c r="CP38" s="133">
        <f>CP37/CJ37-1</f>
        <v>2.6255293052594775E-2</v>
      </c>
      <c r="CQ38" s="133">
        <f>CQ37/CK37-1</f>
        <v>2.6259802250255815E-2</v>
      </c>
      <c r="CR38" s="133">
        <f>CR37/CL37-1</f>
        <v>2.6082692817386732E-2</v>
      </c>
      <c r="CS38" s="153">
        <f>CS37/CM37-1</f>
        <v>2.6194606716332558E-2</v>
      </c>
      <c r="CU38" s="151">
        <f>CU37/CO37-1</f>
        <v>2.6224753712475568E-2</v>
      </c>
      <c r="CV38" s="133">
        <f>CV37/CP37-1</f>
        <v>2.6217165413751964E-2</v>
      </c>
      <c r="CW38" s="133">
        <f>CW37/CQ37-1</f>
        <v>2.6221619789901673E-2</v>
      </c>
      <c r="CX38" s="133">
        <f>CX37/CR37-1</f>
        <v>2.6046634172045779E-2</v>
      </c>
      <c r="CY38" s="153">
        <f>CY37/CS37-1</f>
        <v>2.6157213075673313E-2</v>
      </c>
      <c r="DA38" s="151">
        <f>DA37/CU37-1</f>
        <v>2.6186996331706291E-2</v>
      </c>
      <c r="DB38" s="133">
        <f>DB37/CV37-1</f>
        <v>2.6179499754781954E-2</v>
      </c>
      <c r="DC38" s="133">
        <f>DC37/CW37-1</f>
        <v>2.6183900303132335E-2</v>
      </c>
      <c r="DD38" s="133">
        <f>DD37/CX37-1</f>
        <v>2.6011000523834538E-2</v>
      </c>
      <c r="DE38" s="153">
        <f>DE37/CY37-1</f>
        <v>2.6120268178364769E-2</v>
      </c>
      <c r="DG38" s="151">
        <f>DG37/DA37-1</f>
        <v>2.6149694237891374E-2</v>
      </c>
      <c r="DH38" s="133">
        <f>DH37/DB37-1</f>
        <v>2.6142287729762126E-2</v>
      </c>
      <c r="DI38" s="133">
        <f>DI37/DC37-1</f>
        <v>2.6146635420154052E-2</v>
      </c>
      <c r="DJ38" s="133">
        <f>DJ37/DD37-1</f>
        <v>2.5975784403072355E-2</v>
      </c>
      <c r="DK38" s="153">
        <f>DK37/DE37-1</f>
        <v>2.6083763994853015E-2</v>
      </c>
    </row>
    <row r="39" spans="2:115" ht="15" x14ac:dyDescent="0.3">
      <c r="B39" s="40"/>
      <c r="C39" s="144"/>
      <c r="D39" s="107"/>
      <c r="E39" s="107"/>
      <c r="F39" s="145"/>
      <c r="G39" s="138"/>
      <c r="I39" s="144"/>
      <c r="J39" s="107"/>
      <c r="K39" s="107"/>
      <c r="L39" s="145"/>
      <c r="M39" s="138"/>
      <c r="O39" s="144"/>
      <c r="P39" s="107"/>
      <c r="Q39" s="107"/>
      <c r="R39" s="107"/>
      <c r="S39" s="138"/>
      <c r="U39" s="144"/>
      <c r="V39" s="107"/>
      <c r="W39" s="107"/>
      <c r="X39" s="107"/>
      <c r="Y39" s="138"/>
      <c r="AA39" s="144"/>
      <c r="AB39" s="107"/>
      <c r="AC39" s="107"/>
      <c r="AD39" s="107"/>
      <c r="AE39" s="138"/>
      <c r="AG39" s="144"/>
      <c r="AH39" s="107"/>
      <c r="AI39" s="107"/>
      <c r="AJ39" s="107"/>
      <c r="AK39" s="138"/>
      <c r="AM39" s="144"/>
      <c r="AN39" s="107"/>
      <c r="AO39" s="107"/>
      <c r="AP39" s="107"/>
      <c r="AQ39" s="138"/>
      <c r="AS39" s="144"/>
      <c r="AT39" s="107"/>
      <c r="AU39" s="107"/>
      <c r="AV39" s="107"/>
      <c r="AW39" s="138"/>
      <c r="AY39" s="144"/>
      <c r="AZ39" s="107"/>
      <c r="BA39" s="107"/>
      <c r="BB39" s="107"/>
      <c r="BC39" s="138"/>
      <c r="BE39" s="144"/>
      <c r="BF39" s="107"/>
      <c r="BG39" s="107"/>
      <c r="BH39" s="107"/>
      <c r="BI39" s="138"/>
      <c r="BK39" s="144"/>
      <c r="BL39" s="107"/>
      <c r="BM39" s="107"/>
      <c r="BN39" s="107"/>
      <c r="BO39" s="138"/>
      <c r="BQ39" s="144"/>
      <c r="BR39" s="107"/>
      <c r="BS39" s="107"/>
      <c r="BT39" s="145"/>
      <c r="BU39" s="138"/>
      <c r="BW39" s="144"/>
      <c r="BX39" s="107"/>
      <c r="BY39" s="107"/>
      <c r="BZ39" s="145"/>
      <c r="CA39" s="138"/>
      <c r="CC39" s="144"/>
      <c r="CD39" s="107"/>
      <c r="CE39" s="107"/>
      <c r="CF39" s="145"/>
      <c r="CG39" s="138"/>
      <c r="CI39" s="144"/>
      <c r="CJ39" s="107"/>
      <c r="CK39" s="107"/>
      <c r="CL39" s="145"/>
      <c r="CM39" s="138"/>
      <c r="CO39" s="144"/>
      <c r="CP39" s="107"/>
      <c r="CQ39" s="107"/>
      <c r="CR39" s="145"/>
      <c r="CS39" s="138"/>
      <c r="CU39" s="144"/>
      <c r="CV39" s="107"/>
      <c r="CW39" s="107"/>
      <c r="CX39" s="145"/>
      <c r="CY39" s="138"/>
      <c r="DA39" s="144"/>
      <c r="DB39" s="107"/>
      <c r="DC39" s="107"/>
      <c r="DD39" s="145"/>
      <c r="DE39" s="138"/>
      <c r="DG39" s="144"/>
      <c r="DH39" s="107"/>
      <c r="DI39" s="107"/>
      <c r="DJ39" s="145"/>
      <c r="DK39" s="138"/>
    </row>
    <row r="40" spans="2:115" ht="15" x14ac:dyDescent="0.3">
      <c r="B40" s="39" t="s">
        <v>53</v>
      </c>
      <c r="C40" s="203">
        <f>C32-C37-C46</f>
        <v>202.73371200000003</v>
      </c>
      <c r="D40" s="204">
        <f>D32-D37-D46</f>
        <v>203.50294000000002</v>
      </c>
      <c r="E40" s="204">
        <f>E32-E37-E46</f>
        <v>197.41920800000003</v>
      </c>
      <c r="F40" s="205">
        <f>F32-F37-F46</f>
        <v>326.42426799999998</v>
      </c>
      <c r="G40" s="213">
        <f>C40+D40+E40+F40</f>
        <v>930.08012800000006</v>
      </c>
      <c r="H40" s="197"/>
      <c r="I40" s="203">
        <f>I32-I37-I46</f>
        <v>276.82062500000001</v>
      </c>
      <c r="J40" s="204">
        <f>J32-J37-J46</f>
        <v>295.72148600000003</v>
      </c>
      <c r="K40" s="204">
        <f>K32-K37-K46</f>
        <v>329.56340999999998</v>
      </c>
      <c r="L40" s="205">
        <f>L32-L37-L46</f>
        <v>327.76530000000002</v>
      </c>
      <c r="M40" s="213">
        <f>I40+J40+K40+L40</f>
        <v>1229.870821</v>
      </c>
      <c r="N40" s="197"/>
      <c r="O40" s="203">
        <f>O32-O37-O46</f>
        <v>308.486831</v>
      </c>
      <c r="P40" s="204">
        <f>P32-P37-P46</f>
        <v>310.14150599999999</v>
      </c>
      <c r="Q40" s="204">
        <f>Q32-Q37-Q46</f>
        <v>275.32809900000001</v>
      </c>
      <c r="R40" s="204">
        <f>R32-R37-R46</f>
        <v>257.6316875</v>
      </c>
      <c r="S40" s="213">
        <f>O40+P40+Q40+R40</f>
        <v>1151.5881234999999</v>
      </c>
      <c r="T40" s="114"/>
      <c r="U40" s="203">
        <f>U32-U37-U46</f>
        <v>240.59773200000001</v>
      </c>
      <c r="V40" s="204">
        <f>V32-V37-V46</f>
        <v>268.594401</v>
      </c>
      <c r="W40" s="204">
        <f>W32-W37-W46</f>
        <v>298.62037500000002</v>
      </c>
      <c r="X40" s="204">
        <f>X32-X37-X46</f>
        <v>266.00478750000002</v>
      </c>
      <c r="Y40" s="213">
        <f>U40+V40+W40+X40</f>
        <v>1073.8172955</v>
      </c>
      <c r="AA40" s="203">
        <f>AA32-AA37-AA46</f>
        <v>285.16852800000004</v>
      </c>
      <c r="AB40" s="204">
        <f>AB32-AB37-AB46</f>
        <v>267.66492499999998</v>
      </c>
      <c r="AC40" s="204">
        <f>AC32-AC37-AC46</f>
        <v>266.38319799999999</v>
      </c>
      <c r="AD40" s="204">
        <f>AD32-AD37-AD46</f>
        <v>257.21402399999999</v>
      </c>
      <c r="AE40" s="213">
        <f>AA40+AB40+AC40+AD40</f>
        <v>1076.4306750000001</v>
      </c>
      <c r="AG40" s="203">
        <f>AG32-AG37-AG46</f>
        <v>261.38670000000002</v>
      </c>
      <c r="AH40" s="204">
        <f>AH32-AH37-AH46</f>
        <v>250.42239999999998</v>
      </c>
      <c r="AI40" s="204">
        <f>AI32-AI37-AI46</f>
        <v>234.14999999999998</v>
      </c>
      <c r="AJ40" s="204">
        <f>AJ32-AJ37-AJ46</f>
        <v>243.780214</v>
      </c>
      <c r="AK40" s="213">
        <f>AG40+AH40+AI40+AJ40</f>
        <v>989.73931400000004</v>
      </c>
      <c r="AM40" s="203">
        <f>AM32-AM37-AM46</f>
        <v>242.24754000000001</v>
      </c>
      <c r="AN40" s="204">
        <f>AN32-AN37-AN46</f>
        <v>255.4051245</v>
      </c>
      <c r="AO40" s="204">
        <f>AO32-AO37-AO46</f>
        <v>254.70917000000003</v>
      </c>
      <c r="AP40" s="204">
        <f>AP32-AP37-AP46</f>
        <v>271.45168749999999</v>
      </c>
      <c r="AQ40" s="213">
        <f>AM40+AN40+AO40+AP40</f>
        <v>1023.8135219999999</v>
      </c>
      <c r="AS40" s="203">
        <f>AS32-AS37-AS46</f>
        <v>217.72199999999998</v>
      </c>
      <c r="AT40" s="204">
        <f>AT32-AT37-AT46</f>
        <v>190.72719999999998</v>
      </c>
      <c r="AU40" s="204">
        <f>AU32-AU37-AU46</f>
        <v>189.56003299999998</v>
      </c>
      <c r="AV40" s="204">
        <f>AV32-AV37-AV46</f>
        <v>200.0702455</v>
      </c>
      <c r="AW40" s="213">
        <f>AS40+AT40+AU40+AV40</f>
        <v>798.07947850000005</v>
      </c>
      <c r="AY40" s="203">
        <f>AY32-AY37-AY46</f>
        <v>183.15447</v>
      </c>
      <c r="AZ40" s="204">
        <f>AZ32-AZ37-AZ46</f>
        <v>214.22492199999999</v>
      </c>
      <c r="BA40" s="204">
        <f>BA32-BA37-BA46</f>
        <v>199.74893750000001</v>
      </c>
      <c r="BB40" s="204">
        <f>BB32-BB37-BB46</f>
        <v>205.56578400000001</v>
      </c>
      <c r="BC40" s="213">
        <f>AY40+AZ40+BA40+BB40</f>
        <v>802.69411350000007</v>
      </c>
      <c r="BE40" s="203">
        <f>BE32-BE37-BE46</f>
        <v>217.65586250000001</v>
      </c>
      <c r="BF40" s="204">
        <f>BF32-BF37-BF46</f>
        <v>201.89633800000001</v>
      </c>
      <c r="BG40" s="204">
        <f>BG32-BG37-BG46</f>
        <v>223.96605999999997</v>
      </c>
      <c r="BH40" s="204">
        <f>BH32-BH37-BH46</f>
        <v>253.5802875</v>
      </c>
      <c r="BI40" s="213">
        <f>BE40+BF40+BG40+BH40</f>
        <v>897.09854799999994</v>
      </c>
      <c r="BK40" s="203">
        <f>BK32-BK37-BK46</f>
        <v>219.39233250000001</v>
      </c>
      <c r="BL40" s="204">
        <f>BL32-BL37-BL46</f>
        <v>215.440066</v>
      </c>
      <c r="BM40" s="204">
        <f>BM32-BM37-BM46</f>
        <v>219.15173199999998</v>
      </c>
      <c r="BN40" s="204">
        <f>BN32-BN37-BN46</f>
        <v>227.83514000000002</v>
      </c>
      <c r="BO40" s="213">
        <f>BK40+BL40+BM40+BN40</f>
        <v>881.81927050000002</v>
      </c>
      <c r="BQ40" s="203">
        <f>BQ43*BQ32</f>
        <v>222.1469868680326</v>
      </c>
      <c r="BR40" s="204">
        <f>BR43*BR32</f>
        <v>210.06141011047532</v>
      </c>
      <c r="BS40" s="204">
        <f>BS43*BS32</f>
        <v>211.06649471417316</v>
      </c>
      <c r="BT40" s="204">
        <f>BT43*BT32</f>
        <v>230.93163220696962</v>
      </c>
      <c r="BU40" s="213">
        <f>BQ40+BR40+BS40+BT40</f>
        <v>874.20652389965073</v>
      </c>
      <c r="BW40" s="203">
        <f>BW43*BW32</f>
        <v>222.17981961989943</v>
      </c>
      <c r="BX40" s="204">
        <f>BX43*BX32</f>
        <v>210.85965754498966</v>
      </c>
      <c r="BY40" s="204">
        <f>BY43*BY32</f>
        <v>212.18886639151589</v>
      </c>
      <c r="BZ40" s="204">
        <f>BZ43*BZ32</f>
        <v>232.07114476949593</v>
      </c>
      <c r="CA40" s="213">
        <f>BW40+BX40+BY40+BZ40</f>
        <v>877.29948832590094</v>
      </c>
      <c r="CC40" s="203">
        <f>CC43*CC32</f>
        <v>221.16237755253889</v>
      </c>
      <c r="CD40" s="204">
        <f>CD43*CD32</f>
        <v>210.53463401990359</v>
      </c>
      <c r="CE40" s="204">
        <f>CE43*CE32</f>
        <v>212.21411368735988</v>
      </c>
      <c r="CF40" s="204">
        <f>CF43*CF32</f>
        <v>229.91424923960273</v>
      </c>
      <c r="CG40" s="213">
        <f>CC40+CD40+CE40+CF40</f>
        <v>873.82537449940514</v>
      </c>
      <c r="CI40" s="203">
        <f>CI43*CI32</f>
        <v>221.64533435283226</v>
      </c>
      <c r="CJ40" s="204">
        <f>CJ43*CJ32</f>
        <v>211.58077076611096</v>
      </c>
      <c r="CK40" s="204">
        <f>CK43*CK32</f>
        <v>213.58362293756738</v>
      </c>
      <c r="CL40" s="204">
        <f>CL43*CL32</f>
        <v>231.74276667615854</v>
      </c>
      <c r="CM40" s="213">
        <f>CI40+CJ40+CK40+CL40</f>
        <v>878.55249473266917</v>
      </c>
      <c r="CO40" s="203">
        <f>CO43*CO32</f>
        <v>223.03032432568125</v>
      </c>
      <c r="CP40" s="204">
        <f>CP43*CP32</f>
        <v>213.45189825422986</v>
      </c>
      <c r="CQ40" s="204">
        <f>CQ43*CQ32</f>
        <v>215.79017595762355</v>
      </c>
      <c r="CR40" s="204">
        <f>CR43*CR32</f>
        <v>234.40435929152429</v>
      </c>
      <c r="CS40" s="213">
        <f>CO40+CP40+CQ40+CR40</f>
        <v>886.67675782905894</v>
      </c>
      <c r="CU40" s="203">
        <f>CU43*CU32</f>
        <v>224.73879453581654</v>
      </c>
      <c r="CV40" s="204">
        <f>CV43*CV32</f>
        <v>215.57401142506072</v>
      </c>
      <c r="CW40" s="204">
        <f>CW43*CW32</f>
        <v>218.23039758209933</v>
      </c>
      <c r="CX40" s="204">
        <f>CX43*CX32</f>
        <v>237.28254354081014</v>
      </c>
      <c r="CY40" s="213">
        <f>CU40+CV40+CW40+CX40</f>
        <v>895.82574708378672</v>
      </c>
      <c r="DA40" s="203">
        <f>DA43*DA32</f>
        <v>226.64179715870705</v>
      </c>
      <c r="DB40" s="204">
        <f>DB43*DB32</f>
        <v>217.82548869724496</v>
      </c>
      <c r="DC40" s="204">
        <f>DC43*DC32</f>
        <v>220.77938787080518</v>
      </c>
      <c r="DD40" s="204">
        <f>DD43*DD32</f>
        <v>240.25198963632701</v>
      </c>
      <c r="DE40" s="213">
        <f>DA40+DB40+DC40+DD40</f>
        <v>905.49866336308423</v>
      </c>
      <c r="DG40" s="203">
        <f>DG43*DG32</f>
        <v>228.61953215885546</v>
      </c>
      <c r="DH40" s="204">
        <f>DH43*DH32</f>
        <v>220.09307119714279</v>
      </c>
      <c r="DI40" s="204">
        <f>DI43*DI32</f>
        <v>223.32056092021432</v>
      </c>
      <c r="DJ40" s="204">
        <f>DJ43*DJ32</f>
        <v>243.19552813476042</v>
      </c>
      <c r="DK40" s="213">
        <f>DG40+DH40+DI40+DJ40</f>
        <v>915.22869241097305</v>
      </c>
    </row>
    <row r="41" spans="2:115" ht="15" x14ac:dyDescent="0.3">
      <c r="B41" s="40" t="s">
        <v>23</v>
      </c>
      <c r="C41" s="144" t="s">
        <v>35</v>
      </c>
      <c r="D41" s="107" t="s">
        <v>35</v>
      </c>
      <c r="E41" s="107" t="s">
        <v>35</v>
      </c>
      <c r="F41" s="145" t="s">
        <v>35</v>
      </c>
      <c r="G41" s="138" t="s">
        <v>35</v>
      </c>
      <c r="I41" s="151">
        <f>I40/C40-1</f>
        <v>0.36543953281928743</v>
      </c>
      <c r="J41" s="133">
        <f>J40/D40-1</f>
        <v>0.45315584138489595</v>
      </c>
      <c r="K41" s="133">
        <f>K40/E40-1</f>
        <v>0.66935838381035317</v>
      </c>
      <c r="L41" s="133">
        <f>L40/F40-1</f>
        <v>4.1082484712811063E-3</v>
      </c>
      <c r="M41" s="153">
        <f>M40/G40-1</f>
        <v>0.32232781238392394</v>
      </c>
      <c r="O41" s="151">
        <f>O40/I40-1</f>
        <v>0.11439250958991942</v>
      </c>
      <c r="P41" s="133">
        <f>P40/J40-1</f>
        <v>4.8762165357169707E-2</v>
      </c>
      <c r="Q41" s="133">
        <f>Q40/K40-1</f>
        <v>-0.16456714961166341</v>
      </c>
      <c r="R41" s="133">
        <f>R40/L40-1</f>
        <v>-0.21397509895037703</v>
      </c>
      <c r="S41" s="153">
        <f>S40/M40-1</f>
        <v>-6.365115438412372E-2</v>
      </c>
      <c r="U41" s="151">
        <f>U40/O40-1</f>
        <v>-0.22007130346513881</v>
      </c>
      <c r="V41" s="133">
        <f>V40/P40-1</f>
        <v>-0.13396176969618501</v>
      </c>
      <c r="W41" s="133">
        <f>W40/Q40-1</f>
        <v>8.4598252356364201E-2</v>
      </c>
      <c r="X41" s="133">
        <f>X40/R40-1</f>
        <v>3.2500272312193879E-2</v>
      </c>
      <c r="Y41" s="153">
        <f>Y40/S40-1</f>
        <v>-6.7533544687516045E-2</v>
      </c>
      <c r="AA41" s="151">
        <f>AA40/U40-1</f>
        <v>0.18525027492777868</v>
      </c>
      <c r="AB41" s="133">
        <f>AB40/V40-1</f>
        <v>-3.4605188959244693E-3</v>
      </c>
      <c r="AC41" s="133">
        <f>AC40/W40-1</f>
        <v>-0.10795370878494148</v>
      </c>
      <c r="AD41" s="133">
        <f>AD40/X40-1</f>
        <v>-3.3047388291836732E-2</v>
      </c>
      <c r="AE41" s="153">
        <f>AE40/Y40-1</f>
        <v>2.4337282617368228E-3</v>
      </c>
      <c r="AG41" s="151">
        <f>AG40/AA40-1</f>
        <v>-8.3395696456377566E-2</v>
      </c>
      <c r="AH41" s="133">
        <f>AH40/AB40-1</f>
        <v>-6.4418320779235483E-2</v>
      </c>
      <c r="AI41" s="133">
        <f>AI40/AC40-1</f>
        <v>-0.12100311972378985</v>
      </c>
      <c r="AJ41" s="133">
        <f>AJ40/AD40-1</f>
        <v>-5.2228139784477712E-2</v>
      </c>
      <c r="AK41" s="153">
        <f>AK40/AE40-1</f>
        <v>-8.0535944407195581E-2</v>
      </c>
      <c r="AM41" s="151">
        <f>AM40/AG40-1</f>
        <v>-7.3221629103546571E-2</v>
      </c>
      <c r="AN41" s="133">
        <f>AN40/AH40-1</f>
        <v>1.9897279556461367E-2</v>
      </c>
      <c r="AO41" s="133">
        <f>AO40/AI40-1</f>
        <v>8.7803416613282392E-2</v>
      </c>
      <c r="AP41" s="133">
        <f>AP40/AJ40-1</f>
        <v>0.11350992373810942</v>
      </c>
      <c r="AQ41" s="153">
        <f>AQ40/AK40-1</f>
        <v>3.442745732943564E-2</v>
      </c>
      <c r="AS41" s="151">
        <f>AS40/AM40-1</f>
        <v>-0.10124164728360108</v>
      </c>
      <c r="AT41" s="133">
        <f>AT40/AN40-1</f>
        <v>-0.2532365966682083</v>
      </c>
      <c r="AU41" s="133">
        <f>AU40/AO40-1</f>
        <v>-0.2557785296854449</v>
      </c>
      <c r="AV41" s="133">
        <f>AV40/AP40-1</f>
        <v>-0.26296186499116903</v>
      </c>
      <c r="AW41" s="153">
        <f>AW40/AQ40-1</f>
        <v>-0.22048355354697091</v>
      </c>
      <c r="AY41" s="151">
        <f>AY40/AS40-1</f>
        <v>-0.15876911841706387</v>
      </c>
      <c r="AZ41" s="133">
        <f>AZ40/AT40-1</f>
        <v>0.12320068663515227</v>
      </c>
      <c r="BA41" s="133">
        <f>BA40/AU40-1</f>
        <v>5.3750278150669129E-2</v>
      </c>
      <c r="BB41" s="133">
        <f>BB40/AV40-1</f>
        <v>2.7468044967236427E-2</v>
      </c>
      <c r="BC41" s="153">
        <f>BC40/AW40-1</f>
        <v>5.7821747386279654E-3</v>
      </c>
      <c r="BE41" s="151">
        <f>BE40/AY40-1</f>
        <v>0.18837319394934782</v>
      </c>
      <c r="BF41" s="133">
        <f>BF40/AZ40-1</f>
        <v>-5.7549718701729646E-2</v>
      </c>
      <c r="BG41" s="133">
        <f>BG40/BA40-1</f>
        <v>0.12123780383062099</v>
      </c>
      <c r="BH41" s="133">
        <f>BH40/BB40-1</f>
        <v>0.23357244851604286</v>
      </c>
      <c r="BI41" s="153">
        <f>BI40/BC40-1</f>
        <v>0.11760947652695086</v>
      </c>
      <c r="BK41" s="151">
        <f>BK40/BE40-1</f>
        <v>7.9780529688235902E-3</v>
      </c>
      <c r="BL41" s="133">
        <f>BL40/BF40-1</f>
        <v>6.7082583736610246E-2</v>
      </c>
      <c r="BM41" s="133">
        <f>BM40/BG40-1</f>
        <v>-2.1495792710734762E-2</v>
      </c>
      <c r="BN41" s="133">
        <f>BN40/BH40-1</f>
        <v>-0.10152661215828918</v>
      </c>
      <c r="BO41" s="153">
        <f>BO40/BI40-1</f>
        <v>-1.7031882989961056E-2</v>
      </c>
      <c r="BQ41" s="151">
        <f>BQ40/BK40-1</f>
        <v>1.2555837009630144E-2</v>
      </c>
      <c r="BR41" s="133">
        <f>BR40/BL40-1</f>
        <v>-2.4965903461636851E-2</v>
      </c>
      <c r="BS41" s="133">
        <f>BS40/BM40-1</f>
        <v>-3.6893330534238378E-2</v>
      </c>
      <c r="BT41" s="152">
        <f>BT40/BN40-1</f>
        <v>1.3590933369495239E-2</v>
      </c>
      <c r="BU41" s="152">
        <f>BU40/BO40-1</f>
        <v>-8.6330009504473892E-3</v>
      </c>
      <c r="BW41" s="151">
        <f>BW40/BQ40-1</f>
        <v>1.4779742156179054E-4</v>
      </c>
      <c r="BX41" s="133">
        <f>BX40/BR40-1</f>
        <v>3.8000670094260336E-3</v>
      </c>
      <c r="BY41" s="133">
        <f>BY40/BS40-1</f>
        <v>5.3176212494676633E-3</v>
      </c>
      <c r="BZ41" s="152">
        <f>BZ40/BT40-1</f>
        <v>4.9344152277286391E-3</v>
      </c>
      <c r="CA41" s="152">
        <f>CA40/BU40-1</f>
        <v>3.5380248736340825E-3</v>
      </c>
      <c r="CC41" s="151">
        <f>CC40/BW40-1</f>
        <v>-4.5793630992282397E-3</v>
      </c>
      <c r="CD41" s="133">
        <f>CD40/BX40-1</f>
        <v>-1.5414210990868371E-3</v>
      </c>
      <c r="CE41" s="133">
        <f>CE40/BY40-1</f>
        <v>1.1898501685481122E-4</v>
      </c>
      <c r="CF41" s="152">
        <f>CF40/BZ40-1</f>
        <v>-9.2941133721538005E-3</v>
      </c>
      <c r="CG41" s="152">
        <f>CG40/CA40-1</f>
        <v>-3.9600089510199998E-3</v>
      </c>
      <c r="CI41" s="151">
        <f>CI40/CC40-1</f>
        <v>2.1837204213390748E-3</v>
      </c>
      <c r="CJ41" s="133">
        <f>CJ40/CD40-1</f>
        <v>4.9689532132204395E-3</v>
      </c>
      <c r="CK41" s="133">
        <f>CK40/CE40-1</f>
        <v>6.4534315197579684E-3</v>
      </c>
      <c r="CL41" s="152">
        <f>CL40/CF40-1</f>
        <v>7.9530409385382139E-3</v>
      </c>
      <c r="CM41" s="152">
        <f>CM40/CG40-1</f>
        <v>5.4096852428577868E-3</v>
      </c>
      <c r="CO41" s="151">
        <f>CO40/CI40-1</f>
        <v>6.2486764131215455E-3</v>
      </c>
      <c r="CP41" s="133">
        <f>CP40/CJ40-1</f>
        <v>8.843561167414915E-3</v>
      </c>
      <c r="CQ41" s="133">
        <f>CQ40/CK40-1</f>
        <v>1.0331096503130022E-2</v>
      </c>
      <c r="CR41" s="152">
        <f>CR40/CL40-1</f>
        <v>1.1485116249971616E-2</v>
      </c>
      <c r="CS41" s="152">
        <f>CS40/CM40-1</f>
        <v>9.247328014089673E-3</v>
      </c>
      <c r="CU41" s="151">
        <f>CU40/CO40-1</f>
        <v>7.6602597216353097E-3</v>
      </c>
      <c r="CV41" s="133">
        <f>CV40/CP40-1</f>
        <v>9.9418800591004608E-3</v>
      </c>
      <c r="CW41" s="133">
        <f>CW40/CQ40-1</f>
        <v>1.1308307311241883E-2</v>
      </c>
      <c r="CX41" s="152">
        <f>CX40/CR40-1</f>
        <v>1.2278714687666392E-2</v>
      </c>
      <c r="CY41" s="152">
        <f>CY40/CS40-1</f>
        <v>1.0318291501322463E-2</v>
      </c>
      <c r="DA41" s="151">
        <f>DA40/CU40-1</f>
        <v>8.4676196062234421E-3</v>
      </c>
      <c r="DB41" s="133">
        <f>DB40/CV40-1</f>
        <v>1.0444103430189866E-2</v>
      </c>
      <c r="DC41" s="133">
        <f>DC40/CW40-1</f>
        <v>1.1680271478893722E-2</v>
      </c>
      <c r="DD41" s="152">
        <f>DD40/CX40-1</f>
        <v>1.2514389180113383E-2</v>
      </c>
      <c r="DE41" s="152">
        <f>DE40/CY40-1</f>
        <v>1.0797765425682559E-2</v>
      </c>
      <c r="DG41" s="151">
        <f>DG40/DA40-1</f>
        <v>8.726258902560291E-3</v>
      </c>
      <c r="DH41" s="133">
        <f>DH40/DB40-1</f>
        <v>1.0410087972071658E-2</v>
      </c>
      <c r="DI41" s="133">
        <f>DI40/DC40-1</f>
        <v>1.1510010395065384E-2</v>
      </c>
      <c r="DJ41" s="152">
        <f>DJ40/DD40-1</f>
        <v>1.2251879798744092E-2</v>
      </c>
      <c r="DK41" s="152">
        <f>DK40/DE40-1</f>
        <v>1.0745492446947225E-2</v>
      </c>
    </row>
    <row r="42" spans="2:115" ht="15" x14ac:dyDescent="0.3">
      <c r="B42" s="39"/>
      <c r="C42" s="203"/>
      <c r="D42" s="204"/>
      <c r="E42" s="204"/>
      <c r="F42" s="205"/>
      <c r="G42" s="213"/>
      <c r="H42" s="197"/>
      <c r="I42" s="203"/>
      <c r="J42" s="204"/>
      <c r="K42" s="204"/>
      <c r="L42" s="205"/>
      <c r="M42" s="213"/>
      <c r="N42" s="197"/>
      <c r="O42" s="203"/>
      <c r="P42" s="204"/>
      <c r="Q42" s="204"/>
      <c r="R42" s="204"/>
      <c r="S42" s="213"/>
      <c r="T42" s="114"/>
      <c r="U42" s="203"/>
      <c r="V42" s="204"/>
      <c r="W42" s="204"/>
      <c r="X42" s="204"/>
      <c r="Y42" s="213"/>
      <c r="AA42" s="203"/>
      <c r="AB42" s="204"/>
      <c r="AC42" s="204"/>
      <c r="AD42" s="204"/>
      <c r="AE42" s="213"/>
      <c r="AG42" s="203"/>
      <c r="AH42" s="204"/>
      <c r="AI42" s="204"/>
      <c r="AJ42" s="204"/>
      <c r="AK42" s="213"/>
      <c r="AM42" s="203"/>
      <c r="AN42" s="204"/>
      <c r="AO42" s="204"/>
      <c r="AP42" s="204"/>
      <c r="AQ42" s="213"/>
      <c r="AS42" s="203"/>
      <c r="AT42" s="204"/>
      <c r="AU42" s="204"/>
      <c r="AV42" s="204"/>
      <c r="AW42" s="213"/>
      <c r="AY42" s="203"/>
      <c r="AZ42" s="204"/>
      <c r="BA42" s="204"/>
      <c r="BB42" s="204"/>
      <c r="BC42" s="213"/>
      <c r="BE42" s="203"/>
      <c r="BF42" s="204"/>
      <c r="BG42" s="204"/>
      <c r="BH42" s="204"/>
      <c r="BI42" s="213"/>
      <c r="BK42" s="203"/>
      <c r="BL42" s="204"/>
      <c r="BM42" s="204"/>
      <c r="BN42" s="204"/>
      <c r="BO42" s="213"/>
      <c r="BQ42" s="203"/>
      <c r="BR42" s="204"/>
      <c r="BS42" s="204"/>
      <c r="BT42" s="204"/>
      <c r="BU42" s="213"/>
      <c r="BW42" s="203"/>
      <c r="BX42" s="204"/>
      <c r="BY42" s="204"/>
      <c r="BZ42" s="204"/>
      <c r="CA42" s="213"/>
      <c r="CC42" s="203"/>
      <c r="CD42" s="204"/>
      <c r="CE42" s="204"/>
      <c r="CF42" s="204"/>
      <c r="CG42" s="213"/>
      <c r="CI42" s="203"/>
      <c r="CJ42" s="204"/>
      <c r="CK42" s="204"/>
      <c r="CL42" s="204"/>
      <c r="CM42" s="213"/>
      <c r="CO42" s="203"/>
      <c r="CP42" s="204"/>
      <c r="CQ42" s="204"/>
      <c r="CR42" s="204"/>
      <c r="CS42" s="213"/>
      <c r="CU42" s="203"/>
      <c r="CV42" s="204"/>
      <c r="CW42" s="204"/>
      <c r="CX42" s="204"/>
      <c r="CY42" s="213"/>
      <c r="DA42" s="203"/>
      <c r="DB42" s="204"/>
      <c r="DC42" s="204"/>
      <c r="DD42" s="204"/>
      <c r="DE42" s="213"/>
      <c r="DG42" s="203"/>
      <c r="DH42" s="204"/>
      <c r="DI42" s="204"/>
      <c r="DJ42" s="204"/>
      <c r="DK42" s="213"/>
    </row>
    <row r="43" spans="2:115" ht="15" x14ac:dyDescent="0.3">
      <c r="B43" s="40" t="s">
        <v>54</v>
      </c>
      <c r="C43" s="151">
        <f>C40/C32</f>
        <v>0.70393650000000008</v>
      </c>
      <c r="D43" s="133">
        <f>D40/D32</f>
        <v>0.67608950166112969</v>
      </c>
      <c r="E43" s="133">
        <f>E40/E32</f>
        <v>0.67149390476190485</v>
      </c>
      <c r="F43" s="152">
        <f>F40/F32</f>
        <v>0.75040061609195396</v>
      </c>
      <c r="G43" s="153">
        <f>G40/G32</f>
        <v>0.70567536267071329</v>
      </c>
      <c r="I43" s="151">
        <f>I40/I32</f>
        <v>0.66543419471153853</v>
      </c>
      <c r="J43" s="133">
        <f>J40/J32</f>
        <v>0.6615693199105146</v>
      </c>
      <c r="K43" s="133">
        <f>K40/K32</f>
        <v>0.69090861635220124</v>
      </c>
      <c r="L43" s="152">
        <f>L40/L32</f>
        <v>0.70335901287553648</v>
      </c>
      <c r="M43" s="153">
        <f>M40/M32</f>
        <v>0.68099159523809527</v>
      </c>
      <c r="O43" s="151">
        <f>O40/O32</f>
        <v>0.69479015990990989</v>
      </c>
      <c r="P43" s="133">
        <f>P40/P32</f>
        <v>0.66697098064516125</v>
      </c>
      <c r="Q43" s="133">
        <f>Q40/Q32</f>
        <v>0.60913296238938053</v>
      </c>
      <c r="R43" s="133">
        <f>R40/R32</f>
        <v>0.57764952354260091</v>
      </c>
      <c r="S43" s="153">
        <f>S40/S32</f>
        <v>0.63729281876037625</v>
      </c>
      <c r="U43" s="151">
        <f>U40/U32</f>
        <v>0.54433876018099547</v>
      </c>
      <c r="V43" s="133">
        <f>V40/V32</f>
        <v>0.5995410736607143</v>
      </c>
      <c r="W43" s="133">
        <f>W40/W32</f>
        <v>0.66360083333333342</v>
      </c>
      <c r="X43" s="133">
        <f>X40/X32</f>
        <v>0.62296203161592512</v>
      </c>
      <c r="Y43" s="153">
        <f>Y40/Y32</f>
        <v>0.60770644906621396</v>
      </c>
      <c r="AA43" s="151">
        <f>AA40/AA32</f>
        <v>0.68222135885167479</v>
      </c>
      <c r="AB43" s="133">
        <f>AB40/AB32</f>
        <v>0.61391037844036689</v>
      </c>
      <c r="AC43" s="133">
        <f>AC40/AC32</f>
        <v>0.62239064953271028</v>
      </c>
      <c r="AD43" s="133">
        <f>AD40/AD32</f>
        <v>0.61534455502392338</v>
      </c>
      <c r="AE43" s="153">
        <f>AE40/AE32</f>
        <v>0.63319451470588239</v>
      </c>
      <c r="AG43" s="151">
        <f>AG40/AG32</f>
        <v>0.62087102137767225</v>
      </c>
      <c r="AH43" s="133">
        <f>AH40/AH32</f>
        <v>0.59766682577565633</v>
      </c>
      <c r="AI43" s="133">
        <f>AI40/AI32</f>
        <v>0.56694915254237288</v>
      </c>
      <c r="AJ43" s="133">
        <f>AJ40/AJ32</f>
        <v>0.59313920681265209</v>
      </c>
      <c r="AK43" s="153">
        <f>AK40/AK32</f>
        <v>0.59479526081730771</v>
      </c>
      <c r="AM43" s="151">
        <f>AM40/AM32</f>
        <v>0.61640595419847333</v>
      </c>
      <c r="AN43" s="133">
        <f>AN40/AN32</f>
        <v>0.62907666133004925</v>
      </c>
      <c r="AO43" s="133">
        <f>AO40/AO32</f>
        <v>0.61822614077669913</v>
      </c>
      <c r="AP43" s="133">
        <f>AP40/AP32</f>
        <v>0.59659711538461535</v>
      </c>
      <c r="AQ43" s="153">
        <f>AQ40/AQ32</f>
        <v>0.61453392677070828</v>
      </c>
      <c r="AS43" s="151">
        <f>AS40/AS32</f>
        <v>0.55399999999999994</v>
      </c>
      <c r="AT43" s="133">
        <f>AT40/AT32</f>
        <v>0.50323799472295505</v>
      </c>
      <c r="AU43" s="133">
        <f>AU40/AU32</f>
        <v>0.50414902393617012</v>
      </c>
      <c r="AV43" s="133">
        <f>AV40/AV32</f>
        <v>0.49645222208436723</v>
      </c>
      <c r="AW43" s="153">
        <f>AW40/AW32</f>
        <v>0.51455801321727923</v>
      </c>
      <c r="AY43" s="151">
        <f>AY40/AY32</f>
        <v>0.5293481791907515</v>
      </c>
      <c r="AZ43" s="133">
        <f>AZ40/AZ32</f>
        <v>0.5917815524861878</v>
      </c>
      <c r="BA43" s="133">
        <f>BA40/BA32</f>
        <v>0.57730906791907521</v>
      </c>
      <c r="BB43" s="133">
        <f>BB40/BB32</f>
        <v>0.60460524705882357</v>
      </c>
      <c r="BC43" s="153">
        <f>BC40/BC32</f>
        <v>0.57582074139167871</v>
      </c>
      <c r="BE43" s="151">
        <f>BE40/BE32</f>
        <v>0.67177735339506173</v>
      </c>
      <c r="BF43" s="133">
        <f>BF40/BF32</f>
        <v>0.63290388087774296</v>
      </c>
      <c r="BG43" s="133">
        <f>BG40/BG32</f>
        <v>0.67459656626506015</v>
      </c>
      <c r="BH43" s="133">
        <f>BH40/BH32</f>
        <v>0.71230417837078652</v>
      </c>
      <c r="BI43" s="153">
        <f>BI40/BI32</f>
        <v>0.67400341697971444</v>
      </c>
      <c r="BK43" s="151">
        <f>BK40/BK32</f>
        <v>0.64337927419354846</v>
      </c>
      <c r="BL43" s="133">
        <f>BL40/BL32</f>
        <v>0.62446395942028987</v>
      </c>
      <c r="BM43" s="133">
        <f>BM40/BM32</f>
        <v>0.67018878287461769</v>
      </c>
      <c r="BN43" s="133">
        <f>BN40/BN32</f>
        <v>0.66618461988304101</v>
      </c>
      <c r="BO43" s="153">
        <f>BO40/BO32</f>
        <v>0.65078912952029522</v>
      </c>
      <c r="BQ43" s="214">
        <f>BK43+BQ44</f>
        <v>0.68337927419354849</v>
      </c>
      <c r="BR43" s="215">
        <f>BL43+BR44</f>
        <v>0.63446395942028988</v>
      </c>
      <c r="BS43" s="215">
        <f>BM43+BS44</f>
        <v>0.67018878287461769</v>
      </c>
      <c r="BT43" s="215">
        <f>BN43+BT44</f>
        <v>0.68618461988304102</v>
      </c>
      <c r="BU43" s="153">
        <f>BU40/BU32</f>
        <v>0.66853940426256964</v>
      </c>
      <c r="BW43" s="214">
        <f>BQ43+BW44</f>
        <v>0.68587927419354844</v>
      </c>
      <c r="BX43" s="215">
        <f>BR43+BX44</f>
        <v>0.63696395942028983</v>
      </c>
      <c r="BY43" s="215">
        <f>BS43+BY44</f>
        <v>0.67268878287461764</v>
      </c>
      <c r="BZ43" s="215">
        <f>BT43+BZ44</f>
        <v>0.68868461988304097</v>
      </c>
      <c r="CA43" s="153">
        <f>CA40/CA32</f>
        <v>0.67103417543148414</v>
      </c>
      <c r="CC43" s="214">
        <f>BW43+CC44</f>
        <v>0.68337927419354849</v>
      </c>
      <c r="CD43" s="215">
        <f>BX43+CD44</f>
        <v>0.63446395942028988</v>
      </c>
      <c r="CE43" s="215">
        <f>BY43+CE44</f>
        <v>0.67018878287461769</v>
      </c>
      <c r="CF43" s="215">
        <f>BZ43+CF44</f>
        <v>0.68618461988304102</v>
      </c>
      <c r="CG43" s="153">
        <f>CG40/CG32</f>
        <v>0.66848575064757643</v>
      </c>
      <c r="CI43" s="214">
        <f>CC43+CI44</f>
        <v>0.68087927419354854</v>
      </c>
      <c r="CJ43" s="215">
        <f>CD43+CJ44</f>
        <v>0.63196395942028993</v>
      </c>
      <c r="CK43" s="215">
        <f>CE43+CK44</f>
        <v>0.66768878287461775</v>
      </c>
      <c r="CL43" s="215">
        <f>CF43+CL44</f>
        <v>0.68368461988304108</v>
      </c>
      <c r="CM43" s="153">
        <f>CM40/CM32</f>
        <v>0.66598712690554263</v>
      </c>
      <c r="CO43" s="214">
        <f>CI43+CO44</f>
        <v>0.6783792741935486</v>
      </c>
      <c r="CP43" s="215">
        <f>CJ43+CP44</f>
        <v>0.62946395942028999</v>
      </c>
      <c r="CQ43" s="215">
        <f>CK43+CQ44</f>
        <v>0.6651887828746178</v>
      </c>
      <c r="CR43" s="215">
        <f>CL43+CR44</f>
        <v>0.68118461988304113</v>
      </c>
      <c r="CS43" s="153">
        <f>CS40/CS32</f>
        <v>0.66348768694713867</v>
      </c>
      <c r="CU43" s="214">
        <f>CO43+CU44</f>
        <v>0.67587927419354865</v>
      </c>
      <c r="CV43" s="215">
        <f>CP43+CV44</f>
        <v>0.62696395942029004</v>
      </c>
      <c r="CW43" s="215">
        <f>CQ43+CW44</f>
        <v>0.66268878287461785</v>
      </c>
      <c r="CX43" s="215">
        <f>CR43+CX44</f>
        <v>0.67868461988304118</v>
      </c>
      <c r="CY43" s="153">
        <f>CY40/CY32</f>
        <v>0.66098799130873565</v>
      </c>
      <c r="DA43" s="214">
        <f>CU43+DA44</f>
        <v>0.6733792741935487</v>
      </c>
      <c r="DB43" s="215">
        <f>CV43+DB44</f>
        <v>0.62446395942029009</v>
      </c>
      <c r="DC43" s="215">
        <f>CW43+DC44</f>
        <v>0.66018878287461791</v>
      </c>
      <c r="DD43" s="215">
        <f>CX43+DD44</f>
        <v>0.67618461988304124</v>
      </c>
      <c r="DE43" s="153">
        <f>DE40/DE32</f>
        <v>0.65848816324019654</v>
      </c>
      <c r="DG43" s="214">
        <f>DA43+DG44</f>
        <v>0.67087927419354876</v>
      </c>
      <c r="DH43" s="215">
        <f>DB43+DH44</f>
        <v>0.62196395942029015</v>
      </c>
      <c r="DI43" s="215">
        <f>DC43+DI44</f>
        <v>0.65768878287461796</v>
      </c>
      <c r="DJ43" s="215">
        <f>DD43+DJ44</f>
        <v>0.67368461988304129</v>
      </c>
      <c r="DK43" s="153">
        <f>DK40/DK32</f>
        <v>0.65598831417075765</v>
      </c>
    </row>
    <row r="44" spans="2:115" ht="15.75" thickBot="1" x14ac:dyDescent="0.35">
      <c r="B44" s="41" t="s">
        <v>23</v>
      </c>
      <c r="C44" s="155" t="s">
        <v>35</v>
      </c>
      <c r="D44" s="106" t="s">
        <v>35</v>
      </c>
      <c r="E44" s="106" t="s">
        <v>35</v>
      </c>
      <c r="F44" s="154" t="s">
        <v>35</v>
      </c>
      <c r="G44" s="108" t="s">
        <v>35</v>
      </c>
      <c r="I44" s="109">
        <f>I43-C43</f>
        <v>-3.8502305288461547E-2</v>
      </c>
      <c r="J44" s="110">
        <f>J43-D43</f>
        <v>-1.4520181750615091E-2</v>
      </c>
      <c r="K44" s="110">
        <f>K43-E43</f>
        <v>1.9414711590296396E-2</v>
      </c>
      <c r="L44" s="110">
        <f>L43-F43</f>
        <v>-4.7041603216417482E-2</v>
      </c>
      <c r="M44" s="122">
        <f>M43-G43</f>
        <v>-2.468376743261802E-2</v>
      </c>
      <c r="O44" s="109">
        <f>O43-I43</f>
        <v>2.9355965198371359E-2</v>
      </c>
      <c r="P44" s="110">
        <f>P43-J43</f>
        <v>5.4016607346466516E-3</v>
      </c>
      <c r="Q44" s="110">
        <f>Q43-K43</f>
        <v>-8.1775653962820716E-2</v>
      </c>
      <c r="R44" s="110">
        <f>R43-L43</f>
        <v>-0.12570948933293558</v>
      </c>
      <c r="S44" s="122">
        <f>S43-M43</f>
        <v>-4.3698776477719026E-2</v>
      </c>
      <c r="U44" s="109">
        <f>U43-O43</f>
        <v>-0.15045139972891441</v>
      </c>
      <c r="V44" s="110">
        <f>V43-P43</f>
        <v>-6.7429906984446952E-2</v>
      </c>
      <c r="W44" s="110">
        <f>W43-Q43</f>
        <v>5.446787094395289E-2</v>
      </c>
      <c r="X44" s="110">
        <f>X43-R43</f>
        <v>4.5312508073324209E-2</v>
      </c>
      <c r="Y44" s="122">
        <f>Y40/S40-1</f>
        <v>-6.7533544687516045E-2</v>
      </c>
      <c r="AA44" s="109">
        <f>AA43-U43</f>
        <v>0.13788259867067931</v>
      </c>
      <c r="AB44" s="110">
        <f>AB43-V43</f>
        <v>1.4369304779652592E-2</v>
      </c>
      <c r="AC44" s="110">
        <f>AC43-W43</f>
        <v>-4.1210183800623135E-2</v>
      </c>
      <c r="AD44" s="110">
        <f>AD43-X43</f>
        <v>-7.6174765920017373E-3</v>
      </c>
      <c r="AE44" s="122">
        <f>AE40/Y40-1</f>
        <v>2.4337282617368228E-3</v>
      </c>
      <c r="AG44" s="109">
        <f>AG43-AA43</f>
        <v>-6.1350337474002536E-2</v>
      </c>
      <c r="AH44" s="110">
        <f>AH43-AB43</f>
        <v>-1.6243552664710559E-2</v>
      </c>
      <c r="AI44" s="110">
        <f>AI43-AC43</f>
        <v>-5.5441496990337402E-2</v>
      </c>
      <c r="AJ44" s="110">
        <f>AJ43-AD43</f>
        <v>-2.2205348211271292E-2</v>
      </c>
      <c r="AK44" s="122">
        <f>AK40/AE40-1</f>
        <v>-8.0535944407195581E-2</v>
      </c>
      <c r="AM44" s="109">
        <f>AM43-AG43</f>
        <v>-4.4650671791989227E-3</v>
      </c>
      <c r="AN44" s="110">
        <f>AN43-AH43</f>
        <v>3.1409835554392918E-2</v>
      </c>
      <c r="AO44" s="110">
        <f>AO43-AI43</f>
        <v>5.1276988234326248E-2</v>
      </c>
      <c r="AP44" s="110">
        <f>AP43-AJ43</f>
        <v>3.4579085719632641E-3</v>
      </c>
      <c r="AQ44" s="122">
        <f>AQ40/AK40-1</f>
        <v>3.442745732943564E-2</v>
      </c>
      <c r="AS44" s="109">
        <f>AS43-AM43</f>
        <v>-6.240595419847339E-2</v>
      </c>
      <c r="AT44" s="110">
        <f>AT43-AN43</f>
        <v>-0.1258386666070942</v>
      </c>
      <c r="AU44" s="110">
        <f>AU43-AO43</f>
        <v>-0.11407711684052901</v>
      </c>
      <c r="AV44" s="110">
        <f>AV43-AP43</f>
        <v>-0.10014489330024812</v>
      </c>
      <c r="AW44" s="122">
        <f>AW40/AQ40-1</f>
        <v>-0.22048355354697091</v>
      </c>
      <c r="AY44" s="109">
        <f>AY43-AS43</f>
        <v>-2.4651820809248437E-2</v>
      </c>
      <c r="AZ44" s="110">
        <f>AZ43-AT43</f>
        <v>8.854355776323275E-2</v>
      </c>
      <c r="BA44" s="110">
        <f>BA43-AU43</f>
        <v>7.3160043982905099E-2</v>
      </c>
      <c r="BB44" s="110">
        <f>BB43-AV43</f>
        <v>0.10815302497445634</v>
      </c>
      <c r="BC44" s="122">
        <f>BC40/AW40-1</f>
        <v>5.7821747386279654E-3</v>
      </c>
      <c r="BE44" s="109">
        <f>BE43-AY43</f>
        <v>0.14242917420431023</v>
      </c>
      <c r="BF44" s="110">
        <f>BF43-AZ43</f>
        <v>4.1122328391555163E-2</v>
      </c>
      <c r="BG44" s="110">
        <f>BG43-BA43</f>
        <v>9.7287498345984935E-2</v>
      </c>
      <c r="BH44" s="110">
        <f>BH43-BB43</f>
        <v>0.10769893131196295</v>
      </c>
      <c r="BI44" s="122">
        <f>BI40/BC40-1</f>
        <v>0.11760947652695086</v>
      </c>
      <c r="BK44" s="109">
        <f>BK43-BE43</f>
        <v>-2.8398079201513271E-2</v>
      </c>
      <c r="BL44" s="110">
        <f>BL43-BF43</f>
        <v>-8.4399214574530923E-3</v>
      </c>
      <c r="BM44" s="110">
        <f>BM43-BG43</f>
        <v>-4.4077833904424546E-3</v>
      </c>
      <c r="BN44" s="110">
        <f>BN43-BH43</f>
        <v>-4.6119558487745516E-2</v>
      </c>
      <c r="BO44" s="122">
        <f>BO40/BI40-1</f>
        <v>-1.7031882989961056E-2</v>
      </c>
      <c r="BQ44" s="109">
        <v>0.04</v>
      </c>
      <c r="BR44" s="110">
        <v>0.01</v>
      </c>
      <c r="BS44" s="110">
        <v>0</v>
      </c>
      <c r="BT44" s="110">
        <v>0.02</v>
      </c>
      <c r="BU44" s="122">
        <f>BU40/BO40-1</f>
        <v>-8.6330009504473892E-3</v>
      </c>
      <c r="BW44" s="109">
        <v>2.5000000000000001E-3</v>
      </c>
      <c r="BX44" s="110">
        <v>2.5000000000000001E-3</v>
      </c>
      <c r="BY44" s="110">
        <v>2.5000000000000001E-3</v>
      </c>
      <c r="BZ44" s="110">
        <v>2.5000000000000001E-3</v>
      </c>
      <c r="CA44" s="122">
        <f>CA40/BU40-1</f>
        <v>3.5380248736340825E-3</v>
      </c>
      <c r="CC44" s="109">
        <v>-2.5000000000000001E-3</v>
      </c>
      <c r="CD44" s="110">
        <v>-2.5000000000000001E-3</v>
      </c>
      <c r="CE44" s="110">
        <v>-2.5000000000000001E-3</v>
      </c>
      <c r="CF44" s="110">
        <v>-2.5000000000000001E-3</v>
      </c>
      <c r="CG44" s="122">
        <f>CG40/CA40-1</f>
        <v>-3.9600089510199998E-3</v>
      </c>
      <c r="CI44" s="109">
        <v>-2.5000000000000001E-3</v>
      </c>
      <c r="CJ44" s="110">
        <v>-2.5000000000000001E-3</v>
      </c>
      <c r="CK44" s="110">
        <v>-2.5000000000000001E-3</v>
      </c>
      <c r="CL44" s="110">
        <v>-2.5000000000000001E-3</v>
      </c>
      <c r="CM44" s="122">
        <f>CM40/CG40-1</f>
        <v>5.4096852428577868E-3</v>
      </c>
      <c r="CO44" s="109">
        <v>-2.5000000000000001E-3</v>
      </c>
      <c r="CP44" s="110">
        <v>-2.5000000000000001E-3</v>
      </c>
      <c r="CQ44" s="110">
        <v>-2.5000000000000001E-3</v>
      </c>
      <c r="CR44" s="110">
        <v>-2.5000000000000001E-3</v>
      </c>
      <c r="CS44" s="122">
        <f>CS40/CM40-1</f>
        <v>9.247328014089673E-3</v>
      </c>
      <c r="CU44" s="109">
        <v>-2.5000000000000001E-3</v>
      </c>
      <c r="CV44" s="110">
        <v>-2.5000000000000001E-3</v>
      </c>
      <c r="CW44" s="110">
        <v>-2.5000000000000001E-3</v>
      </c>
      <c r="CX44" s="110">
        <v>-2.5000000000000001E-3</v>
      </c>
      <c r="CY44" s="122">
        <f>CY40/CS40-1</f>
        <v>1.0318291501322463E-2</v>
      </c>
      <c r="DA44" s="109">
        <v>-2.5000000000000001E-3</v>
      </c>
      <c r="DB44" s="110">
        <v>-2.5000000000000001E-3</v>
      </c>
      <c r="DC44" s="110">
        <v>-2.5000000000000001E-3</v>
      </c>
      <c r="DD44" s="110">
        <v>-2.5000000000000001E-3</v>
      </c>
      <c r="DE44" s="122">
        <f>DE40/CY40-1</f>
        <v>1.0797765425682559E-2</v>
      </c>
      <c r="DG44" s="109">
        <v>-2.5000000000000001E-3</v>
      </c>
      <c r="DH44" s="110">
        <v>-2.5000000000000001E-3</v>
      </c>
      <c r="DI44" s="110">
        <v>-2.5000000000000001E-3</v>
      </c>
      <c r="DJ44" s="110">
        <v>-2.5000000000000001E-3</v>
      </c>
      <c r="DK44" s="122">
        <f>DK40/DE40-1</f>
        <v>1.0745492446947225E-2</v>
      </c>
    </row>
    <row r="45" spans="2:115" ht="15.75" thickBot="1" x14ac:dyDescent="0.35">
      <c r="B45" s="1"/>
      <c r="AA45" s="103"/>
      <c r="AB45" s="103"/>
      <c r="AC45" s="103"/>
      <c r="AD45" s="103"/>
      <c r="AE45" s="103"/>
      <c r="AG45" s="103"/>
      <c r="AH45" s="103"/>
      <c r="AI45" s="103"/>
      <c r="AJ45" s="103"/>
      <c r="AK45" s="103"/>
      <c r="AM45" s="103"/>
      <c r="AN45" s="103"/>
      <c r="AO45" s="103"/>
      <c r="AP45" s="103"/>
      <c r="AQ45" s="103"/>
      <c r="AS45" s="103"/>
      <c r="AT45" s="103"/>
      <c r="AU45" s="103"/>
      <c r="AV45" s="103"/>
      <c r="AW45" s="103"/>
      <c r="AY45" s="103"/>
      <c r="AZ45" s="103"/>
      <c r="BA45" s="103"/>
      <c r="BB45" s="103"/>
      <c r="BC45" s="103"/>
      <c r="BE45" s="103"/>
      <c r="BF45" s="103"/>
      <c r="BG45" s="103"/>
      <c r="BH45" s="103"/>
      <c r="BI45" s="103"/>
      <c r="BK45" s="474" t="s">
        <v>585</v>
      </c>
      <c r="BL45" s="103"/>
      <c r="BM45" s="103"/>
      <c r="BN45" s="103"/>
      <c r="BO45" s="103"/>
      <c r="BQ45" s="103"/>
      <c r="BR45" s="103"/>
      <c r="BS45" s="103"/>
      <c r="BT45" s="103"/>
      <c r="BU45" s="103"/>
      <c r="BW45" s="103"/>
      <c r="BX45" s="103"/>
      <c r="BY45" s="103"/>
      <c r="BZ45" s="103"/>
      <c r="CA45" s="103"/>
      <c r="CC45" s="103"/>
      <c r="CD45" s="103"/>
      <c r="CE45" s="103"/>
      <c r="CF45" s="103"/>
      <c r="CG45" s="103"/>
      <c r="CI45" s="103"/>
      <c r="CJ45" s="103"/>
      <c r="CK45" s="103"/>
      <c r="CL45" s="103"/>
      <c r="CM45" s="103"/>
      <c r="CO45" s="103"/>
      <c r="CP45" s="103"/>
      <c r="CQ45" s="103"/>
      <c r="CR45" s="103"/>
      <c r="CS45" s="103"/>
      <c r="CU45" s="103"/>
      <c r="CV45" s="103"/>
      <c r="CW45" s="103"/>
      <c r="CX45" s="103"/>
      <c r="CY45" s="103"/>
      <c r="DA45" s="103"/>
      <c r="DB45" s="103"/>
      <c r="DC45" s="103"/>
      <c r="DD45" s="103"/>
      <c r="DE45" s="103"/>
      <c r="DG45" s="103"/>
      <c r="DH45" s="103"/>
      <c r="DI45" s="103"/>
      <c r="DJ45" s="103"/>
      <c r="DK45" s="103"/>
    </row>
    <row r="46" spans="2:115" ht="15" x14ac:dyDescent="0.3">
      <c r="B46" s="42" t="s">
        <v>61</v>
      </c>
      <c r="C46" s="198">
        <v>61</v>
      </c>
      <c r="D46" s="199">
        <v>73</v>
      </c>
      <c r="E46" s="199">
        <v>77</v>
      </c>
      <c r="F46" s="200">
        <v>68</v>
      </c>
      <c r="G46" s="201">
        <f>C46+D46+E46+F46</f>
        <v>279</v>
      </c>
      <c r="H46" s="197"/>
      <c r="I46" s="198">
        <v>62</v>
      </c>
      <c r="J46" s="199">
        <v>114</v>
      </c>
      <c r="K46" s="199">
        <v>91</v>
      </c>
      <c r="L46" s="199">
        <v>85</v>
      </c>
      <c r="M46" s="201">
        <f>I46+J46+K46+L46</f>
        <v>352</v>
      </c>
      <c r="N46" s="197"/>
      <c r="O46" s="198">
        <v>64</v>
      </c>
      <c r="P46" s="199">
        <v>103</v>
      </c>
      <c r="Q46" s="199">
        <v>128</v>
      </c>
      <c r="R46" s="199">
        <v>135</v>
      </c>
      <c r="S46" s="201">
        <f>O46+P46+Q46+R46</f>
        <v>430</v>
      </c>
      <c r="T46" s="197"/>
      <c r="U46" s="198">
        <v>102</v>
      </c>
      <c r="V46" s="199">
        <v>139</v>
      </c>
      <c r="W46" s="199">
        <v>98</v>
      </c>
      <c r="X46" s="199">
        <v>122</v>
      </c>
      <c r="Y46" s="201">
        <f>U46+V46+W46+X46</f>
        <v>461</v>
      </c>
      <c r="AA46" s="198">
        <v>82</v>
      </c>
      <c r="AB46" s="199">
        <v>128</v>
      </c>
      <c r="AC46" s="199">
        <v>121</v>
      </c>
      <c r="AD46" s="199">
        <f>174-47</f>
        <v>127</v>
      </c>
      <c r="AE46" s="201">
        <f>AA46+AB46+AC46+AD46</f>
        <v>458</v>
      </c>
      <c r="AG46" s="198">
        <v>115</v>
      </c>
      <c r="AH46" s="199">
        <v>133</v>
      </c>
      <c r="AI46" s="199">
        <v>143</v>
      </c>
      <c r="AJ46" s="199">
        <v>134</v>
      </c>
      <c r="AK46" s="201">
        <f>AG46+AH46+AI46+AJ46</f>
        <v>525</v>
      </c>
      <c r="AM46" s="198">
        <v>114</v>
      </c>
      <c r="AN46" s="199">
        <v>108</v>
      </c>
      <c r="AO46" s="199">
        <v>116</v>
      </c>
      <c r="AP46" s="200">
        <v>157</v>
      </c>
      <c r="AQ46" s="201">
        <f>AM46+AN46+AO46+AP46</f>
        <v>495</v>
      </c>
      <c r="AS46" s="198">
        <v>148</v>
      </c>
      <c r="AT46" s="199">
        <v>150</v>
      </c>
      <c r="AU46" s="199">
        <v>161</v>
      </c>
      <c r="AV46" s="200">
        <v>171</v>
      </c>
      <c r="AW46" s="201">
        <f>AS46+AT46+AU46+AV46</f>
        <v>630</v>
      </c>
      <c r="AY46" s="198">
        <v>133</v>
      </c>
      <c r="AZ46" s="199">
        <v>124</v>
      </c>
      <c r="BA46" s="199">
        <v>125</v>
      </c>
      <c r="BB46" s="200">
        <v>118</v>
      </c>
      <c r="BC46" s="201">
        <f>AY46+AZ46+BA46+BB46</f>
        <v>500</v>
      </c>
      <c r="BE46" s="198">
        <v>88</v>
      </c>
      <c r="BF46" s="199">
        <v>102</v>
      </c>
      <c r="BG46" s="199">
        <v>91</v>
      </c>
      <c r="BH46" s="200">
        <v>77</v>
      </c>
      <c r="BI46" s="201">
        <f>BE46+BF46+BG46+BH46</f>
        <v>358</v>
      </c>
      <c r="BK46" s="198">
        <v>110</v>
      </c>
      <c r="BL46" s="199">
        <v>119</v>
      </c>
      <c r="BM46" s="199">
        <v>98</v>
      </c>
      <c r="BN46" s="200">
        <v>94</v>
      </c>
      <c r="BO46" s="201">
        <f>BK46+BL46+BM46+BN46</f>
        <v>421</v>
      </c>
      <c r="BQ46" s="198">
        <f>BQ32-BQ40-BQ37</f>
        <v>94.358873181518192</v>
      </c>
      <c r="BR46" s="199">
        <f>BR32-BR40-BR37</f>
        <v>111.37833195426418</v>
      </c>
      <c r="BS46" s="199">
        <f>BS32-BS40-BS37</f>
        <v>94.075379951130884</v>
      </c>
      <c r="BT46" s="199">
        <f>BT32-BT40-BT37</f>
        <v>88.237840071699736</v>
      </c>
      <c r="BU46" s="201">
        <f>BQ46+BR46+BS46+BT46</f>
        <v>388.050425158613</v>
      </c>
      <c r="BW46" s="198">
        <f>BW32-BW40-BW37</f>
        <v>92.918738063329329</v>
      </c>
      <c r="BX46" s="199">
        <f>BX32-BX40-BX37</f>
        <v>110.22959369382448</v>
      </c>
      <c r="BY46" s="199">
        <f>BY32-BY40-BY37</f>
        <v>93.422874710444631</v>
      </c>
      <c r="BZ46" s="199">
        <f>BZ32-BZ40-BZ37</f>
        <v>87.931391069359847</v>
      </c>
      <c r="CA46" s="201">
        <f>BW46+BX46+BY46+BZ46</f>
        <v>384.50259753695832</v>
      </c>
      <c r="CC46" s="198">
        <f>CC32-CC40-CC37</f>
        <v>93.388356735496544</v>
      </c>
      <c r="CD46" s="199">
        <f>CD32-CD40-CD37</f>
        <v>111.07204771383856</v>
      </c>
      <c r="CE46" s="199">
        <f>CE32-CE40-CE37</f>
        <v>94.340724533233839</v>
      </c>
      <c r="CF46" s="199">
        <f>CF32-CF40-CF37</f>
        <v>88.173756141885775</v>
      </c>
      <c r="CG46" s="201">
        <f>CC46+CD46+CE46+CF46</f>
        <v>386.97488512445466</v>
      </c>
      <c r="CI46" s="198">
        <f>CI32-CI40-CI37</f>
        <v>94.564181823957028</v>
      </c>
      <c r="CJ46" s="199">
        <f>CJ32-CJ40-CJ37</f>
        <v>112.72515160156073</v>
      </c>
      <c r="CK46" s="199">
        <f>CK32-CK40-CK37</f>
        <v>95.942506189381589</v>
      </c>
      <c r="CL46" s="199">
        <f>CL32-CL40-CL37</f>
        <v>89.80160746457787</v>
      </c>
      <c r="CM46" s="201">
        <f>CI46+CJ46+CK46+CL46</f>
        <v>393.03344707947724</v>
      </c>
      <c r="CO46" s="198">
        <f>CO32-CO40-CO37</f>
        <v>96.175727942596183</v>
      </c>
      <c r="CP46" s="199">
        <f>CP32-CP40-CP37</f>
        <v>114.88080161510229</v>
      </c>
      <c r="CQ46" s="199">
        <f>CQ32-CQ40-CQ37</f>
        <v>97.983348422184179</v>
      </c>
      <c r="CR46" s="199">
        <f>CR32-CR40-CR37</f>
        <v>91.83704395589109</v>
      </c>
      <c r="CS46" s="201">
        <f>CO46+CP46+CQ46+CR46</f>
        <v>400.87692193577374</v>
      </c>
      <c r="CU46" s="198">
        <f>CU32-CU40-CU37</f>
        <v>97.960316615750472</v>
      </c>
      <c r="CV46" s="199">
        <f>CV32-CV40-CV37</f>
        <v>117.21327286644853</v>
      </c>
      <c r="CW46" s="199">
        <f>CW32-CW40-CW37</f>
        <v>100.17049066740472</v>
      </c>
      <c r="CX46" s="199">
        <f>CX32-CX40-CX37</f>
        <v>94.001769401913577</v>
      </c>
      <c r="CY46" s="201">
        <f>CU46+CV46+CW46+CX46</f>
        <v>409.34584955151735</v>
      </c>
      <c r="DA46" s="198">
        <f>DA32-DA40-DA37</f>
        <v>99.860855195224531</v>
      </c>
      <c r="DB46" s="199">
        <f>DB32-DB40-DB37</f>
        <v>119.65448269160869</v>
      </c>
      <c r="DC46" s="199">
        <f>DC32-DC40-DC37</f>
        <v>102.44387709084012</v>
      </c>
      <c r="DD46" s="199">
        <f>DD32-DD40-DD37</f>
        <v>96.239459309252879</v>
      </c>
      <c r="DE46" s="201">
        <f>DA46+DB46+DC46+DD46</f>
        <v>418.19867428692623</v>
      </c>
      <c r="DG46" s="198">
        <f>DG32-DG40-DG37</f>
        <v>101.82196447803911</v>
      </c>
      <c r="DH46" s="199">
        <f>DH32-DH40-DH37</f>
        <v>122.13838011825266</v>
      </c>
      <c r="DI46" s="199">
        <f>DI32-DI40-DI37</f>
        <v>104.7449656173011</v>
      </c>
      <c r="DJ46" s="199">
        <f>DJ32-DJ40-DJ37</f>
        <v>98.495043193340365</v>
      </c>
      <c r="DK46" s="201">
        <f>DG46+DH46+DI46+DJ46</f>
        <v>427.20035340693323</v>
      </c>
    </row>
    <row r="47" spans="2:115" ht="15.75" thickBot="1" x14ac:dyDescent="0.35">
      <c r="B47" s="41" t="s">
        <v>23</v>
      </c>
      <c r="C47" s="155" t="s">
        <v>35</v>
      </c>
      <c r="D47" s="106" t="s">
        <v>35</v>
      </c>
      <c r="E47" s="106" t="s">
        <v>35</v>
      </c>
      <c r="F47" s="154" t="s">
        <v>35</v>
      </c>
      <c r="G47" s="108" t="s">
        <v>35</v>
      </c>
      <c r="I47" s="109">
        <f>I46/C46-1</f>
        <v>1.6393442622950838E-2</v>
      </c>
      <c r="J47" s="110">
        <f>J46/D46-1</f>
        <v>0.56164383561643838</v>
      </c>
      <c r="K47" s="110">
        <f>K46/E46-1</f>
        <v>0.18181818181818188</v>
      </c>
      <c r="L47" s="110">
        <f>L46/F46-1</f>
        <v>0.25</v>
      </c>
      <c r="M47" s="122">
        <f>M46/G46-1</f>
        <v>0.26164874551971318</v>
      </c>
      <c r="O47" s="109">
        <f>O46/I46-1</f>
        <v>3.2258064516129004E-2</v>
      </c>
      <c r="P47" s="110">
        <f>P46/J46-1</f>
        <v>-9.6491228070175405E-2</v>
      </c>
      <c r="Q47" s="110">
        <f>Q46/K46-1</f>
        <v>0.4065934065934067</v>
      </c>
      <c r="R47" s="110">
        <f>R46/L46-1</f>
        <v>0.58823529411764697</v>
      </c>
      <c r="S47" s="122">
        <f>S46/M46-1</f>
        <v>0.22159090909090917</v>
      </c>
      <c r="U47" s="109">
        <f>U46/O46-1</f>
        <v>0.59375</v>
      </c>
      <c r="V47" s="110">
        <f>V46/P46-1</f>
        <v>0.34951456310679618</v>
      </c>
      <c r="W47" s="110">
        <f>W46/Q46-1</f>
        <v>-0.234375</v>
      </c>
      <c r="X47" s="110">
        <f>X46/R46-1</f>
        <v>-9.6296296296296324E-2</v>
      </c>
      <c r="Y47" s="122">
        <f>Y46/S46-1</f>
        <v>7.2093023255813904E-2</v>
      </c>
      <c r="AA47" s="109">
        <f>AA46/U46-1</f>
        <v>-0.19607843137254899</v>
      </c>
      <c r="AB47" s="110">
        <f>AB46/V46-1</f>
        <v>-7.9136690647481966E-2</v>
      </c>
      <c r="AC47" s="110">
        <f>AC46/W46-1</f>
        <v>0.23469387755102034</v>
      </c>
      <c r="AD47" s="110">
        <f>AD46/X46-1</f>
        <v>4.0983606557376984E-2</v>
      </c>
      <c r="AE47" s="122">
        <f>AE46/Y46-1</f>
        <v>-6.5075921908893664E-3</v>
      </c>
      <c r="AG47" s="109">
        <f>AG46/AA46-1</f>
        <v>0.40243902439024382</v>
      </c>
      <c r="AH47" s="110">
        <f>AH46/AB46-1</f>
        <v>3.90625E-2</v>
      </c>
      <c r="AI47" s="110">
        <f>AI46/AC46-1</f>
        <v>0.18181818181818188</v>
      </c>
      <c r="AJ47" s="110">
        <f>AJ46/AD46-1</f>
        <v>5.5118110236220375E-2</v>
      </c>
      <c r="AK47" s="122">
        <f>AK46/AE46-1</f>
        <v>0.14628820960698685</v>
      </c>
      <c r="AM47" s="109">
        <f>AM46/AG46-1</f>
        <v>-8.6956521739129933E-3</v>
      </c>
      <c r="AN47" s="110">
        <f>AN46/AH46-1</f>
        <v>-0.18796992481203012</v>
      </c>
      <c r="AO47" s="110">
        <f>AO46/AI46-1</f>
        <v>-0.18881118881118886</v>
      </c>
      <c r="AP47" s="120">
        <f>AP46/AJ46-1</f>
        <v>0.17164179104477606</v>
      </c>
      <c r="AQ47" s="122">
        <f>AQ46/AK46-1</f>
        <v>-5.7142857142857162E-2</v>
      </c>
      <c r="AS47" s="109">
        <f>AS46/AM46-1</f>
        <v>0.29824561403508776</v>
      </c>
      <c r="AT47" s="110">
        <f>AT46/AN46-1</f>
        <v>0.38888888888888884</v>
      </c>
      <c r="AU47" s="110">
        <f>AU46/AO46-1</f>
        <v>0.38793103448275867</v>
      </c>
      <c r="AV47" s="120">
        <f>AV46/AP46-1</f>
        <v>8.9171974522292974E-2</v>
      </c>
      <c r="AW47" s="122">
        <f>AW46/AQ46-1</f>
        <v>0.27272727272727271</v>
      </c>
      <c r="AY47" s="109">
        <f>AY46/AS46-1</f>
        <v>-0.10135135135135132</v>
      </c>
      <c r="AZ47" s="110">
        <f>AZ46/AT46-1</f>
        <v>-0.17333333333333334</v>
      </c>
      <c r="BA47" s="110">
        <f>BA46/AU46-1</f>
        <v>-0.22360248447204967</v>
      </c>
      <c r="BB47" s="120">
        <f>BB46/AV46-1</f>
        <v>-0.3099415204678363</v>
      </c>
      <c r="BC47" s="122">
        <f>BC46/AW46-1</f>
        <v>-0.20634920634920639</v>
      </c>
      <c r="BE47" s="109">
        <f>BE46/AY46-1</f>
        <v>-0.33834586466165417</v>
      </c>
      <c r="BF47" s="110">
        <f>BF46/AZ46-1</f>
        <v>-0.17741935483870963</v>
      </c>
      <c r="BG47" s="110">
        <f>BG46/BA46-1</f>
        <v>-0.27200000000000002</v>
      </c>
      <c r="BH47" s="120">
        <f>BH46/BB46-1</f>
        <v>-0.34745762711864403</v>
      </c>
      <c r="BI47" s="122">
        <f>BI46/BC46-1</f>
        <v>-0.28400000000000003</v>
      </c>
      <c r="BK47" s="109">
        <f>BK46/BE46-1</f>
        <v>0.25</v>
      </c>
      <c r="BL47" s="110">
        <f>BL46/BF46-1</f>
        <v>0.16666666666666674</v>
      </c>
      <c r="BM47" s="110">
        <f>BM46/BG46-1</f>
        <v>7.6923076923076872E-2</v>
      </c>
      <c r="BN47" s="110">
        <f>BN46/BH46-1</f>
        <v>0.22077922077922074</v>
      </c>
      <c r="BO47" s="122">
        <f>BO46/BI46-1</f>
        <v>0.17597765363128492</v>
      </c>
      <c r="BQ47" s="109">
        <f>BQ46/BK46-1</f>
        <v>-0.14219206198619827</v>
      </c>
      <c r="BR47" s="110">
        <f>BR46/BL46-1</f>
        <v>-6.4047630636435482E-2</v>
      </c>
      <c r="BS47" s="110">
        <f>BS46/BM46-1</f>
        <v>-4.004714335580728E-2</v>
      </c>
      <c r="BT47" s="110">
        <f>BT46/BN46-1</f>
        <v>-6.1299573705321908E-2</v>
      </c>
      <c r="BU47" s="122">
        <f>BU46/BO46-1</f>
        <v>-7.8265023376216214E-2</v>
      </c>
      <c r="BW47" s="109">
        <f>BW46/BQ46-1</f>
        <v>-1.5262317889473631E-2</v>
      </c>
      <c r="BX47" s="110">
        <f>BX46/BR46-1</f>
        <v>-1.031383968752031E-2</v>
      </c>
      <c r="BY47" s="110">
        <f>BY46/BS46-1</f>
        <v>-6.9359830491804164E-3</v>
      </c>
      <c r="BZ47" s="110">
        <f>BZ46/BT46-1</f>
        <v>-3.4729884830688729E-3</v>
      </c>
      <c r="CA47" s="122">
        <f>CA46/BU46-1</f>
        <v>-9.1426974218737911E-3</v>
      </c>
      <c r="CC47" s="109">
        <f>CC46/BW46-1</f>
        <v>5.0540793165652076E-3</v>
      </c>
      <c r="CD47" s="110">
        <f>CD46/BX46-1</f>
        <v>7.6427209044613864E-3</v>
      </c>
      <c r="CE47" s="110">
        <f>CE46/BY46-1</f>
        <v>9.8246797225411964E-3</v>
      </c>
      <c r="CF47" s="110">
        <f>CF46/BZ46-1</f>
        <v>2.756297490332571E-3</v>
      </c>
      <c r="CG47" s="122">
        <f>CG46/CA46-1</f>
        <v>6.4298332529697522E-3</v>
      </c>
      <c r="CI47" s="109">
        <f>CI46/CC46-1</f>
        <v>1.2590703269260484E-2</v>
      </c>
      <c r="CJ47" s="110">
        <f>CJ46/CD46-1</f>
        <v>1.4883167473252579E-2</v>
      </c>
      <c r="CK47" s="110">
        <f>CK46/CE46-1</f>
        <v>1.697868724321161E-2</v>
      </c>
      <c r="CL47" s="110">
        <f>CL46/CF46-1</f>
        <v>1.8461857517702018E-2</v>
      </c>
      <c r="CM47" s="122">
        <f>CM46/CG46-1</f>
        <v>1.5656214880906516E-2</v>
      </c>
      <c r="CO47" s="109">
        <f>CO46/CI46-1</f>
        <v>1.7041823738709549E-2</v>
      </c>
      <c r="CP47" s="110">
        <f>CP46/CJ46-1</f>
        <v>1.912306156092769E-2</v>
      </c>
      <c r="CQ47" s="110">
        <f>CQ46/CK46-1</f>
        <v>2.1271512636684253E-2</v>
      </c>
      <c r="CR47" s="110">
        <f>CR46/CL46-1</f>
        <v>2.2665924906924317E-2</v>
      </c>
      <c r="CS47" s="122">
        <f>CS46/CM46-1</f>
        <v>1.9956252870027225E-2</v>
      </c>
      <c r="CU47" s="109">
        <f>CU46/CO46-1</f>
        <v>1.8555499514591123E-2</v>
      </c>
      <c r="CV47" s="110">
        <f>CV46/CP46-1</f>
        <v>2.0303403341151549E-2</v>
      </c>
      <c r="CW47" s="110">
        <f>CW46/CQ46-1</f>
        <v>2.2321570761153486E-2</v>
      </c>
      <c r="CX47" s="110">
        <f>CX46/CR46-1</f>
        <v>2.3571375479617851E-2</v>
      </c>
      <c r="CY47" s="122">
        <f>CY46/CS46-1</f>
        <v>2.1126004397679976E-2</v>
      </c>
      <c r="DA47" s="109">
        <f>DA46/CU46-1</f>
        <v>1.9401106949550995E-2</v>
      </c>
      <c r="DB47" s="110">
        <f>DB46/CV46-1</f>
        <v>2.082707670778583E-2</v>
      </c>
      <c r="DC47" s="110">
        <f>DC46/CW46-1</f>
        <v>2.2695171085701293E-2</v>
      </c>
      <c r="DD47" s="110">
        <f>DD46/CX46-1</f>
        <v>2.3804763693030528E-2</v>
      </c>
      <c r="DE47" s="122">
        <f>DE46/CY46-1</f>
        <v>2.1626760708843396E-2</v>
      </c>
      <c r="DG47" s="109">
        <f>DG46/DA46-1</f>
        <v>1.9638418667461632E-2</v>
      </c>
      <c r="DH47" s="110">
        <f>DH46/DB46-1</f>
        <v>2.075891659693041E-2</v>
      </c>
      <c r="DI47" s="110">
        <f>DI46/DC46-1</f>
        <v>2.2461942985821715E-2</v>
      </c>
      <c r="DJ47" s="110">
        <f>DJ46/DD46-1</f>
        <v>2.343720445102937E-2</v>
      </c>
      <c r="DK47" s="122">
        <f>DK46/DE46-1</f>
        <v>2.1524886790604603E-2</v>
      </c>
    </row>
    <row r="48" spans="2:115" ht="15.75" thickBot="1" x14ac:dyDescent="0.35">
      <c r="B48" s="1"/>
      <c r="AA48" s="103"/>
      <c r="AB48" s="103"/>
      <c r="AC48" s="103"/>
      <c r="AD48" s="103"/>
      <c r="AE48" s="103"/>
      <c r="AG48" s="103"/>
      <c r="AH48" s="103"/>
      <c r="AI48" s="103"/>
      <c r="AJ48" s="103"/>
      <c r="AK48" s="103"/>
      <c r="AM48" s="103"/>
      <c r="AN48" s="103"/>
      <c r="AO48" s="103"/>
      <c r="AP48" s="103"/>
      <c r="AQ48" s="103"/>
      <c r="AS48" s="103"/>
      <c r="AT48" s="103"/>
      <c r="AU48" s="103"/>
      <c r="AV48" s="103"/>
      <c r="AW48" s="103"/>
      <c r="AY48" s="103"/>
      <c r="AZ48" s="103"/>
      <c r="BA48" s="103"/>
      <c r="BB48" s="103"/>
      <c r="BC48" s="103"/>
      <c r="BE48" s="103"/>
      <c r="BF48" s="103"/>
      <c r="BG48" s="103"/>
      <c r="BH48" s="103"/>
      <c r="BI48" s="103"/>
      <c r="BK48" s="103"/>
      <c r="BL48" s="103"/>
      <c r="BM48" s="103"/>
      <c r="BN48" s="103"/>
      <c r="BO48" s="103"/>
      <c r="BQ48" s="103"/>
      <c r="BR48" s="103"/>
      <c r="BS48" s="103"/>
      <c r="BT48" s="103"/>
      <c r="BU48" s="103"/>
      <c r="BW48" s="103"/>
      <c r="BX48" s="103"/>
      <c r="BY48" s="103"/>
      <c r="BZ48" s="103"/>
      <c r="CA48" s="103"/>
      <c r="CC48" s="103"/>
      <c r="CD48" s="103"/>
      <c r="CE48" s="103"/>
      <c r="CF48" s="103"/>
      <c r="CG48" s="103"/>
      <c r="CI48" s="103"/>
      <c r="CJ48" s="103"/>
      <c r="CK48" s="103"/>
      <c r="CL48" s="103"/>
      <c r="CM48" s="103"/>
      <c r="CO48" s="103"/>
      <c r="CP48" s="103"/>
      <c r="CQ48" s="103"/>
      <c r="CR48" s="103"/>
      <c r="CS48" s="103"/>
      <c r="CU48" s="103"/>
      <c r="CV48" s="103"/>
      <c r="CW48" s="103"/>
      <c r="CX48" s="103"/>
      <c r="CY48" s="103"/>
      <c r="DA48" s="103"/>
      <c r="DB48" s="103"/>
      <c r="DC48" s="103"/>
      <c r="DD48" s="103"/>
      <c r="DE48" s="103"/>
      <c r="DG48" s="103"/>
      <c r="DH48" s="103"/>
      <c r="DI48" s="103"/>
      <c r="DJ48" s="103"/>
      <c r="DK48" s="103"/>
    </row>
    <row r="49" spans="2:115" ht="15" x14ac:dyDescent="0.3">
      <c r="B49" s="42" t="s">
        <v>36</v>
      </c>
      <c r="C49" s="209">
        <f>C46/C32</f>
        <v>0.21180555555555555</v>
      </c>
      <c r="D49" s="206">
        <f>D46/D32</f>
        <v>0.2425249169435216</v>
      </c>
      <c r="E49" s="206">
        <f>E46/E32</f>
        <v>0.26190476190476192</v>
      </c>
      <c r="F49" s="206">
        <f>F46/F32</f>
        <v>0.15632183908045977</v>
      </c>
      <c r="G49" s="208">
        <f>G46/G32</f>
        <v>0.2116843702579666</v>
      </c>
      <c r="H49" s="129"/>
      <c r="I49" s="209">
        <f>I46/I32</f>
        <v>0.14903846153846154</v>
      </c>
      <c r="J49" s="206">
        <f>J46/J32</f>
        <v>0.25503355704697989</v>
      </c>
      <c r="K49" s="206">
        <f>K46/K32</f>
        <v>0.19077568134171907</v>
      </c>
      <c r="L49" s="206">
        <f>L46/L32</f>
        <v>0.18240343347639484</v>
      </c>
      <c r="M49" s="208">
        <f>M46/M32</f>
        <v>0.19490586932447398</v>
      </c>
      <c r="N49" s="129"/>
      <c r="O49" s="209">
        <f>O46/O32</f>
        <v>0.14414414414414414</v>
      </c>
      <c r="P49" s="206">
        <f>P46/P32</f>
        <v>0.22150537634408601</v>
      </c>
      <c r="Q49" s="206">
        <f>Q46/Q32</f>
        <v>0.2831858407079646</v>
      </c>
      <c r="R49" s="206">
        <f>R46/R32</f>
        <v>0.30269058295964124</v>
      </c>
      <c r="S49" s="207">
        <f>S46/S32</f>
        <v>0.23796347537354731</v>
      </c>
      <c r="U49" s="209">
        <f>U46/U32</f>
        <v>0.23076923076923078</v>
      </c>
      <c r="V49" s="206">
        <f>V46/V32</f>
        <v>0.31026785714285715</v>
      </c>
      <c r="W49" s="206">
        <f>W46/W32</f>
        <v>0.21777777777777776</v>
      </c>
      <c r="X49" s="206">
        <f>X46/X32</f>
        <v>0.2857142857142857</v>
      </c>
      <c r="Y49" s="208">
        <f>Y46/Y32</f>
        <v>0.26089417091114886</v>
      </c>
      <c r="AA49" s="209">
        <f>AA46/AA32</f>
        <v>0.19617224880382775</v>
      </c>
      <c r="AB49" s="206">
        <f>AB46/AB32</f>
        <v>0.29357798165137616</v>
      </c>
      <c r="AC49" s="206">
        <f>AC46/AC32</f>
        <v>0.28271028037383178</v>
      </c>
      <c r="AD49" s="206">
        <f>AD46/AD32</f>
        <v>0.30382775119617222</v>
      </c>
      <c r="AE49" s="208">
        <f>AE46/AE32</f>
        <v>0.26941176470588235</v>
      </c>
      <c r="AG49" s="209">
        <f>AG46/AG32</f>
        <v>0.27315914489311166</v>
      </c>
      <c r="AH49" s="206">
        <f>AH46/AH32</f>
        <v>0.31742243436754175</v>
      </c>
      <c r="AI49" s="206">
        <f>AI46/AI32</f>
        <v>0.34624697336561744</v>
      </c>
      <c r="AJ49" s="206">
        <f>AJ46/AJ32</f>
        <v>0.32603406326034062</v>
      </c>
      <c r="AK49" s="208">
        <f>AK46/AK32</f>
        <v>0.31550480769230771</v>
      </c>
      <c r="AM49" s="209">
        <f>AM46/AM32</f>
        <v>0.29007633587786258</v>
      </c>
      <c r="AN49" s="206">
        <f>AN46/AN32</f>
        <v>0.26600985221674878</v>
      </c>
      <c r="AO49" s="206">
        <f>AO46/AO32</f>
        <v>0.28155339805825241</v>
      </c>
      <c r="AP49" s="206">
        <f>AP46/AP32</f>
        <v>0.34505494505494505</v>
      </c>
      <c r="AQ49" s="208">
        <f>AQ46/AQ32</f>
        <v>0.29711884753901563</v>
      </c>
      <c r="AS49" s="209">
        <f>AS46/AS32</f>
        <v>0.37659033078880405</v>
      </c>
      <c r="AT49" s="206">
        <f>AT46/AT32</f>
        <v>0.39577836411609496</v>
      </c>
      <c r="AU49" s="206">
        <f>AU46/AU32</f>
        <v>0.42819148936170215</v>
      </c>
      <c r="AV49" s="206">
        <f>AV46/AV32</f>
        <v>0.42431761786600497</v>
      </c>
      <c r="AW49" s="208">
        <f>AW46/AW32</f>
        <v>0.40618955512572535</v>
      </c>
      <c r="AY49" s="209">
        <f>AY46/AY32</f>
        <v>0.38439306358381503</v>
      </c>
      <c r="AZ49" s="206">
        <f>AZ46/AZ32</f>
        <v>0.34254143646408841</v>
      </c>
      <c r="BA49" s="206">
        <f>BA46/BA32</f>
        <v>0.36127167630057805</v>
      </c>
      <c r="BB49" s="206">
        <f>BB46/BB32</f>
        <v>0.34705882352941175</v>
      </c>
      <c r="BC49" s="208">
        <f>BC46/BC32</f>
        <v>0.3586800573888092</v>
      </c>
      <c r="BE49" s="209">
        <f>BE46/BE32</f>
        <v>0.27160493827160492</v>
      </c>
      <c r="BF49" s="206">
        <f>BF46/BF32</f>
        <v>0.31974921630094044</v>
      </c>
      <c r="BG49" s="206">
        <f>BG46/BG32</f>
        <v>0.2740963855421687</v>
      </c>
      <c r="BH49" s="206">
        <f>BH46/BH32</f>
        <v>0.21629213483146068</v>
      </c>
      <c r="BI49" s="208">
        <f>BI46/BI32</f>
        <v>0.26897069872276486</v>
      </c>
      <c r="BK49" s="209">
        <f>BK46/BK32</f>
        <v>0.32258064516129031</v>
      </c>
      <c r="BL49" s="206">
        <f>BL46/BL32</f>
        <v>0.34492753623188405</v>
      </c>
      <c r="BM49" s="206">
        <f>BM46/BM32</f>
        <v>0.29969418960244648</v>
      </c>
      <c r="BN49" s="206">
        <f>BN46/BN32</f>
        <v>0.27485380116959063</v>
      </c>
      <c r="BO49" s="208">
        <f>BO46/BO32</f>
        <v>0.31070110701107012</v>
      </c>
      <c r="BQ49" s="209">
        <f>BQ46/BQ32</f>
        <v>0.29027131620206642</v>
      </c>
      <c r="BR49" s="206">
        <f>BR46/BR32</f>
        <v>0.33640418508171249</v>
      </c>
      <c r="BS49" s="206">
        <f>BS46/BS32</f>
        <v>0.29871280362757602</v>
      </c>
      <c r="BT49" s="206">
        <f>BT46/BT32</f>
        <v>0.26218776600788474</v>
      </c>
      <c r="BU49" s="208">
        <f>BU46/BU32</f>
        <v>0.2967571082655926</v>
      </c>
      <c r="BW49" s="209">
        <f>BW46/BW32</f>
        <v>0.28684439806858464</v>
      </c>
      <c r="BX49" s="206">
        <f>BX46/BX32</f>
        <v>0.33298108923243197</v>
      </c>
      <c r="BY49" s="206">
        <f>BY46/BY32</f>
        <v>0.29617256056055569</v>
      </c>
      <c r="BZ49" s="206">
        <f>BZ46/BZ32</f>
        <v>0.26094151728573234</v>
      </c>
      <c r="CA49" s="208">
        <f>CA46/CA32</f>
        <v>0.29410068844543646</v>
      </c>
      <c r="CC49" s="209">
        <f>CC46/CC32</f>
        <v>0.28856475567988932</v>
      </c>
      <c r="CD49" s="206">
        <f>CD46/CD32</f>
        <v>0.33472502755427469</v>
      </c>
      <c r="CE49" s="206">
        <f>CE46/CE32</f>
        <v>0.29793539294744614</v>
      </c>
      <c r="CF49" s="206">
        <f>CF46/CF32</f>
        <v>0.26315670099606042</v>
      </c>
      <c r="CG49" s="208">
        <f>CG46/CG32</f>
        <v>0.29603992297932158</v>
      </c>
      <c r="CI49" s="209">
        <f>CI46/CI32</f>
        <v>0.29049468455089028</v>
      </c>
      <c r="CJ49" s="206">
        <f>CJ46/CJ32</f>
        <v>0.33669521513901696</v>
      </c>
      <c r="CK49" s="206">
        <f>CK46/CK32</f>
        <v>0.29992812324498297</v>
      </c>
      <c r="CL49" s="206">
        <f>CL46/CL32</f>
        <v>0.26493158230954328</v>
      </c>
      <c r="CM49" s="208">
        <f>CM46/CM32</f>
        <v>0.29793918720575829</v>
      </c>
      <c r="CO49" s="209">
        <f>CO46/CO32</f>
        <v>0.29253250971138006</v>
      </c>
      <c r="CP49" s="206">
        <f>CP46/CP32</f>
        <v>0.33878042236893591</v>
      </c>
      <c r="CQ49" s="206">
        <f>CQ46/CQ32</f>
        <v>0.30204073929543351</v>
      </c>
      <c r="CR49" s="206">
        <f>CR46/CR32</f>
        <v>0.26688062486275532</v>
      </c>
      <c r="CS49" s="208">
        <f>CS46/CS32</f>
        <v>0.29997053530180889</v>
      </c>
      <c r="CU49" s="209">
        <f>CU46/CU32</f>
        <v>0.29460577925931647</v>
      </c>
      <c r="CV49" s="206">
        <f>CV46/CV32</f>
        <v>0.34089683244821922</v>
      </c>
      <c r="CW49" s="206">
        <f>CW46/CW32</f>
        <v>0.30418246621835771</v>
      </c>
      <c r="CX49" s="206">
        <f>CX46/CX32</f>
        <v>0.26886746147804375</v>
      </c>
      <c r="CY49" s="208">
        <f>CY46/CY32</f>
        <v>0.30203718940478125</v>
      </c>
      <c r="DA49" s="209">
        <f>DA46/DA32</f>
        <v>0.29669827469916882</v>
      </c>
      <c r="DB49" s="206">
        <f>DB46/DB32</f>
        <v>0.34302648634403632</v>
      </c>
      <c r="DC49" s="206">
        <f>DC46/DC32</f>
        <v>0.3063342967919428</v>
      </c>
      <c r="DD49" s="206">
        <f>DD46/DD32</f>
        <v>0.27086411358874712</v>
      </c>
      <c r="DE49" s="208">
        <f>DE46/DE32</f>
        <v>0.30411847973127559</v>
      </c>
      <c r="DG49" s="209">
        <f>DG46/DG32</f>
        <v>0.29879444236865577</v>
      </c>
      <c r="DH49" s="206">
        <f>DH46/DH32</f>
        <v>0.3451524851842544</v>
      </c>
      <c r="DI49" s="206">
        <f>DI46/DI32</f>
        <v>0.30847848789748761</v>
      </c>
      <c r="DJ49" s="206">
        <f>DJ46/DJ32</f>
        <v>0.27284463757615057</v>
      </c>
      <c r="DK49" s="208">
        <f>DK46/DK32</f>
        <v>0.30619498926146876</v>
      </c>
    </row>
    <row r="50" spans="2:115" ht="15.75" thickBot="1" x14ac:dyDescent="0.35">
      <c r="B50" s="41" t="s">
        <v>37</v>
      </c>
      <c r="C50" s="155" t="s">
        <v>35</v>
      </c>
      <c r="D50" s="106" t="s">
        <v>35</v>
      </c>
      <c r="E50" s="106" t="s">
        <v>35</v>
      </c>
      <c r="F50" s="106" t="s">
        <v>35</v>
      </c>
      <c r="G50" s="108" t="s">
        <v>35</v>
      </c>
      <c r="I50" s="174"/>
      <c r="J50" s="175"/>
      <c r="K50" s="175"/>
      <c r="L50" s="175"/>
      <c r="M50" s="177"/>
      <c r="O50" s="174">
        <f>O49-I49</f>
        <v>-4.8943173943173934E-3</v>
      </c>
      <c r="P50" s="175">
        <f>P49-J49</f>
        <v>-3.3528180702893873E-2</v>
      </c>
      <c r="Q50" s="175">
        <f>Q49-K49</f>
        <v>9.2410159366245526E-2</v>
      </c>
      <c r="R50" s="175">
        <f>R49-L49</f>
        <v>0.1202871494832464</v>
      </c>
      <c r="S50" s="176">
        <f>S49-M49</f>
        <v>4.3057606049073327E-2</v>
      </c>
      <c r="U50" s="174">
        <f>U49-O49</f>
        <v>8.6625086625086639E-2</v>
      </c>
      <c r="V50" s="175">
        <f>V49-P49</f>
        <v>8.8762480798771137E-2</v>
      </c>
      <c r="W50" s="175">
        <f>W49-Q49</f>
        <v>-6.5408062930186833E-2</v>
      </c>
      <c r="X50" s="175">
        <f>X49-R49</f>
        <v>-1.6976297245355543E-2</v>
      </c>
      <c r="Y50" s="177">
        <f>Y49-S49</f>
        <v>2.2930695537601548E-2</v>
      </c>
      <c r="AA50" s="174">
        <f>AA49-U49</f>
        <v>-3.4596981965403034E-2</v>
      </c>
      <c r="AB50" s="175">
        <f>AB49-V49</f>
        <v>-1.6689875491480988E-2</v>
      </c>
      <c r="AC50" s="175">
        <f>AC49-W49</f>
        <v>6.4932502596054015E-2</v>
      </c>
      <c r="AD50" s="175">
        <f>AD49-X49</f>
        <v>1.8113465481886526E-2</v>
      </c>
      <c r="AE50" s="177">
        <f>AE49-Y49</f>
        <v>8.5175937947334912E-3</v>
      </c>
      <c r="AG50" s="174">
        <f>AG49-AA49</f>
        <v>7.6986896089283913E-2</v>
      </c>
      <c r="AH50" s="175">
        <f>AH49-AB49</f>
        <v>2.3844452716165587E-2</v>
      </c>
      <c r="AI50" s="175">
        <f>AI49-AC49</f>
        <v>6.3536692991785659E-2</v>
      </c>
      <c r="AJ50" s="175">
        <f>AJ49-AD49</f>
        <v>2.2206312064168399E-2</v>
      </c>
      <c r="AK50" s="177">
        <f>AK49-AE49</f>
        <v>4.6093042986425359E-2</v>
      </c>
      <c r="AM50" s="174">
        <f>AM49-AG49</f>
        <v>1.6917190984750918E-2</v>
      </c>
      <c r="AN50" s="175">
        <f>AN49-AH49</f>
        <v>-5.1412582150792974E-2</v>
      </c>
      <c r="AO50" s="175">
        <f>AO49-AI49</f>
        <v>-6.4693575307365025E-2</v>
      </c>
      <c r="AP50" s="175">
        <f>AP49-AJ49</f>
        <v>1.9020881794604427E-2</v>
      </c>
      <c r="AQ50" s="177">
        <f>AQ49-AK49</f>
        <v>-1.838596015329208E-2</v>
      </c>
      <c r="AS50" s="174">
        <f>AS49-AM49</f>
        <v>8.6513994910941472E-2</v>
      </c>
      <c r="AT50" s="175">
        <f>AT49-AN49</f>
        <v>0.12976851189934618</v>
      </c>
      <c r="AU50" s="175">
        <f>AU49-AO49</f>
        <v>0.14663809130344974</v>
      </c>
      <c r="AV50" s="175">
        <f>AV49-AP49</f>
        <v>7.926267281105992E-2</v>
      </c>
      <c r="AW50" s="177">
        <f>AW49-AQ49</f>
        <v>0.10907070758670973</v>
      </c>
      <c r="AY50" s="174">
        <f>AY49-AS49</f>
        <v>7.8027327950109804E-3</v>
      </c>
      <c r="AZ50" s="175">
        <f>AZ49-AT49</f>
        <v>-5.3236927652006549E-2</v>
      </c>
      <c r="BA50" s="175">
        <f>BA49-AU49</f>
        <v>-6.69198130611241E-2</v>
      </c>
      <c r="BB50" s="175">
        <f>BB49-AV49</f>
        <v>-7.7258794336593217E-2</v>
      </c>
      <c r="BC50" s="177">
        <f>BC49-AW49</f>
        <v>-4.7509497736916151E-2</v>
      </c>
      <c r="BE50" s="174">
        <f>BE49-AY49</f>
        <v>-0.11278812531221011</v>
      </c>
      <c r="BF50" s="175">
        <f>BF49-AZ49</f>
        <v>-2.2792220163147969E-2</v>
      </c>
      <c r="BG50" s="175">
        <f>BG49-BA49</f>
        <v>-8.7175290758409352E-2</v>
      </c>
      <c r="BH50" s="175">
        <f>BH49-BB49</f>
        <v>-0.13076668869795108</v>
      </c>
      <c r="BI50" s="177">
        <f>BI49-BC49</f>
        <v>-8.9709358666044348E-2</v>
      </c>
      <c r="BK50" s="174">
        <f>BK49-BE49</f>
        <v>5.097570688968539E-2</v>
      </c>
      <c r="BL50" s="175">
        <f>BL49-BF49</f>
        <v>2.5178319930943605E-2</v>
      </c>
      <c r="BM50" s="175">
        <f>BM49-BG49</f>
        <v>2.5597804060277785E-2</v>
      </c>
      <c r="BN50" s="175">
        <f>BN49-BH49</f>
        <v>5.8561666338129953E-2</v>
      </c>
      <c r="BO50" s="177">
        <f>BO49-BI49</f>
        <v>4.1730408288305265E-2</v>
      </c>
      <c r="BQ50" s="174">
        <f>BQ49-BK49</f>
        <v>-3.2309328959223893E-2</v>
      </c>
      <c r="BR50" s="175">
        <f>BR49-BL49</f>
        <v>-8.5233511501715542E-3</v>
      </c>
      <c r="BS50" s="175">
        <f>BS49-BM49</f>
        <v>-9.8138597487046342E-4</v>
      </c>
      <c r="BT50" s="175">
        <f>BT49-BN49</f>
        <v>-1.2666035161705891E-2</v>
      </c>
      <c r="BU50" s="177">
        <f>BU49-BO49</f>
        <v>-1.3943998745477526E-2</v>
      </c>
      <c r="BW50" s="174">
        <f>BW49-BQ49</f>
        <v>-3.4269181334817822E-3</v>
      </c>
      <c r="BX50" s="175">
        <f>BX49-BR49</f>
        <v>-3.4230958492805219E-3</v>
      </c>
      <c r="BY50" s="175">
        <f>BY49-BS49</f>
        <v>-2.5402430670203313E-3</v>
      </c>
      <c r="BZ50" s="175">
        <f>BZ49-BT49</f>
        <v>-1.2462487221523988E-3</v>
      </c>
      <c r="CA50" s="177">
        <f>CA49-BU49</f>
        <v>-2.6564198201561307E-3</v>
      </c>
      <c r="CC50" s="174">
        <f>CC49-BW49</f>
        <v>1.7203576113046792E-3</v>
      </c>
      <c r="CD50" s="175">
        <f>CD49-BX49</f>
        <v>1.7439383218427196E-3</v>
      </c>
      <c r="CE50" s="175">
        <f>CE49-BY49</f>
        <v>1.7628323868904561E-3</v>
      </c>
      <c r="CF50" s="175">
        <f>CF49-BZ49</f>
        <v>2.2151837103280836E-3</v>
      </c>
      <c r="CG50" s="177">
        <f>CG49-CA49</f>
        <v>1.9392345338851147E-3</v>
      </c>
      <c r="CI50" s="174">
        <f>CI49-CC49</f>
        <v>1.9299288710009632E-3</v>
      </c>
      <c r="CJ50" s="175">
        <f>CJ49-CD49</f>
        <v>1.9701875847422667E-3</v>
      </c>
      <c r="CK50" s="175">
        <f>CK49-CE49</f>
        <v>1.9927302975368266E-3</v>
      </c>
      <c r="CL50" s="175">
        <f>CL49-CF49</f>
        <v>1.7748813134828567E-3</v>
      </c>
      <c r="CM50" s="177">
        <f>CM49-CG49</f>
        <v>1.8992642264367143E-3</v>
      </c>
      <c r="CO50" s="174">
        <f>CO49-CI49</f>
        <v>2.0378251604897812E-3</v>
      </c>
      <c r="CP50" s="175">
        <f>CP49-CJ49</f>
        <v>2.0852072299189506E-3</v>
      </c>
      <c r="CQ50" s="175">
        <f>CQ49-CK49</f>
        <v>2.1126160504505442E-3</v>
      </c>
      <c r="CR50" s="175">
        <f>CR49-CL49</f>
        <v>1.9490425532120437E-3</v>
      </c>
      <c r="CS50" s="177">
        <f>CS49-CM49</f>
        <v>2.0313480960506003E-3</v>
      </c>
      <c r="CU50" s="174">
        <f>CU49-CO49</f>
        <v>2.0732695479364072E-3</v>
      </c>
      <c r="CV50" s="175">
        <f>CV49-CP49</f>
        <v>2.1164100792833151E-3</v>
      </c>
      <c r="CW50" s="175">
        <f>CW49-CQ49</f>
        <v>2.141726922924192E-3</v>
      </c>
      <c r="CX50" s="175">
        <f>CX49-CR49</f>
        <v>1.9868366152884231E-3</v>
      </c>
      <c r="CY50" s="177">
        <f>CY49-CS49</f>
        <v>2.066654102972354E-3</v>
      </c>
      <c r="DA50" s="174">
        <f>DA49-CU49</f>
        <v>2.0924954398523488E-3</v>
      </c>
      <c r="DB50" s="175">
        <f>DB49-CV49</f>
        <v>2.1296538958170963E-3</v>
      </c>
      <c r="DC50" s="175">
        <f>DC49-CW49</f>
        <v>2.1518305735850896E-3</v>
      </c>
      <c r="DD50" s="175">
        <f>DD49-CX49</f>
        <v>1.9966521107033786E-3</v>
      </c>
      <c r="DE50" s="177">
        <f>DE49-CY49</f>
        <v>2.081290326494345E-3</v>
      </c>
      <c r="DG50" s="174">
        <f>DG49-DA49</f>
        <v>2.096167669486948E-3</v>
      </c>
      <c r="DH50" s="175">
        <f>DH49-DB49</f>
        <v>2.1259988402180796E-3</v>
      </c>
      <c r="DI50" s="175">
        <f>DI49-DC49</f>
        <v>2.1441911055448126E-3</v>
      </c>
      <c r="DJ50" s="175">
        <f>DJ49-DD49</f>
        <v>1.9805239874034486E-3</v>
      </c>
      <c r="DK50" s="177">
        <f>DK49-DE49</f>
        <v>2.0765095301931713E-3</v>
      </c>
    </row>
    <row r="51" spans="2:115" ht="15.75" thickBot="1" x14ac:dyDescent="0.35">
      <c r="B51" s="1"/>
      <c r="AA51" s="103"/>
      <c r="AB51" s="103"/>
      <c r="AC51" s="103"/>
      <c r="AD51" s="103"/>
      <c r="AE51" s="103"/>
      <c r="AG51" s="103"/>
      <c r="AH51" s="103"/>
      <c r="AI51" s="103"/>
      <c r="AJ51" s="103"/>
      <c r="AK51" s="103"/>
      <c r="AM51" s="103"/>
      <c r="AN51" s="103"/>
      <c r="AO51" s="103"/>
      <c r="AP51" s="103"/>
      <c r="AQ51" s="103"/>
      <c r="AS51" s="103"/>
      <c r="AT51" s="103"/>
      <c r="AU51" s="103"/>
      <c r="AV51" s="103"/>
      <c r="AW51" s="103"/>
      <c r="AY51" s="103"/>
      <c r="AZ51" s="103"/>
      <c r="BA51" s="103"/>
      <c r="BB51" s="103"/>
      <c r="BC51" s="103"/>
      <c r="BE51" s="103"/>
      <c r="BF51" s="103"/>
      <c r="BG51" s="103"/>
      <c r="BH51" s="103"/>
      <c r="BI51" s="103"/>
      <c r="BK51" s="103"/>
      <c r="BL51" s="103"/>
      <c r="BM51" s="103"/>
      <c r="BN51" s="103"/>
      <c r="BO51" s="103"/>
      <c r="BQ51" s="103"/>
      <c r="BR51" s="103"/>
      <c r="BS51" s="103"/>
      <c r="BT51" s="103"/>
      <c r="BU51" s="103"/>
      <c r="BW51" s="103"/>
      <c r="BX51" s="103"/>
      <c r="BY51" s="103"/>
      <c r="BZ51" s="103"/>
      <c r="CA51" s="103"/>
      <c r="CC51" s="103"/>
      <c r="CD51" s="103"/>
      <c r="CE51" s="103"/>
      <c r="CF51" s="103"/>
      <c r="CG51" s="103"/>
      <c r="CI51" s="103"/>
      <c r="CJ51" s="103"/>
      <c r="CK51" s="103"/>
      <c r="CL51" s="103"/>
      <c r="CM51" s="103"/>
      <c r="CO51" s="103"/>
      <c r="CP51" s="103"/>
      <c r="CQ51" s="103"/>
      <c r="CR51" s="103"/>
      <c r="CS51" s="103"/>
      <c r="CU51" s="103"/>
      <c r="CV51" s="103"/>
      <c r="CW51" s="103"/>
      <c r="CX51" s="103"/>
      <c r="CY51" s="103"/>
      <c r="DA51" s="103"/>
      <c r="DB51" s="103"/>
      <c r="DC51" s="103"/>
      <c r="DD51" s="103"/>
      <c r="DE51" s="103"/>
      <c r="DG51" s="103"/>
      <c r="DH51" s="103"/>
      <c r="DI51" s="103"/>
      <c r="DJ51" s="103"/>
      <c r="DK51" s="103"/>
    </row>
    <row r="52" spans="2:115" ht="15" x14ac:dyDescent="0.3">
      <c r="B52" s="139" t="s">
        <v>62</v>
      </c>
      <c r="C52" s="126">
        <v>26</v>
      </c>
      <c r="D52" s="127">
        <v>22</v>
      </c>
      <c r="E52" s="127">
        <v>38</v>
      </c>
      <c r="F52" s="128">
        <v>71</v>
      </c>
      <c r="G52" s="167">
        <f>C52+D52+E52+F52</f>
        <v>157</v>
      </c>
      <c r="H52" s="129"/>
      <c r="I52" s="126">
        <v>75</v>
      </c>
      <c r="J52" s="127">
        <v>28</v>
      </c>
      <c r="K52" s="127">
        <v>45</v>
      </c>
      <c r="L52" s="127">
        <v>40</v>
      </c>
      <c r="M52" s="167">
        <f>I52+J52+K52+L52</f>
        <v>188</v>
      </c>
      <c r="N52" s="129"/>
      <c r="O52" s="126">
        <v>76</v>
      </c>
      <c r="P52" s="127">
        <v>9</v>
      </c>
      <c r="Q52" s="127">
        <v>23</v>
      </c>
      <c r="R52" s="128">
        <v>49</v>
      </c>
      <c r="S52" s="167">
        <f>O52+P52+Q52+R52</f>
        <v>157</v>
      </c>
      <c r="T52" s="129"/>
      <c r="U52" s="126">
        <v>14</v>
      </c>
      <c r="V52" s="252">
        <v>57</v>
      </c>
      <c r="W52" s="252">
        <v>37</v>
      </c>
      <c r="X52" s="252">
        <v>34</v>
      </c>
      <c r="Y52" s="253">
        <f>U52+V52+W52+X52</f>
        <v>142</v>
      </c>
      <c r="Z52" s="254"/>
      <c r="AA52" s="251">
        <v>54</v>
      </c>
      <c r="AB52" s="252">
        <v>43</v>
      </c>
      <c r="AC52" s="252">
        <v>32</v>
      </c>
      <c r="AD52" s="258">
        <v>41</v>
      </c>
      <c r="AE52" s="253">
        <f>AA52+AB52+AC52+AD52</f>
        <v>170</v>
      </c>
      <c r="AF52" s="254"/>
      <c r="AG52" s="251">
        <v>44</v>
      </c>
      <c r="AH52" s="252">
        <v>22</v>
      </c>
      <c r="AI52" s="252">
        <v>22</v>
      </c>
      <c r="AJ52" s="258">
        <v>49</v>
      </c>
      <c r="AK52" s="253">
        <f>AG52+AH52+AI52+AJ52</f>
        <v>137</v>
      </c>
      <c r="AL52" s="254"/>
      <c r="AM52" s="251">
        <v>52</v>
      </c>
      <c r="AN52" s="252">
        <v>53</v>
      </c>
      <c r="AO52" s="252">
        <v>37</v>
      </c>
      <c r="AP52" s="258">
        <v>53</v>
      </c>
      <c r="AQ52" s="253">
        <f>AM52+AN52+AO52+AP52</f>
        <v>195</v>
      </c>
      <c r="AR52" s="254"/>
      <c r="AS52" s="251">
        <v>54</v>
      </c>
      <c r="AT52" s="252">
        <v>46</v>
      </c>
      <c r="AU52" s="252">
        <v>44</v>
      </c>
      <c r="AV52" s="258">
        <v>37</v>
      </c>
      <c r="AW52" s="253">
        <f>AS52+AT52+AU52+AV52</f>
        <v>181</v>
      </c>
      <c r="AX52" s="254"/>
      <c r="AY52" s="251">
        <v>46</v>
      </c>
      <c r="AZ52" s="252">
        <v>42</v>
      </c>
      <c r="BA52" s="252">
        <v>41</v>
      </c>
      <c r="BB52" s="258">
        <v>47</v>
      </c>
      <c r="BC52" s="253">
        <f>AY52+AZ52+BA52+BB52</f>
        <v>176</v>
      </c>
      <c r="BD52" s="254"/>
      <c r="BE52" s="251">
        <v>54</v>
      </c>
      <c r="BF52" s="252">
        <v>13</v>
      </c>
      <c r="BG52" s="252">
        <v>27</v>
      </c>
      <c r="BH52" s="258">
        <v>29</v>
      </c>
      <c r="BI52" s="253">
        <f>BE52+BF52+BG52+BH52</f>
        <v>123</v>
      </c>
      <c r="BJ52" s="254"/>
      <c r="BK52" s="251">
        <v>41</v>
      </c>
      <c r="BL52" s="252">
        <v>36</v>
      </c>
      <c r="BM52" s="252">
        <v>48</v>
      </c>
      <c r="BN52" s="258">
        <v>47</v>
      </c>
      <c r="BO52" s="253">
        <f>BK52+BL52+BM52+BN52</f>
        <v>172</v>
      </c>
      <c r="BP52" s="254"/>
      <c r="BQ52" s="251">
        <f>BQ55*BQ32</f>
        <v>37.383199131948345</v>
      </c>
      <c r="BR52" s="252">
        <f>BR55*BR32</f>
        <v>33.108485831473949</v>
      </c>
      <c r="BS52" s="252">
        <f>BS55*BS32</f>
        <v>39.366985114413005</v>
      </c>
      <c r="BT52" s="252">
        <f>BT55*BT32</f>
        <v>47.116224369013715</v>
      </c>
      <c r="BU52" s="253">
        <f>BQ52+BR52+BS52+BT52</f>
        <v>156.97489444684902</v>
      </c>
      <c r="BV52" s="254"/>
      <c r="BW52" s="251">
        <f>BW55*BW32</f>
        <v>35.632772526805162</v>
      </c>
      <c r="BX52" s="252">
        <f>BX55*BX32</f>
        <v>33.103860026381419</v>
      </c>
      <c r="BY52" s="252">
        <f>BY55*BY32</f>
        <v>36.274901940162962</v>
      </c>
      <c r="BZ52" s="252">
        <f>BZ55*BZ32</f>
        <v>43.807060516551253</v>
      </c>
      <c r="CA52" s="253">
        <f>BW52+BX52+BY52+BZ52</f>
        <v>148.8185950099008</v>
      </c>
      <c r="CB52" s="254"/>
      <c r="CC52" s="251">
        <f>CC55*CC32</f>
        <v>33.981202708292216</v>
      </c>
      <c r="CD52" s="252">
        <f>CD55*CD32</f>
        <v>33.183072244524219</v>
      </c>
      <c r="CE52" s="252">
        <f>CE55*CE32</f>
        <v>33.248067569256087</v>
      </c>
      <c r="CF52" s="252">
        <f>CF55*CF32</f>
        <v>40.207415190178615</v>
      </c>
      <c r="CG52" s="253">
        <f>CC52+CD52+CE52+CF52</f>
        <v>140.61975771225113</v>
      </c>
      <c r="CH52" s="254"/>
      <c r="CI52" s="251">
        <f>CI55*CI32</f>
        <v>32.552809690874334</v>
      </c>
      <c r="CJ52" s="252">
        <f>CJ55*CJ32</f>
        <v>33.479879289350173</v>
      </c>
      <c r="CK52" s="252">
        <f>CK55*CK32</f>
        <v>31.988499494932398</v>
      </c>
      <c r="CL52" s="252">
        <f>CL55*CL32</f>
        <v>40.675380420136371</v>
      </c>
      <c r="CM52" s="253">
        <f>CI52+CJ52+CK52+CL52</f>
        <v>138.69656889529327</v>
      </c>
      <c r="CN52" s="254"/>
      <c r="CO52" s="251">
        <f>CO55*CO32</f>
        <v>32.876936665085729</v>
      </c>
      <c r="CP52" s="252">
        <f>CP55*CP32</f>
        <v>33.910106378578078</v>
      </c>
      <c r="CQ52" s="252">
        <f>CQ55*CQ32</f>
        <v>32.440441197021521</v>
      </c>
      <c r="CR52" s="252">
        <f>CR55*CR32</f>
        <v>41.293538189122003</v>
      </c>
      <c r="CS52" s="253">
        <f>CO52+CP52+CQ52+CR52</f>
        <v>140.52102242980732</v>
      </c>
      <c r="CT52" s="254"/>
      <c r="CU52" s="251">
        <f>CU55*CU32</f>
        <v>33.251322109850506</v>
      </c>
      <c r="CV52" s="252">
        <f>CV55*CV32</f>
        <v>34.38379641859909</v>
      </c>
      <c r="CW52" s="252">
        <f>CW55*CW32</f>
        <v>32.931053493233641</v>
      </c>
      <c r="CX52" s="252">
        <f>CX55*CX32</f>
        <v>38.458333996116131</v>
      </c>
      <c r="CY52" s="253">
        <f>CU52+CV52+CW52+CX52</f>
        <v>139.02450601779935</v>
      </c>
      <c r="CZ52" s="254"/>
      <c r="DA52" s="251">
        <f>DA55*DA32</f>
        <v>33.657376436204906</v>
      </c>
      <c r="DB52" s="252">
        <f>DB55*DB32</f>
        <v>34.881995255492306</v>
      </c>
      <c r="DC52" s="252">
        <f>DC55*DC32</f>
        <v>33.441856874556336</v>
      </c>
      <c r="DD52" s="252">
        <f>DD55*DD32</f>
        <v>39.083584694025042</v>
      </c>
      <c r="DE52" s="253">
        <f>DA52+DB52+DC52+DD52</f>
        <v>141.06481326027858</v>
      </c>
      <c r="DF52" s="254"/>
      <c r="DG52" s="251">
        <f>DG55*DG32</f>
        <v>34.077596514465988</v>
      </c>
      <c r="DH52" s="252">
        <f>DH55*DH32</f>
        <v>35.386788553195828</v>
      </c>
      <c r="DI52" s="252">
        <f>DI55*DI32</f>
        <v>33.955354984788947</v>
      </c>
      <c r="DJ52" s="252">
        <f>DJ55*DJ32</f>
        <v>39.709245699371891</v>
      </c>
      <c r="DK52" s="253">
        <f>DG52+DH52+DI52+DJ52</f>
        <v>143.12898575182265</v>
      </c>
    </row>
    <row r="53" spans="2:115" ht="15" x14ac:dyDescent="0.3">
      <c r="B53" s="5" t="s">
        <v>40</v>
      </c>
      <c r="C53" s="144" t="s">
        <v>35</v>
      </c>
      <c r="D53" s="107" t="s">
        <v>35</v>
      </c>
      <c r="E53" s="107" t="s">
        <v>35</v>
      </c>
      <c r="F53" s="107" t="s">
        <v>35</v>
      </c>
      <c r="G53" s="138" t="s">
        <v>35</v>
      </c>
      <c r="H53" s="107"/>
      <c r="I53" s="151">
        <f>I52/C52-1</f>
        <v>1.8846153846153846</v>
      </c>
      <c r="J53" s="133">
        <f>J52/D52-1</f>
        <v>0.27272727272727271</v>
      </c>
      <c r="K53" s="133">
        <f>K52/E52-1</f>
        <v>0.18421052631578938</v>
      </c>
      <c r="L53" s="133">
        <f>L52/F52-1</f>
        <v>-0.43661971830985913</v>
      </c>
      <c r="M53" s="153">
        <f>M52/G52-1</f>
        <v>0.19745222929936301</v>
      </c>
      <c r="N53" s="107"/>
      <c r="O53" s="151">
        <f>O52/I52-1</f>
        <v>1.3333333333333419E-2</v>
      </c>
      <c r="P53" s="133">
        <f>P52/J52-1</f>
        <v>-0.6785714285714286</v>
      </c>
      <c r="Q53" s="133">
        <f>Q52/K52-1</f>
        <v>-0.48888888888888893</v>
      </c>
      <c r="R53" s="152">
        <f>R52/L52-1</f>
        <v>0.22500000000000009</v>
      </c>
      <c r="S53" s="153">
        <f>S52/M52-1</f>
        <v>-0.16489361702127658</v>
      </c>
      <c r="T53" s="107"/>
      <c r="U53" s="151">
        <f>U52/O52-1</f>
        <v>-0.81578947368421051</v>
      </c>
      <c r="V53" s="133">
        <f>V52/P52-1</f>
        <v>5.333333333333333</v>
      </c>
      <c r="W53" s="133">
        <f>W52/Q52-1</f>
        <v>0.60869565217391308</v>
      </c>
      <c r="X53" s="152">
        <f>X52/R52-1</f>
        <v>-0.30612244897959184</v>
      </c>
      <c r="Y53" s="153">
        <f>Y52/S52-1</f>
        <v>-9.5541401273885329E-2</v>
      </c>
      <c r="AA53" s="151">
        <f>AA52/U52-1</f>
        <v>2.8571428571428572</v>
      </c>
      <c r="AB53" s="133">
        <f>AB52/V52-1</f>
        <v>-0.24561403508771928</v>
      </c>
      <c r="AC53" s="133">
        <f>AC52/W52-1</f>
        <v>-0.13513513513513509</v>
      </c>
      <c r="AD53" s="152">
        <f>AD52/X52-1</f>
        <v>0.20588235294117641</v>
      </c>
      <c r="AE53" s="153">
        <f>AE52/Y52-1</f>
        <v>0.19718309859154926</v>
      </c>
      <c r="AG53" s="151">
        <f>AG52/AA52-1</f>
        <v>-0.18518518518518523</v>
      </c>
      <c r="AH53" s="133">
        <f>AH52/AB52-1</f>
        <v>-0.48837209302325579</v>
      </c>
      <c r="AI53" s="133">
        <f>AI52/AC52-1</f>
        <v>-0.3125</v>
      </c>
      <c r="AJ53" s="152">
        <f>AJ52/AD52-1</f>
        <v>0.19512195121951215</v>
      </c>
      <c r="AK53" s="153">
        <f>AK52/AE52-1</f>
        <v>-0.19411764705882351</v>
      </c>
      <c r="AM53" s="151">
        <f>AM52/AG52-1</f>
        <v>0.18181818181818188</v>
      </c>
      <c r="AN53" s="133">
        <f>AN52/AH52-1</f>
        <v>1.4090909090909092</v>
      </c>
      <c r="AO53" s="133">
        <f>AO52/AI52-1</f>
        <v>0.68181818181818188</v>
      </c>
      <c r="AP53" s="152">
        <f>AP52/AJ52-1</f>
        <v>8.163265306122458E-2</v>
      </c>
      <c r="AQ53" s="153">
        <f>AQ52/AK52-1</f>
        <v>0.42335766423357657</v>
      </c>
      <c r="AS53" s="151">
        <f>AS52/AM52-1</f>
        <v>3.8461538461538547E-2</v>
      </c>
      <c r="AT53" s="133">
        <f>AT52/AN52-1</f>
        <v>-0.13207547169811318</v>
      </c>
      <c r="AU53" s="133">
        <f>AU52/AO52-1</f>
        <v>0.18918918918918926</v>
      </c>
      <c r="AV53" s="133">
        <f>AV52/AP52-1</f>
        <v>-0.30188679245283023</v>
      </c>
      <c r="AW53" s="153">
        <f>AW52/AQ52-1</f>
        <v>-7.1794871794871762E-2</v>
      </c>
      <c r="AY53" s="151">
        <f>AY52/AS52-1</f>
        <v>-0.14814814814814814</v>
      </c>
      <c r="AZ53" s="133">
        <f>AZ52/AT52-1</f>
        <v>-8.6956521739130488E-2</v>
      </c>
      <c r="BA53" s="133">
        <f>BA52/AU52-1</f>
        <v>-6.8181818181818232E-2</v>
      </c>
      <c r="BB53" s="133">
        <f>BB52/AV52-1</f>
        <v>0.27027027027027017</v>
      </c>
      <c r="BC53" s="153">
        <f>BC52/AW52-1</f>
        <v>-2.7624309392265234E-2</v>
      </c>
      <c r="BE53" s="151">
        <f>BE52/AY52-1</f>
        <v>0.17391304347826098</v>
      </c>
      <c r="BF53" s="133">
        <f>BF52/AZ52-1</f>
        <v>-0.69047619047619047</v>
      </c>
      <c r="BG53" s="133">
        <f>BG52/BA52-1</f>
        <v>-0.34146341463414631</v>
      </c>
      <c r="BH53" s="133">
        <f>BH52/BB52-1</f>
        <v>-0.38297872340425532</v>
      </c>
      <c r="BI53" s="153">
        <f>BI52/BC52-1</f>
        <v>-0.30113636363636365</v>
      </c>
      <c r="BK53" s="151">
        <f>BK52/BE52-1</f>
        <v>-0.2407407407407407</v>
      </c>
      <c r="BL53" s="133">
        <f>BL52/BF52-1</f>
        <v>1.7692307692307692</v>
      </c>
      <c r="BM53" s="133">
        <f>BM52/BG52-1</f>
        <v>0.77777777777777768</v>
      </c>
      <c r="BN53" s="133">
        <f>BN52/BH52-1</f>
        <v>0.6206896551724137</v>
      </c>
      <c r="BO53" s="153">
        <f>BO52/BI52-1</f>
        <v>0.39837398373983746</v>
      </c>
      <c r="BQ53" s="151">
        <f>BQ52/BK52-1</f>
        <v>-8.8214655318333057E-2</v>
      </c>
      <c r="BR53" s="133">
        <f>BR52/BL52-1</f>
        <v>-8.031983801461251E-2</v>
      </c>
      <c r="BS53" s="133">
        <f>BS52/BM52-1</f>
        <v>-0.17985447678306243</v>
      </c>
      <c r="BT53" s="152">
        <f>BT52/BN52-1</f>
        <v>2.4728589151854496E-3</v>
      </c>
      <c r="BU53" s="153">
        <f>BU52/BO52-1</f>
        <v>-8.7355264843900993E-2</v>
      </c>
      <c r="BW53" s="151">
        <f>BW52/BQ52-1</f>
        <v>-4.6823884680517791E-2</v>
      </c>
      <c r="BX53" s="133">
        <f>BX52/BR52-1</f>
        <v>-1.3971660063449853E-4</v>
      </c>
      <c r="BY53" s="133">
        <f>BY52/BS52-1</f>
        <v>-7.8545084548980904E-2</v>
      </c>
      <c r="BZ53" s="152">
        <f>BZ52/BT52-1</f>
        <v>-7.0234062613870107E-2</v>
      </c>
      <c r="CA53" s="153">
        <f>CA52/BU52-1</f>
        <v>-5.1959260528185336E-2</v>
      </c>
      <c r="CC53" s="151">
        <f>CC52/BW52-1</f>
        <v>-4.6349742144553452E-2</v>
      </c>
      <c r="CD53" s="133">
        <f>CD52/BX52-1</f>
        <v>2.3928393268843884E-3</v>
      </c>
      <c r="CE53" s="133">
        <f>CE52/BY52-1</f>
        <v>-8.3441559012337851E-2</v>
      </c>
      <c r="CF53" s="152">
        <f>CF52/BZ52-1</f>
        <v>-8.2170437457510181E-2</v>
      </c>
      <c r="CG53" s="153">
        <f>CG52/CA52-1</f>
        <v>-5.5092828265877691E-2</v>
      </c>
      <c r="CI53" s="151">
        <f>CI52/CC52-1</f>
        <v>-4.2034798758588954E-2</v>
      </c>
      <c r="CJ53" s="133">
        <f>CJ52/CD52-1</f>
        <v>8.9445317973815275E-3</v>
      </c>
      <c r="CK53" s="133">
        <f>CK52/CE52-1</f>
        <v>-3.7883948343764517E-2</v>
      </c>
      <c r="CL53" s="152">
        <f>CL52/CF52-1</f>
        <v>1.1638779258609677E-2</v>
      </c>
      <c r="CM53" s="153">
        <f>CM52/CG52-1</f>
        <v>-1.3676519205027104E-2</v>
      </c>
      <c r="CO53" s="151">
        <f>CO52/CI52-1</f>
        <v>9.9569584711534098E-3</v>
      </c>
      <c r="CP53" s="133">
        <f>CP52/CJ52-1</f>
        <v>1.2850317813563938E-2</v>
      </c>
      <c r="CQ53" s="133">
        <f>CQ52/CK52-1</f>
        <v>1.4128255755188501E-2</v>
      </c>
      <c r="CR53" s="152">
        <f>CR52/CL52-1</f>
        <v>1.5197344501776566E-2</v>
      </c>
      <c r="CS53" s="153">
        <f>CS52/CM52-1</f>
        <v>1.3154280232349436E-2</v>
      </c>
      <c r="CU53" s="151">
        <f>CU52/CO52-1</f>
        <v>1.1387479575077464E-2</v>
      </c>
      <c r="CV53" s="133">
        <f>CV52/CP52-1</f>
        <v>1.3968993040972988E-2</v>
      </c>
      <c r="CW53" s="133">
        <f>CW52/CQ52-1</f>
        <v>1.5123477921661799E-2</v>
      </c>
      <c r="CX53" s="152">
        <f>CX52/CR52-1</f>
        <v>-6.8659754463780809E-2</v>
      </c>
      <c r="CY53" s="153">
        <f>CY52/CS52-1</f>
        <v>-1.0649768882485144E-2</v>
      </c>
      <c r="DA53" s="151">
        <f>DA52/CU52-1</f>
        <v>1.2211674621927626E-2</v>
      </c>
      <c r="DB53" s="133">
        <f>DB52/CV52-1</f>
        <v>1.4489349309424249E-2</v>
      </c>
      <c r="DC53" s="133">
        <f>DC52/CW52-1</f>
        <v>1.5511297913006317E-2</v>
      </c>
      <c r="DD53" s="152">
        <f>DD52/CX52-1</f>
        <v>1.6257872688194341E-2</v>
      </c>
      <c r="DE53" s="153">
        <f>DE52/CY52-1</f>
        <v>1.4675881978807537E-2</v>
      </c>
      <c r="DG53" s="151">
        <f>DG52/DA52-1</f>
        <v>1.2485229769990447E-2</v>
      </c>
      <c r="DH53" s="133">
        <f>DH52/DB52-1</f>
        <v>1.4471457094302531E-2</v>
      </c>
      <c r="DI53" s="133">
        <f>DI52/DC52-1</f>
        <v>1.5354952093682872E-2</v>
      </c>
      <c r="DJ53" s="152">
        <f>DJ52/DD52-1</f>
        <v>1.6008280976399281E-2</v>
      </c>
      <c r="DK53" s="153">
        <f>DK52/DE52-1</f>
        <v>1.4632794981520147E-2</v>
      </c>
    </row>
    <row r="54" spans="2:115" ht="15" x14ac:dyDescent="0.3">
      <c r="B54" s="105"/>
      <c r="C54" s="144"/>
      <c r="D54" s="107"/>
      <c r="E54" s="107"/>
      <c r="F54" s="145"/>
      <c r="G54" s="138"/>
      <c r="H54" s="107"/>
      <c r="I54" s="144"/>
      <c r="J54" s="107"/>
      <c r="K54" s="107"/>
      <c r="L54" s="107"/>
      <c r="M54" s="138"/>
      <c r="N54" s="107"/>
      <c r="O54" s="144"/>
      <c r="P54" s="107"/>
      <c r="Q54" s="107"/>
      <c r="R54" s="145"/>
      <c r="S54" s="138"/>
      <c r="T54" s="107"/>
      <c r="U54" s="144"/>
      <c r="V54" s="107"/>
      <c r="W54" s="107"/>
      <c r="X54" s="145"/>
      <c r="Y54" s="138"/>
      <c r="AA54" s="144"/>
      <c r="AB54" s="107"/>
      <c r="AC54" s="107"/>
      <c r="AD54" s="145"/>
      <c r="AE54" s="138"/>
      <c r="AG54" s="144"/>
      <c r="AH54" s="107"/>
      <c r="AI54" s="107"/>
      <c r="AJ54" s="145"/>
      <c r="AK54" s="138"/>
      <c r="AM54" s="144"/>
      <c r="AN54" s="107"/>
      <c r="AO54" s="107"/>
      <c r="AP54" s="145"/>
      <c r="AQ54" s="138"/>
      <c r="AS54" s="144"/>
      <c r="AT54" s="107"/>
      <c r="AU54" s="107"/>
      <c r="AV54" s="107"/>
      <c r="AW54" s="138"/>
      <c r="AY54" s="144"/>
      <c r="AZ54" s="107"/>
      <c r="BA54" s="107"/>
      <c r="BB54" s="107"/>
      <c r="BC54" s="138"/>
      <c r="BE54" s="144"/>
      <c r="BF54" s="107"/>
      <c r="BG54" s="107"/>
      <c r="BH54" s="145"/>
      <c r="BI54" s="138"/>
      <c r="BK54" s="144"/>
      <c r="BL54" s="107"/>
      <c r="BM54" s="107"/>
      <c r="BN54" s="107"/>
      <c r="BO54" s="138"/>
      <c r="BQ54" s="144"/>
      <c r="BR54" s="107"/>
      <c r="BS54" s="107"/>
      <c r="BT54" s="145"/>
      <c r="BU54" s="138"/>
      <c r="BW54" s="144"/>
      <c r="BX54" s="107"/>
      <c r="BY54" s="107"/>
      <c r="BZ54" s="145"/>
      <c r="CA54" s="138"/>
      <c r="CC54" s="144"/>
      <c r="CD54" s="107"/>
      <c r="CE54" s="107"/>
      <c r="CF54" s="145"/>
      <c r="CG54" s="138"/>
      <c r="CI54" s="144"/>
      <c r="CJ54" s="107"/>
      <c r="CK54" s="107"/>
      <c r="CL54" s="145"/>
      <c r="CM54" s="138"/>
      <c r="CO54" s="144"/>
      <c r="CP54" s="107"/>
      <c r="CQ54" s="107"/>
      <c r="CR54" s="145"/>
      <c r="CS54" s="138"/>
      <c r="CU54" s="144"/>
      <c r="CV54" s="107"/>
      <c r="CW54" s="107"/>
      <c r="CX54" s="145"/>
      <c r="CY54" s="138"/>
      <c r="DA54" s="144"/>
      <c r="DB54" s="107"/>
      <c r="DC54" s="107"/>
      <c r="DD54" s="145"/>
      <c r="DE54" s="138"/>
      <c r="DG54" s="144"/>
      <c r="DH54" s="107"/>
      <c r="DI54" s="107"/>
      <c r="DJ54" s="145"/>
      <c r="DK54" s="138"/>
    </row>
    <row r="55" spans="2:115" ht="15" x14ac:dyDescent="0.3">
      <c r="B55" s="105" t="s">
        <v>24</v>
      </c>
      <c r="C55" s="171">
        <f>C52/C32</f>
        <v>9.0277777777777776E-2</v>
      </c>
      <c r="D55" s="165">
        <f>D52/D32</f>
        <v>7.3089700996677748E-2</v>
      </c>
      <c r="E55" s="165">
        <f>E52/E32</f>
        <v>0.12925170068027211</v>
      </c>
      <c r="F55" s="165">
        <f>F52/F32</f>
        <v>0.16321839080459771</v>
      </c>
      <c r="G55" s="173">
        <f>G52/G32</f>
        <v>0.11911987860394538</v>
      </c>
      <c r="H55" s="166"/>
      <c r="I55" s="171">
        <f>I52/I32</f>
        <v>0.18028846153846154</v>
      </c>
      <c r="J55" s="165">
        <f>J52/J32</f>
        <v>6.2639821029082776E-2</v>
      </c>
      <c r="K55" s="165">
        <f>K52/K32</f>
        <v>9.4339622641509441E-2</v>
      </c>
      <c r="L55" s="165">
        <f>L52/L32</f>
        <v>8.5836909871244635E-2</v>
      </c>
      <c r="M55" s="173">
        <f>M52/M32</f>
        <v>0.10409745293466224</v>
      </c>
      <c r="N55" s="166"/>
      <c r="O55" s="171">
        <f>O52/O32</f>
        <v>0.17117117117117117</v>
      </c>
      <c r="P55" s="165">
        <f>P52/P32</f>
        <v>1.935483870967742E-2</v>
      </c>
      <c r="Q55" s="165">
        <f>Q52/Q32</f>
        <v>5.0884955752212392E-2</v>
      </c>
      <c r="R55" s="172">
        <f>R52/R32</f>
        <v>0.10986547085201794</v>
      </c>
      <c r="S55" s="173">
        <f>S52/S32</f>
        <v>8.6884338682899839E-2</v>
      </c>
      <c r="T55" s="166"/>
      <c r="U55" s="171">
        <f>U52/U32</f>
        <v>3.1674208144796379E-2</v>
      </c>
      <c r="V55" s="165">
        <f>V52/V32</f>
        <v>0.12723214285714285</v>
      </c>
      <c r="W55" s="165">
        <f>W52/W32</f>
        <v>8.2222222222222224E-2</v>
      </c>
      <c r="X55" s="165">
        <f>X52/X32</f>
        <v>7.9625292740046844E-2</v>
      </c>
      <c r="Y55" s="173">
        <f>Y52/Y32</f>
        <v>8.0362195812110918E-2</v>
      </c>
      <c r="AA55" s="171">
        <f>AA52/AA32</f>
        <v>0.12918660287081341</v>
      </c>
      <c r="AB55" s="165">
        <f>AB52/AB32</f>
        <v>9.862385321100918E-2</v>
      </c>
      <c r="AC55" s="165">
        <f>AC52/AC32</f>
        <v>7.476635514018691E-2</v>
      </c>
      <c r="AD55" s="165">
        <f>AD52/AD32</f>
        <v>9.8086124401913874E-2</v>
      </c>
      <c r="AE55" s="173">
        <f>AE52/AE32</f>
        <v>0.1</v>
      </c>
      <c r="AG55" s="171">
        <f>AG52/AG32</f>
        <v>0.10451306413301663</v>
      </c>
      <c r="AH55" s="165">
        <f>AH52/AH32</f>
        <v>5.2505966587112173E-2</v>
      </c>
      <c r="AI55" s="165">
        <f>AI52/AI32</f>
        <v>5.3268765133171914E-2</v>
      </c>
      <c r="AJ55" s="165">
        <f>AJ52/AJ32</f>
        <v>0.11922141119221411</v>
      </c>
      <c r="AK55" s="173">
        <f>AK52/AK32</f>
        <v>8.2331730769230768E-2</v>
      </c>
      <c r="AM55" s="171">
        <f>AM52/AM32</f>
        <v>0.13231552162849872</v>
      </c>
      <c r="AN55" s="165">
        <f>AN52/AN32</f>
        <v>0.13054187192118227</v>
      </c>
      <c r="AO55" s="165">
        <f>AO52/AO32</f>
        <v>8.9805825242718448E-2</v>
      </c>
      <c r="AP55" s="165">
        <f>AP52/AP32</f>
        <v>0.11648351648351649</v>
      </c>
      <c r="AQ55" s="173">
        <f>AQ52/AQ32</f>
        <v>0.11704681872749099</v>
      </c>
      <c r="AS55" s="171">
        <f>AS52/AS32</f>
        <v>0.13740458015267176</v>
      </c>
      <c r="AT55" s="165">
        <f>AT52/AT32</f>
        <v>0.12137203166226913</v>
      </c>
      <c r="AU55" s="165">
        <f>AU52/AU32</f>
        <v>0.11702127659574468</v>
      </c>
      <c r="AV55" s="165">
        <f>AV52/AV32</f>
        <v>9.1811414392059559E-2</v>
      </c>
      <c r="AW55" s="173">
        <f>AW52/AW32</f>
        <v>0.11669890393294649</v>
      </c>
      <c r="AY55" s="171">
        <f>AY52/AY32</f>
        <v>0.13294797687861271</v>
      </c>
      <c r="AZ55" s="165">
        <f>AZ52/AZ32</f>
        <v>0.11602209944751381</v>
      </c>
      <c r="BA55" s="165">
        <f>BA52/BA32</f>
        <v>0.11849710982658959</v>
      </c>
      <c r="BB55" s="165">
        <f>BB52/BB32</f>
        <v>0.13823529411764707</v>
      </c>
      <c r="BC55" s="173">
        <f>BC52/BC32</f>
        <v>0.12625538020086083</v>
      </c>
      <c r="BE55" s="171">
        <f>BE52/BE32</f>
        <v>0.16666666666666666</v>
      </c>
      <c r="BF55" s="165">
        <f>BF52/BF32</f>
        <v>4.0752351097178681E-2</v>
      </c>
      <c r="BG55" s="165">
        <f>BG52/BG32</f>
        <v>8.1325301204819275E-2</v>
      </c>
      <c r="BH55" s="165">
        <f>BH52/BH32</f>
        <v>8.1460674157303375E-2</v>
      </c>
      <c r="BI55" s="173">
        <f>BI52/BI32</f>
        <v>9.2411720510894066E-2</v>
      </c>
      <c r="BK55" s="171">
        <f>BK52/BK32</f>
        <v>0.12023460410557185</v>
      </c>
      <c r="BL55" s="165">
        <f>BL52/BL32</f>
        <v>0.10434782608695652</v>
      </c>
      <c r="BM55" s="165">
        <f>BM52/BM32</f>
        <v>0.14678899082568808</v>
      </c>
      <c r="BN55" s="165">
        <f>BN52/BN32</f>
        <v>0.13742690058479531</v>
      </c>
      <c r="BO55" s="173">
        <f>BO52/BO32</f>
        <v>0.12693726937269373</v>
      </c>
      <c r="BQ55" s="171">
        <v>0.115</v>
      </c>
      <c r="BR55" s="165">
        <v>0.1</v>
      </c>
      <c r="BS55" s="165">
        <v>0.125</v>
      </c>
      <c r="BT55" s="172">
        <v>0.14000000000000001</v>
      </c>
      <c r="BU55" s="173">
        <f>BU52/BU32</f>
        <v>0.12004474863621883</v>
      </c>
      <c r="BW55" s="171">
        <v>0.11</v>
      </c>
      <c r="BX55" s="165">
        <v>0.1</v>
      </c>
      <c r="BY55" s="165">
        <v>0.115</v>
      </c>
      <c r="BZ55" s="172">
        <v>0.13</v>
      </c>
      <c r="CA55" s="173">
        <f>CA52/CA32</f>
        <v>0.11382927326436978</v>
      </c>
      <c r="CC55" s="171">
        <v>0.105</v>
      </c>
      <c r="CD55" s="165">
        <v>0.1</v>
      </c>
      <c r="CE55" s="165">
        <v>0.105</v>
      </c>
      <c r="CF55" s="172">
        <v>0.12</v>
      </c>
      <c r="CG55" s="173">
        <f>CG52/CG32</f>
        <v>0.10757561754716304</v>
      </c>
      <c r="CI55" s="171">
        <v>0.1</v>
      </c>
      <c r="CJ55" s="165">
        <v>0.1</v>
      </c>
      <c r="CK55" s="165">
        <v>0.1</v>
      </c>
      <c r="CL55" s="172">
        <v>0.12</v>
      </c>
      <c r="CM55" s="173">
        <f>CM52/CM32</f>
        <v>0.10513899850496687</v>
      </c>
      <c r="CO55" s="171">
        <v>0.1</v>
      </c>
      <c r="CP55" s="165">
        <v>0.1</v>
      </c>
      <c r="CQ55" s="165">
        <v>0.1</v>
      </c>
      <c r="CR55" s="172">
        <v>0.12</v>
      </c>
      <c r="CS55" s="173">
        <f>CS52/CS32</f>
        <v>0.1051498951745099</v>
      </c>
      <c r="CU55" s="171">
        <v>0.1</v>
      </c>
      <c r="CV55" s="165">
        <v>0.1</v>
      </c>
      <c r="CW55" s="165">
        <v>0.1</v>
      </c>
      <c r="CX55" s="172">
        <v>0.11</v>
      </c>
      <c r="CY55" s="173">
        <f>CY52/CY32</f>
        <v>0.10257969172524756</v>
      </c>
      <c r="DA55" s="171">
        <v>0.1</v>
      </c>
      <c r="DB55" s="165">
        <v>0.1</v>
      </c>
      <c r="DC55" s="165">
        <v>0.1</v>
      </c>
      <c r="DD55" s="172">
        <v>0.11</v>
      </c>
      <c r="DE55" s="173">
        <f>DE52/DE32</f>
        <v>0.10258381766858071</v>
      </c>
      <c r="DG55" s="171">
        <v>0.1</v>
      </c>
      <c r="DH55" s="165">
        <v>0.1</v>
      </c>
      <c r="DI55" s="165">
        <v>0.1</v>
      </c>
      <c r="DJ55" s="172">
        <v>0.11</v>
      </c>
      <c r="DK55" s="173">
        <f>DK52/DK32</f>
        <v>0.10258741104911501</v>
      </c>
    </row>
    <row r="56" spans="2:115" ht="15.75" thickBot="1" x14ac:dyDescent="0.35">
      <c r="B56" s="140" t="s">
        <v>40</v>
      </c>
      <c r="C56" s="155" t="s">
        <v>35</v>
      </c>
      <c r="D56" s="106" t="s">
        <v>35</v>
      </c>
      <c r="E56" s="106" t="s">
        <v>35</v>
      </c>
      <c r="F56" s="106" t="s">
        <v>35</v>
      </c>
      <c r="G56" s="108" t="s">
        <v>35</v>
      </c>
      <c r="I56" s="174">
        <f>I55-C55</f>
        <v>9.001068376068376E-2</v>
      </c>
      <c r="J56" s="175">
        <f>J55-D55</f>
        <v>-1.0449879967594972E-2</v>
      </c>
      <c r="K56" s="175">
        <f>K55-E55</f>
        <v>-3.4912078038762673E-2</v>
      </c>
      <c r="L56" s="175">
        <f>L55-F55</f>
        <v>-7.7381480933353078E-2</v>
      </c>
      <c r="M56" s="177">
        <f>M55-G55</f>
        <v>-1.5022425669283135E-2</v>
      </c>
      <c r="O56" s="174">
        <f>O55-I55</f>
        <v>-9.1172903672903649E-3</v>
      </c>
      <c r="P56" s="175">
        <f>P55-J55</f>
        <v>-4.3284982319405356E-2</v>
      </c>
      <c r="Q56" s="175">
        <f>Q55-K55</f>
        <v>-4.3454666889297049E-2</v>
      </c>
      <c r="R56" s="176">
        <f>R55-L55</f>
        <v>2.40285609807733E-2</v>
      </c>
      <c r="S56" s="177">
        <f>S55-M55</f>
        <v>-1.7213114251762404E-2</v>
      </c>
      <c r="U56" s="174">
        <f>U55-O55</f>
        <v>-0.13949696302637479</v>
      </c>
      <c r="V56" s="175">
        <f>V55-P55</f>
        <v>0.10787730414746544</v>
      </c>
      <c r="W56" s="175">
        <f>W55-Q55</f>
        <v>3.1337266470009832E-2</v>
      </c>
      <c r="X56" s="175">
        <f>X55-R55</f>
        <v>-3.0240178111971092E-2</v>
      </c>
      <c r="Y56" s="177">
        <f>Y55-S55</f>
        <v>-6.5221428707889217E-3</v>
      </c>
      <c r="AA56" s="174">
        <f>AA55-U55</f>
        <v>9.7512394726017027E-2</v>
      </c>
      <c r="AB56" s="175">
        <f>AB55-V55</f>
        <v>-2.8608289646133669E-2</v>
      </c>
      <c r="AC56" s="175">
        <f>AC55-W55</f>
        <v>-7.455867082035314E-3</v>
      </c>
      <c r="AD56" s="175">
        <f>AD55-X55</f>
        <v>1.846083166186703E-2</v>
      </c>
      <c r="AE56" s="177">
        <f>AE55-Y55</f>
        <v>1.9637804187889088E-2</v>
      </c>
      <c r="AG56" s="174">
        <f>AG55-AA55</f>
        <v>-2.4673538737796777E-2</v>
      </c>
      <c r="AH56" s="175">
        <f>AH55-AB55</f>
        <v>-4.6117886623897007E-2</v>
      </c>
      <c r="AI56" s="175">
        <f>AI55-AC55</f>
        <v>-2.1497590007014997E-2</v>
      </c>
      <c r="AJ56" s="175">
        <f>AJ55-AD55</f>
        <v>2.1135286790300231E-2</v>
      </c>
      <c r="AK56" s="177">
        <f>AK55-AE55</f>
        <v>-1.7668269230769237E-2</v>
      </c>
      <c r="AM56" s="174">
        <f>AM55-AG55</f>
        <v>2.7802457495482089E-2</v>
      </c>
      <c r="AN56" s="175">
        <f>AN55-AH55</f>
        <v>7.8035905334070094E-2</v>
      </c>
      <c r="AO56" s="175">
        <f>AO55-AI55</f>
        <v>3.6537060109546535E-2</v>
      </c>
      <c r="AP56" s="175">
        <f>AP55-AJ55</f>
        <v>-2.7378947086976191E-3</v>
      </c>
      <c r="AQ56" s="177">
        <f>AQ55-AK55</f>
        <v>3.4715087958260227E-2</v>
      </c>
      <c r="AS56" s="174">
        <f>AS55-AM55</f>
        <v>5.0890585241730457E-3</v>
      </c>
      <c r="AT56" s="175">
        <f>AT55-AN55</f>
        <v>-9.1698402589131395E-3</v>
      </c>
      <c r="AU56" s="175">
        <f>AU55-AO55</f>
        <v>2.7215451353026235E-2</v>
      </c>
      <c r="AV56" s="175">
        <f>AV55-AP55</f>
        <v>-2.4672102091456927E-2</v>
      </c>
      <c r="AW56" s="177">
        <f>AW55-AQ55</f>
        <v>-3.4791479454450436E-4</v>
      </c>
      <c r="AY56" s="174">
        <f>AY55-AS55</f>
        <v>-4.4566032740590567E-3</v>
      </c>
      <c r="AZ56" s="175">
        <f>AZ55-AT55</f>
        <v>-5.3499322147553263E-3</v>
      </c>
      <c r="BA56" s="175">
        <f>BA55-AU55</f>
        <v>1.4758332308449085E-3</v>
      </c>
      <c r="BB56" s="175">
        <f>BB55-AV55</f>
        <v>4.6423879725587508E-2</v>
      </c>
      <c r="BC56" s="177">
        <f>BC55-AW55</f>
        <v>9.5564762679143378E-3</v>
      </c>
      <c r="BE56" s="174">
        <f>BE55-AY55</f>
        <v>3.3718689788053952E-2</v>
      </c>
      <c r="BF56" s="175">
        <f>BF55-AZ55</f>
        <v>-7.5269748350335119E-2</v>
      </c>
      <c r="BG56" s="175">
        <f>BG55-BA55</f>
        <v>-3.7171808621770316E-2</v>
      </c>
      <c r="BH56" s="175">
        <f>BH55-BB55</f>
        <v>-5.6774619960343692E-2</v>
      </c>
      <c r="BI56" s="177">
        <f>BI55-BC55</f>
        <v>-3.3843659689966762E-2</v>
      </c>
      <c r="BK56" s="174">
        <f>BK55-BE55</f>
        <v>-4.6432062561094806E-2</v>
      </c>
      <c r="BL56" s="175">
        <f>BL55-BF55</f>
        <v>6.3595474989777828E-2</v>
      </c>
      <c r="BM56" s="175">
        <f>BM55-BG55</f>
        <v>6.5463689620868806E-2</v>
      </c>
      <c r="BN56" s="175">
        <f>BN55-BH55</f>
        <v>5.5966226427491939E-2</v>
      </c>
      <c r="BO56" s="177">
        <f>BO55-BI55</f>
        <v>3.4525548861799663E-2</v>
      </c>
      <c r="BQ56" s="174">
        <f>BQ55-BK55</f>
        <v>-5.2346041055718467E-3</v>
      </c>
      <c r="BR56" s="175">
        <f>BR55-BL55</f>
        <v>-4.3478260869565105E-3</v>
      </c>
      <c r="BS56" s="175">
        <f>BS55-BM55</f>
        <v>-2.1788990825688082E-2</v>
      </c>
      <c r="BT56" s="176">
        <f>BT55-BN55</f>
        <v>2.5730994152046993E-3</v>
      </c>
      <c r="BU56" s="177">
        <f>BU55-BO55</f>
        <v>-6.8925207364748942E-3</v>
      </c>
      <c r="BW56" s="174">
        <f>BW55-BQ55</f>
        <v>-5.0000000000000044E-3</v>
      </c>
      <c r="BX56" s="175">
        <f>BX55-BR55</f>
        <v>0</v>
      </c>
      <c r="BY56" s="175">
        <f>BY55-BS55</f>
        <v>-9.999999999999995E-3</v>
      </c>
      <c r="BZ56" s="176">
        <f>BZ55-BT55</f>
        <v>-1.0000000000000009E-2</v>
      </c>
      <c r="CA56" s="177">
        <f>CA55-BU55</f>
        <v>-6.2154753718490496E-3</v>
      </c>
      <c r="CC56" s="174">
        <f>CC55-BW55</f>
        <v>-5.0000000000000044E-3</v>
      </c>
      <c r="CD56" s="175">
        <f>CD55-BX55</f>
        <v>0</v>
      </c>
      <c r="CE56" s="175">
        <f>CE55-BY55</f>
        <v>-1.0000000000000009E-2</v>
      </c>
      <c r="CF56" s="176">
        <f>CF55-BZ55</f>
        <v>-1.0000000000000009E-2</v>
      </c>
      <c r="CG56" s="177">
        <f>CG55-CA55</f>
        <v>-6.2536557172067492E-3</v>
      </c>
      <c r="CI56" s="174">
        <f>CI55-CC55</f>
        <v>-4.9999999999999906E-3</v>
      </c>
      <c r="CJ56" s="175">
        <f>CJ55-CD55</f>
        <v>0</v>
      </c>
      <c r="CK56" s="175">
        <f>CK55-CE55</f>
        <v>-4.9999999999999906E-3</v>
      </c>
      <c r="CL56" s="176">
        <f>CL55-CF55</f>
        <v>0</v>
      </c>
      <c r="CM56" s="177">
        <f>CM55-CG55</f>
        <v>-2.4366190421961642E-3</v>
      </c>
      <c r="CO56" s="174">
        <f>CO55-CI55</f>
        <v>0</v>
      </c>
      <c r="CP56" s="175">
        <f>CP55-CJ55</f>
        <v>0</v>
      </c>
      <c r="CQ56" s="175">
        <f>CQ55-CK55</f>
        <v>0</v>
      </c>
      <c r="CR56" s="176">
        <f>CR55-CL55</f>
        <v>0</v>
      </c>
      <c r="CS56" s="177">
        <f>CS55-CM55</f>
        <v>1.0896669543028481E-5</v>
      </c>
      <c r="CU56" s="174">
        <f>CU55-CO55</f>
        <v>0</v>
      </c>
      <c r="CV56" s="175">
        <f>CV55-CP55</f>
        <v>0</v>
      </c>
      <c r="CW56" s="175">
        <f>CW55-CQ55</f>
        <v>0</v>
      </c>
      <c r="CX56" s="176">
        <f>CX55-CR55</f>
        <v>-9.999999999999995E-3</v>
      </c>
      <c r="CY56" s="177">
        <f>CY55-CS55</f>
        <v>-2.5702034492623427E-3</v>
      </c>
      <c r="DA56" s="174">
        <f>DA55-CU55</f>
        <v>0</v>
      </c>
      <c r="DB56" s="175">
        <f>DB55-CV55</f>
        <v>0</v>
      </c>
      <c r="DC56" s="175">
        <f>DC55-CW55</f>
        <v>0</v>
      </c>
      <c r="DD56" s="176">
        <f>DD55-CX55</f>
        <v>0</v>
      </c>
      <c r="DE56" s="177">
        <f>DE55-CY55</f>
        <v>4.1259433331553019E-6</v>
      </c>
      <c r="DG56" s="174">
        <f>DG55-DA55</f>
        <v>0</v>
      </c>
      <c r="DH56" s="175">
        <f>DH55-DB55</f>
        <v>0</v>
      </c>
      <c r="DI56" s="175">
        <f>DI55-DC55</f>
        <v>0</v>
      </c>
      <c r="DJ56" s="176">
        <f>DJ55-DD55</f>
        <v>0</v>
      </c>
      <c r="DK56" s="177">
        <f>DK55-DE55</f>
        <v>3.5933805342946989E-6</v>
      </c>
    </row>
    <row r="57" spans="2:115" ht="15.75" thickBot="1" x14ac:dyDescent="0.35">
      <c r="B57" s="1"/>
      <c r="AA57" s="103"/>
      <c r="AB57" s="103"/>
      <c r="AC57" s="103"/>
      <c r="AD57" s="103"/>
      <c r="AE57" s="103"/>
      <c r="AG57" s="103"/>
      <c r="AH57" s="103"/>
      <c r="AI57" s="103"/>
      <c r="AJ57" s="103"/>
      <c r="AK57" s="103"/>
      <c r="AM57" s="103"/>
      <c r="AN57" s="103"/>
      <c r="AO57" s="103"/>
      <c r="AP57" s="103"/>
      <c r="AQ57" s="103"/>
      <c r="AS57" s="103"/>
      <c r="AT57" s="103"/>
      <c r="AU57" s="103"/>
      <c r="AV57" s="103"/>
      <c r="AW57" s="103"/>
      <c r="AY57" s="103"/>
      <c r="AZ57" s="103"/>
      <c r="BA57" s="103"/>
      <c r="BB57" s="103"/>
      <c r="BC57" s="103"/>
      <c r="BE57" s="103"/>
      <c r="BF57" s="103"/>
      <c r="BG57" s="103"/>
      <c r="BH57" s="103"/>
      <c r="BI57" s="103"/>
      <c r="BK57" s="103"/>
      <c r="BL57" s="103"/>
      <c r="BM57" s="103"/>
      <c r="BN57" s="103"/>
      <c r="BO57" s="103"/>
      <c r="BQ57" s="103"/>
      <c r="BR57" s="103"/>
      <c r="BS57" s="103"/>
      <c r="BT57" s="103"/>
      <c r="BU57" s="103"/>
      <c r="BW57" s="103"/>
      <c r="BX57" s="103"/>
      <c r="BY57" s="103"/>
      <c r="BZ57" s="103"/>
      <c r="CA57" s="103"/>
      <c r="CC57" s="103"/>
      <c r="CD57" s="103"/>
      <c r="CE57" s="103"/>
      <c r="CF57" s="103"/>
      <c r="CG57" s="103"/>
      <c r="CI57" s="103"/>
      <c r="CJ57" s="103"/>
      <c r="CK57" s="103"/>
      <c r="CL57" s="103"/>
      <c r="CM57" s="103"/>
      <c r="CO57" s="103"/>
      <c r="CP57" s="103"/>
      <c r="CQ57" s="103"/>
      <c r="CR57" s="103"/>
      <c r="CS57" s="103"/>
      <c r="CU57" s="103"/>
      <c r="CV57" s="103"/>
      <c r="CW57" s="103"/>
      <c r="CX57" s="103"/>
      <c r="CY57" s="103"/>
      <c r="DA57" s="103"/>
      <c r="DB57" s="103"/>
      <c r="DC57" s="103"/>
      <c r="DD57" s="103"/>
      <c r="DE57" s="103"/>
      <c r="DG57" s="103"/>
      <c r="DH57" s="103"/>
      <c r="DI57" s="103"/>
      <c r="DJ57" s="103"/>
      <c r="DK57" s="103"/>
    </row>
    <row r="58" spans="2:115" ht="15" x14ac:dyDescent="0.3">
      <c r="B58" s="42" t="s">
        <v>38</v>
      </c>
      <c r="C58" s="198">
        <f>C46-C52</f>
        <v>35</v>
      </c>
      <c r="D58" s="199">
        <f>D46-D52</f>
        <v>51</v>
      </c>
      <c r="E58" s="199">
        <f>E46-E52</f>
        <v>39</v>
      </c>
      <c r="F58" s="200">
        <f>F46-F52</f>
        <v>-3</v>
      </c>
      <c r="G58" s="167">
        <f>C58+D58+E58+F58</f>
        <v>122</v>
      </c>
      <c r="H58" s="197"/>
      <c r="I58" s="198">
        <f>I46-I52</f>
        <v>-13</v>
      </c>
      <c r="J58" s="199">
        <f>J46-J52</f>
        <v>86</v>
      </c>
      <c r="K58" s="199">
        <f>K46-K52</f>
        <v>46</v>
      </c>
      <c r="L58" s="200">
        <f>L46-L52</f>
        <v>45</v>
      </c>
      <c r="M58" s="167">
        <f>I58+J58+K58+L58</f>
        <v>164</v>
      </c>
      <c r="N58" s="197"/>
      <c r="O58" s="198">
        <f>O46-O52</f>
        <v>-12</v>
      </c>
      <c r="P58" s="199">
        <f>P46-P52</f>
        <v>94</v>
      </c>
      <c r="Q58" s="199">
        <f>Q46-Q52</f>
        <v>105</v>
      </c>
      <c r="R58" s="200">
        <f>R46-R52</f>
        <v>86</v>
      </c>
      <c r="S58" s="167">
        <f>O58+P58+Q58+R58</f>
        <v>273</v>
      </c>
      <c r="T58" s="197"/>
      <c r="U58" s="198">
        <f>U46-U52</f>
        <v>88</v>
      </c>
      <c r="V58" s="199">
        <f>V46-V52</f>
        <v>82</v>
      </c>
      <c r="W58" s="199">
        <f>W46-W52</f>
        <v>61</v>
      </c>
      <c r="X58" s="199">
        <f>X46-X52</f>
        <v>88</v>
      </c>
      <c r="Y58" s="201">
        <f>U58+V58+W58+X58</f>
        <v>319</v>
      </c>
      <c r="Z58" s="259"/>
      <c r="AA58" s="198">
        <f>AA46-AA52</f>
        <v>28</v>
      </c>
      <c r="AB58" s="199">
        <f>AB46-AB52</f>
        <v>85</v>
      </c>
      <c r="AC58" s="199">
        <f>AC46-AC52</f>
        <v>89</v>
      </c>
      <c r="AD58" s="199">
        <f>AD46-AD52</f>
        <v>86</v>
      </c>
      <c r="AE58" s="201">
        <f>AA58+AB58+AC58+AD58</f>
        <v>288</v>
      </c>
      <c r="AF58" s="259"/>
      <c r="AG58" s="198">
        <f>AG46-AG52</f>
        <v>71</v>
      </c>
      <c r="AH58" s="199">
        <f>AH46-AH52</f>
        <v>111</v>
      </c>
      <c r="AI58" s="199">
        <f>AI46-AI52</f>
        <v>121</v>
      </c>
      <c r="AJ58" s="199">
        <f>AJ46-AJ52</f>
        <v>85</v>
      </c>
      <c r="AK58" s="201">
        <f>AG58+AH58+AI58+AJ58</f>
        <v>388</v>
      </c>
      <c r="AL58" s="259"/>
      <c r="AM58" s="198">
        <f>AM46-AM52</f>
        <v>62</v>
      </c>
      <c r="AN58" s="199">
        <f>AN46-AN52</f>
        <v>55</v>
      </c>
      <c r="AO58" s="199">
        <f>AO46-AO52</f>
        <v>79</v>
      </c>
      <c r="AP58" s="199">
        <f>AP46-AP52</f>
        <v>104</v>
      </c>
      <c r="AQ58" s="201">
        <f>AM58+AN58+AO58+AP58</f>
        <v>300</v>
      </c>
      <c r="AR58" s="259"/>
      <c r="AS58" s="198">
        <f>AS46-AS52</f>
        <v>94</v>
      </c>
      <c r="AT58" s="199">
        <f>AT46-AT52</f>
        <v>104</v>
      </c>
      <c r="AU58" s="199">
        <f>AU46-AU52</f>
        <v>117</v>
      </c>
      <c r="AV58" s="199">
        <f>AV46-AV52</f>
        <v>134</v>
      </c>
      <c r="AW58" s="201">
        <f>AS58+AT58+AU58+AV58</f>
        <v>449</v>
      </c>
      <c r="AX58" s="259"/>
      <c r="AY58" s="198">
        <f>AY46-AY52</f>
        <v>87</v>
      </c>
      <c r="AZ58" s="199">
        <f>AZ46-AZ52</f>
        <v>82</v>
      </c>
      <c r="BA58" s="199">
        <f>BA46-BA52</f>
        <v>84</v>
      </c>
      <c r="BB58" s="199">
        <f>BB46-BB52</f>
        <v>71</v>
      </c>
      <c r="BC58" s="201">
        <f>AY58+AZ58+BA58+BB58</f>
        <v>324</v>
      </c>
      <c r="BD58" s="259"/>
      <c r="BE58" s="198">
        <f>BE46-BE52</f>
        <v>34</v>
      </c>
      <c r="BF58" s="199">
        <f>BF46-BF52</f>
        <v>89</v>
      </c>
      <c r="BG58" s="199">
        <f>BG46-BG52</f>
        <v>64</v>
      </c>
      <c r="BH58" s="199">
        <f>BH46-BH52</f>
        <v>48</v>
      </c>
      <c r="BI58" s="201">
        <f>BE58+BF58+BG58+BH58</f>
        <v>235</v>
      </c>
      <c r="BJ58" s="259"/>
      <c r="BK58" s="198">
        <f>BK46-BK52</f>
        <v>69</v>
      </c>
      <c r="BL58" s="199">
        <f>BL46-BL52</f>
        <v>83</v>
      </c>
      <c r="BM58" s="199">
        <f>BM46-BM52</f>
        <v>50</v>
      </c>
      <c r="BN58" s="199">
        <f>BN46-BN52</f>
        <v>47</v>
      </c>
      <c r="BO58" s="201">
        <f>BK58+BL58+BM58+BN58</f>
        <v>249</v>
      </c>
      <c r="BP58" s="259"/>
      <c r="BQ58" s="198">
        <f>BQ46-BQ52</f>
        <v>56.975674049569847</v>
      </c>
      <c r="BR58" s="199">
        <f>BR46-BR52</f>
        <v>78.269846122790227</v>
      </c>
      <c r="BS58" s="199">
        <f>BS46-BS52</f>
        <v>54.708394836717879</v>
      </c>
      <c r="BT58" s="199">
        <f>BT46-BT52</f>
        <v>41.121615702686022</v>
      </c>
      <c r="BU58" s="201">
        <f>BQ58+BR58+BS58+BT58</f>
        <v>231.07553071176397</v>
      </c>
      <c r="BV58" s="259"/>
      <c r="BW58" s="198">
        <f>BW46-BW52</f>
        <v>57.285965536524166</v>
      </c>
      <c r="BX58" s="199">
        <f>BX46-BX52</f>
        <v>77.125733667443058</v>
      </c>
      <c r="BY58" s="199">
        <f>BY46-BY52</f>
        <v>57.147972770281669</v>
      </c>
      <c r="BZ58" s="199">
        <f>BZ46-BZ52</f>
        <v>44.124330552808594</v>
      </c>
      <c r="CA58" s="201">
        <f>BW58+BX58+BY58+BZ58</f>
        <v>235.68400252705749</v>
      </c>
      <c r="CB58" s="259"/>
      <c r="CC58" s="198">
        <f>CC46-CC52</f>
        <v>59.407154027204328</v>
      </c>
      <c r="CD58" s="199">
        <f>CD46-CD52</f>
        <v>77.888975469314346</v>
      </c>
      <c r="CE58" s="199">
        <f>CE46-CE52</f>
        <v>61.092656963977753</v>
      </c>
      <c r="CF58" s="199">
        <f>CF46-CF52</f>
        <v>47.96634095170716</v>
      </c>
      <c r="CG58" s="201">
        <f>CC58+CD58+CE58+CF58</f>
        <v>246.35512741220361</v>
      </c>
      <c r="CH58" s="259"/>
      <c r="CI58" s="198">
        <f>CI46-CI52</f>
        <v>62.011372133082695</v>
      </c>
      <c r="CJ58" s="199">
        <f>CJ46-CJ52</f>
        <v>79.245272312210545</v>
      </c>
      <c r="CK58" s="199">
        <f>CK46-CK52</f>
        <v>63.954006694449191</v>
      </c>
      <c r="CL58" s="199">
        <f>CL46-CL52</f>
        <v>49.126227044441499</v>
      </c>
      <c r="CM58" s="201">
        <f>CI58+CJ58+CK58+CL58</f>
        <v>254.33687818418392</v>
      </c>
      <c r="CN58" s="259"/>
      <c r="CO58" s="198">
        <f>CO46-CO52</f>
        <v>63.298791277510453</v>
      </c>
      <c r="CP58" s="199">
        <f>CP46-CP52</f>
        <v>80.970695236524207</v>
      </c>
      <c r="CQ58" s="199">
        <f>CQ46-CQ52</f>
        <v>65.542907225162651</v>
      </c>
      <c r="CR58" s="199">
        <f>CR46-CR52</f>
        <v>50.543505766769087</v>
      </c>
      <c r="CS58" s="201">
        <f>CO58+CP58+CQ58+CR58</f>
        <v>260.35589950596642</v>
      </c>
      <c r="CT58" s="259"/>
      <c r="CU58" s="198">
        <f>CU46-CU52</f>
        <v>64.708994505899966</v>
      </c>
      <c r="CV58" s="199">
        <f>CV46-CV52</f>
        <v>82.829476447849444</v>
      </c>
      <c r="CW58" s="199">
        <f>CW46-CW52</f>
        <v>67.239437174171087</v>
      </c>
      <c r="CX58" s="199">
        <f>CX46-CX52</f>
        <v>55.543435405797446</v>
      </c>
      <c r="CY58" s="201">
        <f>CU58+CV58+CW58+CX58</f>
        <v>270.32134353371794</v>
      </c>
      <c r="CZ58" s="259"/>
      <c r="DA58" s="198">
        <f>DA46-DA52</f>
        <v>66.203478759019617</v>
      </c>
      <c r="DB58" s="199">
        <f>DB46-DB52</f>
        <v>84.772487436116393</v>
      </c>
      <c r="DC58" s="199">
        <f>DC46-DC52</f>
        <v>69.002020216283782</v>
      </c>
      <c r="DD58" s="199">
        <f>DD46-DD52</f>
        <v>57.155874615227837</v>
      </c>
      <c r="DE58" s="201">
        <f>DA58+DB58+DC58+DD58</f>
        <v>277.13386102664765</v>
      </c>
      <c r="DF58" s="259"/>
      <c r="DG58" s="198">
        <f>DG46-DG52</f>
        <v>67.744367963573126</v>
      </c>
      <c r="DH58" s="199">
        <f>DH46-DH52</f>
        <v>86.751591565056827</v>
      </c>
      <c r="DI58" s="199">
        <f>DI46-DI52</f>
        <v>70.789610632512165</v>
      </c>
      <c r="DJ58" s="199">
        <f>DJ46-DJ52</f>
        <v>58.785797493968474</v>
      </c>
      <c r="DK58" s="201">
        <f>DG58+DH58+DI58+DJ58</f>
        <v>284.07136765511058</v>
      </c>
    </row>
    <row r="59" spans="2:115" ht="15.75" thickBot="1" x14ac:dyDescent="0.35">
      <c r="B59" s="41" t="s">
        <v>23</v>
      </c>
      <c r="C59" s="155" t="s">
        <v>35</v>
      </c>
      <c r="D59" s="106" t="s">
        <v>35</v>
      </c>
      <c r="E59" s="106" t="s">
        <v>35</v>
      </c>
      <c r="F59" s="106" t="s">
        <v>35</v>
      </c>
      <c r="G59" s="108" t="s">
        <v>35</v>
      </c>
      <c r="I59" s="109">
        <f>I58/C58-1</f>
        <v>-1.3714285714285714</v>
      </c>
      <c r="J59" s="110">
        <f>J58/D58-1</f>
        <v>0.68627450980392157</v>
      </c>
      <c r="K59" s="110">
        <f>K58/E58-1</f>
        <v>0.17948717948717952</v>
      </c>
      <c r="L59" s="120">
        <f>L58/F58-1</f>
        <v>-16</v>
      </c>
      <c r="M59" s="122">
        <f>M58/G58-1</f>
        <v>0.34426229508196715</v>
      </c>
      <c r="O59" s="109">
        <f>O58/I58-1</f>
        <v>-7.6923076923076872E-2</v>
      </c>
      <c r="P59" s="110">
        <f>P58/J58-1</f>
        <v>9.3023255813953432E-2</v>
      </c>
      <c r="Q59" s="110">
        <f>Q58/K58-1</f>
        <v>1.2826086956521738</v>
      </c>
      <c r="R59" s="120">
        <f>R58/L58-1</f>
        <v>0.9111111111111112</v>
      </c>
      <c r="S59" s="122">
        <f>S58/M58-1</f>
        <v>0.66463414634146334</v>
      </c>
      <c r="T59" s="107"/>
      <c r="U59" s="109">
        <f>U58/O58-1</f>
        <v>-8.3333333333333321</v>
      </c>
      <c r="V59" s="110">
        <f>V58/P58-1</f>
        <v>-0.12765957446808507</v>
      </c>
      <c r="W59" s="110">
        <f>W58/Q58-1</f>
        <v>-0.419047619047619</v>
      </c>
      <c r="X59" s="120">
        <f>X58/R58-1</f>
        <v>2.3255813953488413E-2</v>
      </c>
      <c r="Y59" s="122">
        <f>Y58/S58-1</f>
        <v>0.16849816849816857</v>
      </c>
      <c r="AA59" s="109">
        <f>AA58/U58-1</f>
        <v>-0.68181818181818188</v>
      </c>
      <c r="AB59" s="110">
        <f>AB58/V58-1</f>
        <v>3.6585365853658569E-2</v>
      </c>
      <c r="AC59" s="110">
        <f>AC58/W58-1</f>
        <v>0.45901639344262302</v>
      </c>
      <c r="AD59" s="120">
        <f>AD58/X58-1</f>
        <v>-2.2727272727272707E-2</v>
      </c>
      <c r="AE59" s="122">
        <f>AE58/Y58-1</f>
        <v>-9.7178683385579889E-2</v>
      </c>
      <c r="AG59" s="109">
        <f>AG58/AA58-1</f>
        <v>1.5357142857142856</v>
      </c>
      <c r="AH59" s="110">
        <f>AH58/AB58-1</f>
        <v>0.30588235294117649</v>
      </c>
      <c r="AI59" s="110">
        <f>AI58/AC58-1</f>
        <v>0.3595505617977528</v>
      </c>
      <c r="AJ59" s="120">
        <f>AJ58/AD58-1</f>
        <v>-1.1627906976744207E-2</v>
      </c>
      <c r="AK59" s="122">
        <f>AK58/AE58-1</f>
        <v>0.34722222222222232</v>
      </c>
      <c r="AM59" s="109">
        <f>AM58/AG58-1</f>
        <v>-0.12676056338028174</v>
      </c>
      <c r="AN59" s="110">
        <f>AN58/AH58-1</f>
        <v>-0.50450450450450446</v>
      </c>
      <c r="AO59" s="110">
        <f>AO58/AI58-1</f>
        <v>-0.34710743801652888</v>
      </c>
      <c r="AP59" s="120">
        <f>AP58/AJ58-1</f>
        <v>0.22352941176470598</v>
      </c>
      <c r="AQ59" s="122">
        <f>AQ58/AK58-1</f>
        <v>-0.22680412371134018</v>
      </c>
      <c r="AS59" s="109">
        <f>AS58/AM58-1</f>
        <v>0.5161290322580645</v>
      </c>
      <c r="AT59" s="110">
        <f>AT58/AN58-1</f>
        <v>0.89090909090909087</v>
      </c>
      <c r="AU59" s="110">
        <f>AU58/AO58-1</f>
        <v>0.481012658227848</v>
      </c>
      <c r="AV59" s="120">
        <f>AV58/AP58-1</f>
        <v>0.28846153846153855</v>
      </c>
      <c r="AW59" s="122">
        <f>AW58/AQ58-1</f>
        <v>0.49666666666666659</v>
      </c>
      <c r="AY59" s="109">
        <f>AY58/AS58-1</f>
        <v>-7.4468085106383031E-2</v>
      </c>
      <c r="AZ59" s="110">
        <f>AZ58/AT58-1</f>
        <v>-0.21153846153846156</v>
      </c>
      <c r="BA59" s="110">
        <f>BA58/AU58-1</f>
        <v>-0.28205128205128205</v>
      </c>
      <c r="BB59" s="110">
        <f>BB58/AV58-1</f>
        <v>-0.47014925373134331</v>
      </c>
      <c r="BC59" s="122">
        <f>BC58/AW58-1</f>
        <v>-0.27839643652561252</v>
      </c>
      <c r="BE59" s="109">
        <f>BE58/AY58-1</f>
        <v>-0.60919540229885061</v>
      </c>
      <c r="BF59" s="110">
        <f>BF58/AZ58-1</f>
        <v>8.5365853658536661E-2</v>
      </c>
      <c r="BG59" s="110">
        <f>BG58/BA58-1</f>
        <v>-0.23809523809523814</v>
      </c>
      <c r="BH59" s="120">
        <f>BH58/BB58-1</f>
        <v>-0.323943661971831</v>
      </c>
      <c r="BI59" s="122">
        <f>BI58/BC58-1</f>
        <v>-0.27469135802469136</v>
      </c>
      <c r="BK59" s="109">
        <f>BK58/BE58-1</f>
        <v>1.0294117647058822</v>
      </c>
      <c r="BL59" s="110">
        <f>BL58/BF58-1</f>
        <v>-6.7415730337078705E-2</v>
      </c>
      <c r="BM59" s="110">
        <f>BM58/BG58-1</f>
        <v>-0.21875</v>
      </c>
      <c r="BN59" s="120">
        <f>BN58/BH58-1</f>
        <v>-2.083333333333337E-2</v>
      </c>
      <c r="BO59" s="122">
        <f>BO58/BI58-1</f>
        <v>5.9574468085106469E-2</v>
      </c>
      <c r="BQ59" s="109">
        <f>BQ58/BK58-1</f>
        <v>-0.174265593484495</v>
      </c>
      <c r="BR59" s="110">
        <f>BR58/BL58-1</f>
        <v>-5.6989805749515288E-2</v>
      </c>
      <c r="BS59" s="110">
        <f>BS58/BM58-1</f>
        <v>9.4167896734357548E-2</v>
      </c>
      <c r="BT59" s="120">
        <f>BT58/BN58-1</f>
        <v>-0.12507200632582938</v>
      </c>
      <c r="BU59" s="122">
        <f>BU58/BO58-1</f>
        <v>-7.1985820434682823E-2</v>
      </c>
      <c r="BW59" s="109">
        <f>BW58/BQ58-1</f>
        <v>5.4460345073645833E-3</v>
      </c>
      <c r="BX59" s="110">
        <f>BX58/BR58-1</f>
        <v>-1.4617538068904312E-2</v>
      </c>
      <c r="BY59" s="110">
        <f>BY58/BS58-1</f>
        <v>4.4592387344664974E-2</v>
      </c>
      <c r="BZ59" s="120">
        <f>BZ58/BT58-1</f>
        <v>7.3020351919840465E-2</v>
      </c>
      <c r="CA59" s="122">
        <f>CA58/BU58-1</f>
        <v>1.994357343288744E-2</v>
      </c>
      <c r="CC59" s="109">
        <f>CC58/BW58-1</f>
        <v>3.702806561456562E-2</v>
      </c>
      <c r="CD59" s="110">
        <f>CD58/BX58-1</f>
        <v>9.8960718501854839E-3</v>
      </c>
      <c r="CE59" s="110">
        <f>CE58/BY58-1</f>
        <v>6.9025793960401316E-2</v>
      </c>
      <c r="CF59" s="120">
        <f>CF58/BZ58-1</f>
        <v>8.7072378226801472E-2</v>
      </c>
      <c r="CG59" s="122">
        <f>CG58/CA58-1</f>
        <v>4.5277255862629096E-2</v>
      </c>
      <c r="CI59" s="109">
        <f>CI58/CC58-1</f>
        <v>4.3836776033503E-2</v>
      </c>
      <c r="CJ59" s="110">
        <f>CJ58/CD58-1</f>
        <v>1.7413206872011422E-2</v>
      </c>
      <c r="CK59" s="110">
        <f>CK58/CE58-1</f>
        <v>4.6836229960641296E-2</v>
      </c>
      <c r="CL59" s="120">
        <f>CL58/CF58-1</f>
        <v>2.4181250220902228E-2</v>
      </c>
      <c r="CM59" s="122">
        <f>CM58/CG58-1</f>
        <v>3.2399369381198806E-2</v>
      </c>
      <c r="CO59" s="109">
        <f>CO58/CI58-1</f>
        <v>2.0761016893237283E-2</v>
      </c>
      <c r="CP59" s="110">
        <f>CP58/CJ58-1</f>
        <v>2.1773196986639709E-2</v>
      </c>
      <c r="CQ59" s="110">
        <f>CQ58/CK58-1</f>
        <v>2.4844425124209923E-2</v>
      </c>
      <c r="CR59" s="120">
        <f>CR58/CL58-1</f>
        <v>2.8849736843121754E-2</v>
      </c>
      <c r="CS59" s="122">
        <f>CS58/CM58-1</f>
        <v>2.3665546910675239E-2</v>
      </c>
      <c r="CU59" s="109">
        <f>CU58/CO58-1</f>
        <v>2.2278517487118954E-2</v>
      </c>
      <c r="CV59" s="110">
        <f>CV58/CP58-1</f>
        <v>2.2956221456361892E-2</v>
      </c>
      <c r="CW59" s="110">
        <f>CW58/CQ58-1</f>
        <v>2.5884264534990375E-2</v>
      </c>
      <c r="CX59" s="120">
        <f>CX58/CR58-1</f>
        <v>9.8923285260431371E-2</v>
      </c>
      <c r="CY59" s="122">
        <f>CY58/CS58-1</f>
        <v>3.827623666934854E-2</v>
      </c>
      <c r="DA59" s="109">
        <f>DA58/CU58-1</f>
        <v>2.3095464000501442E-2</v>
      </c>
      <c r="DB59" s="110">
        <f>DB58/CV58-1</f>
        <v>2.345796534752087E-2</v>
      </c>
      <c r="DC59" s="110">
        <f>DC58/CW58-1</f>
        <v>2.6213530573539146E-2</v>
      </c>
      <c r="DD59" s="120">
        <f>DD58/CX58-1</f>
        <v>2.9030239084961051E-2</v>
      </c>
      <c r="DE59" s="122">
        <f>DE58/CY58-1</f>
        <v>2.5201552359405133E-2</v>
      </c>
      <c r="DG59" s="109">
        <f>DG58/DA58-1</f>
        <v>2.3275048886212346E-2</v>
      </c>
      <c r="DH59" s="110">
        <f>DH58/DB58-1</f>
        <v>2.3346066498660445E-2</v>
      </c>
      <c r="DI59" s="110">
        <f>DI58/DC58-1</f>
        <v>2.5906348982613236E-2</v>
      </c>
      <c r="DJ59" s="120">
        <f>DJ58/DD58-1</f>
        <v>2.8517154005834877E-2</v>
      </c>
      <c r="DK59" s="122">
        <f>DK58/DE58-1</f>
        <v>2.5033052990214966E-2</v>
      </c>
    </row>
    <row r="60" spans="2:115" ht="15.75" thickBot="1" x14ac:dyDescent="0.35">
      <c r="B60" s="1"/>
      <c r="AA60" s="103"/>
      <c r="AB60" s="103"/>
      <c r="AC60" s="103"/>
      <c r="AD60" s="103"/>
      <c r="AE60" s="103"/>
      <c r="AG60" s="103"/>
      <c r="AH60" s="103"/>
      <c r="AI60" s="103"/>
      <c r="AJ60" s="103"/>
      <c r="AK60" s="103"/>
      <c r="AM60" s="103"/>
      <c r="AN60" s="103"/>
      <c r="AO60" s="103"/>
      <c r="AP60" s="103"/>
      <c r="AQ60" s="103"/>
      <c r="AS60" s="103"/>
      <c r="AT60" s="103"/>
      <c r="AU60" s="103"/>
      <c r="AV60" s="103"/>
      <c r="AW60" s="103"/>
      <c r="AY60" s="103"/>
      <c r="AZ60" s="103"/>
      <c r="BA60" s="103"/>
      <c r="BB60" s="103"/>
      <c r="BC60" s="103"/>
      <c r="BE60" s="103"/>
      <c r="BF60" s="103"/>
      <c r="BG60" s="103"/>
      <c r="BH60" s="103"/>
      <c r="BI60" s="103"/>
      <c r="BK60" s="103"/>
      <c r="BL60" s="103"/>
      <c r="BM60" s="103"/>
      <c r="BN60" s="103"/>
      <c r="BO60" s="103"/>
      <c r="BQ60" s="103"/>
      <c r="BR60" s="103"/>
      <c r="BS60" s="103"/>
      <c r="BT60" s="103"/>
      <c r="BU60" s="103"/>
      <c r="BW60" s="103"/>
      <c r="BX60" s="103"/>
      <c r="BY60" s="103"/>
      <c r="BZ60" s="103"/>
      <c r="CA60" s="103"/>
      <c r="CC60" s="103"/>
      <c r="CD60" s="103"/>
      <c r="CE60" s="103"/>
      <c r="CF60" s="103"/>
      <c r="CG60" s="103"/>
      <c r="CI60" s="103"/>
      <c r="CJ60" s="103"/>
      <c r="CK60" s="103"/>
      <c r="CL60" s="103"/>
      <c r="CM60" s="103"/>
      <c r="CO60" s="103"/>
      <c r="CP60" s="103"/>
      <c r="CQ60" s="103"/>
      <c r="CR60" s="103"/>
      <c r="CS60" s="103"/>
      <c r="CU60" s="103"/>
      <c r="CV60" s="103"/>
      <c r="CW60" s="103"/>
      <c r="CX60" s="103"/>
      <c r="CY60" s="103"/>
      <c r="DA60" s="103"/>
      <c r="DB60" s="103"/>
      <c r="DC60" s="103"/>
      <c r="DD60" s="103"/>
      <c r="DE60" s="103"/>
      <c r="DG60" s="103"/>
      <c r="DH60" s="103"/>
      <c r="DI60" s="103"/>
      <c r="DJ60" s="103"/>
      <c r="DK60" s="103"/>
    </row>
    <row r="61" spans="2:115" ht="15" x14ac:dyDescent="0.3">
      <c r="B61" s="42" t="s">
        <v>50</v>
      </c>
      <c r="C61" s="111">
        <f>C67-C64</f>
        <v>218.7</v>
      </c>
      <c r="D61" s="112">
        <f>D67-D64</f>
        <v>229.23</v>
      </c>
      <c r="E61" s="112">
        <f>E67-E64</f>
        <v>218.4</v>
      </c>
      <c r="F61" s="112">
        <f>F67-F64</f>
        <v>313.63</v>
      </c>
      <c r="G61" s="113">
        <f>C61+D61+E61+F61</f>
        <v>979.95999999999992</v>
      </c>
      <c r="I61" s="111">
        <f>I67-I64</f>
        <v>294.90999999999997</v>
      </c>
      <c r="J61" s="112">
        <f>J67-J64</f>
        <v>310.31</v>
      </c>
      <c r="K61" s="112">
        <f>K67-K64</f>
        <v>294.88</v>
      </c>
      <c r="L61" s="115">
        <f>L67-L64</f>
        <v>295.68</v>
      </c>
      <c r="M61" s="113">
        <f>I61+J61+K61+L61</f>
        <v>1195.78</v>
      </c>
      <c r="O61" s="111">
        <f>O67-O64</f>
        <v>259</v>
      </c>
      <c r="P61" s="112">
        <f>P67-P64</f>
        <v>273.8</v>
      </c>
      <c r="Q61" s="112">
        <f>Q67-Q64</f>
        <v>272.32</v>
      </c>
      <c r="R61" s="115">
        <f>R67-R64</f>
        <v>277.5</v>
      </c>
      <c r="S61" s="113">
        <f>O61+P61+Q61+R61</f>
        <v>1082.6199999999999</v>
      </c>
      <c r="U61" s="111">
        <f>U67-U64</f>
        <v>267.90999999999997</v>
      </c>
      <c r="V61" s="112">
        <f>V67-V64</f>
        <v>275.76</v>
      </c>
      <c r="W61" s="112">
        <f>W67-W64</f>
        <v>263.41000000000003</v>
      </c>
      <c r="X61" s="115">
        <f>X67-X64</f>
        <v>252</v>
      </c>
      <c r="Y61" s="113">
        <f>U61+V61+W61+X61</f>
        <v>1059.08</v>
      </c>
      <c r="AA61" s="111">
        <f>AA67-AA64</f>
        <v>222.3</v>
      </c>
      <c r="AB61" s="112">
        <f>AB67-AB64</f>
        <v>235.62</v>
      </c>
      <c r="AC61" s="112">
        <f>AC67-AC64</f>
        <v>225.54</v>
      </c>
      <c r="AD61" s="115">
        <f>AD67-AD64</f>
        <v>225.12</v>
      </c>
      <c r="AE61" s="113">
        <f>AA61+AB61+AC61+AD61</f>
        <v>908.58</v>
      </c>
      <c r="AG61" s="111">
        <f>AG67-AG64</f>
        <v>218.24</v>
      </c>
      <c r="AH61" s="112">
        <f>AH67-AH64</f>
        <v>211.79999999999998</v>
      </c>
      <c r="AI61" s="112">
        <f>AI67-AI64</f>
        <v>205.2</v>
      </c>
      <c r="AJ61" s="115">
        <f>AJ67-AJ64</f>
        <v>201.29999999999998</v>
      </c>
      <c r="AK61" s="113">
        <f>AG61+AH61+AI61+AJ61</f>
        <v>836.54</v>
      </c>
      <c r="AM61" s="111">
        <f>AM67-AM64</f>
        <v>186.6</v>
      </c>
      <c r="AN61" s="112">
        <f>AN67-AN64</f>
        <v>189.39000000000001</v>
      </c>
      <c r="AO61" s="112">
        <f>AO67-AO64</f>
        <v>184.68</v>
      </c>
      <c r="AP61" s="115">
        <f>AP67-AP64</f>
        <v>176.4</v>
      </c>
      <c r="AQ61" s="113">
        <f>AM61+AN61+AO61+AP61</f>
        <v>737.07</v>
      </c>
      <c r="AS61" s="111">
        <f>AS67-AS64</f>
        <v>163.62</v>
      </c>
      <c r="AT61" s="112">
        <f>AT67-AT64</f>
        <v>156.52000000000001</v>
      </c>
      <c r="AU61" s="112">
        <f>AU67-AU64</f>
        <v>147.5</v>
      </c>
      <c r="AV61" s="115">
        <f>AV67-AV64</f>
        <v>165.78</v>
      </c>
      <c r="AW61" s="113">
        <f>AS61+AT61+AU61+AV61</f>
        <v>633.41999999999996</v>
      </c>
      <c r="AY61" s="111">
        <f>AY67-AY64</f>
        <v>118.22</v>
      </c>
      <c r="AZ61" s="112">
        <f>AZ67-AZ64</f>
        <v>107.10000000000002</v>
      </c>
      <c r="BA61" s="112">
        <f>BA67-BA64</f>
        <v>105.37</v>
      </c>
      <c r="BB61" s="115">
        <f>BB67-BB64</f>
        <v>93.200000000000017</v>
      </c>
      <c r="BC61" s="113">
        <f>AY61+AZ61+BA61+BB61</f>
        <v>423.8900000000001</v>
      </c>
      <c r="BE61" s="111">
        <f>BE67-BE64</f>
        <v>88.920000000000016</v>
      </c>
      <c r="BF61" s="112">
        <f>BF67-BF64</f>
        <v>85.88</v>
      </c>
      <c r="BG61" s="112">
        <f>BG67-BG64</f>
        <v>83.52000000000001</v>
      </c>
      <c r="BH61" s="115">
        <f>BH67-BH64</f>
        <v>92</v>
      </c>
      <c r="BI61" s="113">
        <f>BE61+BF61+BG61+BH61</f>
        <v>350.32000000000005</v>
      </c>
      <c r="BK61" s="111">
        <f>BK67-BK64</f>
        <v>99.439999999999984</v>
      </c>
      <c r="BL61" s="112">
        <f>BL67-BL64</f>
        <v>93.480000000000018</v>
      </c>
      <c r="BM61" s="112">
        <f>BM67-BM64</f>
        <v>85.800000000000011</v>
      </c>
      <c r="BN61" s="115">
        <f>BN67-BN64</f>
        <v>80.94</v>
      </c>
      <c r="BO61" s="113">
        <f>BK61+BL61+BM61+BN61</f>
        <v>359.66</v>
      </c>
      <c r="BQ61" s="111">
        <f>BQ67-BQ64</f>
        <v>85.922560583941575</v>
      </c>
      <c r="BR61" s="112">
        <f>BR67-BR64</f>
        <v>81.405755610972591</v>
      </c>
      <c r="BS61" s="112">
        <f>BS67-BS64</f>
        <v>76.599826109525054</v>
      </c>
      <c r="BT61" s="115">
        <f>BT67-BT64</f>
        <v>73.213718612477322</v>
      </c>
      <c r="BU61" s="113">
        <f>BQ61+BR61+BS61+BT61</f>
        <v>317.14186091691658</v>
      </c>
      <c r="BW61" s="111">
        <f>BW67-BW64</f>
        <v>76.49505471532845</v>
      </c>
      <c r="BX61" s="112">
        <f>BX67-BX64</f>
        <v>72.472753316708236</v>
      </c>
      <c r="BY61" s="112">
        <f>BY67-BY64</f>
        <v>68.149071684401747</v>
      </c>
      <c r="BZ61" s="115">
        <f>BZ67-BZ64</f>
        <v>65.008879213046868</v>
      </c>
      <c r="CA61" s="113">
        <f>BW61+BX61+BY61+BZ61</f>
        <v>282.1257589294853</v>
      </c>
      <c r="CC61" s="111">
        <f>CC67-CC64</f>
        <v>67.833792971678832</v>
      </c>
      <c r="CD61" s="112">
        <f>CD67-CD64</f>
        <v>64.266293434413967</v>
      </c>
      <c r="CE61" s="112">
        <f>CE67-CE64</f>
        <v>60.431614430314028</v>
      </c>
      <c r="CF61" s="115">
        <f>CF67-CF64</f>
        <v>57.609400147036013</v>
      </c>
      <c r="CG61" s="113">
        <f>CC61+CD61+CE61+CF61</f>
        <v>250.14110098344284</v>
      </c>
      <c r="CI61" s="111">
        <f>CI67-CI64</f>
        <v>60.073710684683221</v>
      </c>
      <c r="CJ61" s="112">
        <f>CJ67-CJ64</f>
        <v>56.913869933805501</v>
      </c>
      <c r="CK61" s="112">
        <f>CK67-CK64</f>
        <v>53.51747035390602</v>
      </c>
      <c r="CL61" s="115">
        <f>CL67-CL64</f>
        <v>51.017541281035477</v>
      </c>
      <c r="CM61" s="113">
        <f>CI61+CJ61+CK61+CL61</f>
        <v>221.52259225343022</v>
      </c>
      <c r="CO61" s="111">
        <f>CO67-CO64</f>
        <v>53.199241527774348</v>
      </c>
      <c r="CP61" s="112">
        <f>CP67-CP64</f>
        <v>50.400593447887474</v>
      </c>
      <c r="CQ61" s="112">
        <f>CQ67-CQ64</f>
        <v>47.392505608039443</v>
      </c>
      <c r="CR61" s="115">
        <f>CR67-CR64</f>
        <v>45.178153180757761</v>
      </c>
      <c r="CS61" s="113">
        <f>CO61+CP61+CQ61+CR61</f>
        <v>196.17049376445902</v>
      </c>
      <c r="CU61" s="111">
        <f>CU67-CU64</f>
        <v>47.109583534664182</v>
      </c>
      <c r="CV61" s="112">
        <f>CV67-CV64</f>
        <v>44.63094359154303</v>
      </c>
      <c r="CW61" s="112">
        <f>CW67-CW64</f>
        <v>41.966880828084584</v>
      </c>
      <c r="CX61" s="115">
        <f>CX67-CX64</f>
        <v>40.005565630099795</v>
      </c>
      <c r="CY61" s="113">
        <f>CU61+CV61+CW61+CX61</f>
        <v>173.71297358439159</v>
      </c>
      <c r="DA61" s="111">
        <f>DA67-DA64</f>
        <v>41.715374381900517</v>
      </c>
      <c r="DB61" s="112">
        <f>DB67-DB64</f>
        <v>39.520241155071574</v>
      </c>
      <c r="DC61" s="112">
        <f>DC67-DC64</f>
        <v>37.160953914563123</v>
      </c>
      <c r="DD61" s="115">
        <f>DD67-DD64</f>
        <v>35.423833685796808</v>
      </c>
      <c r="DE61" s="113">
        <f>DA61+DB61+DC61+DD61</f>
        <v>153.82040313733202</v>
      </c>
      <c r="DG61" s="111">
        <f>DG67-DG64</f>
        <v>36.937397422900972</v>
      </c>
      <c r="DH61" s="112">
        <f>DH67-DH64</f>
        <v>34.993421715635151</v>
      </c>
      <c r="DI61" s="112">
        <f>DI67-DI64</f>
        <v>32.90412637636237</v>
      </c>
      <c r="DJ61" s="115">
        <f>DJ67-DJ64</f>
        <v>31.365637263053117</v>
      </c>
      <c r="DK61" s="113">
        <f>DG61+DH61+DI61+DJ61</f>
        <v>136.20058277795161</v>
      </c>
    </row>
    <row r="62" spans="2:115" ht="15" x14ac:dyDescent="0.3">
      <c r="B62" s="40" t="s">
        <v>23</v>
      </c>
      <c r="C62" s="144" t="s">
        <v>35</v>
      </c>
      <c r="D62" s="107" t="s">
        <v>35</v>
      </c>
      <c r="E62" s="107" t="s">
        <v>35</v>
      </c>
      <c r="F62" s="107" t="s">
        <v>35</v>
      </c>
      <c r="G62" s="138" t="s">
        <v>35</v>
      </c>
      <c r="I62" s="151">
        <f>I61/C61-1</f>
        <v>0.34846822130772748</v>
      </c>
      <c r="J62" s="133">
        <f>J61/D61-1</f>
        <v>0.35370588491907706</v>
      </c>
      <c r="K62" s="133">
        <f>K61/E61-1</f>
        <v>0.35018315018315005</v>
      </c>
      <c r="L62" s="152">
        <f>L61/F61-1</f>
        <v>-5.7233045308165642E-2</v>
      </c>
      <c r="M62" s="153">
        <f>M61/G61-1</f>
        <v>0.22023347891750689</v>
      </c>
      <c r="O62" s="151">
        <f>O61/I61-1</f>
        <v>-0.12176596249703286</v>
      </c>
      <c r="P62" s="133">
        <f>P61/J61-1</f>
        <v>-0.11765653701137568</v>
      </c>
      <c r="Q62" s="133">
        <f>Q61/K61-1</f>
        <v>-7.6505697232772674E-2</v>
      </c>
      <c r="R62" s="152">
        <f>R61/L61-1</f>
        <v>-6.1485389610389629E-2</v>
      </c>
      <c r="S62" s="153">
        <f>S61/M61-1</f>
        <v>-9.4632791985147846E-2</v>
      </c>
      <c r="U62" s="151">
        <f>U61/O61-1</f>
        <v>3.4401544401544193E-2</v>
      </c>
      <c r="V62" s="133">
        <f>V61/P61-1</f>
        <v>7.1585098612125808E-3</v>
      </c>
      <c r="W62" s="133">
        <f>W61/Q61-1</f>
        <v>-3.2718860164512198E-2</v>
      </c>
      <c r="X62" s="152">
        <f>X61/R61-1</f>
        <v>-9.1891891891891841E-2</v>
      </c>
      <c r="Y62" s="153">
        <f>Y61/S61-1</f>
        <v>-2.1743548059337536E-2</v>
      </c>
      <c r="AA62" s="151">
        <f>AA61/U61-1</f>
        <v>-0.17024373856892228</v>
      </c>
      <c r="AB62" s="133">
        <f>AB61/V61-1</f>
        <v>-0.14556135770234979</v>
      </c>
      <c r="AC62" s="133">
        <f>AC61/W61-1</f>
        <v>-0.14376826999734271</v>
      </c>
      <c r="AD62" s="152">
        <f>AD61/X61-1</f>
        <v>-0.10666666666666669</v>
      </c>
      <c r="AE62" s="153">
        <f>AE61/Y61-1</f>
        <v>-0.14210446802885512</v>
      </c>
      <c r="AG62" s="151">
        <f>AG61/AA61-1</f>
        <v>-1.8263607737291965E-2</v>
      </c>
      <c r="AH62" s="133">
        <f>AH61/AB61-1</f>
        <v>-0.10109498344792467</v>
      </c>
      <c r="AI62" s="133">
        <f>AI61/AC61-1</f>
        <v>-9.0183559457302498E-2</v>
      </c>
      <c r="AJ62" s="152">
        <f>AJ61/AD61-1</f>
        <v>-0.1058102345415779</v>
      </c>
      <c r="AK62" s="153">
        <f>AK61/AE61-1</f>
        <v>-7.9288560170816091E-2</v>
      </c>
      <c r="AM62" s="151">
        <f>AM61/AG61-1</f>
        <v>-0.14497800586510268</v>
      </c>
      <c r="AN62" s="133">
        <f>AN61/AH61-1</f>
        <v>-0.1058073654390933</v>
      </c>
      <c r="AO62" s="133">
        <f>AO61/AI61-1</f>
        <v>-9.9999999999999867E-2</v>
      </c>
      <c r="AP62" s="152">
        <f>AP61/AJ61-1</f>
        <v>-0.12369597615499239</v>
      </c>
      <c r="AQ62" s="153">
        <f>AQ61/AK61-1</f>
        <v>-0.11890644798814154</v>
      </c>
      <c r="AS62" s="151">
        <f>AS61/AM61-1</f>
        <v>-0.12315112540192918</v>
      </c>
      <c r="AT62" s="133">
        <f>AT61/AN61-1</f>
        <v>-0.17355720998996782</v>
      </c>
      <c r="AU62" s="133">
        <f>AU61/AO61-1</f>
        <v>-0.20132120424518085</v>
      </c>
      <c r="AV62" s="152">
        <f>AV61/AP61-1</f>
        <v>-6.0204081632653117E-2</v>
      </c>
      <c r="AW62" s="153">
        <f>AW61/AQ61-1</f>
        <v>-0.14062436403598044</v>
      </c>
      <c r="AY62" s="151">
        <f>AY61/AS61-1</f>
        <v>-0.27747219166361081</v>
      </c>
      <c r="AZ62" s="133">
        <f>AZ61/AT61-1</f>
        <v>-0.31574239713774588</v>
      </c>
      <c r="BA62" s="133">
        <f>BA61/AU61-1</f>
        <v>-0.28562711864406776</v>
      </c>
      <c r="BB62" s="152">
        <f>BB61/AV61-1</f>
        <v>-0.43780914464953546</v>
      </c>
      <c r="BC62" s="153">
        <f>BC61/AW61-1</f>
        <v>-0.33079157588961494</v>
      </c>
      <c r="BE62" s="151">
        <f>BE61/AY61-1</f>
        <v>-0.24784300456775488</v>
      </c>
      <c r="BF62" s="133">
        <f>BF61/AZ61-1</f>
        <v>-0.19813258636788067</v>
      </c>
      <c r="BG62" s="133">
        <f>BG61/BA61-1</f>
        <v>-0.20736452500711766</v>
      </c>
      <c r="BH62" s="152">
        <f>BH61/BB61-1</f>
        <v>-1.2875536480686844E-2</v>
      </c>
      <c r="BI62" s="153">
        <f>BI61/BC61-1</f>
        <v>-0.17355917808865517</v>
      </c>
      <c r="BK62" s="151">
        <f>BK61/BE61-1</f>
        <v>0.11830859199280219</v>
      </c>
      <c r="BL62" s="133">
        <f>BL61/BF61-1</f>
        <v>8.8495575221239298E-2</v>
      </c>
      <c r="BM62" s="133">
        <f>BM61/BG61-1</f>
        <v>2.7298850574712707E-2</v>
      </c>
      <c r="BN62" s="152">
        <f>BN61/BH61-1</f>
        <v>-0.12021739130434783</v>
      </c>
      <c r="BO62" s="153">
        <f>BO61/BI61-1</f>
        <v>2.6661338205069551E-2</v>
      </c>
      <c r="BQ62" s="151">
        <f>BQ61/BK61-1</f>
        <v>-0.13593563370935646</v>
      </c>
      <c r="BR62" s="133">
        <f>BR61/BL61-1</f>
        <v>-0.12916393227457668</v>
      </c>
      <c r="BS62" s="133">
        <f>BS61/BM61-1</f>
        <v>-0.10722813392161956</v>
      </c>
      <c r="BT62" s="152">
        <f>BT61/BN61-1</f>
        <v>-9.5456898783329303E-2</v>
      </c>
      <c r="BU62" s="153">
        <f>BU61/BO61-1</f>
        <v>-0.11821759184530789</v>
      </c>
      <c r="BW62" s="151">
        <f>BW61/BQ61-1</f>
        <v>-0.10972096041531465</v>
      </c>
      <c r="BX62" s="133">
        <f>BX61/BR61-1</f>
        <v>-0.10973428386260553</v>
      </c>
      <c r="BY62" s="133">
        <f>BY61/BS61-1</f>
        <v>-0.11032341526520084</v>
      </c>
      <c r="BZ62" s="152">
        <f>BZ61/BT61-1</f>
        <v>-0.11206696716033437</v>
      </c>
      <c r="CA62" s="153">
        <f>CA61/BU61-1</f>
        <v>-0.11041147922318795</v>
      </c>
      <c r="CC62" s="151">
        <f>CC61/BW61-1</f>
        <v>-0.11322642719692089</v>
      </c>
      <c r="CD62" s="133">
        <f>CD61/BX61-1</f>
        <v>-0.11323510570147344</v>
      </c>
      <c r="CE62" s="133">
        <f>CE61/BY61-1</f>
        <v>-0.11324376199616115</v>
      </c>
      <c r="CF62" s="152">
        <f>CF61/BZ61-1</f>
        <v>-0.11382259093809799</v>
      </c>
      <c r="CG62" s="153">
        <f>CG61/CA61-1</f>
        <v>-0.11337021499705291</v>
      </c>
      <c r="CI62" s="151">
        <f>CI61/CC61-1</f>
        <v>-0.11439847231063005</v>
      </c>
      <c r="CJ62" s="133">
        <f>CJ61/CD61-1</f>
        <v>-0.11440559440559417</v>
      </c>
      <c r="CK62" s="133">
        <f>CK61/CE61-1</f>
        <v>-0.11441269841269863</v>
      </c>
      <c r="CL62" s="152">
        <f>CL61/CF61-1</f>
        <v>-0.11442332065906236</v>
      </c>
      <c r="CM62" s="153">
        <f>CM61/CG61-1</f>
        <v>-0.11440946176976696</v>
      </c>
      <c r="CO62" s="151">
        <f>CO61/CI61-1</f>
        <v>-0.11443390259329578</v>
      </c>
      <c r="CP62" s="133">
        <f>CP61/CJ61-1</f>
        <v>-0.11444093493367058</v>
      </c>
      <c r="CQ62" s="133">
        <f>CQ61/CK61-1</f>
        <v>-0.11444794952681359</v>
      </c>
      <c r="CR62" s="152">
        <f>CR61/CL61-1</f>
        <v>-0.11445843828715374</v>
      </c>
      <c r="CS62" s="153">
        <f>CS61/CM61-1</f>
        <v>-0.1144447536076475</v>
      </c>
      <c r="CU62" s="151">
        <f>CU61/CO61-1</f>
        <v>-0.11446888749214346</v>
      </c>
      <c r="CV62" s="133">
        <f>CV61/CP61-1</f>
        <v>-0.11447583176396658</v>
      </c>
      <c r="CW62" s="133">
        <f>CW61/CQ61-1</f>
        <v>-0.11448275862068957</v>
      </c>
      <c r="CX62" s="152">
        <f>CX61/CR61-1</f>
        <v>-0.1144931163954942</v>
      </c>
      <c r="CY62" s="153">
        <f>CY61/CS61-1</f>
        <v>-0.11447960266150969</v>
      </c>
      <c r="DA62" s="151">
        <f>DA61/CU61-1</f>
        <v>-0.1145034353529043</v>
      </c>
      <c r="DB62" s="133">
        <f>DB61/CV61-1</f>
        <v>-0.11451029320025097</v>
      </c>
      <c r="DC62" s="133">
        <f>DC61/CW61-1</f>
        <v>-0.1145171339563863</v>
      </c>
      <c r="DD62" s="152">
        <f>DD61/CX61-1</f>
        <v>-0.11452736318407997</v>
      </c>
      <c r="DE62" s="153">
        <f>DE61/CY61-1</f>
        <v>-0.11451401721239629</v>
      </c>
      <c r="DG62" s="151">
        <f>DG61/DA61-1</f>
        <v>-0.11453755431409041</v>
      </c>
      <c r="DH62" s="133">
        <f>DH61/DB61-1</f>
        <v>-0.11454432734035846</v>
      </c>
      <c r="DI62" s="133">
        <f>DI61/DC61-1</f>
        <v>-0.11455108359133193</v>
      </c>
      <c r="DJ62" s="152">
        <f>DJ61/DD61-1</f>
        <v>-0.11456118665018533</v>
      </c>
      <c r="DK62" s="153">
        <f>DK61/DE61-1</f>
        <v>-0.11454800533612763</v>
      </c>
    </row>
    <row r="63" spans="2:115" ht="15" x14ac:dyDescent="0.3">
      <c r="B63" s="40"/>
      <c r="C63" s="144"/>
      <c r="D63" s="107"/>
      <c r="E63" s="107"/>
      <c r="F63" s="107"/>
      <c r="G63" s="138"/>
      <c r="I63" s="144"/>
      <c r="J63" s="107"/>
      <c r="K63" s="107"/>
      <c r="L63" s="145"/>
      <c r="M63" s="138"/>
      <c r="O63" s="144"/>
      <c r="P63" s="107"/>
      <c r="Q63" s="107"/>
      <c r="R63" s="145"/>
      <c r="S63" s="138"/>
      <c r="U63" s="144"/>
      <c r="V63" s="107"/>
      <c r="W63" s="107"/>
      <c r="X63" s="145"/>
      <c r="Y63" s="138"/>
      <c r="AA63" s="144"/>
      <c r="AB63" s="107"/>
      <c r="AC63" s="107"/>
      <c r="AD63" s="145"/>
      <c r="AE63" s="138"/>
      <c r="AG63" s="144"/>
      <c r="AH63" s="107"/>
      <c r="AI63" s="107"/>
      <c r="AJ63" s="145"/>
      <c r="AK63" s="138"/>
      <c r="AM63" s="144"/>
      <c r="AN63" s="107"/>
      <c r="AO63" s="107"/>
      <c r="AP63" s="145"/>
      <c r="AQ63" s="138"/>
      <c r="AS63" s="144"/>
      <c r="AT63" s="107"/>
      <c r="AU63" s="107"/>
      <c r="AV63" s="145"/>
      <c r="AW63" s="138"/>
      <c r="AY63" s="144"/>
      <c r="AZ63" s="107"/>
      <c r="BA63" s="107"/>
      <c r="BB63" s="145"/>
      <c r="BC63" s="138"/>
      <c r="BE63" s="144"/>
      <c r="BF63" s="107"/>
      <c r="BG63" s="107"/>
      <c r="BH63" s="145"/>
      <c r="BI63" s="138"/>
      <c r="BK63" s="144"/>
      <c r="BL63" s="107"/>
      <c r="BM63" s="107"/>
      <c r="BN63" s="145"/>
      <c r="BO63" s="138"/>
      <c r="BQ63" s="144"/>
      <c r="BR63" s="107"/>
      <c r="BS63" s="107"/>
      <c r="BT63" s="145"/>
      <c r="BU63" s="138"/>
      <c r="BW63" s="144"/>
      <c r="BX63" s="107"/>
      <c r="BY63" s="107"/>
      <c r="BZ63" s="145"/>
      <c r="CA63" s="138"/>
      <c r="CC63" s="144"/>
      <c r="CD63" s="107"/>
      <c r="CE63" s="107"/>
      <c r="CF63" s="145"/>
      <c r="CG63" s="138"/>
      <c r="CI63" s="144"/>
      <c r="CJ63" s="107"/>
      <c r="CK63" s="107"/>
      <c r="CL63" s="145"/>
      <c r="CM63" s="138"/>
      <c r="CO63" s="144"/>
      <c r="CP63" s="107"/>
      <c r="CQ63" s="107"/>
      <c r="CR63" s="145"/>
      <c r="CS63" s="138"/>
      <c r="CU63" s="144"/>
      <c r="CV63" s="107"/>
      <c r="CW63" s="107"/>
      <c r="CX63" s="145"/>
      <c r="CY63" s="138"/>
      <c r="DA63" s="144"/>
      <c r="DB63" s="107"/>
      <c r="DC63" s="107"/>
      <c r="DD63" s="145"/>
      <c r="DE63" s="138"/>
      <c r="DG63" s="144"/>
      <c r="DH63" s="107"/>
      <c r="DI63" s="107"/>
      <c r="DJ63" s="145"/>
      <c r="DK63" s="138"/>
    </row>
    <row r="64" spans="2:115" ht="15" x14ac:dyDescent="0.3">
      <c r="B64" s="39" t="s">
        <v>49</v>
      </c>
      <c r="C64" s="116">
        <f>C67*C15</f>
        <v>51.3</v>
      </c>
      <c r="D64" s="117">
        <f>D67*D15</f>
        <v>53.77</v>
      </c>
      <c r="E64" s="117">
        <f>E67*E15</f>
        <v>54.6</v>
      </c>
      <c r="F64" s="117">
        <f>F67*F15</f>
        <v>83.36999999999999</v>
      </c>
      <c r="G64" s="118">
        <f>C64+D64+E64+F64</f>
        <v>243.03999999999996</v>
      </c>
      <c r="I64" s="116">
        <f>I67*I15</f>
        <v>88.09</v>
      </c>
      <c r="J64" s="117">
        <f>J67*J15</f>
        <v>92.69</v>
      </c>
      <c r="K64" s="117">
        <f>K67*K15</f>
        <v>93.11999999999999</v>
      </c>
      <c r="L64" s="119">
        <f>L67*L15</f>
        <v>88.320000000000007</v>
      </c>
      <c r="M64" s="118">
        <f>I64+J64+K64+L64</f>
        <v>362.21999999999997</v>
      </c>
      <c r="O64" s="116">
        <f>O67*O15</f>
        <v>91</v>
      </c>
      <c r="P64" s="117">
        <f>P67*P15</f>
        <v>96.2</v>
      </c>
      <c r="Q64" s="117">
        <f>Q67*Q15</f>
        <v>95.68</v>
      </c>
      <c r="R64" s="119">
        <f>R67*R15</f>
        <v>92.5</v>
      </c>
      <c r="S64" s="118">
        <f>O64+P64+Q64+R64</f>
        <v>375.38</v>
      </c>
      <c r="U64" s="116">
        <f>U67*U15</f>
        <v>99.09</v>
      </c>
      <c r="V64" s="117">
        <f>V67*V15</f>
        <v>107.24000000000001</v>
      </c>
      <c r="W64" s="117">
        <f>W67*W15</f>
        <v>107.58999999999999</v>
      </c>
      <c r="X64" s="119">
        <f>X67*X15</f>
        <v>108</v>
      </c>
      <c r="Y64" s="118">
        <f>U64+V64+W64+X64</f>
        <v>421.92</v>
      </c>
      <c r="AA64" s="116">
        <f>AA67*AA15</f>
        <v>119.69999999999999</v>
      </c>
      <c r="AB64" s="117">
        <f>AB67*AB15</f>
        <v>121.38000000000001</v>
      </c>
      <c r="AC64" s="117">
        <f>AC67*AC15</f>
        <v>132.46</v>
      </c>
      <c r="AD64" s="119">
        <f>AD67*AD15</f>
        <v>110.88000000000001</v>
      </c>
      <c r="AE64" s="118">
        <f>AA64+AB64+AC64+AD64</f>
        <v>484.41999999999996</v>
      </c>
      <c r="AG64" s="116">
        <f>AG67*AG15</f>
        <v>122.75999999999999</v>
      </c>
      <c r="AH64" s="117">
        <f>AH67*AH15</f>
        <v>141.20000000000002</v>
      </c>
      <c r="AI64" s="117">
        <f>AI67*AI15</f>
        <v>136.80000000000001</v>
      </c>
      <c r="AJ64" s="119">
        <f>AJ67*AJ15</f>
        <v>128.70000000000002</v>
      </c>
      <c r="AK64" s="118">
        <f>AG64+AH64+AI64+AJ64</f>
        <v>529.46</v>
      </c>
      <c r="AM64" s="116">
        <f>AM67*AM15</f>
        <v>124.4</v>
      </c>
      <c r="AN64" s="117">
        <f>AN67*AN15</f>
        <v>131.60999999999999</v>
      </c>
      <c r="AO64" s="117">
        <f>AO67*AO15</f>
        <v>139.32</v>
      </c>
      <c r="AP64" s="119">
        <f>AP67*AP15</f>
        <v>138.6</v>
      </c>
      <c r="AQ64" s="118">
        <f>AM64+AN64+AO64+AP64</f>
        <v>533.92999999999995</v>
      </c>
      <c r="AS64" s="116">
        <f>AS67*AS15</f>
        <v>139.38</v>
      </c>
      <c r="AT64" s="117">
        <f>AT67*AT15</f>
        <v>144.47999999999999</v>
      </c>
      <c r="AU64" s="117">
        <f>AU67*AU15</f>
        <v>147.5</v>
      </c>
      <c r="AV64" s="119">
        <f>AV67*AV15</f>
        <v>141.22</v>
      </c>
      <c r="AW64" s="118">
        <f>AS64+AT64+AU64+AV64</f>
        <v>572.58000000000004</v>
      </c>
      <c r="AY64" s="116">
        <f>AY67*AY15</f>
        <v>138.78</v>
      </c>
      <c r="AZ64" s="117">
        <f>AZ67*AZ15</f>
        <v>147.89999999999998</v>
      </c>
      <c r="BA64" s="117">
        <f>BA67*BA15</f>
        <v>151.63</v>
      </c>
      <c r="BB64" s="119">
        <f>BB67*BB15</f>
        <v>139.79999999999998</v>
      </c>
      <c r="BC64" s="118">
        <f>AY64+AZ64+BA64+BB64</f>
        <v>578.1099999999999</v>
      </c>
      <c r="BE64" s="116">
        <f>BE67*BE15</f>
        <v>139.07999999999998</v>
      </c>
      <c r="BF64" s="117">
        <f>BF67*BF15</f>
        <v>140.12</v>
      </c>
      <c r="BG64" s="117">
        <f>BG67*BG15</f>
        <v>148.47999999999999</v>
      </c>
      <c r="BH64" s="119">
        <f>BH67*BH15</f>
        <v>138</v>
      </c>
      <c r="BI64" s="118">
        <f>BE64+BF64+BG64+BH64</f>
        <v>565.67999999999995</v>
      </c>
      <c r="BK64" s="116">
        <f>BK67*BK15</f>
        <v>126.56000000000002</v>
      </c>
      <c r="BL64" s="117">
        <f>BL67*BL15</f>
        <v>134.51999999999998</v>
      </c>
      <c r="BM64" s="117">
        <f>BM67*BM15</f>
        <v>134.19999999999999</v>
      </c>
      <c r="BN64" s="119">
        <f>BN67*BN15</f>
        <v>132.06</v>
      </c>
      <c r="BO64" s="118">
        <f>BK64+BL64+BM64+BN64</f>
        <v>527.33999999999992</v>
      </c>
      <c r="BQ64" s="116">
        <f>BQ67*BQ15</f>
        <v>121.65044618447247</v>
      </c>
      <c r="BR64" s="117">
        <f>BR67*BR15</f>
        <v>132.12851371571071</v>
      </c>
      <c r="BS64" s="117">
        <f>BS67*BS15</f>
        <v>131.92560083052163</v>
      </c>
      <c r="BT64" s="119">
        <f>BT67*BT15</f>
        <v>132.72662438519285</v>
      </c>
      <c r="BU64" s="118">
        <f>BQ64+BR64+BS64+BT64</f>
        <v>518.43118511589762</v>
      </c>
      <c r="BW64" s="116">
        <f>BW67*BW15</f>
        <v>128.60962534306569</v>
      </c>
      <c r="BX64" s="117">
        <f>BX67*BX15</f>
        <v>139.68501448877805</v>
      </c>
      <c r="BY64" s="117">
        <f>BY67*BY15</f>
        <v>140.04508396055022</v>
      </c>
      <c r="BZ64" s="119">
        <f>BZ67*BZ15</f>
        <v>140.61928617654672</v>
      </c>
      <c r="CA64" s="118">
        <f>BW64+BX64+BY64+BZ64</f>
        <v>548.95900996894056</v>
      </c>
      <c r="CC64" s="116">
        <f>CC67*CC15</f>
        <v>136.07954296642339</v>
      </c>
      <c r="CD64" s="117">
        <f>CD67*CD15</f>
        <v>147.7967675723192</v>
      </c>
      <c r="CE64" s="117">
        <f>CE67*CE15</f>
        <v>148.17630044770303</v>
      </c>
      <c r="CF64" s="119">
        <f>CF67*CF15</f>
        <v>148.6867232073518</v>
      </c>
      <c r="CG64" s="118">
        <f>CC64+CD64+CE64+CF64</f>
        <v>580.7393341937975</v>
      </c>
      <c r="CI64" s="116">
        <f>CI67*CI15</f>
        <v>143.79302692642338</v>
      </c>
      <c r="CJ64" s="117">
        <f>CJ67*CJ15</f>
        <v>156.17317051514965</v>
      </c>
      <c r="CK64" s="117">
        <f>CK67*CK15</f>
        <v>156.57295747307288</v>
      </c>
      <c r="CL64" s="119">
        <f>CL67*CL15</f>
        <v>157.11041969324359</v>
      </c>
      <c r="CM64" s="118">
        <f>CI64+CJ64+CK64+CL64</f>
        <v>613.64957460788946</v>
      </c>
      <c r="CO64" s="116">
        <f>CO67*CO15</f>
        <v>151.93766042500732</v>
      </c>
      <c r="CP64" s="117">
        <f>CP67*CP15</f>
        <v>165.0177218333323</v>
      </c>
      <c r="CQ64" s="117">
        <f>CQ67*CQ15</f>
        <v>165.43883944986044</v>
      </c>
      <c r="CR64" s="119">
        <f>CR67*CR15</f>
        <v>166.00476901970617</v>
      </c>
      <c r="CS64" s="118">
        <f>CO64+CP64+CQ64+CR64</f>
        <v>648.39899072790627</v>
      </c>
      <c r="CU64" s="116">
        <f>CU67*CU15</f>
        <v>159.77281149324722</v>
      </c>
      <c r="CV64" s="117">
        <f>CV67*CV15</f>
        <v>173.52602728391659</v>
      </c>
      <c r="CW64" s="117">
        <f>CW67*CW15</f>
        <v>173.9674968628791</v>
      </c>
      <c r="CX64" s="119">
        <f>CX67*CX15</f>
        <v>174.56055924277439</v>
      </c>
      <c r="CY64" s="118">
        <f>CU64+CV64+CW64+CX64</f>
        <v>681.82689488281733</v>
      </c>
      <c r="DA64" s="116">
        <f>DA67*DA15</f>
        <v>167.20159855605633</v>
      </c>
      <c r="DB64" s="117">
        <f>DB67*DB15</f>
        <v>181.59287666208095</v>
      </c>
      <c r="DC64" s="117">
        <f>DC67*DC15</f>
        <v>182.05346276068022</v>
      </c>
      <c r="DD64" s="119">
        <f>DD67*DD15</f>
        <v>182.67198025435403</v>
      </c>
      <c r="DE64" s="118">
        <f>DA64+DB64+DC64+DD64</f>
        <v>713.51991823317155</v>
      </c>
      <c r="DG64" s="116">
        <f>DG67*DG15</f>
        <v>174.12785471970525</v>
      </c>
      <c r="DH64" s="117">
        <f>DH67*DH15</f>
        <v>189.11383892209972</v>
      </c>
      <c r="DI64" s="117">
        <f>DI67*DI15</f>
        <v>189.59205429140499</v>
      </c>
      <c r="DJ64" s="119">
        <f>DJ67*DJ15</f>
        <v>190.23401315759051</v>
      </c>
      <c r="DK64" s="118">
        <f>DG64+DH64+DI64+DJ64</f>
        <v>743.06776109080056</v>
      </c>
    </row>
    <row r="65" spans="2:115" ht="15" x14ac:dyDescent="0.3">
      <c r="B65" s="40" t="s">
        <v>23</v>
      </c>
      <c r="C65" s="144" t="s">
        <v>35</v>
      </c>
      <c r="D65" s="107" t="s">
        <v>35</v>
      </c>
      <c r="E65" s="107" t="s">
        <v>35</v>
      </c>
      <c r="F65" s="107" t="s">
        <v>35</v>
      </c>
      <c r="G65" s="138" t="s">
        <v>35</v>
      </c>
      <c r="I65" s="151">
        <f>I64/C64-1</f>
        <v>0.71715399610136465</v>
      </c>
      <c r="J65" s="133">
        <f>J64/D64-1</f>
        <v>0.7238236935093918</v>
      </c>
      <c r="K65" s="133">
        <f>K64/E64-1</f>
        <v>0.70549450549450521</v>
      </c>
      <c r="L65" s="152">
        <f>L64/F64-1</f>
        <v>5.9373875494782569E-2</v>
      </c>
      <c r="M65" s="153">
        <f>M64/G64-1</f>
        <v>0.49037195523370647</v>
      </c>
      <c r="O65" s="151">
        <f>O64/I64-1</f>
        <v>3.3034396639800123E-2</v>
      </c>
      <c r="P65" s="133">
        <f>P64/J64-1</f>
        <v>3.7868162692847207E-2</v>
      </c>
      <c r="Q65" s="133">
        <f>Q64/K64-1</f>
        <v>2.7491408934708028E-2</v>
      </c>
      <c r="R65" s="152">
        <f>R64/L64-1</f>
        <v>4.7327898550724612E-2</v>
      </c>
      <c r="S65" s="153">
        <f>S64/M64-1</f>
        <v>3.6331511236265435E-2</v>
      </c>
      <c r="U65" s="151">
        <f>U64/O64-1</f>
        <v>8.8901098901098985E-2</v>
      </c>
      <c r="V65" s="133">
        <f>V64/P64-1</f>
        <v>0.11476091476091477</v>
      </c>
      <c r="W65" s="133">
        <f>W64/Q64-1</f>
        <v>0.12447742474916379</v>
      </c>
      <c r="X65" s="152">
        <f>X64/R64-1</f>
        <v>0.16756756756756763</v>
      </c>
      <c r="Y65" s="153">
        <f>Y64/S64-1</f>
        <v>0.12398103255367898</v>
      </c>
      <c r="AA65" s="151">
        <f>AA64/U64-1</f>
        <v>0.20799273387829231</v>
      </c>
      <c r="AB65" s="133">
        <f>AB64/V64-1</f>
        <v>0.13185378590078334</v>
      </c>
      <c r="AC65" s="133">
        <f>AC64/W64-1</f>
        <v>0.23115531183195492</v>
      </c>
      <c r="AD65" s="152">
        <f>AD64/X64-1</f>
        <v>2.6666666666666838E-2</v>
      </c>
      <c r="AE65" s="153">
        <f>AE64/Y64-1</f>
        <v>0.14813234736442915</v>
      </c>
      <c r="AG65" s="151">
        <f>AG64/AA64-1</f>
        <v>2.5563909774436011E-2</v>
      </c>
      <c r="AH65" s="133">
        <f>AH64/AB64-1</f>
        <v>0.16328884494974472</v>
      </c>
      <c r="AI65" s="133">
        <f>AI64/AC64-1</f>
        <v>3.2764608183602606E-2</v>
      </c>
      <c r="AJ65" s="152">
        <f>AJ64/AD64-1</f>
        <v>0.16071428571428581</v>
      </c>
      <c r="AK65" s="153">
        <f>AK64/AE64-1</f>
        <v>9.297716857272631E-2</v>
      </c>
      <c r="AM65" s="151">
        <f>AM64/AG64-1</f>
        <v>1.3359400456174786E-2</v>
      </c>
      <c r="AN65" s="133">
        <f>AN64/AH64-1</f>
        <v>-6.791784702549597E-2</v>
      </c>
      <c r="AO65" s="133">
        <f>AO64/AI64-1</f>
        <v>1.8421052631578894E-2</v>
      </c>
      <c r="AP65" s="152">
        <f>AP64/AJ64-1</f>
        <v>7.692307692307665E-2</v>
      </c>
      <c r="AQ65" s="153">
        <f>AQ64/AK64-1</f>
        <v>8.4425641219354475E-3</v>
      </c>
      <c r="AS65" s="151">
        <f>AS64/AM64-1</f>
        <v>0.12041800643086797</v>
      </c>
      <c r="AT65" s="133">
        <f>AT64/AN64-1</f>
        <v>9.7788921814451868E-2</v>
      </c>
      <c r="AU65" s="133">
        <f>AU64/AO64-1</f>
        <v>5.8713752512202122E-2</v>
      </c>
      <c r="AV65" s="152">
        <f>AV64/AP64-1</f>
        <v>1.8903318903318977E-2</v>
      </c>
      <c r="AW65" s="153">
        <f>AW64/AQ64-1</f>
        <v>7.238776618657905E-2</v>
      </c>
      <c r="AY65" s="151">
        <f>AY64/AS64-1</f>
        <v>-4.3047783039172893E-3</v>
      </c>
      <c r="AZ65" s="133">
        <f>AZ64/AT64-1</f>
        <v>2.3671096345514897E-2</v>
      </c>
      <c r="BA65" s="133">
        <f>BA64/AU64-1</f>
        <v>2.8000000000000025E-2</v>
      </c>
      <c r="BB65" s="152">
        <f>BB64/AV64-1</f>
        <v>-1.005523296983446E-2</v>
      </c>
      <c r="BC65" s="153">
        <f>BC64/AW64-1</f>
        <v>9.6580390513114622E-3</v>
      </c>
      <c r="BE65" s="151">
        <f>BE64/AY64-1</f>
        <v>2.16169476869843E-3</v>
      </c>
      <c r="BF65" s="133">
        <f>BF64/AZ64-1</f>
        <v>-5.2603110209600956E-2</v>
      </c>
      <c r="BG65" s="133">
        <f>BG64/BA64-1</f>
        <v>-2.0774253116138008E-2</v>
      </c>
      <c r="BH65" s="152">
        <f>BH64/BB64-1</f>
        <v>-1.2875536480686622E-2</v>
      </c>
      <c r="BI65" s="153">
        <f>BI64/BC64-1</f>
        <v>-2.1501098406877528E-2</v>
      </c>
      <c r="BK65" s="151">
        <f>BK64/BE64-1</f>
        <v>-9.00201322979578E-2</v>
      </c>
      <c r="BL65" s="133">
        <f>BL64/BF64-1</f>
        <v>-3.9965743648301633E-2</v>
      </c>
      <c r="BM65" s="133">
        <f>BM64/BG64-1</f>
        <v>-9.6174568965517238E-2</v>
      </c>
      <c r="BN65" s="152">
        <f>BN64/BH64-1</f>
        <v>-4.3043478260869517E-2</v>
      </c>
      <c r="BO65" s="153">
        <f>BO64/BI64-1</f>
        <v>-6.7776834959694554E-2</v>
      </c>
      <c r="BQ65" s="151">
        <f>BQ64/BK64-1</f>
        <v>-3.87923025879231E-2</v>
      </c>
      <c r="BR65" s="133">
        <f>BR64/BL64-1</f>
        <v>-1.7777923612022573E-2</v>
      </c>
      <c r="BS65" s="133">
        <f>BS64/BM64-1</f>
        <v>-1.6947832857513889E-2</v>
      </c>
      <c r="BT65" s="152">
        <f>BT64/BN64-1</f>
        <v>5.0478902407453674E-3</v>
      </c>
      <c r="BU65" s="153">
        <f>BU64/BO64-1</f>
        <v>-1.689387280331911E-2</v>
      </c>
      <c r="BW65" s="151">
        <f>BW64/BQ64-1</f>
        <v>5.720635950681352E-2</v>
      </c>
      <c r="BX65" s="133">
        <f>BX64/BR64-1</f>
        <v>5.7190537913156314E-2</v>
      </c>
      <c r="BY65" s="133">
        <f>BY64/BS64-1</f>
        <v>6.154592496765865E-2</v>
      </c>
      <c r="BZ65" s="152">
        <f>BZ64/BT64-1</f>
        <v>5.9465550547327828E-2</v>
      </c>
      <c r="CA65" s="153">
        <f>CA64/BU64-1</f>
        <v>5.8885008713776221E-2</v>
      </c>
      <c r="CC65" s="151">
        <f>CC64/BW64-1</f>
        <v>5.8082103912764804E-2</v>
      </c>
      <c r="CD65" s="133">
        <f>CD64/BX64-1</f>
        <v>5.8071748878923746E-2</v>
      </c>
      <c r="CE65" s="133">
        <f>CE64/BY64-1</f>
        <v>5.8061420345489001E-2</v>
      </c>
      <c r="CF65" s="152">
        <f>CF64/BZ64-1</f>
        <v>5.7370772176132734E-2</v>
      </c>
      <c r="CG65" s="153">
        <f>CG64/CA64-1</f>
        <v>5.7891980362349882E-2</v>
      </c>
      <c r="CI65" s="151">
        <f>CI64/CC64-1</f>
        <v>5.6683640992998052E-2</v>
      </c>
      <c r="CJ65" s="133">
        <f>CJ64/CD64-1</f>
        <v>5.6675143038779519E-2</v>
      </c>
      <c r="CK65" s="133">
        <f>CK64/CE64-1</f>
        <v>5.6666666666666643E-2</v>
      </c>
      <c r="CL65" s="152">
        <f>CL64/CF64-1</f>
        <v>5.6653992395437225E-2</v>
      </c>
      <c r="CM65" s="153">
        <f>CM64/CG64-1</f>
        <v>5.6669556333357463E-2</v>
      </c>
      <c r="CO65" s="151">
        <f>CO64/CI64-1</f>
        <v>5.6641366223908918E-2</v>
      </c>
      <c r="CP65" s="133">
        <f>CP64/CJ64-1</f>
        <v>5.6632975363234195E-2</v>
      </c>
      <c r="CQ65" s="133">
        <f>CQ64/CK64-1</f>
        <v>5.6624605678233353E-2</v>
      </c>
      <c r="CR65" s="152">
        <f>CR64/CL64-1</f>
        <v>5.6612090680100646E-2</v>
      </c>
      <c r="CS65" s="153">
        <f>CS64/CM64-1</f>
        <v>5.6627458989474633E-2</v>
      </c>
      <c r="CU65" s="151">
        <f>CU64/CO64-1</f>
        <v>5.1568196103079611E-2</v>
      </c>
      <c r="CV65" s="133">
        <f>CV64/CP64-1</f>
        <v>5.1559949780288772E-2</v>
      </c>
      <c r="CW65" s="133">
        <f>CW64/CQ64-1</f>
        <v>5.1551724137931076E-2</v>
      </c>
      <c r="CX65" s="152">
        <f>CX64/CR64-1</f>
        <v>5.153942428035041E-2</v>
      </c>
      <c r="CY65" s="153">
        <f>CY64/CS64-1</f>
        <v>5.1554528358201512E-2</v>
      </c>
      <c r="DA65" s="151">
        <f>DA64/CU64-1</f>
        <v>4.6495940037476702E-2</v>
      </c>
      <c r="DB65" s="133">
        <f>DB64/CV64-1</f>
        <v>4.6487835308796077E-2</v>
      </c>
      <c r="DC65" s="133">
        <f>DC64/CW64-1</f>
        <v>4.6479750778816165E-2</v>
      </c>
      <c r="DD65" s="152">
        <f>DD64/CX64-1</f>
        <v>4.6467661691542039E-2</v>
      </c>
      <c r="DE65" s="153">
        <f>DE64/CY64-1</f>
        <v>4.6482506906391885E-2</v>
      </c>
      <c r="DG65" s="151">
        <f>DG64/DA64-1</f>
        <v>4.1424581005586658E-2</v>
      </c>
      <c r="DH65" s="133">
        <f>DH64/DB64-1</f>
        <v>4.1416615003099677E-2</v>
      </c>
      <c r="DI65" s="133">
        <f>DI64/DC64-1</f>
        <v>4.14086687306503E-2</v>
      </c>
      <c r="DJ65" s="152">
        <f>DJ64/DD64-1</f>
        <v>4.1396786155747822E-2</v>
      </c>
      <c r="DK65" s="153">
        <f>DK64/DE64-1</f>
        <v>4.1411377738123756E-2</v>
      </c>
    </row>
    <row r="66" spans="2:115" ht="15" x14ac:dyDescent="0.3">
      <c r="B66" s="40"/>
      <c r="C66" s="144"/>
      <c r="D66" s="107"/>
      <c r="E66" s="107"/>
      <c r="F66" s="107"/>
      <c r="G66" s="138"/>
      <c r="I66" s="144"/>
      <c r="J66" s="107"/>
      <c r="K66" s="107"/>
      <c r="L66" s="145"/>
      <c r="M66" s="138"/>
      <c r="O66" s="144"/>
      <c r="P66" s="107"/>
      <c r="Q66" s="107"/>
      <c r="R66" s="145"/>
      <c r="S66" s="138"/>
      <c r="U66" s="144"/>
      <c r="V66" s="107"/>
      <c r="W66" s="107"/>
      <c r="X66" s="145"/>
      <c r="Y66" s="138"/>
      <c r="AA66" s="144"/>
      <c r="AB66" s="107"/>
      <c r="AC66" s="107"/>
      <c r="AD66" s="145"/>
      <c r="AE66" s="138"/>
      <c r="AG66" s="144"/>
      <c r="AH66" s="107"/>
      <c r="AI66" s="107"/>
      <c r="AJ66" s="145"/>
      <c r="AK66" s="138"/>
      <c r="AM66" s="144"/>
      <c r="AN66" s="107"/>
      <c r="AO66" s="107"/>
      <c r="AP66" s="145"/>
      <c r="AQ66" s="138"/>
      <c r="AS66" s="144"/>
      <c r="AT66" s="107"/>
      <c r="AU66" s="107"/>
      <c r="AV66" s="145"/>
      <c r="AW66" s="138"/>
      <c r="AY66" s="144"/>
      <c r="AZ66" s="107"/>
      <c r="BA66" s="107"/>
      <c r="BB66" s="145"/>
      <c r="BC66" s="138"/>
      <c r="BE66" s="144"/>
      <c r="BF66" s="107"/>
      <c r="BG66" s="107"/>
      <c r="BH66" s="145"/>
      <c r="BI66" s="138"/>
      <c r="BK66" s="144"/>
      <c r="BL66" s="107"/>
      <c r="BM66" s="107"/>
      <c r="BN66" s="145"/>
      <c r="BO66" s="138"/>
      <c r="BQ66" s="144"/>
      <c r="BR66" s="107"/>
      <c r="BS66" s="107"/>
      <c r="BT66" s="145"/>
      <c r="BU66" s="138"/>
      <c r="BW66" s="144"/>
      <c r="BX66" s="107"/>
      <c r="BY66" s="107"/>
      <c r="BZ66" s="145"/>
      <c r="CA66" s="138"/>
      <c r="CC66" s="144"/>
      <c r="CD66" s="107"/>
      <c r="CE66" s="107"/>
      <c r="CF66" s="145"/>
      <c r="CG66" s="138"/>
      <c r="CI66" s="144"/>
      <c r="CJ66" s="107"/>
      <c r="CK66" s="107"/>
      <c r="CL66" s="145"/>
      <c r="CM66" s="138"/>
      <c r="CO66" s="144"/>
      <c r="CP66" s="107"/>
      <c r="CQ66" s="107"/>
      <c r="CR66" s="145"/>
      <c r="CS66" s="138"/>
      <c r="CU66" s="144"/>
      <c r="CV66" s="107"/>
      <c r="CW66" s="107"/>
      <c r="CX66" s="145"/>
      <c r="CY66" s="138"/>
      <c r="DA66" s="144"/>
      <c r="DB66" s="107"/>
      <c r="DC66" s="107"/>
      <c r="DD66" s="145"/>
      <c r="DE66" s="138"/>
      <c r="DG66" s="144"/>
      <c r="DH66" s="107"/>
      <c r="DI66" s="107"/>
      <c r="DJ66" s="145"/>
      <c r="DK66" s="138"/>
    </row>
    <row r="67" spans="2:115" ht="15.75" thickBot="1" x14ac:dyDescent="0.35">
      <c r="B67" s="76" t="s">
        <v>51</v>
      </c>
      <c r="C67" s="123">
        <f>C20</f>
        <v>270</v>
      </c>
      <c r="D67" s="124">
        <f>D20</f>
        <v>283</v>
      </c>
      <c r="E67" s="124">
        <f>E20</f>
        <v>273</v>
      </c>
      <c r="F67" s="124">
        <f>F20</f>
        <v>397</v>
      </c>
      <c r="G67" s="121">
        <f>G20</f>
        <v>1223</v>
      </c>
      <c r="I67" s="123">
        <f>I20</f>
        <v>383</v>
      </c>
      <c r="J67" s="124">
        <f>J20</f>
        <v>403</v>
      </c>
      <c r="K67" s="124">
        <f>K20</f>
        <v>388</v>
      </c>
      <c r="L67" s="125">
        <f>L20</f>
        <v>384</v>
      </c>
      <c r="M67" s="121">
        <f>M20</f>
        <v>1558</v>
      </c>
      <c r="O67" s="123">
        <f>O20</f>
        <v>350</v>
      </c>
      <c r="P67" s="124">
        <f>P20</f>
        <v>370</v>
      </c>
      <c r="Q67" s="124">
        <f>Q20</f>
        <v>368</v>
      </c>
      <c r="R67" s="125">
        <f>R20</f>
        <v>370</v>
      </c>
      <c r="S67" s="121">
        <f>S20</f>
        <v>1458</v>
      </c>
      <c r="U67" s="123">
        <f>U20</f>
        <v>367</v>
      </c>
      <c r="V67" s="124">
        <f>V20</f>
        <v>383</v>
      </c>
      <c r="W67" s="124">
        <f>W20</f>
        <v>371</v>
      </c>
      <c r="X67" s="125">
        <f>X20</f>
        <v>360</v>
      </c>
      <c r="Y67" s="121">
        <f>Y20</f>
        <v>1481</v>
      </c>
      <c r="AA67" s="123">
        <f>AA20</f>
        <v>342</v>
      </c>
      <c r="AB67" s="124">
        <f>AB20</f>
        <v>357</v>
      </c>
      <c r="AC67" s="124">
        <f>AC20</f>
        <v>358</v>
      </c>
      <c r="AD67" s="125">
        <f>AD20</f>
        <v>336</v>
      </c>
      <c r="AE67" s="121">
        <f>AE20</f>
        <v>1393</v>
      </c>
      <c r="AG67" s="123">
        <f>AG20</f>
        <v>341</v>
      </c>
      <c r="AH67" s="124">
        <f>AH20</f>
        <v>353</v>
      </c>
      <c r="AI67" s="124">
        <f>AI20</f>
        <v>342</v>
      </c>
      <c r="AJ67" s="125">
        <f>AJ20</f>
        <v>330</v>
      </c>
      <c r="AK67" s="121">
        <f>AK20</f>
        <v>1366</v>
      </c>
      <c r="AM67" s="123">
        <f>AM20</f>
        <v>311</v>
      </c>
      <c r="AN67" s="124">
        <f>AN20</f>
        <v>321</v>
      </c>
      <c r="AO67" s="124">
        <f>AO20</f>
        <v>324</v>
      </c>
      <c r="AP67" s="125">
        <f>AP20</f>
        <v>315</v>
      </c>
      <c r="AQ67" s="121">
        <f>AQ20</f>
        <v>1271</v>
      </c>
      <c r="AS67" s="123">
        <f>AS20</f>
        <v>303</v>
      </c>
      <c r="AT67" s="124">
        <f>AT20</f>
        <v>301</v>
      </c>
      <c r="AU67" s="124">
        <f>AU20</f>
        <v>295</v>
      </c>
      <c r="AV67" s="125">
        <f>AV20</f>
        <v>307</v>
      </c>
      <c r="AW67" s="121">
        <f>AW20</f>
        <v>1206</v>
      </c>
      <c r="AY67" s="123">
        <f>AY20</f>
        <v>257</v>
      </c>
      <c r="AZ67" s="124">
        <f>AZ20</f>
        <v>255</v>
      </c>
      <c r="BA67" s="124">
        <f>BA20</f>
        <v>257</v>
      </c>
      <c r="BB67" s="125">
        <f>BB20</f>
        <v>233</v>
      </c>
      <c r="BC67" s="121">
        <f>BC20</f>
        <v>1002</v>
      </c>
      <c r="BE67" s="123">
        <f>BE20</f>
        <v>228</v>
      </c>
      <c r="BF67" s="124">
        <f>BF20</f>
        <v>226</v>
      </c>
      <c r="BG67" s="124">
        <f>BG20</f>
        <v>232</v>
      </c>
      <c r="BH67" s="125">
        <f>BH20</f>
        <v>230</v>
      </c>
      <c r="BI67" s="121">
        <f>BI20</f>
        <v>916</v>
      </c>
      <c r="BK67" s="123">
        <f>BK20</f>
        <v>226</v>
      </c>
      <c r="BL67" s="124">
        <f>BL20</f>
        <v>228</v>
      </c>
      <c r="BM67" s="124">
        <f>BM20</f>
        <v>220</v>
      </c>
      <c r="BN67" s="125">
        <f>BN20</f>
        <v>213</v>
      </c>
      <c r="BO67" s="121">
        <f>BO20</f>
        <v>887</v>
      </c>
      <c r="BQ67" s="123">
        <f>BQ20</f>
        <v>207.57300676841405</v>
      </c>
      <c r="BR67" s="124">
        <f>BR20</f>
        <v>213.5342693266833</v>
      </c>
      <c r="BS67" s="124">
        <f>BS20</f>
        <v>208.52542694004669</v>
      </c>
      <c r="BT67" s="125">
        <f>BT20</f>
        <v>205.94034299767017</v>
      </c>
      <c r="BU67" s="121">
        <f>BU20</f>
        <v>835.5730460328142</v>
      </c>
      <c r="BW67" s="123">
        <f>BW20</f>
        <v>205.10468005839414</v>
      </c>
      <c r="BX67" s="124">
        <f>BX20</f>
        <v>212.15776780548629</v>
      </c>
      <c r="BY67" s="124">
        <f>BY20</f>
        <v>208.19415564495196</v>
      </c>
      <c r="BZ67" s="125">
        <f>BZ20</f>
        <v>205.62816538959359</v>
      </c>
      <c r="CA67" s="121">
        <f>CA20</f>
        <v>831.08476889842598</v>
      </c>
      <c r="CC67" s="123">
        <f>CC20</f>
        <v>203.91333593810222</v>
      </c>
      <c r="CD67" s="124">
        <f>CD20</f>
        <v>212.06306100673316</v>
      </c>
      <c r="CE67" s="124">
        <f>CE20</f>
        <v>208.60791487801706</v>
      </c>
      <c r="CF67" s="125">
        <f>CF20</f>
        <v>206.29612335438782</v>
      </c>
      <c r="CG67" s="121">
        <f>CG20</f>
        <v>830.88043517724032</v>
      </c>
      <c r="CI67" s="123">
        <f>CI20</f>
        <v>203.8667376111066</v>
      </c>
      <c r="CJ67" s="124">
        <f>CJ20</f>
        <v>213.08704044895515</v>
      </c>
      <c r="CK67" s="124">
        <f>CK20</f>
        <v>210.0904278269789</v>
      </c>
      <c r="CL67" s="125">
        <f>CL20</f>
        <v>208.12796097427906</v>
      </c>
      <c r="CM67" s="121">
        <f>CM20</f>
        <v>835.17216686131962</v>
      </c>
      <c r="CO67" s="123">
        <f>CO20</f>
        <v>205.13690195278167</v>
      </c>
      <c r="CP67" s="124">
        <f>CP20</f>
        <v>215.41831528121978</v>
      </c>
      <c r="CQ67" s="124">
        <f>CQ20</f>
        <v>212.83134505789988</v>
      </c>
      <c r="CR67" s="125">
        <f>CR20</f>
        <v>211.18292220046393</v>
      </c>
      <c r="CS67" s="121">
        <f>CS20</f>
        <v>844.56948449236529</v>
      </c>
      <c r="CU67" s="123">
        <f>CU20</f>
        <v>206.8823950279114</v>
      </c>
      <c r="CV67" s="124">
        <f>CV20</f>
        <v>218.15697087545962</v>
      </c>
      <c r="CW67" s="124">
        <f>CW20</f>
        <v>215.93437769096369</v>
      </c>
      <c r="CX67" s="125">
        <f>CX20</f>
        <v>214.56612487287418</v>
      </c>
      <c r="CY67" s="121">
        <f>CY20</f>
        <v>855.53986846720898</v>
      </c>
      <c r="DA67" s="123">
        <f>DA20</f>
        <v>208.91697293795684</v>
      </c>
      <c r="DB67" s="124">
        <f>DB20</f>
        <v>221.11311781715253</v>
      </c>
      <c r="DC67" s="124">
        <f>DC20</f>
        <v>219.21441667524334</v>
      </c>
      <c r="DD67" s="125">
        <f>DD20</f>
        <v>218.09581394015083</v>
      </c>
      <c r="DE67" s="121">
        <f>DE20</f>
        <v>867.3403213705036</v>
      </c>
      <c r="DG67" s="123">
        <f>DG20</f>
        <v>211.06525214260623</v>
      </c>
      <c r="DH67" s="124">
        <f>DH20</f>
        <v>224.10726063773487</v>
      </c>
      <c r="DI67" s="124">
        <f>DI20</f>
        <v>222.49618066776736</v>
      </c>
      <c r="DJ67" s="125">
        <f>DJ20</f>
        <v>221.59965042064363</v>
      </c>
      <c r="DK67" s="121">
        <f>DK20</f>
        <v>879.26834386875203</v>
      </c>
    </row>
    <row r="69" spans="2:115" x14ac:dyDescent="0.2">
      <c r="BK69" s="479" t="s">
        <v>581</v>
      </c>
    </row>
    <row r="70" spans="2:115" x14ac:dyDescent="0.2">
      <c r="BK70" s="479" t="s">
        <v>582</v>
      </c>
    </row>
    <row r="71" spans="2:115" ht="15" x14ac:dyDescent="0.3">
      <c r="G71" s="2"/>
      <c r="H71" s="2"/>
      <c r="I71" s="2"/>
      <c r="J71" s="2"/>
      <c r="K71" s="1"/>
      <c r="L71" s="1"/>
      <c r="M71" s="1"/>
      <c r="N71" s="1"/>
      <c r="O71" s="1"/>
      <c r="P71" s="1"/>
      <c r="Q71" s="1"/>
      <c r="R71" s="1"/>
      <c r="U71" s="1"/>
      <c r="AV71" s="479" t="s">
        <v>474</v>
      </c>
      <c r="BK71" s="479" t="s">
        <v>583</v>
      </c>
    </row>
    <row r="72" spans="2:115" ht="15" x14ac:dyDescent="0.3">
      <c r="G72" s="2"/>
      <c r="H72" s="2"/>
      <c r="I72" s="2"/>
      <c r="J72" s="2"/>
      <c r="K72" s="1"/>
      <c r="L72" s="1"/>
      <c r="M72" s="1"/>
      <c r="N72" s="1"/>
      <c r="O72" s="1"/>
      <c r="P72" s="1"/>
      <c r="Q72" s="1"/>
      <c r="R72" s="1"/>
      <c r="U72" s="1"/>
      <c r="BK72" s="669" t="s">
        <v>584</v>
      </c>
    </row>
    <row r="73" spans="2:115" ht="15" x14ac:dyDescent="0.3">
      <c r="G73" s="2"/>
      <c r="H73" s="2"/>
      <c r="I73" s="2"/>
      <c r="J73" s="2"/>
      <c r="K73" s="2"/>
      <c r="L73" s="1"/>
      <c r="M73" s="1"/>
      <c r="N73" s="1"/>
      <c r="O73" s="1"/>
      <c r="P73" s="1"/>
      <c r="Q73" s="1"/>
      <c r="R73" s="1"/>
      <c r="S73" s="1"/>
      <c r="U73" s="1"/>
    </row>
    <row r="74" spans="2:115" ht="15" x14ac:dyDescent="0.3">
      <c r="G74" s="2"/>
      <c r="H74" s="2"/>
      <c r="I74" s="2"/>
      <c r="J74" s="2"/>
      <c r="K74" s="1"/>
      <c r="L74" s="1"/>
      <c r="M74" s="1"/>
      <c r="N74" s="1"/>
      <c r="O74" s="1"/>
      <c r="P74" s="1"/>
      <c r="Q74" s="1"/>
      <c r="R74" s="1"/>
      <c r="S74" s="1"/>
      <c r="U74" s="1"/>
    </row>
    <row r="75" spans="2:115" ht="15" x14ac:dyDescent="0.3">
      <c r="G75" s="2"/>
      <c r="H75" s="2"/>
      <c r="I75" s="2"/>
      <c r="J75" s="2"/>
      <c r="K75" s="2"/>
      <c r="L75" s="1"/>
      <c r="M75" s="1"/>
      <c r="N75" s="1"/>
      <c r="O75" s="97"/>
      <c r="P75" s="97"/>
      <c r="Q75" s="97"/>
      <c r="R75" s="97"/>
      <c r="S75" s="97"/>
      <c r="U75" s="97"/>
    </row>
    <row r="76" spans="2:115" ht="15" x14ac:dyDescent="0.3">
      <c r="G76" s="2"/>
      <c r="H76" s="2"/>
      <c r="I76" s="2"/>
      <c r="J76" s="2"/>
      <c r="K76" s="2"/>
      <c r="L76" s="1"/>
      <c r="M76" s="1"/>
      <c r="N76" s="1"/>
      <c r="O76" s="1"/>
      <c r="P76" s="1"/>
      <c r="Q76" s="1"/>
      <c r="R76" s="1"/>
      <c r="S76" s="1"/>
      <c r="U76" s="1"/>
    </row>
    <row r="77" spans="2:115" ht="15" x14ac:dyDescent="0.3">
      <c r="G77" s="2"/>
      <c r="H77" s="2"/>
      <c r="I77" s="2"/>
      <c r="J77" s="2"/>
      <c r="K77" s="1"/>
      <c r="L77" s="1"/>
      <c r="M77" s="1"/>
      <c r="N77" s="1"/>
      <c r="O77" s="1"/>
      <c r="P77" s="1"/>
      <c r="Q77" s="1"/>
      <c r="R77" s="1"/>
      <c r="S77" s="1"/>
      <c r="U77" s="1"/>
    </row>
    <row r="78" spans="2:115" ht="15" x14ac:dyDescent="0.3">
      <c r="G78" s="2"/>
      <c r="H78" s="2"/>
      <c r="I78" s="2"/>
      <c r="J78" s="2"/>
      <c r="K78" s="2"/>
      <c r="L78" s="1"/>
      <c r="M78" s="1"/>
      <c r="N78" s="1"/>
      <c r="O78" s="1"/>
      <c r="P78" s="1"/>
      <c r="Q78" s="97"/>
      <c r="R78" s="97"/>
      <c r="S78" s="1"/>
      <c r="U78" s="97"/>
    </row>
    <row r="80" spans="2:115" x14ac:dyDescent="0.2">
      <c r="Q80" s="245"/>
      <c r="R80" s="245"/>
      <c r="U80" s="245"/>
    </row>
  </sheetData>
  <mergeCells count="19">
    <mergeCell ref="BQ2:BU2"/>
    <mergeCell ref="C2:G2"/>
    <mergeCell ref="I2:M2"/>
    <mergeCell ref="O2:S2"/>
    <mergeCell ref="U2:Y2"/>
    <mergeCell ref="AA2:AE2"/>
    <mergeCell ref="AG2:AK2"/>
    <mergeCell ref="AM2:AQ2"/>
    <mergeCell ref="AS2:AW2"/>
    <mergeCell ref="AY2:BC2"/>
    <mergeCell ref="BE2:BI2"/>
    <mergeCell ref="BK2:BO2"/>
    <mergeCell ref="DA2:DE2"/>
    <mergeCell ref="DG2:DK2"/>
    <mergeCell ref="BW2:CA2"/>
    <mergeCell ref="CC2:CG2"/>
    <mergeCell ref="CI2:CM2"/>
    <mergeCell ref="CO2:CS2"/>
    <mergeCell ref="CU2:CY2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DK88"/>
  <sheetViews>
    <sheetView zoomScale="50" workbookViewId="0">
      <pane xSplit="2" ySplit="8" topLeftCell="BH9" activePane="bottomRight" state="frozen"/>
      <selection pane="topRight" activeCell="C1" sqref="C1"/>
      <selection pane="bottomLeft" activeCell="A9" sqref="A9"/>
      <selection pane="bottomRight" sqref="A1:XFD1048576"/>
    </sheetView>
  </sheetViews>
  <sheetFormatPr defaultRowHeight="12.75" x14ac:dyDescent="0.2"/>
  <cols>
    <col min="1" max="1" width="4.5703125" customWidth="1"/>
    <col min="2" max="2" width="35.5703125" customWidth="1"/>
    <col min="3" max="6" width="9.140625" style="103"/>
    <col min="7" max="7" width="10.140625" style="103" customWidth="1"/>
    <col min="8" max="8" width="9.140625" style="103"/>
    <col min="9" max="9" width="10.85546875" style="103" bestFit="1" customWidth="1"/>
    <col min="10" max="12" width="9.140625" style="103"/>
    <col min="13" max="13" width="10.85546875" style="103" bestFit="1" customWidth="1"/>
    <col min="14" max="20" width="9.140625" style="103"/>
    <col min="21" max="21" width="10.85546875" style="103" bestFit="1" customWidth="1"/>
    <col min="22" max="22" width="11.28515625" style="103" bestFit="1" customWidth="1"/>
    <col min="23" max="23" width="10.42578125" style="103" bestFit="1" customWidth="1"/>
    <col min="24" max="24" width="10.85546875" style="103" bestFit="1" customWidth="1"/>
    <col min="25" max="25" width="10.5703125" style="103" bestFit="1" customWidth="1"/>
    <col min="27" max="27" width="10.5703125" bestFit="1" customWidth="1"/>
    <col min="28" max="30" width="11.28515625" bestFit="1" customWidth="1"/>
    <col min="31" max="31" width="10.140625" bestFit="1" customWidth="1"/>
    <col min="33" max="34" width="10.5703125" bestFit="1" customWidth="1"/>
    <col min="35" max="35" width="11.140625" bestFit="1" customWidth="1"/>
    <col min="36" max="36" width="11.28515625" bestFit="1" customWidth="1"/>
    <col min="37" max="37" width="10.5703125" bestFit="1" customWidth="1"/>
    <col min="39" max="39" width="11.28515625" bestFit="1" customWidth="1"/>
    <col min="40" max="40" width="11.140625" bestFit="1" customWidth="1"/>
    <col min="41" max="41" width="10.85546875" bestFit="1" customWidth="1"/>
    <col min="42" max="42" width="11.140625" bestFit="1" customWidth="1"/>
    <col min="43" max="43" width="10.85546875" bestFit="1" customWidth="1"/>
    <col min="45" max="45" width="10.42578125" bestFit="1" customWidth="1"/>
    <col min="46" max="46" width="10.5703125" bestFit="1" customWidth="1"/>
    <col min="47" max="47" width="11.140625" bestFit="1" customWidth="1"/>
    <col min="48" max="48" width="10.140625" bestFit="1" customWidth="1"/>
    <col min="49" max="49" width="10.85546875" bestFit="1" customWidth="1"/>
    <col min="51" max="51" width="11.140625" bestFit="1" customWidth="1"/>
    <col min="52" max="52" width="10.42578125" bestFit="1" customWidth="1"/>
    <col min="53" max="53" width="11.140625" bestFit="1" customWidth="1"/>
    <col min="54" max="54" width="11.28515625" bestFit="1" customWidth="1"/>
    <col min="55" max="55" width="10.85546875" bestFit="1" customWidth="1"/>
    <col min="57" max="57" width="10.140625" bestFit="1" customWidth="1"/>
    <col min="58" max="58" width="10.5703125" bestFit="1" customWidth="1"/>
    <col min="59" max="59" width="10.85546875" bestFit="1" customWidth="1"/>
    <col min="60" max="60" width="11.28515625" bestFit="1" customWidth="1"/>
    <col min="61" max="61" width="10.85546875" bestFit="1" customWidth="1"/>
    <col min="63" max="63" width="11.28515625" bestFit="1" customWidth="1"/>
    <col min="64" max="64" width="10.5703125" bestFit="1" customWidth="1"/>
    <col min="65" max="65" width="10.140625" bestFit="1" customWidth="1"/>
    <col min="66" max="66" width="10.85546875" bestFit="1" customWidth="1"/>
    <col min="67" max="67" width="11.140625" bestFit="1" customWidth="1"/>
    <col min="69" max="69" width="10.5703125" bestFit="1" customWidth="1"/>
    <col min="70" max="70" width="11.28515625" bestFit="1" customWidth="1"/>
    <col min="71" max="71" width="10.85546875" bestFit="1" customWidth="1"/>
    <col min="72" max="72" width="10.5703125" bestFit="1" customWidth="1"/>
    <col min="73" max="73" width="10.85546875" bestFit="1" customWidth="1"/>
    <col min="75" max="75" width="10.5703125" bestFit="1" customWidth="1"/>
    <col min="76" max="76" width="11.28515625" bestFit="1" customWidth="1"/>
    <col min="77" max="77" width="10.85546875" bestFit="1" customWidth="1"/>
    <col min="78" max="78" width="10.5703125" bestFit="1" customWidth="1"/>
    <col min="79" max="79" width="10.85546875" bestFit="1" customWidth="1"/>
    <col min="81" max="81" width="10.5703125" bestFit="1" customWidth="1"/>
    <col min="82" max="82" width="11.28515625" bestFit="1" customWidth="1"/>
    <col min="83" max="83" width="10.85546875" bestFit="1" customWidth="1"/>
    <col min="84" max="84" width="10.5703125" bestFit="1" customWidth="1"/>
    <col min="85" max="85" width="10.85546875" bestFit="1" customWidth="1"/>
    <col min="87" max="87" width="10.5703125" bestFit="1" customWidth="1"/>
    <col min="88" max="88" width="11.28515625" bestFit="1" customWidth="1"/>
    <col min="89" max="89" width="10.85546875" bestFit="1" customWidth="1"/>
    <col min="90" max="90" width="10.5703125" bestFit="1" customWidth="1"/>
    <col min="91" max="91" width="10.85546875" bestFit="1" customWidth="1"/>
    <col min="93" max="93" width="10.5703125" bestFit="1" customWidth="1"/>
    <col min="94" max="94" width="11.28515625" bestFit="1" customWidth="1"/>
    <col min="95" max="95" width="10.85546875" bestFit="1" customWidth="1"/>
    <col min="96" max="96" width="10.5703125" bestFit="1" customWidth="1"/>
    <col min="97" max="97" width="10.85546875" bestFit="1" customWidth="1"/>
    <col min="99" max="99" width="10.5703125" bestFit="1" customWidth="1"/>
    <col min="100" max="100" width="11.28515625" bestFit="1" customWidth="1"/>
    <col min="101" max="101" width="10.85546875" bestFit="1" customWidth="1"/>
    <col min="102" max="102" width="10.5703125" customWidth="1"/>
    <col min="103" max="103" width="10.85546875" bestFit="1" customWidth="1"/>
    <col min="105" max="115" width="10.5703125" customWidth="1"/>
  </cols>
  <sheetData>
    <row r="1" spans="2:115" ht="13.5" thickBot="1" x14ac:dyDescent="0.25"/>
    <row r="2" spans="2:115" x14ac:dyDescent="0.2">
      <c r="C2" s="712">
        <v>2007</v>
      </c>
      <c r="D2" s="713"/>
      <c r="E2" s="713"/>
      <c r="F2" s="713"/>
      <c r="G2" s="714"/>
      <c r="H2" s="129"/>
      <c r="I2" s="712">
        <v>2008</v>
      </c>
      <c r="J2" s="713"/>
      <c r="K2" s="713"/>
      <c r="L2" s="713"/>
      <c r="M2" s="714"/>
      <c r="N2" s="129"/>
      <c r="O2" s="712">
        <v>2009</v>
      </c>
      <c r="P2" s="713"/>
      <c r="Q2" s="713"/>
      <c r="R2" s="713"/>
      <c r="S2" s="714"/>
      <c r="T2" s="129"/>
      <c r="U2" s="712">
        <v>2010</v>
      </c>
      <c r="V2" s="713"/>
      <c r="W2" s="713"/>
      <c r="X2" s="713"/>
      <c r="Y2" s="714"/>
      <c r="AA2" s="712">
        <v>2011</v>
      </c>
      <c r="AB2" s="713"/>
      <c r="AC2" s="713"/>
      <c r="AD2" s="713"/>
      <c r="AE2" s="714"/>
      <c r="AG2" s="712">
        <v>2012</v>
      </c>
      <c r="AH2" s="713"/>
      <c r="AI2" s="713"/>
      <c r="AJ2" s="713"/>
      <c r="AK2" s="714"/>
      <c r="AM2" s="712">
        <v>2013</v>
      </c>
      <c r="AN2" s="713"/>
      <c r="AO2" s="713"/>
      <c r="AP2" s="713"/>
      <c r="AQ2" s="714"/>
      <c r="AS2" s="712">
        <v>2014</v>
      </c>
      <c r="AT2" s="713"/>
      <c r="AU2" s="713"/>
      <c r="AV2" s="713"/>
      <c r="AW2" s="714"/>
      <c r="AY2" s="712">
        <v>2015</v>
      </c>
      <c r="AZ2" s="713"/>
      <c r="BA2" s="713"/>
      <c r="BB2" s="713"/>
      <c r="BC2" s="714"/>
      <c r="BE2" s="712">
        <v>2016</v>
      </c>
      <c r="BF2" s="713"/>
      <c r="BG2" s="713"/>
      <c r="BH2" s="713"/>
      <c r="BI2" s="714"/>
      <c r="BK2" s="712">
        <v>2017</v>
      </c>
      <c r="BL2" s="713"/>
      <c r="BM2" s="713"/>
      <c r="BN2" s="713"/>
      <c r="BO2" s="714"/>
      <c r="BQ2" s="712">
        <v>2018</v>
      </c>
      <c r="BR2" s="713"/>
      <c r="BS2" s="713"/>
      <c r="BT2" s="713"/>
      <c r="BU2" s="714"/>
      <c r="BW2" s="712">
        <v>2019</v>
      </c>
      <c r="BX2" s="713"/>
      <c r="BY2" s="713"/>
      <c r="BZ2" s="713"/>
      <c r="CA2" s="714"/>
      <c r="CC2" s="712">
        <v>2020</v>
      </c>
      <c r="CD2" s="713"/>
      <c r="CE2" s="713"/>
      <c r="CF2" s="713"/>
      <c r="CG2" s="714"/>
      <c r="CI2" s="712">
        <v>2021</v>
      </c>
      <c r="CJ2" s="713"/>
      <c r="CK2" s="713"/>
      <c r="CL2" s="713"/>
      <c r="CM2" s="714"/>
      <c r="CO2" s="712">
        <v>2022</v>
      </c>
      <c r="CP2" s="713"/>
      <c r="CQ2" s="713"/>
      <c r="CR2" s="713"/>
      <c r="CS2" s="714"/>
      <c r="CU2" s="712">
        <v>2023</v>
      </c>
      <c r="CV2" s="713"/>
      <c r="CW2" s="713"/>
      <c r="CX2" s="713"/>
      <c r="CY2" s="714"/>
      <c r="DA2" s="712">
        <v>2024</v>
      </c>
      <c r="DB2" s="713"/>
      <c r="DC2" s="713"/>
      <c r="DD2" s="713"/>
      <c r="DE2" s="714"/>
      <c r="DG2" s="712">
        <v>2025</v>
      </c>
      <c r="DH2" s="713"/>
      <c r="DI2" s="713"/>
      <c r="DJ2" s="713"/>
      <c r="DK2" s="714"/>
    </row>
    <row r="3" spans="2:115" ht="13.5" thickBot="1" x14ac:dyDescent="0.25">
      <c r="C3" s="130" t="s">
        <v>20</v>
      </c>
      <c r="D3" s="131" t="s">
        <v>19</v>
      </c>
      <c r="E3" s="131" t="s">
        <v>22</v>
      </c>
      <c r="F3" s="131" t="s">
        <v>21</v>
      </c>
      <c r="G3" s="132" t="s">
        <v>39</v>
      </c>
      <c r="H3" s="129"/>
      <c r="I3" s="130" t="s">
        <v>20</v>
      </c>
      <c r="J3" s="131" t="s">
        <v>19</v>
      </c>
      <c r="K3" s="131" t="s">
        <v>22</v>
      </c>
      <c r="L3" s="131" t="s">
        <v>21</v>
      </c>
      <c r="M3" s="132" t="s">
        <v>39</v>
      </c>
      <c r="N3" s="129"/>
      <c r="O3" s="130" t="s">
        <v>20</v>
      </c>
      <c r="P3" s="131" t="s">
        <v>19</v>
      </c>
      <c r="Q3" s="131" t="s">
        <v>22</v>
      </c>
      <c r="R3" s="131" t="s">
        <v>21</v>
      </c>
      <c r="S3" s="132" t="s">
        <v>39</v>
      </c>
      <c r="T3" s="129"/>
      <c r="U3" s="130" t="s">
        <v>20</v>
      </c>
      <c r="V3" s="131" t="s">
        <v>19</v>
      </c>
      <c r="W3" s="131" t="s">
        <v>22</v>
      </c>
      <c r="X3" s="131" t="s">
        <v>21</v>
      </c>
      <c r="Y3" s="132" t="s">
        <v>39</v>
      </c>
      <c r="AA3" s="130" t="s">
        <v>20</v>
      </c>
      <c r="AB3" s="131" t="s">
        <v>19</v>
      </c>
      <c r="AC3" s="131" t="s">
        <v>22</v>
      </c>
      <c r="AD3" s="131" t="s">
        <v>21</v>
      </c>
      <c r="AE3" s="132" t="s">
        <v>39</v>
      </c>
      <c r="AG3" s="130" t="s">
        <v>20</v>
      </c>
      <c r="AH3" s="131" t="s">
        <v>19</v>
      </c>
      <c r="AI3" s="131" t="s">
        <v>22</v>
      </c>
      <c r="AJ3" s="131" t="s">
        <v>21</v>
      </c>
      <c r="AK3" s="132" t="s">
        <v>39</v>
      </c>
      <c r="AM3" s="130" t="s">
        <v>20</v>
      </c>
      <c r="AN3" s="131" t="s">
        <v>19</v>
      </c>
      <c r="AO3" s="131" t="s">
        <v>22</v>
      </c>
      <c r="AP3" s="131" t="s">
        <v>21</v>
      </c>
      <c r="AQ3" s="132" t="s">
        <v>39</v>
      </c>
      <c r="AS3" s="130" t="s">
        <v>20</v>
      </c>
      <c r="AT3" s="131" t="s">
        <v>19</v>
      </c>
      <c r="AU3" s="131" t="s">
        <v>22</v>
      </c>
      <c r="AV3" s="131" t="s">
        <v>21</v>
      </c>
      <c r="AW3" s="132" t="s">
        <v>39</v>
      </c>
      <c r="AY3" s="130" t="s">
        <v>20</v>
      </c>
      <c r="AZ3" s="131" t="s">
        <v>19</v>
      </c>
      <c r="BA3" s="131" t="s">
        <v>22</v>
      </c>
      <c r="BB3" s="131" t="s">
        <v>21</v>
      </c>
      <c r="BC3" s="132" t="s">
        <v>39</v>
      </c>
      <c r="BE3" s="130" t="s">
        <v>20</v>
      </c>
      <c r="BF3" s="131" t="s">
        <v>19</v>
      </c>
      <c r="BG3" s="131" t="s">
        <v>22</v>
      </c>
      <c r="BH3" s="131" t="s">
        <v>21</v>
      </c>
      <c r="BI3" s="132" t="s">
        <v>39</v>
      </c>
      <c r="BK3" s="130" t="s">
        <v>20</v>
      </c>
      <c r="BL3" s="131" t="s">
        <v>19</v>
      </c>
      <c r="BM3" s="131" t="s">
        <v>22</v>
      </c>
      <c r="BN3" s="131" t="s">
        <v>21</v>
      </c>
      <c r="BO3" s="132" t="s">
        <v>39</v>
      </c>
      <c r="BQ3" s="130" t="s">
        <v>20</v>
      </c>
      <c r="BR3" s="131" t="s">
        <v>19</v>
      </c>
      <c r="BS3" s="131" t="s">
        <v>22</v>
      </c>
      <c r="BT3" s="131" t="s">
        <v>21</v>
      </c>
      <c r="BU3" s="132" t="s">
        <v>39</v>
      </c>
      <c r="BW3" s="130" t="s">
        <v>20</v>
      </c>
      <c r="BX3" s="131" t="s">
        <v>19</v>
      </c>
      <c r="BY3" s="131" t="s">
        <v>22</v>
      </c>
      <c r="BZ3" s="131" t="s">
        <v>21</v>
      </c>
      <c r="CA3" s="132" t="s">
        <v>39</v>
      </c>
      <c r="CC3" s="130" t="s">
        <v>20</v>
      </c>
      <c r="CD3" s="131" t="s">
        <v>19</v>
      </c>
      <c r="CE3" s="131" t="s">
        <v>22</v>
      </c>
      <c r="CF3" s="131" t="s">
        <v>21</v>
      </c>
      <c r="CG3" s="132" t="s">
        <v>39</v>
      </c>
      <c r="CI3" s="130" t="s">
        <v>20</v>
      </c>
      <c r="CJ3" s="131" t="s">
        <v>19</v>
      </c>
      <c r="CK3" s="131" t="s">
        <v>22</v>
      </c>
      <c r="CL3" s="131" t="s">
        <v>21</v>
      </c>
      <c r="CM3" s="132" t="s">
        <v>39</v>
      </c>
      <c r="CO3" s="130" t="s">
        <v>20</v>
      </c>
      <c r="CP3" s="131" t="s">
        <v>19</v>
      </c>
      <c r="CQ3" s="131" t="s">
        <v>22</v>
      </c>
      <c r="CR3" s="131" t="s">
        <v>21</v>
      </c>
      <c r="CS3" s="132" t="s">
        <v>39</v>
      </c>
      <c r="CU3" s="130" t="s">
        <v>20</v>
      </c>
      <c r="CV3" s="131" t="s">
        <v>19</v>
      </c>
      <c r="CW3" s="131" t="s">
        <v>22</v>
      </c>
      <c r="CX3" s="131" t="s">
        <v>21</v>
      </c>
      <c r="CY3" s="132" t="s">
        <v>39</v>
      </c>
      <c r="DA3" s="130" t="s">
        <v>20</v>
      </c>
      <c r="DB3" s="131" t="s">
        <v>19</v>
      </c>
      <c r="DC3" s="131" t="s">
        <v>22</v>
      </c>
      <c r="DD3" s="131" t="s">
        <v>21</v>
      </c>
      <c r="DE3" s="132" t="s">
        <v>39</v>
      </c>
      <c r="DG3" s="130" t="s">
        <v>20</v>
      </c>
      <c r="DH3" s="131" t="s">
        <v>19</v>
      </c>
      <c r="DI3" s="131" t="s">
        <v>22</v>
      </c>
      <c r="DJ3" s="131" t="s">
        <v>21</v>
      </c>
      <c r="DK3" s="132" t="s">
        <v>39</v>
      </c>
    </row>
    <row r="4" spans="2:115" ht="15" x14ac:dyDescent="0.3">
      <c r="B4" s="104" t="s">
        <v>25</v>
      </c>
      <c r="C4" s="111">
        <v>12228</v>
      </c>
      <c r="D4" s="112">
        <f>C6</f>
        <v>12373</v>
      </c>
      <c r="E4" s="112">
        <f>D6</f>
        <v>12525</v>
      </c>
      <c r="F4" s="112">
        <f>E6</f>
        <v>12722</v>
      </c>
      <c r="G4" s="113">
        <f>C4</f>
        <v>12228</v>
      </c>
      <c r="H4" s="114"/>
      <c r="I4" s="111">
        <f>G6</f>
        <v>12998</v>
      </c>
      <c r="J4" s="112">
        <f>I6</f>
        <v>12986</v>
      </c>
      <c r="K4" s="112">
        <f>J6</f>
        <v>12830</v>
      </c>
      <c r="L4" s="112">
        <f>K6</f>
        <v>13013</v>
      </c>
      <c r="M4" s="113">
        <f>I4</f>
        <v>12998</v>
      </c>
      <c r="N4" s="114"/>
      <c r="O4" s="111">
        <f>M6</f>
        <v>13273</v>
      </c>
      <c r="P4" s="112">
        <f>O6</f>
        <v>13287</v>
      </c>
      <c r="Q4" s="112">
        <f>P6</f>
        <v>13409</v>
      </c>
      <c r="R4" s="112">
        <f>Q6</f>
        <v>13482</v>
      </c>
      <c r="S4" s="113">
        <f>O4</f>
        <v>13273</v>
      </c>
      <c r="T4" s="114"/>
      <c r="U4" s="111">
        <f>S6</f>
        <v>13500</v>
      </c>
      <c r="V4" s="112">
        <f>U6</f>
        <v>13361</v>
      </c>
      <c r="W4" s="112">
        <f>V6</f>
        <v>13276</v>
      </c>
      <c r="X4" s="112">
        <f>W6</f>
        <v>13321</v>
      </c>
      <c r="Y4" s="113">
        <f>U4</f>
        <v>13500</v>
      </c>
      <c r="AA4" s="111">
        <f>Y6</f>
        <v>13259</v>
      </c>
      <c r="AB4" s="112">
        <f>AA6</f>
        <v>13175</v>
      </c>
      <c r="AC4" s="112">
        <f>AB6</f>
        <v>13203</v>
      </c>
      <c r="AD4" s="112">
        <f>AC6</f>
        <v>13406</v>
      </c>
      <c r="AE4" s="113">
        <f>AA4</f>
        <v>13259</v>
      </c>
      <c r="AG4" s="111">
        <f>AE6</f>
        <v>14161</v>
      </c>
      <c r="AH4" s="112">
        <f>AG6</f>
        <v>14512</v>
      </c>
      <c r="AI4" s="112">
        <f>AH6</f>
        <v>15048</v>
      </c>
      <c r="AJ4" s="112">
        <f>AI6</f>
        <v>15575</v>
      </c>
      <c r="AK4" s="113">
        <f>AG4</f>
        <v>14161</v>
      </c>
      <c r="AM4" s="111">
        <f>AK6</f>
        <v>16040</v>
      </c>
      <c r="AN4" s="112">
        <f>AM6</f>
        <v>15919</v>
      </c>
      <c r="AO4" s="112">
        <f>AN6</f>
        <v>15969</v>
      </c>
      <c r="AP4" s="112">
        <f>AO6</f>
        <v>15667</v>
      </c>
      <c r="AQ4" s="113">
        <f>AM4</f>
        <v>16040</v>
      </c>
      <c r="AS4" s="111">
        <f>AQ6</f>
        <v>15563</v>
      </c>
      <c r="AT4" s="112">
        <f>AS6</f>
        <v>15748</v>
      </c>
      <c r="AU4" s="112">
        <f>AT6</f>
        <v>15675</v>
      </c>
      <c r="AV4" s="112">
        <f>AU6</f>
        <v>15728</v>
      </c>
      <c r="AW4" s="113">
        <f>AS4</f>
        <v>15563</v>
      </c>
      <c r="AY4" s="111">
        <f>AW6</f>
        <v>15702</v>
      </c>
      <c r="AZ4" s="112">
        <f>AY6</f>
        <v>15794</v>
      </c>
      <c r="BA4" s="112">
        <f>AZ6</f>
        <v>15827</v>
      </c>
      <c r="BB4" s="112">
        <f>BA6</f>
        <v>15696</v>
      </c>
      <c r="BC4" s="113">
        <f>AY4</f>
        <v>15702</v>
      </c>
      <c r="BE4" s="111">
        <f>BC6</f>
        <v>12056</v>
      </c>
      <c r="BF4" s="112">
        <f>BE6</f>
        <v>11821</v>
      </c>
      <c r="BG4" s="112">
        <f>BF6</f>
        <v>11635</v>
      </c>
      <c r="BH4" s="112">
        <f>BG6</f>
        <v>11221</v>
      </c>
      <c r="BI4" s="113">
        <f>BE4</f>
        <v>12056</v>
      </c>
      <c r="BK4" s="111">
        <f>BI6</f>
        <v>10634</v>
      </c>
      <c r="BL4" s="112">
        <f>BK6</f>
        <v>10229</v>
      </c>
      <c r="BM4" s="112">
        <f>BL6</f>
        <v>10251</v>
      </c>
      <c r="BN4" s="112">
        <f>BM6</f>
        <v>10297</v>
      </c>
      <c r="BO4" s="113">
        <f>BK4</f>
        <v>10634</v>
      </c>
      <c r="BQ4" s="111">
        <f>BO6</f>
        <v>10454</v>
      </c>
      <c r="BR4" s="112">
        <f>BQ6</f>
        <v>10354</v>
      </c>
      <c r="BS4" s="112">
        <f>BR6</f>
        <v>10379</v>
      </c>
      <c r="BT4" s="112">
        <f>BS6</f>
        <v>10404</v>
      </c>
      <c r="BU4" s="113">
        <f>BQ4</f>
        <v>10454</v>
      </c>
      <c r="BW4" s="111">
        <f>BU6</f>
        <v>10504</v>
      </c>
      <c r="BX4" s="112">
        <f>BW6</f>
        <v>10529</v>
      </c>
      <c r="BY4" s="112">
        <f>BX6</f>
        <v>10554</v>
      </c>
      <c r="BZ4" s="112">
        <f>BY6</f>
        <v>10579</v>
      </c>
      <c r="CA4" s="113">
        <f>BW4</f>
        <v>10504</v>
      </c>
      <c r="CC4" s="111">
        <f>CA6</f>
        <v>10629</v>
      </c>
      <c r="CD4" s="112">
        <f>CC6</f>
        <v>10654</v>
      </c>
      <c r="CE4" s="112">
        <f>CD6</f>
        <v>10679</v>
      </c>
      <c r="CF4" s="112">
        <f>CE6</f>
        <v>10704</v>
      </c>
      <c r="CG4" s="113">
        <f>CC4</f>
        <v>10629</v>
      </c>
      <c r="CI4" s="111">
        <f>CG6</f>
        <v>10729</v>
      </c>
      <c r="CJ4" s="112">
        <f>CI6</f>
        <v>10754</v>
      </c>
      <c r="CK4" s="112">
        <f>CJ6</f>
        <v>10779</v>
      </c>
      <c r="CL4" s="112">
        <f>CK6</f>
        <v>10804</v>
      </c>
      <c r="CM4" s="113">
        <f>CI4</f>
        <v>10729</v>
      </c>
      <c r="CO4" s="111">
        <f>CM6</f>
        <v>10829</v>
      </c>
      <c r="CP4" s="112">
        <f>CO6</f>
        <v>10854</v>
      </c>
      <c r="CQ4" s="112">
        <f>CP6</f>
        <v>10879</v>
      </c>
      <c r="CR4" s="112">
        <f>CQ6</f>
        <v>10904</v>
      </c>
      <c r="CS4" s="113">
        <f>CO4</f>
        <v>10829</v>
      </c>
      <c r="CU4" s="111">
        <f>CS6</f>
        <v>10929</v>
      </c>
      <c r="CV4" s="112">
        <f>CU6</f>
        <v>10954</v>
      </c>
      <c r="CW4" s="112">
        <f>CV6</f>
        <v>10979</v>
      </c>
      <c r="CX4" s="112">
        <f>CW6</f>
        <v>11004</v>
      </c>
      <c r="CY4" s="113">
        <f>CU4</f>
        <v>10929</v>
      </c>
      <c r="DA4" s="111">
        <f>CY6</f>
        <v>11029</v>
      </c>
      <c r="DB4" s="112">
        <f>DA6</f>
        <v>11054</v>
      </c>
      <c r="DC4" s="112">
        <f>DB6</f>
        <v>11079</v>
      </c>
      <c r="DD4" s="112">
        <f>DC6</f>
        <v>11104</v>
      </c>
      <c r="DE4" s="113">
        <f>DA4</f>
        <v>11029</v>
      </c>
      <c r="DG4" s="111">
        <f>DE6</f>
        <v>11129</v>
      </c>
      <c r="DH4" s="112">
        <f>DG6</f>
        <v>11154</v>
      </c>
      <c r="DI4" s="112">
        <f>DH6</f>
        <v>11179</v>
      </c>
      <c r="DJ4" s="112">
        <f>DI6</f>
        <v>11204</v>
      </c>
      <c r="DK4" s="113">
        <f>DG4</f>
        <v>11129</v>
      </c>
    </row>
    <row r="5" spans="2:115" ht="15" x14ac:dyDescent="0.3">
      <c r="B5" s="105" t="s">
        <v>26</v>
      </c>
      <c r="C5" s="116">
        <f>C6-C4</f>
        <v>145</v>
      </c>
      <c r="D5" s="117">
        <f>D6-D4</f>
        <v>152</v>
      </c>
      <c r="E5" s="117">
        <f>E6-E4</f>
        <v>197</v>
      </c>
      <c r="F5" s="117">
        <f>F6-F4</f>
        <v>276</v>
      </c>
      <c r="G5" s="118">
        <f>G6-G4</f>
        <v>770</v>
      </c>
      <c r="H5" s="114"/>
      <c r="I5" s="116">
        <f>I6-I4</f>
        <v>-12</v>
      </c>
      <c r="J5" s="117">
        <f>J6-J4</f>
        <v>-156</v>
      </c>
      <c r="K5" s="117">
        <f>K6-K4</f>
        <v>183</v>
      </c>
      <c r="L5" s="117">
        <f>L6-L4</f>
        <v>260</v>
      </c>
      <c r="M5" s="118">
        <f>M6-M4</f>
        <v>275</v>
      </c>
      <c r="N5" s="114"/>
      <c r="O5" s="116">
        <f>O6-O4</f>
        <v>14</v>
      </c>
      <c r="P5" s="117">
        <f>P6-P4</f>
        <v>122</v>
      </c>
      <c r="Q5" s="117">
        <f>Q6-Q4</f>
        <v>73</v>
      </c>
      <c r="R5" s="117">
        <f>R6-R4</f>
        <v>18</v>
      </c>
      <c r="S5" s="118">
        <f>S6-S4</f>
        <v>227</v>
      </c>
      <c r="T5" s="114"/>
      <c r="U5" s="116">
        <f>U6-U4</f>
        <v>-139</v>
      </c>
      <c r="V5" s="117">
        <v>-85</v>
      </c>
      <c r="W5" s="117">
        <v>45</v>
      </c>
      <c r="X5" s="117">
        <v>-62</v>
      </c>
      <c r="Y5" s="118">
        <f>Y6-Y4</f>
        <v>-241</v>
      </c>
      <c r="AA5" s="116">
        <v>-84</v>
      </c>
      <c r="AB5" s="117">
        <v>28</v>
      </c>
      <c r="AC5" s="117">
        <v>203</v>
      </c>
      <c r="AD5" s="117">
        <v>755</v>
      </c>
      <c r="AE5" s="118">
        <f>AE6-AE4</f>
        <v>902</v>
      </c>
      <c r="AG5" s="116">
        <v>351</v>
      </c>
      <c r="AH5" s="117">
        <v>536</v>
      </c>
      <c r="AI5" s="117">
        <v>527</v>
      </c>
      <c r="AJ5" s="117">
        <v>465</v>
      </c>
      <c r="AK5" s="118">
        <f>AK6-AK4</f>
        <v>1879</v>
      </c>
      <c r="AM5" s="116">
        <v>-121</v>
      </c>
      <c r="AN5" s="117">
        <v>50</v>
      </c>
      <c r="AO5" s="117">
        <v>-302</v>
      </c>
      <c r="AP5" s="117">
        <v>-104</v>
      </c>
      <c r="AQ5" s="118">
        <f>AQ6-AQ4</f>
        <v>-477</v>
      </c>
      <c r="AS5" s="116">
        <v>185</v>
      </c>
      <c r="AT5" s="117">
        <v>-73</v>
      </c>
      <c r="AU5" s="117">
        <v>53</v>
      </c>
      <c r="AV5" s="117">
        <v>-26</v>
      </c>
      <c r="AW5" s="118">
        <f>AW6-AW4</f>
        <v>139</v>
      </c>
      <c r="AY5" s="116">
        <v>92</v>
      </c>
      <c r="AZ5" s="117">
        <v>33</v>
      </c>
      <c r="BA5" s="117">
        <v>-131</v>
      </c>
      <c r="BB5" s="117">
        <v>-3640</v>
      </c>
      <c r="BC5" s="118">
        <f>BC6-BC4</f>
        <v>-3646</v>
      </c>
      <c r="BE5" s="116">
        <v>-235</v>
      </c>
      <c r="BF5" s="117">
        <v>-186</v>
      </c>
      <c r="BG5" s="117">
        <v>-414</v>
      </c>
      <c r="BH5" s="117">
        <v>-587</v>
      </c>
      <c r="BI5" s="118">
        <f>BI6-BI4</f>
        <v>-1422</v>
      </c>
      <c r="BK5" s="116">
        <v>-405</v>
      </c>
      <c r="BL5" s="117">
        <v>22</v>
      </c>
      <c r="BM5" s="117">
        <v>46</v>
      </c>
      <c r="BN5" s="117">
        <v>157</v>
      </c>
      <c r="BO5" s="118">
        <f>BO6-BO4</f>
        <v>-180</v>
      </c>
      <c r="BQ5" s="116">
        <v>-100</v>
      </c>
      <c r="BR5" s="117">
        <v>25</v>
      </c>
      <c r="BS5" s="117">
        <v>25</v>
      </c>
      <c r="BT5" s="117">
        <v>100</v>
      </c>
      <c r="BU5" s="118">
        <f>BU6-BU4</f>
        <v>50</v>
      </c>
      <c r="BW5" s="116">
        <v>25</v>
      </c>
      <c r="BX5" s="117">
        <v>25</v>
      </c>
      <c r="BY5" s="117">
        <v>25</v>
      </c>
      <c r="BZ5" s="117">
        <v>50</v>
      </c>
      <c r="CA5" s="118">
        <f>CA6-CA4</f>
        <v>125</v>
      </c>
      <c r="CC5" s="116">
        <v>25</v>
      </c>
      <c r="CD5" s="117">
        <v>25</v>
      </c>
      <c r="CE5" s="117">
        <v>25</v>
      </c>
      <c r="CF5" s="117">
        <v>25</v>
      </c>
      <c r="CG5" s="118">
        <f>CG6-CG4</f>
        <v>100</v>
      </c>
      <c r="CI5" s="116">
        <v>25</v>
      </c>
      <c r="CJ5" s="117">
        <v>25</v>
      </c>
      <c r="CK5" s="117">
        <v>25</v>
      </c>
      <c r="CL5" s="117">
        <v>25</v>
      </c>
      <c r="CM5" s="118">
        <f>CM6-CM4</f>
        <v>100</v>
      </c>
      <c r="CO5" s="116">
        <v>25</v>
      </c>
      <c r="CP5" s="117">
        <v>25</v>
      </c>
      <c r="CQ5" s="117">
        <v>25</v>
      </c>
      <c r="CR5" s="117">
        <v>25</v>
      </c>
      <c r="CS5" s="118">
        <f>CS6-CS4</f>
        <v>100</v>
      </c>
      <c r="CU5" s="116">
        <v>25</v>
      </c>
      <c r="CV5" s="117">
        <v>25</v>
      </c>
      <c r="CW5" s="117">
        <v>25</v>
      </c>
      <c r="CX5" s="117">
        <v>25</v>
      </c>
      <c r="CY5" s="118">
        <f>CY6-CY4</f>
        <v>100</v>
      </c>
      <c r="DA5" s="116">
        <v>25</v>
      </c>
      <c r="DB5" s="117">
        <v>25</v>
      </c>
      <c r="DC5" s="117">
        <v>25</v>
      </c>
      <c r="DD5" s="117">
        <v>25</v>
      </c>
      <c r="DE5" s="118">
        <f>DE6-DE4</f>
        <v>100</v>
      </c>
      <c r="DG5" s="116">
        <v>25</v>
      </c>
      <c r="DH5" s="117">
        <v>25</v>
      </c>
      <c r="DI5" s="117">
        <v>25</v>
      </c>
      <c r="DJ5" s="117">
        <v>25</v>
      </c>
      <c r="DK5" s="118">
        <f>DK6-DK4</f>
        <v>100</v>
      </c>
    </row>
    <row r="6" spans="2:115" ht="15.75" thickBot="1" x14ac:dyDescent="0.35">
      <c r="B6" s="5" t="s">
        <v>27</v>
      </c>
      <c r="C6" s="116">
        <v>12373</v>
      </c>
      <c r="D6" s="117">
        <v>12525</v>
      </c>
      <c r="E6" s="117">
        <v>12722</v>
      </c>
      <c r="F6" s="117">
        <v>12998</v>
      </c>
      <c r="G6" s="121">
        <f>F6</f>
        <v>12998</v>
      </c>
      <c r="H6" s="114"/>
      <c r="I6" s="123">
        <v>12986</v>
      </c>
      <c r="J6" s="124">
        <v>12830</v>
      </c>
      <c r="K6" s="124">
        <v>13013</v>
      </c>
      <c r="L6" s="125">
        <v>13273</v>
      </c>
      <c r="M6" s="121">
        <f>L6</f>
        <v>13273</v>
      </c>
      <c r="N6" s="114"/>
      <c r="O6" s="123">
        <v>13287</v>
      </c>
      <c r="P6" s="124">
        <v>13409</v>
      </c>
      <c r="Q6" s="124">
        <v>13482</v>
      </c>
      <c r="R6" s="125">
        <v>13500</v>
      </c>
      <c r="S6" s="121">
        <f>R6</f>
        <v>13500</v>
      </c>
      <c r="T6" s="114"/>
      <c r="U6" s="123">
        <v>13361</v>
      </c>
      <c r="V6" s="124">
        <f>V4+V5</f>
        <v>13276</v>
      </c>
      <c r="W6" s="124">
        <f>W4+W5</f>
        <v>13321</v>
      </c>
      <c r="X6" s="124">
        <f>X4+X5</f>
        <v>13259</v>
      </c>
      <c r="Y6" s="121">
        <f>X6</f>
        <v>13259</v>
      </c>
      <c r="AA6" s="123">
        <f>AA4+AA5</f>
        <v>13175</v>
      </c>
      <c r="AB6" s="124">
        <f>AB4+AB5</f>
        <v>13203</v>
      </c>
      <c r="AC6" s="124">
        <f>AC4+AC5</f>
        <v>13406</v>
      </c>
      <c r="AD6" s="124">
        <f>AD4+AD5</f>
        <v>14161</v>
      </c>
      <c r="AE6" s="121">
        <f>AD6</f>
        <v>14161</v>
      </c>
      <c r="AG6" s="123">
        <f>AG4+AG5</f>
        <v>14512</v>
      </c>
      <c r="AH6" s="124">
        <f>AH4+AH5</f>
        <v>15048</v>
      </c>
      <c r="AI6" s="124">
        <f>AI4+AI5</f>
        <v>15575</v>
      </c>
      <c r="AJ6" s="124">
        <f>AJ4+AJ5</f>
        <v>16040</v>
      </c>
      <c r="AK6" s="121">
        <f>AJ6</f>
        <v>16040</v>
      </c>
      <c r="AM6" s="123">
        <f>AM4+AM5</f>
        <v>15919</v>
      </c>
      <c r="AN6" s="124">
        <f>AN4+AN5</f>
        <v>15969</v>
      </c>
      <c r="AO6" s="124">
        <f>AO4+AO5</f>
        <v>15667</v>
      </c>
      <c r="AP6" s="124">
        <f>AP4+AP5</f>
        <v>15563</v>
      </c>
      <c r="AQ6" s="121">
        <f>AP6</f>
        <v>15563</v>
      </c>
      <c r="AS6" s="123">
        <f>AS4+AS5</f>
        <v>15748</v>
      </c>
      <c r="AT6" s="124">
        <f>AT4+AT5</f>
        <v>15675</v>
      </c>
      <c r="AU6" s="124">
        <f>AU4+AU5</f>
        <v>15728</v>
      </c>
      <c r="AV6" s="124">
        <f>AV4+AV5</f>
        <v>15702</v>
      </c>
      <c r="AW6" s="121">
        <f>AV6</f>
        <v>15702</v>
      </c>
      <c r="AY6" s="123">
        <f>AY4+AY5</f>
        <v>15794</v>
      </c>
      <c r="AZ6" s="124">
        <f>AZ4+AZ5</f>
        <v>15827</v>
      </c>
      <c r="BA6" s="124">
        <f>BA4+BA5</f>
        <v>15696</v>
      </c>
      <c r="BB6" s="124">
        <f>BB4+BB5</f>
        <v>12056</v>
      </c>
      <c r="BC6" s="121">
        <f>BB6</f>
        <v>12056</v>
      </c>
      <c r="BE6" s="123">
        <f>BE4+BE5</f>
        <v>11821</v>
      </c>
      <c r="BF6" s="124">
        <f>BF4+BF5</f>
        <v>11635</v>
      </c>
      <c r="BG6" s="124">
        <f>BG4+BG5</f>
        <v>11221</v>
      </c>
      <c r="BH6" s="124">
        <f>BH4+BH5</f>
        <v>10634</v>
      </c>
      <c r="BI6" s="121">
        <f>BH6</f>
        <v>10634</v>
      </c>
      <c r="BK6" s="123">
        <f>BK4+BK5</f>
        <v>10229</v>
      </c>
      <c r="BL6" s="124">
        <f>BL4+BL5</f>
        <v>10251</v>
      </c>
      <c r="BM6" s="124">
        <f>BM4+BM5</f>
        <v>10297</v>
      </c>
      <c r="BN6" s="124">
        <f>BN4+BN5</f>
        <v>10454</v>
      </c>
      <c r="BO6" s="121">
        <f>BN6</f>
        <v>10454</v>
      </c>
      <c r="BQ6" s="123">
        <f>BQ4+BQ5</f>
        <v>10354</v>
      </c>
      <c r="BR6" s="124">
        <f>BR4+BR5</f>
        <v>10379</v>
      </c>
      <c r="BS6" s="124">
        <f>BS4+BS5</f>
        <v>10404</v>
      </c>
      <c r="BT6" s="124">
        <f>BT4+BT5</f>
        <v>10504</v>
      </c>
      <c r="BU6" s="121">
        <f>BT6</f>
        <v>10504</v>
      </c>
      <c r="BW6" s="123">
        <f>BW4+BW5</f>
        <v>10529</v>
      </c>
      <c r="BX6" s="124">
        <f>BX4+BX5</f>
        <v>10554</v>
      </c>
      <c r="BY6" s="124">
        <f>BY4+BY5</f>
        <v>10579</v>
      </c>
      <c r="BZ6" s="124">
        <f>BZ4+BZ5</f>
        <v>10629</v>
      </c>
      <c r="CA6" s="121">
        <f>BZ6</f>
        <v>10629</v>
      </c>
      <c r="CC6" s="123">
        <f>CC4+CC5</f>
        <v>10654</v>
      </c>
      <c r="CD6" s="124">
        <f>CD4+CD5</f>
        <v>10679</v>
      </c>
      <c r="CE6" s="124">
        <f>CE4+CE5</f>
        <v>10704</v>
      </c>
      <c r="CF6" s="124">
        <f>CF4+CF5</f>
        <v>10729</v>
      </c>
      <c r="CG6" s="121">
        <f>CF6</f>
        <v>10729</v>
      </c>
      <c r="CI6" s="123">
        <f>CI4+CI5</f>
        <v>10754</v>
      </c>
      <c r="CJ6" s="124">
        <f>CJ4+CJ5</f>
        <v>10779</v>
      </c>
      <c r="CK6" s="124">
        <f>CK4+CK5</f>
        <v>10804</v>
      </c>
      <c r="CL6" s="124">
        <f>CL4+CL5</f>
        <v>10829</v>
      </c>
      <c r="CM6" s="121">
        <f>CL6</f>
        <v>10829</v>
      </c>
      <c r="CO6" s="123">
        <f>CO4+CO5</f>
        <v>10854</v>
      </c>
      <c r="CP6" s="124">
        <f>CP4+CP5</f>
        <v>10879</v>
      </c>
      <c r="CQ6" s="124">
        <f>CQ4+CQ5</f>
        <v>10904</v>
      </c>
      <c r="CR6" s="124">
        <f>CR4+CR5</f>
        <v>10929</v>
      </c>
      <c r="CS6" s="121">
        <f>CR6</f>
        <v>10929</v>
      </c>
      <c r="CU6" s="123">
        <f>CU4+CU5</f>
        <v>10954</v>
      </c>
      <c r="CV6" s="124">
        <f>CV4+CV5</f>
        <v>10979</v>
      </c>
      <c r="CW6" s="124">
        <f>CW4+CW5</f>
        <v>11004</v>
      </c>
      <c r="CX6" s="124">
        <f>CX4+CX5</f>
        <v>11029</v>
      </c>
      <c r="CY6" s="121">
        <f>CX6</f>
        <v>11029</v>
      </c>
      <c r="DA6" s="123">
        <f>DA4+DA5</f>
        <v>11054</v>
      </c>
      <c r="DB6" s="124">
        <f>DB4+DB5</f>
        <v>11079</v>
      </c>
      <c r="DC6" s="124">
        <f>DC4+DC5</f>
        <v>11104</v>
      </c>
      <c r="DD6" s="124">
        <f>DD4+DD5</f>
        <v>11129</v>
      </c>
      <c r="DE6" s="121">
        <f>DD6</f>
        <v>11129</v>
      </c>
      <c r="DG6" s="123">
        <f>DG4+DG5</f>
        <v>11154</v>
      </c>
      <c r="DH6" s="124">
        <f>DH4+DH5</f>
        <v>11179</v>
      </c>
      <c r="DI6" s="124">
        <f>DI4+DI5</f>
        <v>11204</v>
      </c>
      <c r="DJ6" s="124">
        <f>DJ4+DJ5</f>
        <v>11229</v>
      </c>
      <c r="DK6" s="121">
        <f>DJ6</f>
        <v>11229</v>
      </c>
    </row>
    <row r="7" spans="2:115" ht="15" x14ac:dyDescent="0.3">
      <c r="B7" s="38" t="s">
        <v>28</v>
      </c>
      <c r="C7" s="112">
        <f>C6-C5/2</f>
        <v>12300.5</v>
      </c>
      <c r="D7" s="112">
        <f>D6-D5/2</f>
        <v>12449</v>
      </c>
      <c r="E7" s="112">
        <f>E6-E5/2</f>
        <v>12623.5</v>
      </c>
      <c r="F7" s="112">
        <f>F6-F5/2</f>
        <v>12860</v>
      </c>
      <c r="G7" s="118">
        <f>(C7+D7+E7+F7)/4</f>
        <v>12558.25</v>
      </c>
      <c r="H7" s="114"/>
      <c r="I7" s="116">
        <f>I6-I5/2</f>
        <v>12992</v>
      </c>
      <c r="J7" s="117">
        <f>J6-J5/2</f>
        <v>12908</v>
      </c>
      <c r="K7" s="117">
        <f>K6-K5/2</f>
        <v>12921.5</v>
      </c>
      <c r="L7" s="119">
        <f>L6-L5/2</f>
        <v>13143</v>
      </c>
      <c r="M7" s="118">
        <f>(I7+J7+K7+L7)/4</f>
        <v>12991.125</v>
      </c>
      <c r="N7" s="114"/>
      <c r="O7" s="116">
        <f>O6-O5/2</f>
        <v>13280</v>
      </c>
      <c r="P7" s="117">
        <f>P6-P5/2</f>
        <v>13348</v>
      </c>
      <c r="Q7" s="117">
        <f>Q6-Q5/2</f>
        <v>13445.5</v>
      </c>
      <c r="R7" s="119">
        <f>R6-R5/2</f>
        <v>13491</v>
      </c>
      <c r="S7" s="118">
        <f>(O7+P7+Q7+R7)/4</f>
        <v>13391.125</v>
      </c>
      <c r="T7" s="114"/>
      <c r="U7" s="116">
        <f>U6-U5/2</f>
        <v>13430.5</v>
      </c>
      <c r="V7" s="117">
        <f>V6-V5/2</f>
        <v>13318.5</v>
      </c>
      <c r="W7" s="117">
        <f>W6-W5/2</f>
        <v>13298.5</v>
      </c>
      <c r="X7" s="117">
        <f>X6-X5/2</f>
        <v>13290</v>
      </c>
      <c r="Y7" s="118">
        <f>(U7+V7+W7+X7)/4</f>
        <v>13334.375</v>
      </c>
      <c r="AA7" s="116">
        <f>AA6-AA5/2</f>
        <v>13217</v>
      </c>
      <c r="AB7" s="117">
        <f>AB6-AB5/2</f>
        <v>13189</v>
      </c>
      <c r="AC7" s="117">
        <f>AC6-AC5/2</f>
        <v>13304.5</v>
      </c>
      <c r="AD7" s="117">
        <f>AD6-AD5/2</f>
        <v>13783.5</v>
      </c>
      <c r="AE7" s="118">
        <f>(AA7+AB7+AC7+AD7)/4</f>
        <v>13373.5</v>
      </c>
      <c r="AG7" s="116">
        <f>AG6-AG5/2</f>
        <v>14336.5</v>
      </c>
      <c r="AH7" s="117">
        <f>AH6-AH5/2</f>
        <v>14780</v>
      </c>
      <c r="AI7" s="117">
        <f>AI6-AI5/2</f>
        <v>15311.5</v>
      </c>
      <c r="AJ7" s="117">
        <f>AJ6-AJ5/2</f>
        <v>15807.5</v>
      </c>
      <c r="AK7" s="118">
        <f>(AG7+AH7+AI7+AJ7)/4</f>
        <v>15058.875</v>
      </c>
      <c r="AM7" s="116">
        <f>AM6-AM5/2</f>
        <v>15979.5</v>
      </c>
      <c r="AN7" s="117">
        <f>AN6-AN5/2</f>
        <v>15944</v>
      </c>
      <c r="AO7" s="117">
        <f>AO6-AO5/2</f>
        <v>15818</v>
      </c>
      <c r="AP7" s="117">
        <f>AP6-AP5/2</f>
        <v>15615</v>
      </c>
      <c r="AQ7" s="118">
        <f>(AM7+AN7+AO7+AP7)/4</f>
        <v>15839.125</v>
      </c>
      <c r="AS7" s="116">
        <f>AS6-AS5/2</f>
        <v>15655.5</v>
      </c>
      <c r="AT7" s="117">
        <f>AT6-AT5/2</f>
        <v>15711.5</v>
      </c>
      <c r="AU7" s="117">
        <f>AU6-AU5/2</f>
        <v>15701.5</v>
      </c>
      <c r="AV7" s="117">
        <f>AV6-AV5/2</f>
        <v>15715</v>
      </c>
      <c r="AW7" s="118">
        <f>(AS7+AT7+AU7+AV7)/4</f>
        <v>15695.875</v>
      </c>
      <c r="AY7" s="116">
        <f>AY6-AY5/2</f>
        <v>15748</v>
      </c>
      <c r="AZ7" s="117">
        <f>AZ6-AZ5/2</f>
        <v>15810.5</v>
      </c>
      <c r="BA7" s="117">
        <f>BA6-BA5/2</f>
        <v>15761.5</v>
      </c>
      <c r="BB7" s="117">
        <f>BB6-BB5/2</f>
        <v>13876</v>
      </c>
      <c r="BC7" s="118">
        <f>(AY7+AZ7+BA7+BB7)/4</f>
        <v>15299</v>
      </c>
      <c r="BE7" s="116">
        <f>BE6-BE5/2</f>
        <v>11938.5</v>
      </c>
      <c r="BF7" s="117">
        <f>BF6-BF5/2</f>
        <v>11728</v>
      </c>
      <c r="BG7" s="117">
        <f>BG6-BG5/2</f>
        <v>11428</v>
      </c>
      <c r="BH7" s="117">
        <f>BH6-BH5/2</f>
        <v>10927.5</v>
      </c>
      <c r="BI7" s="118">
        <f>(BE7+BF7+BG7+BH7)/4</f>
        <v>11505.5</v>
      </c>
      <c r="BK7" s="116">
        <f>BK6-BK5/2</f>
        <v>10431.5</v>
      </c>
      <c r="BL7" s="117">
        <f>BL6-BL5/2</f>
        <v>10240</v>
      </c>
      <c r="BM7" s="117">
        <f>BM6-BM5/2</f>
        <v>10274</v>
      </c>
      <c r="BN7" s="117">
        <f>BN6-BN5/2</f>
        <v>10375.5</v>
      </c>
      <c r="BO7" s="118">
        <f>(BK7+BL7+BM7+BN7)/4</f>
        <v>10330.25</v>
      </c>
      <c r="BQ7" s="116">
        <f>BQ6-BQ5/2</f>
        <v>10404</v>
      </c>
      <c r="BR7" s="117">
        <f>BR6-BR5/2</f>
        <v>10366.5</v>
      </c>
      <c r="BS7" s="117">
        <f>BS6-BS5/2</f>
        <v>10391.5</v>
      </c>
      <c r="BT7" s="117">
        <f>BT6-BT5/2</f>
        <v>10454</v>
      </c>
      <c r="BU7" s="118">
        <f>(BQ7+BR7+BS7+BT7)/4</f>
        <v>10404</v>
      </c>
      <c r="BW7" s="116">
        <f>BW6-BW5/2</f>
        <v>10516.5</v>
      </c>
      <c r="BX7" s="117">
        <f>BX6-BX5/2</f>
        <v>10541.5</v>
      </c>
      <c r="BY7" s="117">
        <f>BY6-BY5/2</f>
        <v>10566.5</v>
      </c>
      <c r="BZ7" s="117">
        <f>BZ6-BZ5/2</f>
        <v>10604</v>
      </c>
      <c r="CA7" s="118">
        <f>(BW7+BX7+BY7+BZ7)/4</f>
        <v>10557.125</v>
      </c>
      <c r="CC7" s="116">
        <f>CC6-CC5/2</f>
        <v>10641.5</v>
      </c>
      <c r="CD7" s="117">
        <f>CD6-CD5/2</f>
        <v>10666.5</v>
      </c>
      <c r="CE7" s="117">
        <f>CE6-CE5/2</f>
        <v>10691.5</v>
      </c>
      <c r="CF7" s="117">
        <f>CF6-CF5/2</f>
        <v>10716.5</v>
      </c>
      <c r="CG7" s="118">
        <f>(CC7+CD7+CE7+CF7)/4</f>
        <v>10679</v>
      </c>
      <c r="CI7" s="116">
        <f>CI6-CI5/2</f>
        <v>10741.5</v>
      </c>
      <c r="CJ7" s="117">
        <f>CJ6-CJ5/2</f>
        <v>10766.5</v>
      </c>
      <c r="CK7" s="117">
        <f>CK6-CK5/2</f>
        <v>10791.5</v>
      </c>
      <c r="CL7" s="117">
        <f>CL6-CL5/2</f>
        <v>10816.5</v>
      </c>
      <c r="CM7" s="118">
        <f>(CI7+CJ7+CK7+CL7)/4</f>
        <v>10779</v>
      </c>
      <c r="CO7" s="116">
        <f>CO6-CO5/2</f>
        <v>10841.5</v>
      </c>
      <c r="CP7" s="117">
        <f>CP6-CP5/2</f>
        <v>10866.5</v>
      </c>
      <c r="CQ7" s="117">
        <f>CQ6-CQ5/2</f>
        <v>10891.5</v>
      </c>
      <c r="CR7" s="117">
        <f>CR6-CR5/2</f>
        <v>10916.5</v>
      </c>
      <c r="CS7" s="118">
        <f>(CO7+CP7+CQ7+CR7)/4</f>
        <v>10879</v>
      </c>
      <c r="CU7" s="116">
        <f>CU6-CU5/2</f>
        <v>10941.5</v>
      </c>
      <c r="CV7" s="117">
        <f>CV6-CV5/2</f>
        <v>10966.5</v>
      </c>
      <c r="CW7" s="117">
        <f>CW6-CW5/2</f>
        <v>10991.5</v>
      </c>
      <c r="CX7" s="117">
        <f>CX6-CX5/2</f>
        <v>11016.5</v>
      </c>
      <c r="CY7" s="118">
        <f>(CU7+CV7+CW7+CX7)/4</f>
        <v>10979</v>
      </c>
      <c r="DA7" s="116">
        <f>DA6-DA5/2</f>
        <v>11041.5</v>
      </c>
      <c r="DB7" s="117">
        <f>DB6-DB5/2</f>
        <v>11066.5</v>
      </c>
      <c r="DC7" s="117">
        <f>DC6-DC5/2</f>
        <v>11091.5</v>
      </c>
      <c r="DD7" s="117">
        <f>DD6-DD5/2</f>
        <v>11116.5</v>
      </c>
      <c r="DE7" s="118">
        <f>(DA7+DB7+DC7+DD7)/4</f>
        <v>11079</v>
      </c>
      <c r="DG7" s="116">
        <f>DG6-DG5/2</f>
        <v>11141.5</v>
      </c>
      <c r="DH7" s="117">
        <f>DH6-DH5/2</f>
        <v>11166.5</v>
      </c>
      <c r="DI7" s="117">
        <f>DI6-DI5/2</f>
        <v>11191.5</v>
      </c>
      <c r="DJ7" s="117">
        <f>DJ6-DJ5/2</f>
        <v>11216.5</v>
      </c>
      <c r="DK7" s="118">
        <f>(DG7+DH7+DI7+DJ7)/4</f>
        <v>11179</v>
      </c>
    </row>
    <row r="8" spans="2:115" ht="15.75" thickBot="1" x14ac:dyDescent="0.35">
      <c r="B8" s="41" t="s">
        <v>56</v>
      </c>
      <c r="C8" s="106" t="s">
        <v>35</v>
      </c>
      <c r="D8" s="106" t="s">
        <v>35</v>
      </c>
      <c r="E8" s="106" t="s">
        <v>35</v>
      </c>
      <c r="F8" s="106" t="s">
        <v>35</v>
      </c>
      <c r="G8" s="122" t="s">
        <v>35</v>
      </c>
      <c r="I8" s="109">
        <f>I7/C7-1</f>
        <v>5.6217226941994269E-2</v>
      </c>
      <c r="J8" s="110">
        <f>J7/D7-1</f>
        <v>3.6870431359948608E-2</v>
      </c>
      <c r="K8" s="110">
        <f>K7/E7-1</f>
        <v>2.360676516021698E-2</v>
      </c>
      <c r="L8" s="120">
        <f>L7/F7-1</f>
        <v>2.2006220839813295E-2</v>
      </c>
      <c r="M8" s="122">
        <f>M7/G7-1</f>
        <v>3.4469372723110236E-2</v>
      </c>
      <c r="O8" s="109">
        <f>O7/I7-1</f>
        <v>2.2167487684729092E-2</v>
      </c>
      <c r="P8" s="110">
        <f>P7/J7-1</f>
        <v>3.4087387666563274E-2</v>
      </c>
      <c r="Q8" s="110">
        <f>Q7/K7-1</f>
        <v>4.0552567426382469E-2</v>
      </c>
      <c r="R8" s="120">
        <f>R7/L7-1</f>
        <v>2.6477973065510252E-2</v>
      </c>
      <c r="S8" s="122">
        <f>S7/M7-1</f>
        <v>3.079025103676547E-2</v>
      </c>
      <c r="U8" s="109">
        <f>U7/O7-1</f>
        <v>1.1332831325301163E-2</v>
      </c>
      <c r="V8" s="110">
        <f>V7/P7-1</f>
        <v>-2.2100689241834059E-3</v>
      </c>
      <c r="W8" s="110">
        <f>W7/Q7-1</f>
        <v>-1.0933025919452555E-2</v>
      </c>
      <c r="X8" s="110">
        <f>X7/R7-1</f>
        <v>-1.4898821436513221E-2</v>
      </c>
      <c r="Y8" s="122">
        <f>Y7/S7-1</f>
        <v>-4.2378814326653469E-3</v>
      </c>
      <c r="AA8" s="109">
        <f>AA7/U7-1</f>
        <v>-1.5896653140240469E-2</v>
      </c>
      <c r="AB8" s="110">
        <f>AB7/V7-1</f>
        <v>-9.7233171903743365E-3</v>
      </c>
      <c r="AC8" s="110">
        <f>AC7/W7-1</f>
        <v>4.511787043650628E-4</v>
      </c>
      <c r="AD8" s="110">
        <f>AD7/X7-1</f>
        <v>3.7133182844243828E-2</v>
      </c>
      <c r="AE8" s="122">
        <f>AE7/Y7-1</f>
        <v>2.934145769861729E-3</v>
      </c>
      <c r="AG8" s="109">
        <f>AG7/AA7-1</f>
        <v>8.4701520768706962E-2</v>
      </c>
      <c r="AH8" s="110">
        <f>AH7/AB7-1</f>
        <v>0.12063082872090369</v>
      </c>
      <c r="AI8" s="110">
        <f>AI7/AC7-1</f>
        <v>0.15085121575406824</v>
      </c>
      <c r="AJ8" s="110">
        <f>AJ7/AD7-1</f>
        <v>0.14684223890884018</v>
      </c>
      <c r="AK8" s="122">
        <f>AK7/AE7-1</f>
        <v>0.12602347926870294</v>
      </c>
      <c r="AM8" s="109">
        <f>AM7/AG7-1</f>
        <v>0.11460258780036958</v>
      </c>
      <c r="AN8" s="110">
        <f>AN7/AH7-1</f>
        <v>7.8755074424898597E-2</v>
      </c>
      <c r="AO8" s="110">
        <f>AO7/AI7-1</f>
        <v>3.3079711328086736E-2</v>
      </c>
      <c r="AP8" s="110">
        <f>AP7/AJ7-1</f>
        <v>-1.2177763719753321E-2</v>
      </c>
      <c r="AQ8" s="122">
        <f>AQ7/AK7-1</f>
        <v>5.1813299466261675E-2</v>
      </c>
      <c r="AS8" s="109">
        <f>AS7/AM7-1</f>
        <v>-2.0275978597578126E-2</v>
      </c>
      <c r="AT8" s="110">
        <f>AT7/AN7-1</f>
        <v>-1.4582288008028077E-2</v>
      </c>
      <c r="AU8" s="110">
        <f>AU7/AO7-1</f>
        <v>-7.3650271842204962E-3</v>
      </c>
      <c r="AV8" s="110">
        <f>AV7/AP7-1</f>
        <v>6.404098623118859E-3</v>
      </c>
      <c r="AW8" s="122">
        <f>AW7/AQ7-1</f>
        <v>-9.0440601990324776E-3</v>
      </c>
      <c r="AY8" s="109">
        <f>AY7/AS7-1</f>
        <v>5.9084666730542246E-3</v>
      </c>
      <c r="AZ8" s="110">
        <f>AZ7/AT7-1</f>
        <v>6.3011170161983987E-3</v>
      </c>
      <c r="BA8" s="110">
        <f>BA7/AU7-1</f>
        <v>3.8212909594623756E-3</v>
      </c>
      <c r="BB8" s="110">
        <f>BB7/AV7-1</f>
        <v>-0.11702195354756606</v>
      </c>
      <c r="BC8" s="122">
        <f>BC7/AW7-1</f>
        <v>-2.5285305852652318E-2</v>
      </c>
      <c r="BE8" s="109">
        <f>BE7/AY7-1</f>
        <v>-0.24190373380746766</v>
      </c>
      <c r="BF8" s="110">
        <f>BF7/AZ7-1</f>
        <v>-0.25821447772050221</v>
      </c>
      <c r="BG8" s="110">
        <f>BG7/BA7-1</f>
        <v>-0.27494210576404532</v>
      </c>
      <c r="BH8" s="110">
        <f>BH7/BB7-1</f>
        <v>-0.21248918996829058</v>
      </c>
      <c r="BI8" s="122">
        <f>BI7/BC7-1</f>
        <v>-0.24795738283547941</v>
      </c>
      <c r="BK8" s="109">
        <f>BK7/BE7-1</f>
        <v>-0.12623026343342969</v>
      </c>
      <c r="BL8" s="110">
        <f>BL7/BF7-1</f>
        <v>-0.1268758526603001</v>
      </c>
      <c r="BM8" s="110">
        <f>BM7/BG7-1</f>
        <v>-0.10098004900245017</v>
      </c>
      <c r="BN8" s="110">
        <f>BN7/BH7-1</f>
        <v>-5.0514756348661649E-2</v>
      </c>
      <c r="BO8" s="122">
        <f>BO7/BI7-1</f>
        <v>-0.10214679935682935</v>
      </c>
      <c r="BQ8" s="109">
        <f>BQ7/BK7-1</f>
        <v>-2.6362459857163234E-3</v>
      </c>
      <c r="BR8" s="110">
        <f>BR7/BL7-1</f>
        <v>1.2353515625000089E-2</v>
      </c>
      <c r="BS8" s="110">
        <f>BS7/BM7-1</f>
        <v>1.1436636168970171E-2</v>
      </c>
      <c r="BT8" s="110">
        <f>BT7/BN7-1</f>
        <v>7.565900438533113E-3</v>
      </c>
      <c r="BU8" s="122">
        <f>BU7/BO7-1</f>
        <v>7.1392270274195369E-3</v>
      </c>
      <c r="BW8" s="109">
        <f>BW7/BQ7-1</f>
        <v>1.0813148788927363E-2</v>
      </c>
      <c r="BX8" s="110">
        <f>BX7/BR7-1</f>
        <v>1.6881300342449279E-2</v>
      </c>
      <c r="BY8" s="110">
        <f>BY7/BS7-1</f>
        <v>1.6840687100033724E-2</v>
      </c>
      <c r="BZ8" s="110">
        <f>BZ7/BT7-1</f>
        <v>1.4348574708245687E-2</v>
      </c>
      <c r="CA8" s="122">
        <f>CA7/BU7-1</f>
        <v>1.4717896962706645E-2</v>
      </c>
      <c r="CC8" s="109">
        <f>CC7/BW7-1</f>
        <v>1.1886083773118505E-2</v>
      </c>
      <c r="CD8" s="110">
        <f>CD7/BX7-1</f>
        <v>1.1857894986482043E-2</v>
      </c>
      <c r="CE8" s="110">
        <f>CE7/BY7-1</f>
        <v>1.1829839587375268E-2</v>
      </c>
      <c r="CF8" s="110">
        <f>CF7/BZ7-1</f>
        <v>1.0609204073934286E-2</v>
      </c>
      <c r="CG8" s="122">
        <f>CG7/CA7-1</f>
        <v>1.1544336171069203E-2</v>
      </c>
      <c r="CI8" s="109">
        <f>CI7/CC7-1</f>
        <v>9.3971714513931826E-3</v>
      </c>
      <c r="CJ8" s="110">
        <f>CJ7/CD7-1</f>
        <v>9.3751464866638212E-3</v>
      </c>
      <c r="CK8" s="110">
        <f>CK7/CE7-1</f>
        <v>9.3532245241547685E-3</v>
      </c>
      <c r="CL8" s="110">
        <f>CL7/CF7-1</f>
        <v>9.3314048429991026E-3</v>
      </c>
      <c r="CM8" s="122">
        <f>CM7/CG7-1</f>
        <v>9.3641726753441734E-3</v>
      </c>
      <c r="CO8" s="109">
        <f>CO7/CI7-1</f>
        <v>9.3096867290416441E-3</v>
      </c>
      <c r="CP8" s="110">
        <f>CP7/CJ7-1</f>
        <v>9.2880694747596859E-3</v>
      </c>
      <c r="CQ8" s="110">
        <f>CQ7/CK7-1</f>
        <v>9.2665523791872761E-3</v>
      </c>
      <c r="CR8" s="110">
        <f>CR7/CL7-1</f>
        <v>9.2451347478390566E-3</v>
      </c>
      <c r="CS8" s="122">
        <f>CS7/CM7-1</f>
        <v>9.2772984506912515E-3</v>
      </c>
      <c r="CU8" s="109">
        <f>CU7/CO7-1</f>
        <v>9.223815892634768E-3</v>
      </c>
      <c r="CV8" s="110">
        <f>CV7/CP7-1</f>
        <v>9.2025951318270849E-3</v>
      </c>
      <c r="CW8" s="110">
        <f>CW7/CQ7-1</f>
        <v>9.1814717899278975E-3</v>
      </c>
      <c r="CX8" s="110">
        <f>CX7/CR7-1</f>
        <v>9.1604451976365908E-3</v>
      </c>
      <c r="CY8" s="122">
        <f>CY7/CS7-1</f>
        <v>9.1920213254894634E-3</v>
      </c>
      <c r="DA8" s="109">
        <f>DA7/CU7-1</f>
        <v>9.1395146917698789E-3</v>
      </c>
      <c r="DB8" s="110">
        <f>DB7/CV7-1</f>
        <v>9.1186796151916383E-3</v>
      </c>
      <c r="DC8" s="110">
        <f>DC7/CW7-1</f>
        <v>9.0979393167447409E-3</v>
      </c>
      <c r="DD8" s="110">
        <f>DD7/CX7-1</f>
        <v>9.0772931511822197E-3</v>
      </c>
      <c r="DE8" s="122">
        <f>DE7/CY7-1</f>
        <v>9.1082976591674303E-3</v>
      </c>
      <c r="DG8" s="109">
        <f>DG7/DA7-1</f>
        <v>9.0567404791015438E-3</v>
      </c>
      <c r="DH8" s="110">
        <f>DH7/DB7-1</f>
        <v>9.0362806668775608E-3</v>
      </c>
      <c r="DI8" s="110">
        <f>DI7/DC7-1</f>
        <v>9.015913086597882E-3</v>
      </c>
      <c r="DJ8" s="110">
        <f>DJ7/DD7-1</f>
        <v>8.9956371159987114E-3</v>
      </c>
      <c r="DK8" s="122">
        <f>DK7/DE7-1</f>
        <v>9.026085386767857E-3</v>
      </c>
    </row>
    <row r="9" spans="2:115" ht="15.75" thickBot="1" x14ac:dyDescent="0.35">
      <c r="B9" s="1"/>
      <c r="AA9" s="103"/>
      <c r="AB9" s="103"/>
      <c r="AC9" s="103"/>
      <c r="AD9" s="103"/>
      <c r="AE9" s="103"/>
      <c r="AG9" s="103"/>
      <c r="AH9" s="103"/>
      <c r="AI9" s="103"/>
      <c r="AJ9" s="103"/>
      <c r="AK9" s="103"/>
      <c r="AM9" s="103"/>
      <c r="AN9" s="103"/>
      <c r="AO9" s="103"/>
      <c r="AP9" s="103"/>
      <c r="AQ9" s="103"/>
      <c r="AS9" s="103"/>
      <c r="AT9" s="103"/>
      <c r="AU9" s="103"/>
      <c r="AV9" s="103"/>
      <c r="AW9" s="103"/>
      <c r="AY9" s="103"/>
      <c r="AZ9" s="103"/>
      <c r="BA9" s="103"/>
      <c r="BB9" s="103"/>
      <c r="BC9" s="103"/>
      <c r="BE9" s="103"/>
      <c r="BF9" s="103"/>
      <c r="BG9" s="103"/>
      <c r="BH9" s="103"/>
      <c r="BI9" s="103"/>
      <c r="BK9" s="103"/>
      <c r="BL9" s="103"/>
      <c r="BM9" s="103"/>
      <c r="BN9" s="103"/>
      <c r="BO9" s="103"/>
      <c r="BQ9" s="103"/>
      <c r="BR9" s="103"/>
      <c r="BS9" s="103"/>
      <c r="BT9" s="103"/>
      <c r="BU9" s="103"/>
      <c r="BW9" s="103"/>
      <c r="BX9" s="103"/>
      <c r="BY9" s="103"/>
      <c r="BZ9" s="103"/>
      <c r="CA9" s="103"/>
      <c r="CC9" s="103"/>
      <c r="CD9" s="103"/>
      <c r="CE9" s="103"/>
      <c r="CF9" s="103"/>
      <c r="CG9" s="103"/>
      <c r="CI9" s="103"/>
      <c r="CJ9" s="103"/>
      <c r="CK9" s="103"/>
      <c r="CL9" s="103"/>
      <c r="CM9" s="103"/>
      <c r="CO9" s="103"/>
      <c r="CP9" s="103"/>
      <c r="CQ9" s="103"/>
      <c r="CR9" s="103"/>
      <c r="CS9" s="103"/>
      <c r="CU9" s="103"/>
      <c r="CV9" s="103"/>
      <c r="CW9" s="103"/>
      <c r="CX9" s="103"/>
      <c r="CY9" s="103"/>
      <c r="DA9" s="103"/>
      <c r="DB9" s="103"/>
      <c r="DC9" s="103"/>
      <c r="DD9" s="103"/>
      <c r="DE9" s="103"/>
      <c r="DG9" s="103"/>
      <c r="DH9" s="103"/>
      <c r="DI9" s="103"/>
      <c r="DJ9" s="103"/>
      <c r="DK9" s="103"/>
    </row>
    <row r="10" spans="2:115" s="135" customFormat="1" ht="15" x14ac:dyDescent="0.3">
      <c r="B10" s="139" t="s">
        <v>0</v>
      </c>
      <c r="C10" s="141">
        <f>C17-C13</f>
        <v>37.035494492093811</v>
      </c>
      <c r="D10" s="142">
        <f>D17-D13</f>
        <v>38.013227300720267</v>
      </c>
      <c r="E10" s="142">
        <f>E17-E13</f>
        <v>40.452486764103988</v>
      </c>
      <c r="F10" s="142">
        <f>F17-F13</f>
        <v>38.402488335925355</v>
      </c>
      <c r="G10" s="149">
        <f>G69*1000/(G7*12)</f>
        <v>38.486447819826274</v>
      </c>
      <c r="H10" s="134"/>
      <c r="I10" s="141">
        <f>I17-I13</f>
        <v>37.951559934318553</v>
      </c>
      <c r="J10" s="142">
        <f>J17-J13</f>
        <v>37.723375684330129</v>
      </c>
      <c r="K10" s="142">
        <f>K17-K13</f>
        <v>40.63563311793007</v>
      </c>
      <c r="L10" s="142">
        <f>L17-L13</f>
        <v>40.881077379593698</v>
      </c>
      <c r="M10" s="149">
        <f>M69*1000/(M7*12)</f>
        <v>39.303242277580537</v>
      </c>
      <c r="N10" s="134"/>
      <c r="O10" s="141">
        <f>O17-O13</f>
        <v>35.652108433734938</v>
      </c>
      <c r="P10" s="142">
        <f>P17-P13</f>
        <v>34.911597243032659</v>
      </c>
      <c r="Q10" s="142">
        <f>Q17-Q13</f>
        <v>34.437296245336107</v>
      </c>
      <c r="R10" s="142">
        <f>R17-R13</f>
        <v>32.746275294640874</v>
      </c>
      <c r="S10" s="149">
        <f>S69*1000/(S7*12)</f>
        <v>34.430764156608696</v>
      </c>
      <c r="T10" s="134"/>
      <c r="U10" s="141">
        <f>U17-U13</f>
        <v>30.899817579390195</v>
      </c>
      <c r="V10" s="142">
        <f>V17-V13</f>
        <v>32.718171874577003</v>
      </c>
      <c r="W10" s="142">
        <f>W17-W13</f>
        <v>33.307449806854521</v>
      </c>
      <c r="X10" s="142">
        <f>X17-X13</f>
        <v>32.169745345030236</v>
      </c>
      <c r="Y10" s="149">
        <f>Y69*1000/(Y7*12)</f>
        <v>32.270579029828184</v>
      </c>
      <c r="AA10" s="141">
        <f>AA17-AA13</f>
        <v>30.223169787597733</v>
      </c>
      <c r="AB10" s="142">
        <f>AB17-AB13</f>
        <v>30.908946451131328</v>
      </c>
      <c r="AC10" s="142">
        <f>AC17-AC13</f>
        <v>31.191532609802074</v>
      </c>
      <c r="AD10" s="142">
        <f>AD17-AD13</f>
        <v>27.781058497242114</v>
      </c>
      <c r="AE10" s="149">
        <f>AE69*1000/(AE7*12)</f>
        <v>30.003845201901122</v>
      </c>
      <c r="AG10" s="141">
        <f>AG17-AG13</f>
        <v>25.158000043089274</v>
      </c>
      <c r="AH10" s="142">
        <f>AH17-AH13</f>
        <v>24.241268455213444</v>
      </c>
      <c r="AI10" s="142">
        <f>AI17-AI13</f>
        <v>22.946829662425024</v>
      </c>
      <c r="AJ10" s="142">
        <f>AJ17-AJ13</f>
        <v>20.706787664500446</v>
      </c>
      <c r="AK10" s="149">
        <f>AK69*1000/(AK7*12)</f>
        <v>23.202871126970233</v>
      </c>
      <c r="AM10" s="141">
        <f>AM17-AM13</f>
        <v>18.290772274032143</v>
      </c>
      <c r="AN10" s="142">
        <f>AN17-AN13</f>
        <v>18.467571733371713</v>
      </c>
      <c r="AO10" s="142">
        <f>AO17-AO13</f>
        <v>16.988756026732112</v>
      </c>
      <c r="AP10" s="142">
        <f>AP17-AP13</f>
        <v>16.565944730784274</v>
      </c>
      <c r="AQ10" s="149">
        <f>AQ69*1000/(AQ7*12)</f>
        <v>17.585089597307615</v>
      </c>
      <c r="AS10" s="141">
        <f>AS17-AS13</f>
        <v>15.271364354499292</v>
      </c>
      <c r="AT10" s="142">
        <f>AT17-AT13</f>
        <v>15.68074276482889</v>
      </c>
      <c r="AU10" s="142">
        <f>AU17-AU13</f>
        <v>15.331621362728415</v>
      </c>
      <c r="AV10" s="142">
        <f>AV17-AV13</f>
        <v>14.733866380354373</v>
      </c>
      <c r="AW10" s="149">
        <f>AW69*1000/(AW7*12)</f>
        <v>15.254342265015838</v>
      </c>
      <c r="AY10" s="141">
        <f>AY17-AY13</f>
        <v>13.865079163971112</v>
      </c>
      <c r="AZ10" s="142">
        <f>AZ17-AZ13</f>
        <v>14.0875804813257</v>
      </c>
      <c r="BA10" s="142">
        <f>BA17-BA13</f>
        <v>14.427296678615614</v>
      </c>
      <c r="BB10" s="142">
        <f>BB17-BB13</f>
        <v>14.934237820697607</v>
      </c>
      <c r="BC10" s="149">
        <f>BC69*1000/(BC7*12)</f>
        <v>14.309796040169571</v>
      </c>
      <c r="BE10" s="141">
        <f>BE17-BE13</f>
        <v>18.138403607376695</v>
      </c>
      <c r="BF10" s="142">
        <f>BF17-BF13</f>
        <v>14.756503751705321</v>
      </c>
      <c r="BG10" s="142">
        <f>BG17-BG13</f>
        <v>17.246776397153191</v>
      </c>
      <c r="BH10" s="142">
        <f>BH17-BH13</f>
        <v>19.067262081903451</v>
      </c>
      <c r="BI10" s="149">
        <f>BI69*1000/(BI7*12)</f>
        <v>17.27572192719424</v>
      </c>
      <c r="BK10" s="141">
        <f>BK17-BK13</f>
        <v>15.879204259534426</v>
      </c>
      <c r="BL10" s="142">
        <f>BL17-BL13</f>
        <v>16.415129622395835</v>
      </c>
      <c r="BM10" s="142">
        <f>BM17-BM13</f>
        <v>16.093264084095775</v>
      </c>
      <c r="BN10" s="142">
        <f>BN17-BN13</f>
        <v>15.945775528890175</v>
      </c>
      <c r="BO10" s="149">
        <f>BO69*1000/(BO7*12)</f>
        <v>16.081954351701718</v>
      </c>
      <c r="BQ10" s="141">
        <f>BK10*(1+BQ11)</f>
        <v>12.703363407627542</v>
      </c>
      <c r="BR10" s="142">
        <f>BL10*(1+BR11)</f>
        <v>12.96795240169271</v>
      </c>
      <c r="BS10" s="142">
        <f>BM10*(1+BS11)</f>
        <v>13.276942869379013</v>
      </c>
      <c r="BT10" s="143">
        <f>BN10*(1+BT11)</f>
        <v>13.553909199556649</v>
      </c>
      <c r="BU10" s="149">
        <f>BU69*1000/(BU7*12)</f>
        <v>13.12615316379329</v>
      </c>
      <c r="BW10" s="141">
        <f>BQ10*(1+BW11)</f>
        <v>10.924892530559687</v>
      </c>
      <c r="BX10" s="142">
        <f>BR10*(1+BX11)</f>
        <v>11.282118589472658</v>
      </c>
      <c r="BY10" s="142">
        <f>BS10*(1+BY11)</f>
        <v>11.683709725053532</v>
      </c>
      <c r="BZ10" s="143">
        <f>BT10*(1+BZ11)</f>
        <v>12.198518279600984</v>
      </c>
      <c r="CA10" s="149">
        <f>CA69*1000/(CA7*12)</f>
        <v>11.523759831754004</v>
      </c>
      <c r="CC10" s="141">
        <f>BW10*(1+CC11)</f>
        <v>9.9416522028093155</v>
      </c>
      <c r="CD10" s="142">
        <f>BX10*(1+CD11)</f>
        <v>10.379549102314845</v>
      </c>
      <c r="CE10" s="142">
        <f>BY10*(1+CE11)</f>
        <v>10.865850044299783</v>
      </c>
      <c r="CF10" s="143">
        <f>BZ10*(1+CF11)</f>
        <v>11.466607182824925</v>
      </c>
      <c r="CG10" s="149">
        <f>CG69*1000/(CG7*12)</f>
        <v>10.664895684039026</v>
      </c>
      <c r="CI10" s="141">
        <f>CC10*(1+CI11)</f>
        <v>9.3451530706407553</v>
      </c>
      <c r="CJ10" s="142">
        <f>CD10*(1+CJ11)</f>
        <v>9.7567761561759543</v>
      </c>
      <c r="CK10" s="142">
        <f>CE10*(1+CK11)</f>
        <v>10.213899041641795</v>
      </c>
      <c r="CL10" s="143">
        <f>CF10*(1+CL11)</f>
        <v>10.778610751855428</v>
      </c>
      <c r="CM10" s="149">
        <f>CM69*1000/(CM7*12)</f>
        <v>10.024989027253868</v>
      </c>
      <c r="CO10" s="141">
        <f>CI10*(1+CO11)</f>
        <v>8.7844438864023093</v>
      </c>
      <c r="CP10" s="142">
        <f>CJ10*(1+CP11)</f>
        <v>9.1713695868053957</v>
      </c>
      <c r="CQ10" s="142">
        <f>CK10*(1+CQ11)</f>
        <v>9.6010650991432875</v>
      </c>
      <c r="CR10" s="143">
        <f>CL10*(1+CR11)</f>
        <v>10.131894106744102</v>
      </c>
      <c r="CS10" s="149">
        <f>CS69*1000/(CS7*12)</f>
        <v>9.4234777680173423</v>
      </c>
      <c r="CU10" s="141">
        <f>CO10*(1+CU11)</f>
        <v>8.25737725321817</v>
      </c>
      <c r="CV10" s="142">
        <f>CP10*(1+CV11)</f>
        <v>8.6210874115970721</v>
      </c>
      <c r="CW10" s="142">
        <f>CQ10*(1+CW11)</f>
        <v>9.0250011931946901</v>
      </c>
      <c r="CX10" s="143">
        <f>CR10*(1+CX11)</f>
        <v>9.5239804603394553</v>
      </c>
      <c r="CY10" s="149">
        <f>CY69*1000/(CY7*12)</f>
        <v>8.8580581034633141</v>
      </c>
      <c r="DA10" s="141">
        <f>CU10*(1+DA11)</f>
        <v>7.7619346180250792</v>
      </c>
      <c r="DB10" s="142">
        <f>CV10*(1+DB11)</f>
        <v>8.1038221669012476</v>
      </c>
      <c r="DC10" s="142">
        <f>CW10*(1+DC11)</f>
        <v>8.483501121603009</v>
      </c>
      <c r="DD10" s="143">
        <f>CX10*(1+DD11)</f>
        <v>8.9525416327190879</v>
      </c>
      <c r="DE10" s="149">
        <f>DE69*1000/(DE7*12)</f>
        <v>8.3265644653244433</v>
      </c>
      <c r="DG10" s="141">
        <f>DA10*(1+DG11)</f>
        <v>7.296218540943574</v>
      </c>
      <c r="DH10" s="142">
        <f>DB10*(1+DH11)</f>
        <v>7.6175928368871721</v>
      </c>
      <c r="DI10" s="142">
        <f>DC10*(1+DI11)</f>
        <v>7.9744910543068279</v>
      </c>
      <c r="DJ10" s="143">
        <f>DD10*(1+DJ11)</f>
        <v>8.4153891347559426</v>
      </c>
      <c r="DK10" s="149">
        <f>DK69*1000/(DK7*12)</f>
        <v>7.8269612253172971</v>
      </c>
    </row>
    <row r="11" spans="2:115" ht="15" x14ac:dyDescent="0.3">
      <c r="B11" s="5" t="s">
        <v>23</v>
      </c>
      <c r="C11" s="144" t="s">
        <v>35</v>
      </c>
      <c r="D11" s="107" t="s">
        <v>35</v>
      </c>
      <c r="E11" s="107" t="s">
        <v>35</v>
      </c>
      <c r="F11" s="145" t="s">
        <v>35</v>
      </c>
      <c r="G11" s="153" t="s">
        <v>35</v>
      </c>
      <c r="H11" s="107"/>
      <c r="I11" s="151">
        <f>I10/C10-1</f>
        <v>2.4734797112545559E-2</v>
      </c>
      <c r="J11" s="133">
        <f>J10/D10-1</f>
        <v>-7.6250199462712942E-3</v>
      </c>
      <c r="K11" s="133">
        <f>K10/E10-1</f>
        <v>4.5274436376208094E-3</v>
      </c>
      <c r="L11" s="133">
        <f>L10/F10-1</f>
        <v>6.4542407304102545E-2</v>
      </c>
      <c r="M11" s="153">
        <f>M10/G10-1</f>
        <v>2.1222911025150282E-2</v>
      </c>
      <c r="N11" s="107"/>
      <c r="O11" s="151">
        <f>O10/I10-1</f>
        <v>-6.0589116878547178E-2</v>
      </c>
      <c r="P11" s="133">
        <f>P10/J10-1</f>
        <v>-7.4536766402521382E-2</v>
      </c>
      <c r="Q11" s="133">
        <f>Q10/K10-1</f>
        <v>-0.15253452197005413</v>
      </c>
      <c r="R11" s="133">
        <f>R10/L10-1</f>
        <v>-0.1989869789736366</v>
      </c>
      <c r="S11" s="153">
        <f>S10/M10-1</f>
        <v>-0.12397140384907157</v>
      </c>
      <c r="T11" s="107"/>
      <c r="U11" s="151">
        <f>U10/O10-1</f>
        <v>-0.13329620780149998</v>
      </c>
      <c r="V11" s="133">
        <f>V10/P10-1</f>
        <v>-6.2827986734219077E-2</v>
      </c>
      <c r="W11" s="133">
        <f>W10/Q10-1</f>
        <v>-3.2808802132211601E-2</v>
      </c>
      <c r="X11" s="133">
        <f>X10/R10-1</f>
        <v>-1.7605970279770733E-2</v>
      </c>
      <c r="Y11" s="153">
        <f>Y10/S10-1</f>
        <v>-6.2739970479739782E-2</v>
      </c>
      <c r="AA11" s="151">
        <f>AA10/U10-1</f>
        <v>-2.1898116066671469E-2</v>
      </c>
      <c r="AB11" s="133">
        <f>AB10/V10-1</f>
        <v>-5.5297265091131087E-2</v>
      </c>
      <c r="AC11" s="133">
        <f>AC10/W10-1</f>
        <v>-6.3526844874716271E-2</v>
      </c>
      <c r="AD11" s="133">
        <f>AD10/X10-1</f>
        <v>-0.13642280349807345</v>
      </c>
      <c r="AE11" s="153">
        <f>AE10/Y10-1</f>
        <v>-7.0241498481694031E-2</v>
      </c>
      <c r="AG11" s="151">
        <f>AG10/AA10-1</f>
        <v>-0.16759227374578634</v>
      </c>
      <c r="AH11" s="133">
        <f>AH10/AB10-1</f>
        <v>-0.21572000218318133</v>
      </c>
      <c r="AI11" s="133">
        <f>AI10/AC10-1</f>
        <v>-0.26432503495471449</v>
      </c>
      <c r="AJ11" s="133">
        <f>AJ10/AD10-1</f>
        <v>-0.2546436750580956</v>
      </c>
      <c r="AK11" s="153">
        <f>AK10/AE10-1</f>
        <v>-0.22667008275659151</v>
      </c>
      <c r="AM11" s="151">
        <f>AM10/AG10-1</f>
        <v>-0.27296397795116112</v>
      </c>
      <c r="AN11" s="133">
        <f>AN10/AH10-1</f>
        <v>-0.23817634512438279</v>
      </c>
      <c r="AO11" s="133">
        <f>AO10/AI10-1</f>
        <v>-0.25964691956767949</v>
      </c>
      <c r="AP11" s="133">
        <f>AP10/AJ10-1</f>
        <v>-0.19997514828508145</v>
      </c>
      <c r="AQ11" s="153">
        <f>AQ10/AK10-1</f>
        <v>-0.24211579243452763</v>
      </c>
      <c r="AS11" s="151">
        <f>AS10/AM10-1</f>
        <v>-0.16507820852482968</v>
      </c>
      <c r="AT11" s="133">
        <f>AT10/AN10-1</f>
        <v>-0.15090392005933839</v>
      </c>
      <c r="AU11" s="133">
        <f>AU10/AO10-1</f>
        <v>-9.7543025598588073E-2</v>
      </c>
      <c r="AV11" s="133">
        <f>AV10/AP10-1</f>
        <v>-0.11059304978999318</v>
      </c>
      <c r="AW11" s="153">
        <f>AW10/AQ10-1</f>
        <v>-0.13254111213903785</v>
      </c>
      <c r="AY11" s="151">
        <f>AY10/AS10-1</f>
        <v>-9.2086414670203065E-2</v>
      </c>
      <c r="AZ11" s="133">
        <f>AZ10/AT10-1</f>
        <v>-0.10159992465896273</v>
      </c>
      <c r="BA11" s="133">
        <f>BA10/AU10-1</f>
        <v>-5.8984282400244892E-2</v>
      </c>
      <c r="BB11" s="133">
        <f>BB10/AV10-1</f>
        <v>1.3599379495554675E-2</v>
      </c>
      <c r="BC11" s="153">
        <f>BC10/AW10-1</f>
        <v>-6.1919826396742095E-2</v>
      </c>
      <c r="BE11" s="151">
        <f>BE10/AY10-1</f>
        <v>0.30820772048023826</v>
      </c>
      <c r="BF11" s="133">
        <f>BF10/AZ10-1</f>
        <v>4.7483190691711474E-2</v>
      </c>
      <c r="BG11" s="133">
        <f>BG10/BA10-1</f>
        <v>0.19542675120257691</v>
      </c>
      <c r="BH11" s="133">
        <f>BH10/BB10-1</f>
        <v>0.27674825530619418</v>
      </c>
      <c r="BI11" s="153">
        <f>BI10/BC10-1</f>
        <v>0.207265420045045</v>
      </c>
      <c r="BK11" s="151">
        <f>BK10/BE10-1</f>
        <v>-0.12455337287364565</v>
      </c>
      <c r="BL11" s="133">
        <f>BL10/BF10-1</f>
        <v>0.1123996509334968</v>
      </c>
      <c r="BM11" s="133">
        <f>BM10/BG10-1</f>
        <v>-6.6882777772188096E-2</v>
      </c>
      <c r="BN11" s="133">
        <f>BN10/BH10-1</f>
        <v>-0.1637092173802891</v>
      </c>
      <c r="BO11" s="153">
        <f>BO10/BI10-1</f>
        <v>-6.9100879287329553E-2</v>
      </c>
      <c r="BQ11" s="151">
        <v>-0.2</v>
      </c>
      <c r="BR11" s="133">
        <v>-0.21</v>
      </c>
      <c r="BS11" s="133">
        <v>-0.17499999999999999</v>
      </c>
      <c r="BT11" s="133">
        <v>-0.15</v>
      </c>
      <c r="BU11" s="153">
        <f>BU10/BO10-1</f>
        <v>-0.183796143383261</v>
      </c>
      <c r="BW11" s="151">
        <v>-0.14000000000000001</v>
      </c>
      <c r="BX11" s="133">
        <v>-0.13</v>
      </c>
      <c r="BY11" s="133">
        <v>-0.12</v>
      </c>
      <c r="BZ11" s="133">
        <v>-0.1</v>
      </c>
      <c r="CA11" s="153">
        <f>CA10/BU10-1</f>
        <v>-0.12207638536926957</v>
      </c>
      <c r="CC11" s="151">
        <v>-0.09</v>
      </c>
      <c r="CD11" s="133">
        <v>-0.08</v>
      </c>
      <c r="CE11" s="133">
        <v>-7.0000000000000007E-2</v>
      </c>
      <c r="CF11" s="133">
        <v>-0.06</v>
      </c>
      <c r="CG11" s="153">
        <f>CG10/CA10-1</f>
        <v>-7.4529854861115519E-2</v>
      </c>
      <c r="CI11" s="151">
        <v>-0.06</v>
      </c>
      <c r="CJ11" s="133">
        <v>-0.06</v>
      </c>
      <c r="CK11" s="133">
        <v>-0.06</v>
      </c>
      <c r="CL11" s="133">
        <v>-0.06</v>
      </c>
      <c r="CM11" s="153">
        <f>CM10/CG10-1</f>
        <v>-6.0001211051959547E-2</v>
      </c>
      <c r="CO11" s="151">
        <v>-0.06</v>
      </c>
      <c r="CP11" s="133">
        <v>-0.06</v>
      </c>
      <c r="CQ11" s="133">
        <v>-0.06</v>
      </c>
      <c r="CR11" s="133">
        <v>-0.06</v>
      </c>
      <c r="CS11" s="153">
        <f>CS10/CM10-1</f>
        <v>-6.0001188789460147E-2</v>
      </c>
      <c r="CU11" s="151">
        <v>-0.06</v>
      </c>
      <c r="CV11" s="133">
        <v>-0.06</v>
      </c>
      <c r="CW11" s="133">
        <v>-0.06</v>
      </c>
      <c r="CX11" s="133">
        <v>-0.06</v>
      </c>
      <c r="CY11" s="153">
        <f>CY10/CS10-1</f>
        <v>-6.0001167135240174E-2</v>
      </c>
      <c r="DA11" s="151">
        <v>-0.06</v>
      </c>
      <c r="DB11" s="133">
        <v>-0.06</v>
      </c>
      <c r="DC11" s="133">
        <v>-0.06</v>
      </c>
      <c r="DD11" s="133">
        <v>-0.06</v>
      </c>
      <c r="DE11" s="153">
        <f>DE10/CY10-1</f>
        <v>-6.0001146067338196E-2</v>
      </c>
      <c r="DG11" s="151">
        <v>-0.06</v>
      </c>
      <c r="DH11" s="133">
        <v>-0.06</v>
      </c>
      <c r="DI11" s="133">
        <v>-0.06</v>
      </c>
      <c r="DJ11" s="133">
        <v>-0.06</v>
      </c>
      <c r="DK11" s="153">
        <f>DK10/DE10-1</f>
        <v>-6.0001125564777436E-2</v>
      </c>
    </row>
    <row r="12" spans="2:115" ht="15" x14ac:dyDescent="0.3">
      <c r="B12" s="5"/>
      <c r="C12" s="144"/>
      <c r="D12" s="107"/>
      <c r="E12" s="107"/>
      <c r="F12" s="145"/>
      <c r="G12" s="138"/>
      <c r="I12" s="144"/>
      <c r="J12" s="107"/>
      <c r="K12" s="107"/>
      <c r="L12" s="107"/>
      <c r="M12" s="138"/>
      <c r="O12" s="144"/>
      <c r="P12" s="107"/>
      <c r="Q12" s="107"/>
      <c r="R12" s="107"/>
      <c r="S12" s="138"/>
      <c r="U12" s="144"/>
      <c r="V12" s="107"/>
      <c r="W12" s="107"/>
      <c r="X12" s="145"/>
      <c r="Y12" s="138"/>
      <c r="AA12" s="144"/>
      <c r="AB12" s="107"/>
      <c r="AC12" s="107"/>
      <c r="AD12" s="145"/>
      <c r="AE12" s="138"/>
      <c r="AG12" s="144"/>
      <c r="AH12" s="107"/>
      <c r="AI12" s="107"/>
      <c r="AJ12" s="145"/>
      <c r="AK12" s="138"/>
      <c r="AM12" s="144"/>
      <c r="AN12" s="107"/>
      <c r="AO12" s="107"/>
      <c r="AP12" s="107"/>
      <c r="AQ12" s="138"/>
      <c r="AS12" s="144"/>
      <c r="AT12" s="107"/>
      <c r="AU12" s="107"/>
      <c r="AV12" s="107"/>
      <c r="AW12" s="138"/>
      <c r="AY12" s="144"/>
      <c r="AZ12" s="107"/>
      <c r="BA12" s="107"/>
      <c r="BB12" s="107"/>
      <c r="BC12" s="138"/>
      <c r="BE12" s="144"/>
      <c r="BF12" s="107"/>
      <c r="BG12" s="107"/>
      <c r="BH12" s="107"/>
      <c r="BI12" s="138"/>
      <c r="BK12" s="144"/>
      <c r="BL12" s="107"/>
      <c r="BM12" s="107"/>
      <c r="BN12" s="107"/>
      <c r="BO12" s="138"/>
      <c r="BQ12" s="144"/>
      <c r="BR12" s="107"/>
      <c r="BS12" s="107"/>
      <c r="BT12" s="145"/>
      <c r="BU12" s="138"/>
      <c r="BW12" s="144"/>
      <c r="BX12" s="107"/>
      <c r="BY12" s="107"/>
      <c r="BZ12" s="145"/>
      <c r="CA12" s="138"/>
      <c r="CC12" s="144"/>
      <c r="CD12" s="107"/>
      <c r="CE12" s="107"/>
      <c r="CF12" s="145"/>
      <c r="CG12" s="138"/>
      <c r="CI12" s="144"/>
      <c r="CJ12" s="107"/>
      <c r="CK12" s="107"/>
      <c r="CL12" s="145"/>
      <c r="CM12" s="138"/>
      <c r="CO12" s="144"/>
      <c r="CP12" s="107"/>
      <c r="CQ12" s="107"/>
      <c r="CR12" s="145"/>
      <c r="CS12" s="138"/>
      <c r="CU12" s="144"/>
      <c r="CV12" s="107"/>
      <c r="CW12" s="107"/>
      <c r="CX12" s="145"/>
      <c r="CY12" s="138"/>
      <c r="DA12" s="144"/>
      <c r="DB12" s="107"/>
      <c r="DC12" s="107"/>
      <c r="DD12" s="145"/>
      <c r="DE12" s="138"/>
      <c r="DG12" s="144"/>
      <c r="DH12" s="107"/>
      <c r="DI12" s="107"/>
      <c r="DJ12" s="145"/>
      <c r="DK12" s="138"/>
    </row>
    <row r="13" spans="2:115" ht="15" x14ac:dyDescent="0.3">
      <c r="B13" s="105" t="s">
        <v>1</v>
      </c>
      <c r="C13" s="161">
        <f>C15*C17</f>
        <v>8.1297426933864454</v>
      </c>
      <c r="D13" s="162">
        <f>D15*D17</f>
        <v>9.5033068251800668</v>
      </c>
      <c r="E13" s="162">
        <f>E15*E17</f>
        <v>8.2854490962622638</v>
      </c>
      <c r="F13" s="162">
        <f>F15*F17</f>
        <v>9.6006220839813388</v>
      </c>
      <c r="G13" s="164">
        <f>G72*1000/(G7*12)</f>
        <v>8.8858306956250548</v>
      </c>
      <c r="H13" s="134"/>
      <c r="I13" s="161">
        <f>I15*I17</f>
        <v>9.48788998357964</v>
      </c>
      <c r="J13" s="162">
        <f>J15*J17</f>
        <v>9.4308439210825323</v>
      </c>
      <c r="K13" s="162">
        <f>K15*K17</f>
        <v>8.9200170258870877</v>
      </c>
      <c r="L13" s="162">
        <f>L15*L17</f>
        <v>9.5893885211392629</v>
      </c>
      <c r="M13" s="164">
        <f>M72*1000/(M7*12)</f>
        <v>9.3581836317742564</v>
      </c>
      <c r="N13" s="134"/>
      <c r="O13" s="161">
        <f>O15*O17</f>
        <v>10.055722891566266</v>
      </c>
      <c r="P13" s="162">
        <f>P15*P17</f>
        <v>11.637199081010888</v>
      </c>
      <c r="Q13" s="162">
        <f>Q15*Q17</f>
        <v>10.286465112243254</v>
      </c>
      <c r="R13" s="162">
        <f>R15*R17</f>
        <v>11.505448076495442</v>
      </c>
      <c r="S13" s="164">
        <f>S72*1000/(S7*12)</f>
        <v>10.872872891560641</v>
      </c>
      <c r="U13" s="161">
        <f>U15*U17</f>
        <v>10.299939193130065</v>
      </c>
      <c r="V13" s="162">
        <f>V15*V17</f>
        <v>10.906057291525668</v>
      </c>
      <c r="W13" s="162">
        <f>W15*W17</f>
        <v>11.702617499705644</v>
      </c>
      <c r="X13" s="162">
        <f>X15*X17</f>
        <v>12.510456523067315</v>
      </c>
      <c r="Y13" s="164">
        <f>Y72*1000/(Y7*12)</f>
        <v>11.351804703668488</v>
      </c>
      <c r="Z13" s="260"/>
      <c r="AA13" s="161">
        <f>AA15*AA17</f>
        <v>11.178432661166285</v>
      </c>
      <c r="AB13" s="162">
        <f>AB15*AB17</f>
        <v>11.432076084665013</v>
      </c>
      <c r="AC13" s="162">
        <f>AC15*AC17</f>
        <v>10.959187133173701</v>
      </c>
      <c r="AD13" s="162">
        <f>AD15*AD17</f>
        <v>11.347192907324242</v>
      </c>
      <c r="AE13" s="164">
        <f>AE72*1000/(AE7*12)</f>
        <v>11.229923629092886</v>
      </c>
      <c r="AF13" s="260"/>
      <c r="AG13" s="161">
        <f>AG15*AG17</f>
        <v>10.275802834501251</v>
      </c>
      <c r="AH13" s="162">
        <f>AH15*AH17</f>
        <v>10.891004668284301</v>
      </c>
      <c r="AI13" s="162">
        <f>AI15*AI17</f>
        <v>9.8343555696107234</v>
      </c>
      <c r="AJ13" s="162">
        <f>AJ15*AJ17</f>
        <v>9.7443706656472688</v>
      </c>
      <c r="AK13" s="164">
        <f>AK72*1000/(AK7*12)</f>
        <v>10.175078997192404</v>
      </c>
      <c r="AL13" s="260"/>
      <c r="AM13" s="161">
        <f>AM15*AM17</f>
        <v>9.0088878364635914</v>
      </c>
      <c r="AN13" s="162">
        <f>AN15*AN17</f>
        <v>9.0959681671830825</v>
      </c>
      <c r="AO13" s="162">
        <f>AO15*AO17</f>
        <v>9.1477917067019057</v>
      </c>
      <c r="AP13" s="162">
        <f>AP15*AP17</f>
        <v>10.153320964029069</v>
      </c>
      <c r="AQ13" s="164">
        <f>AQ72*1000/(AQ7*12)</f>
        <v>9.347541542071637</v>
      </c>
      <c r="AR13" s="260"/>
      <c r="AS13" s="161">
        <f>AS15*AS17</f>
        <v>8.9688965256583142</v>
      </c>
      <c r="AT13" s="162">
        <f>AT15*AT17</f>
        <v>8.8204178052162501</v>
      </c>
      <c r="AU13" s="162">
        <f>AU15*AU17</f>
        <v>9.3968001900593503</v>
      </c>
      <c r="AV13" s="162">
        <f>AV15*AV17</f>
        <v>9.0304342331204221</v>
      </c>
      <c r="AW13" s="164">
        <f>AW72*1000/(AW7*12)</f>
        <v>9.0541573193881053</v>
      </c>
      <c r="AX13" s="260"/>
      <c r="AY13" s="161">
        <f>AY15*AY17</f>
        <v>8.8645588097520243</v>
      </c>
      <c r="AZ13" s="162">
        <f>AZ15*AZ17</f>
        <v>9.0068137503557768</v>
      </c>
      <c r="BA13" s="162">
        <f>BA15*BA17</f>
        <v>9.2240093519017865</v>
      </c>
      <c r="BB13" s="162">
        <f>BB15*BB17</f>
        <v>9.9561585471317393</v>
      </c>
      <c r="BC13" s="164">
        <f>BC72*1000/(BC7*12)</f>
        <v>9.2414076138305585</v>
      </c>
      <c r="BD13" s="260"/>
      <c r="BE13" s="161">
        <f>BE15*BE17</f>
        <v>11.596684273568707</v>
      </c>
      <c r="BF13" s="162">
        <f>BF15*BF17</f>
        <v>12.570355047748979</v>
      </c>
      <c r="BG13" s="162">
        <f>BG15*BG17</f>
        <v>12.489044977248863</v>
      </c>
      <c r="BH13" s="162">
        <f>BH15*BH17</f>
        <v>13.807327714481808</v>
      </c>
      <c r="BI13" s="164">
        <f>BI72*1000/(BI7*12)</f>
        <v>12.591293703011603</v>
      </c>
      <c r="BJ13" s="260"/>
      <c r="BK13" s="161">
        <f>BK15*BK17</f>
        <v>14.081558494304112</v>
      </c>
      <c r="BL13" s="162">
        <f>BL15*BL17</f>
        <v>15.152427343749999</v>
      </c>
      <c r="BM13" s="162">
        <f>BM15*BM17</f>
        <v>14.855320693011485</v>
      </c>
      <c r="BN13" s="162">
        <f>BN15*BN17</f>
        <v>15.320450998345462</v>
      </c>
      <c r="BO13" s="164">
        <f>BO72*1000/(BO7*12)</f>
        <v>14.850403851955825</v>
      </c>
      <c r="BP13" s="260"/>
      <c r="BQ13" s="161">
        <f>BK13*(1+BQ14)</f>
        <v>15.419306551263002</v>
      </c>
      <c r="BR13" s="162">
        <f>BL13*(1+BR14)</f>
        <v>16.440383667968749</v>
      </c>
      <c r="BS13" s="162">
        <f>BM13*(1+BS14)</f>
        <v>16.043746348452405</v>
      </c>
      <c r="BT13" s="163">
        <f>BN13*(1+BT14)</f>
        <v>16.469484823221372</v>
      </c>
      <c r="BU13" s="164">
        <f>BU72*1000/(BU7*12)</f>
        <v>16.093384447694099</v>
      </c>
      <c r="BV13" s="260"/>
      <c r="BW13" s="161">
        <f>BQ13*(1+BW14)</f>
        <v>16.421561477095096</v>
      </c>
      <c r="BX13" s="162">
        <f>BR13*(1+BX14)</f>
        <v>17.262402851367188</v>
      </c>
      <c r="BY13" s="162">
        <f>BS13*(1+BY14)</f>
        <v>16.845933665875027</v>
      </c>
      <c r="BZ13" s="163">
        <f>BT13*(1+BZ14)</f>
        <v>17.29295906438244</v>
      </c>
      <c r="CA13" s="164">
        <f>CA72*1000/(CA7*12)</f>
        <v>16.956464637170104</v>
      </c>
      <c r="CB13" s="260"/>
      <c r="CC13" s="161">
        <f>BW13*(1+CC14)</f>
        <v>17.242639550949853</v>
      </c>
      <c r="CD13" s="162">
        <f>BX13*(1+CD14)</f>
        <v>18.125522993935547</v>
      </c>
      <c r="CE13" s="162">
        <f>BY13*(1+CE14)</f>
        <v>17.68823034916878</v>
      </c>
      <c r="CF13" s="163">
        <f>BZ13*(1+CF14)</f>
        <v>18.157607017601563</v>
      </c>
      <c r="CG13" s="164">
        <f>CG72*1000/(CG7*12)</f>
        <v>17.804175254670646</v>
      </c>
      <c r="CH13" s="260"/>
      <c r="CI13" s="161">
        <f>CC13*(1+CI14)</f>
        <v>17.932345132987848</v>
      </c>
      <c r="CJ13" s="162">
        <f>CD13*(1+CJ14)</f>
        <v>18.85054391369297</v>
      </c>
      <c r="CK13" s="162">
        <f>CE13*(1+CK14)</f>
        <v>18.395759563135531</v>
      </c>
      <c r="CL13" s="163">
        <f>CF13*(1+CL14)</f>
        <v>18.883911298305627</v>
      </c>
      <c r="CM13" s="164">
        <f>CM72*1000/(CM7*12)</f>
        <v>18.516335749523712</v>
      </c>
      <c r="CN13" s="260"/>
      <c r="CO13" s="161">
        <f>CI13*(1+CO14)</f>
        <v>18.649638938307362</v>
      </c>
      <c r="CP13" s="162">
        <f>CJ13*(1+CP14)</f>
        <v>19.604565670240689</v>
      </c>
      <c r="CQ13" s="162">
        <f>CK13*(1+CQ14)</f>
        <v>19.131589945660952</v>
      </c>
      <c r="CR13" s="163">
        <f>CL13*(1+CR14)</f>
        <v>19.639267750237853</v>
      </c>
      <c r="CS13" s="164">
        <f>CS72*1000/(CS7*12)</f>
        <v>19.256982528126837</v>
      </c>
      <c r="CT13" s="260"/>
      <c r="CU13" s="161">
        <f>CO13*(1+CU14)</f>
        <v>19.395624495839659</v>
      </c>
      <c r="CV13" s="162">
        <f>CP13*(1+CV14)</f>
        <v>20.388748297050316</v>
      </c>
      <c r="CW13" s="162">
        <f>CQ13*(1+CW14)</f>
        <v>19.896853543487392</v>
      </c>
      <c r="CX13" s="163">
        <f>CR13*(1+CX14)</f>
        <v>20.424838460247368</v>
      </c>
      <c r="CY13" s="164">
        <f>CY72*1000/(CY7*12)</f>
        <v>20.027255037831061</v>
      </c>
      <c r="CZ13" s="260"/>
      <c r="DA13" s="161">
        <f>CU13*(1+DA14)</f>
        <v>20.171449475673246</v>
      </c>
      <c r="DB13" s="162">
        <f>CV13*(1+DB14)</f>
        <v>21.204298228932331</v>
      </c>
      <c r="DC13" s="162">
        <f>CW13*(1+DC14)</f>
        <v>20.692727685226888</v>
      </c>
      <c r="DD13" s="163">
        <f>CX13*(1+DD14)</f>
        <v>21.241831998657265</v>
      </c>
      <c r="DE13" s="164">
        <f>DE72*1000/(DE7*12)</f>
        <v>20.828338303770497</v>
      </c>
      <c r="DF13" s="260"/>
      <c r="DG13" s="161">
        <f>DA13*(1+DG14)</f>
        <v>20.978307454700175</v>
      </c>
      <c r="DH13" s="162">
        <f>DB13*(1+DH14)</f>
        <v>22.052470158089623</v>
      </c>
      <c r="DI13" s="162">
        <f>DC13*(1+DI14)</f>
        <v>21.520436792635966</v>
      </c>
      <c r="DJ13" s="163">
        <f>DD13*(1+DJ14)</f>
        <v>22.091505278603556</v>
      </c>
      <c r="DK13" s="164">
        <f>DK72*1000/(DK7*12)</f>
        <v>21.661464751970033</v>
      </c>
    </row>
    <row r="14" spans="2:115" ht="15" x14ac:dyDescent="0.3">
      <c r="B14" s="5" t="s">
        <v>23</v>
      </c>
      <c r="C14" s="144" t="s">
        <v>35</v>
      </c>
      <c r="D14" s="107" t="s">
        <v>35</v>
      </c>
      <c r="E14" s="107" t="s">
        <v>35</v>
      </c>
      <c r="F14" s="107" t="s">
        <v>35</v>
      </c>
      <c r="G14" s="153" t="s">
        <v>35</v>
      </c>
      <c r="H14" s="107"/>
      <c r="I14" s="151">
        <f>I13/C13-1</f>
        <v>0.16705907448928836</v>
      </c>
      <c r="J14" s="133">
        <f>J13/D13-1</f>
        <v>-7.6250199462712942E-3</v>
      </c>
      <c r="K14" s="133">
        <f>K13/E13-1</f>
        <v>7.6588235864135656E-2</v>
      </c>
      <c r="L14" s="133">
        <f>L13/F13-1</f>
        <v>-1.170086973928397E-3</v>
      </c>
      <c r="M14" s="153">
        <f>M13/G13-1</f>
        <v>5.3157994151493915E-2</v>
      </c>
      <c r="N14" s="107"/>
      <c r="O14" s="151">
        <f>O13/I13-1</f>
        <v>5.9848175829331218E-2</v>
      </c>
      <c r="P14" s="133">
        <f>P13/J13-1</f>
        <v>0.23395097812997157</v>
      </c>
      <c r="Q14" s="133">
        <f>Q13/K13-1</f>
        <v>0.15318895495272611</v>
      </c>
      <c r="R14" s="133">
        <f>R13/L13-1</f>
        <v>0.19981039991573346</v>
      </c>
      <c r="S14" s="153">
        <f>S13/M13-1</f>
        <v>0.16185718504641144</v>
      </c>
      <c r="T14" s="107"/>
      <c r="U14" s="151">
        <f>U13/O13-1</f>
        <v>2.4286299870954542E-2</v>
      </c>
      <c r="V14" s="133">
        <f>V13/P13-1</f>
        <v>-6.2827986734219188E-2</v>
      </c>
      <c r="W14" s="133">
        <f>W13/Q13-1</f>
        <v>0.13767143250958425</v>
      </c>
      <c r="X14" s="133">
        <f>X13/R13-1</f>
        <v>8.7350656827091422E-2</v>
      </c>
      <c r="Y14" s="153">
        <f>Y13/S13-1</f>
        <v>4.4048322544043117E-2</v>
      </c>
      <c r="AA14" s="151">
        <f>AA13/U13-1</f>
        <v>8.5291131487665872E-2</v>
      </c>
      <c r="AB14" s="133">
        <f>AB13/V13-1</f>
        <v>4.8231801748197078E-2</v>
      </c>
      <c r="AC14" s="133">
        <f>AC13/W13-1</f>
        <v>-6.3526844874716493E-2</v>
      </c>
      <c r="AD14" s="133">
        <f>AD13/X13-1</f>
        <v>-9.2983306692141721E-2</v>
      </c>
      <c r="AE14" s="153">
        <f>AE13/Y13-1</f>
        <v>-1.073671347924221E-2</v>
      </c>
      <c r="AG14" s="151">
        <f>AG13/AA13-1</f>
        <v>-8.0747440542425775E-2</v>
      </c>
      <c r="AH14" s="133">
        <f>AH13/AB13-1</f>
        <v>-4.7329235072753328E-2</v>
      </c>
      <c r="AI14" s="133">
        <f>AI13/AC13-1</f>
        <v>-0.10263822945025625</v>
      </c>
      <c r="AJ14" s="133">
        <f>AJ13/AD13-1</f>
        <v>-0.14125275341378962</v>
      </c>
      <c r="AK14" s="153">
        <f>AK13/AE13-1</f>
        <v>-9.3931594438250721E-2</v>
      </c>
      <c r="AM14" s="151">
        <f>AM13/AG13-1</f>
        <v>-0.12329109641768943</v>
      </c>
      <c r="AN14" s="133">
        <f>AN13/AH13-1</f>
        <v>-0.1648182656948578</v>
      </c>
      <c r="AO14" s="133">
        <f>AO13/AI13-1</f>
        <v>-6.9812796379905007E-2</v>
      </c>
      <c r="AP14" s="133">
        <f>AP13/AJ13-1</f>
        <v>4.1967851225478414E-2</v>
      </c>
      <c r="AQ14" s="153">
        <f>AQ13/AK13-1</f>
        <v>-8.1329830986973994E-2</v>
      </c>
      <c r="AS14" s="151">
        <f>AS13/AM13-1</f>
        <v>-4.439095205893473E-3</v>
      </c>
      <c r="AT14" s="133">
        <f>AT13/AN13-1</f>
        <v>-3.0293681431403652E-2</v>
      </c>
      <c r="AU14" s="133">
        <f>AU13/AO13-1</f>
        <v>2.7220611415432083E-2</v>
      </c>
      <c r="AV14" s="133">
        <f>AV13/AP13-1</f>
        <v>-0.11059304978999307</v>
      </c>
      <c r="AW14" s="153">
        <f>AW13/AQ13-1</f>
        <v>-3.1386244325640189E-2</v>
      </c>
      <c r="AY14" s="151">
        <f>AY13/AS13-1</f>
        <v>-1.1633283493437507E-2</v>
      </c>
      <c r="AZ14" s="133">
        <f>AZ13/AT13-1</f>
        <v>2.113232607068749E-2</v>
      </c>
      <c r="BA14" s="133">
        <f>BA13/AU13-1</f>
        <v>-1.8388263521911918E-2</v>
      </c>
      <c r="BB14" s="133">
        <f>BB13/AV13-1</f>
        <v>0.10251160576709473</v>
      </c>
      <c r="BC14" s="153">
        <f>BC13/AW13-1</f>
        <v>2.0681139926902459E-2</v>
      </c>
      <c r="BE14" s="151">
        <f>BE13/AY13-1</f>
        <v>0.30820772048023803</v>
      </c>
      <c r="BF14" s="133">
        <f>BF13/AZ13-1</f>
        <v>0.39564949339076083</v>
      </c>
      <c r="BG14" s="133">
        <f>BG13/BA13-1</f>
        <v>0.3539714131657834</v>
      </c>
      <c r="BH14" s="133">
        <f>BH13/BB13-1</f>
        <v>0.38681276007396925</v>
      </c>
      <c r="BI14" s="153">
        <f>BI13/BC13-1</f>
        <v>0.3624865636450938</v>
      </c>
      <c r="BK14" s="151">
        <f>BK13/BE13-1</f>
        <v>0.21427454280176939</v>
      </c>
      <c r="BL14" s="133">
        <f>BL13/BF13-1</f>
        <v>0.20540965519215004</v>
      </c>
      <c r="BM14" s="133">
        <f>BM13/BG13-1</f>
        <v>0.18946810745523268</v>
      </c>
      <c r="BN14" s="133">
        <f>BN13/BH13-1</f>
        <v>0.1095884239987015</v>
      </c>
      <c r="BO14" s="153">
        <f>BO13/BI13-1</f>
        <v>0.17941843008585256</v>
      </c>
      <c r="BQ14" s="151">
        <v>9.5000000000000001E-2</v>
      </c>
      <c r="BR14" s="133">
        <v>8.5000000000000006E-2</v>
      </c>
      <c r="BS14" s="133">
        <v>0.08</v>
      </c>
      <c r="BT14" s="133">
        <v>7.4999999999999997E-2</v>
      </c>
      <c r="BU14" s="153">
        <f>BU13/BO13-1</f>
        <v>8.3700120759649943E-2</v>
      </c>
      <c r="BW14" s="151">
        <v>6.5000000000000002E-2</v>
      </c>
      <c r="BX14" s="133">
        <v>0.05</v>
      </c>
      <c r="BY14" s="133">
        <v>0.05</v>
      </c>
      <c r="BZ14" s="152">
        <v>0.05</v>
      </c>
      <c r="CA14" s="153">
        <f>CA13/BU13-1</f>
        <v>5.3629501754658415E-2</v>
      </c>
      <c r="CC14" s="151">
        <v>0.05</v>
      </c>
      <c r="CD14" s="133">
        <v>0.05</v>
      </c>
      <c r="CE14" s="133">
        <v>0.05</v>
      </c>
      <c r="CF14" s="152">
        <v>0.05</v>
      </c>
      <c r="CG14" s="153">
        <f>CG13/CA13-1</f>
        <v>4.9993358618062533E-2</v>
      </c>
      <c r="CI14" s="151">
        <v>0.04</v>
      </c>
      <c r="CJ14" s="133">
        <v>0.04</v>
      </c>
      <c r="CK14" s="133">
        <v>0.04</v>
      </c>
      <c r="CL14" s="152">
        <v>0.04</v>
      </c>
      <c r="CM14" s="153">
        <f>CM13/CG13-1</f>
        <v>3.9999634055851052E-2</v>
      </c>
      <c r="CO14" s="151">
        <v>0.04</v>
      </c>
      <c r="CP14" s="133">
        <v>0.04</v>
      </c>
      <c r="CQ14" s="133">
        <v>0.04</v>
      </c>
      <c r="CR14" s="152">
        <v>0.04</v>
      </c>
      <c r="CS14" s="153">
        <f>CS13/CM13-1</f>
        <v>3.9999640783256796E-2</v>
      </c>
      <c r="CU14" s="151">
        <v>0.04</v>
      </c>
      <c r="CV14" s="133">
        <v>0.04</v>
      </c>
      <c r="CW14" s="133">
        <v>0.04</v>
      </c>
      <c r="CX14" s="152">
        <v>0.04</v>
      </c>
      <c r="CY14" s="153">
        <f>CY13/CS13-1</f>
        <v>3.9999647326841581E-2</v>
      </c>
      <c r="DA14" s="151">
        <v>0.04</v>
      </c>
      <c r="DB14" s="133">
        <v>0.04</v>
      </c>
      <c r="DC14" s="133">
        <v>0.04</v>
      </c>
      <c r="DD14" s="152">
        <v>0.04</v>
      </c>
      <c r="DE14" s="153">
        <f>DE13/CY13-1</f>
        <v>3.9999653693239878E-2</v>
      </c>
      <c r="DG14" s="151">
        <v>0.04</v>
      </c>
      <c r="DH14" s="133">
        <v>0.04</v>
      </c>
      <c r="DI14" s="133">
        <v>0.04</v>
      </c>
      <c r="DJ14" s="152">
        <v>0.04</v>
      </c>
      <c r="DK14" s="153">
        <f>DK13/DE13-1</f>
        <v>3.9999659888792838E-2</v>
      </c>
    </row>
    <row r="15" spans="2:115" ht="15.75" thickBot="1" x14ac:dyDescent="0.35">
      <c r="B15" s="140" t="s">
        <v>48</v>
      </c>
      <c r="C15" s="146">
        <v>0.18</v>
      </c>
      <c r="D15" s="147">
        <v>0.2</v>
      </c>
      <c r="E15" s="147">
        <v>0.17</v>
      </c>
      <c r="F15" s="148">
        <v>0.2</v>
      </c>
      <c r="G15" s="268">
        <f>G13/G17</f>
        <v>0.18757448394057677</v>
      </c>
      <c r="I15" s="146">
        <v>0.2</v>
      </c>
      <c r="J15" s="147">
        <v>0.2</v>
      </c>
      <c r="K15" s="147">
        <v>0.18</v>
      </c>
      <c r="L15" s="147">
        <v>0.19</v>
      </c>
      <c r="M15" s="268">
        <f>M13/M17</f>
        <v>0.19231215396783549</v>
      </c>
      <c r="O15" s="146">
        <v>0.22</v>
      </c>
      <c r="P15" s="147">
        <v>0.25</v>
      </c>
      <c r="Q15" s="147">
        <v>0.23</v>
      </c>
      <c r="R15" s="147">
        <v>0.26</v>
      </c>
      <c r="S15" s="268">
        <f>S13/S17</f>
        <v>0.24</v>
      </c>
      <c r="U15" s="168">
        <v>0.25</v>
      </c>
      <c r="V15" s="169">
        <v>0.25</v>
      </c>
      <c r="W15" s="169">
        <v>0.26</v>
      </c>
      <c r="X15" s="169">
        <v>0.28000000000000003</v>
      </c>
      <c r="Y15" s="268">
        <f>Y13/Y17</f>
        <v>0.26022889471195237</v>
      </c>
      <c r="AA15" s="168">
        <v>0.27</v>
      </c>
      <c r="AB15" s="169">
        <v>0.27</v>
      </c>
      <c r="AC15" s="169">
        <v>0.26</v>
      </c>
      <c r="AD15" s="170">
        <v>0.28999999999999998</v>
      </c>
      <c r="AE15" s="268">
        <f>AE13/AE17</f>
        <v>0.27234773699977038</v>
      </c>
      <c r="AG15" s="168">
        <v>0.28999999999999998</v>
      </c>
      <c r="AH15" s="169">
        <v>0.31</v>
      </c>
      <c r="AI15" s="169">
        <v>0.3</v>
      </c>
      <c r="AJ15" s="170">
        <v>0.32</v>
      </c>
      <c r="AK15" s="268">
        <f>AK13/AK17</f>
        <v>0.30484433463835042</v>
      </c>
      <c r="AM15" s="168">
        <v>0.33</v>
      </c>
      <c r="AN15" s="169">
        <v>0.33</v>
      </c>
      <c r="AO15" s="169">
        <v>0.35</v>
      </c>
      <c r="AP15" s="170">
        <v>0.38</v>
      </c>
      <c r="AQ15" s="268">
        <f>AQ13/AQ17</f>
        <v>0.34707123465572698</v>
      </c>
      <c r="AS15" s="168">
        <v>0.37</v>
      </c>
      <c r="AT15" s="169">
        <v>0.36</v>
      </c>
      <c r="AU15" s="169">
        <v>0.38</v>
      </c>
      <c r="AV15" s="170">
        <v>0.38</v>
      </c>
      <c r="AW15" s="268">
        <f>AW13/AW17</f>
        <v>0.37246878557643059</v>
      </c>
      <c r="AY15" s="168">
        <v>0.39</v>
      </c>
      <c r="AZ15" s="169">
        <v>0.39</v>
      </c>
      <c r="BA15" s="169">
        <v>0.39</v>
      </c>
      <c r="BB15" s="170">
        <v>0.4</v>
      </c>
      <c r="BC15" s="268">
        <f>BC13/BC17</f>
        <v>0.39239640358088118</v>
      </c>
      <c r="BE15" s="168">
        <v>0.39</v>
      </c>
      <c r="BF15" s="169">
        <v>0.46</v>
      </c>
      <c r="BG15" s="169">
        <v>0.42</v>
      </c>
      <c r="BH15" s="170">
        <v>0.42</v>
      </c>
      <c r="BI15" s="268">
        <f>BI13/BI17</f>
        <v>0.42157856877663624</v>
      </c>
      <c r="BK15" s="168">
        <v>0.47</v>
      </c>
      <c r="BL15" s="169">
        <v>0.48</v>
      </c>
      <c r="BM15" s="169">
        <v>0.48</v>
      </c>
      <c r="BN15" s="170">
        <v>0.49</v>
      </c>
      <c r="BO15" s="268">
        <f>BO13/BO17</f>
        <v>0.48009284498069288</v>
      </c>
      <c r="BQ15" s="168">
        <f>BQ13/BQ17</f>
        <v>0.54828743408086078</v>
      </c>
      <c r="BR15" s="169">
        <f>BR13/BR17</f>
        <v>0.5590382138256762</v>
      </c>
      <c r="BS15" s="169">
        <f>BS13/BS17</f>
        <v>0.54718176060797974</v>
      </c>
      <c r="BT15" s="170">
        <f>BT13/BT17</f>
        <v>0.54855506378547247</v>
      </c>
      <c r="BU15" s="268">
        <f>BU13/BU17</f>
        <v>0.55077478164360594</v>
      </c>
      <c r="BW15" s="168">
        <f>BW13/BW17</f>
        <v>0.60050057943521284</v>
      </c>
      <c r="BX15" s="169">
        <f>BX13/BX17</f>
        <v>0.60475362626570939</v>
      </c>
      <c r="BY15" s="169">
        <f>BY13/BY17</f>
        <v>0.59047123145014324</v>
      </c>
      <c r="BZ15" s="170">
        <f>BZ13/BZ17</f>
        <v>0.58637140698922585</v>
      </c>
      <c r="CA15" s="268">
        <f>CA13/CA17</f>
        <v>0.59537679050500358</v>
      </c>
      <c r="CC15" s="168">
        <f>CC13/CC17</f>
        <v>0.63428687814040485</v>
      </c>
      <c r="CD15" s="169">
        <f>CD13/CD17</f>
        <v>0.6358700982313884</v>
      </c>
      <c r="CE15" s="169">
        <f>CE13/CE17</f>
        <v>0.61946419234761174</v>
      </c>
      <c r="CF15" s="170">
        <f>CF13/CF17</f>
        <v>0.61293126274182008</v>
      </c>
      <c r="CG15" s="268">
        <f>CG13/CG17</f>
        <v>0.62538659210203218</v>
      </c>
      <c r="CI15" s="168">
        <f>CI13/CI17</f>
        <v>0.65740431908826558</v>
      </c>
      <c r="CJ15" s="169">
        <f>CJ13/CJ17</f>
        <v>0.65894127334030073</v>
      </c>
      <c r="CK15" s="169">
        <f>CK13/CK17</f>
        <v>0.64299122954454802</v>
      </c>
      <c r="CL15" s="170">
        <f>CL13/CL17</f>
        <v>0.63662527637979771</v>
      </c>
      <c r="CM15" s="268">
        <f>CM13/CM17</f>
        <v>0.6487553011060434</v>
      </c>
      <c r="CO15" s="168">
        <f>CO13/CO17</f>
        <v>0.67979815682082045</v>
      </c>
      <c r="CP15" s="169">
        <f>CP13/CP17</f>
        <v>0.68128335343819302</v>
      </c>
      <c r="CQ15" s="169">
        <f>CQ13/CQ17</f>
        <v>0.66584831495133756</v>
      </c>
      <c r="CR15" s="170">
        <f>CR13/CR17</f>
        <v>0.65967421240001212</v>
      </c>
      <c r="CS15" s="268">
        <f>CS13/CS17</f>
        <v>0.67143212937610208</v>
      </c>
      <c r="CU15" s="168">
        <f>CU13/CU17</f>
        <v>0.70139309547110884</v>
      </c>
      <c r="CV15" s="169">
        <f>CV13/CV17</f>
        <v>0.70282191536068384</v>
      </c>
      <c r="CW15" s="169">
        <f>CW13/CW17</f>
        <v>0.68795219824722631</v>
      </c>
      <c r="CX15" s="170">
        <f>CX13/CX17</f>
        <v>0.68199145062803568</v>
      </c>
      <c r="CY15" s="268">
        <f>CY13/CY17</f>
        <v>0.69333695431538001</v>
      </c>
      <c r="DA15" s="168">
        <f>DA13/DA17</f>
        <v>0.72212695060545329</v>
      </c>
      <c r="DB15" s="169">
        <f>DB13/DB17</f>
        <v>0.72349567091128508</v>
      </c>
      <c r="DC15" s="169">
        <f>DC13/DC17</f>
        <v>0.70923243103930222</v>
      </c>
      <c r="DD15" s="170">
        <f>DD13/DD17</f>
        <v>0.70350298562192748</v>
      </c>
      <c r="DE15" s="268">
        <f>DE13/DE17</f>
        <v>0.71440259872343503</v>
      </c>
      <c r="DG15" s="168">
        <f>DG13/DG17</f>
        <v>0.74195080964159399</v>
      </c>
      <c r="DH15" s="169">
        <f>DH13/DH17</f>
        <v>0.74325660049401154</v>
      </c>
      <c r="DI15" s="169">
        <f>DI13/DI17</f>
        <v>0.7296317829394724</v>
      </c>
      <c r="DJ15" s="170">
        <f>DJ13/DJ17</f>
        <v>0.7241479574836468</v>
      </c>
      <c r="DK15" s="268">
        <f>DK13/DK17</f>
        <v>0.73457514377519484</v>
      </c>
    </row>
    <row r="16" spans="2:115" ht="15.75" thickBot="1" x14ac:dyDescent="0.35">
      <c r="B16" s="1"/>
      <c r="AA16" s="103"/>
      <c r="AB16" s="103"/>
      <c r="AC16" s="103"/>
      <c r="AD16" s="103"/>
      <c r="AE16" s="103"/>
      <c r="AG16" s="103"/>
      <c r="AH16" s="103"/>
      <c r="AI16" s="103"/>
      <c r="AJ16" s="103"/>
      <c r="AK16" s="103"/>
      <c r="AM16" s="103"/>
      <c r="AN16" s="103"/>
      <c r="AO16" s="103"/>
      <c r="AP16" s="103"/>
      <c r="AQ16" s="103"/>
      <c r="AS16" s="103"/>
      <c r="AT16" s="103"/>
      <c r="AU16" s="103"/>
      <c r="AV16" s="103"/>
      <c r="AW16" s="103"/>
      <c r="AY16" s="103"/>
      <c r="AZ16" s="103"/>
      <c r="BA16" s="103"/>
      <c r="BB16" s="103"/>
      <c r="BC16" s="103"/>
      <c r="BE16" s="103"/>
      <c r="BF16" s="103"/>
      <c r="BG16" s="103"/>
      <c r="BH16" s="103"/>
      <c r="BI16" s="103"/>
      <c r="BK16" s="103"/>
      <c r="BL16" s="103"/>
      <c r="BM16" s="103"/>
      <c r="BN16" s="103"/>
      <c r="BO16" s="103"/>
      <c r="BQ16" s="103"/>
      <c r="BR16" s="103"/>
      <c r="BS16" s="103"/>
      <c r="BT16" s="103"/>
      <c r="BU16" s="103"/>
      <c r="BW16" s="103"/>
      <c r="BX16" s="103"/>
      <c r="BY16" s="103"/>
      <c r="BZ16" s="103"/>
      <c r="CA16" s="103"/>
      <c r="CC16" s="103"/>
      <c r="CD16" s="103"/>
      <c r="CE16" s="103"/>
      <c r="CF16" s="103"/>
      <c r="CG16" s="103"/>
      <c r="CI16" s="103"/>
      <c r="CJ16" s="103"/>
      <c r="CK16" s="103"/>
      <c r="CL16" s="103"/>
      <c r="CM16" s="103"/>
      <c r="CO16" s="103"/>
      <c r="CP16" s="103"/>
      <c r="CQ16" s="103"/>
      <c r="CR16" s="103"/>
      <c r="CS16" s="103"/>
      <c r="CU16" s="103"/>
      <c r="CV16" s="103"/>
      <c r="CW16" s="103"/>
      <c r="CX16" s="103"/>
      <c r="CY16" s="103"/>
      <c r="DA16" s="103"/>
      <c r="DB16" s="103"/>
      <c r="DC16" s="103"/>
      <c r="DD16" s="103"/>
      <c r="DE16" s="103"/>
      <c r="DG16" s="103"/>
      <c r="DH16" s="103"/>
      <c r="DI16" s="103"/>
      <c r="DJ16" s="103"/>
      <c r="DK16" s="103"/>
    </row>
    <row r="17" spans="2:115" s="135" customFormat="1" ht="15" x14ac:dyDescent="0.3">
      <c r="B17" s="139" t="s">
        <v>100</v>
      </c>
      <c r="C17" s="141">
        <f>C20*C23</f>
        <v>45.165237185480258</v>
      </c>
      <c r="D17" s="142">
        <f>D20*D23</f>
        <v>47.516534125900336</v>
      </c>
      <c r="E17" s="142">
        <f>E20*E23</f>
        <v>48.73793586036625</v>
      </c>
      <c r="F17" s="142">
        <f>F20*F23</f>
        <v>48.00311041990669</v>
      </c>
      <c r="G17" s="272">
        <f>G25*1000/(G7*12)</f>
        <v>47.372278515451328</v>
      </c>
      <c r="H17" s="134"/>
      <c r="I17" s="269">
        <f>I25*1000/(I7*3)</f>
        <v>47.439449917898195</v>
      </c>
      <c r="J17" s="270">
        <f>J25*1000/(J7*3)</f>
        <v>47.154219605412663</v>
      </c>
      <c r="K17" s="270">
        <f>K25*1000/(K7*3)</f>
        <v>49.555650143817154</v>
      </c>
      <c r="L17" s="271">
        <f>L25*1000/(L7*3)</f>
        <v>50.470465900732961</v>
      </c>
      <c r="M17" s="272">
        <f>M25*1000/(M7*12)</f>
        <v>48.661425909354783</v>
      </c>
      <c r="N17" s="134"/>
      <c r="O17" s="269">
        <f>O25*1000/(O7*3)</f>
        <v>45.707831325301207</v>
      </c>
      <c r="P17" s="270">
        <f>P25*1000/(P7*3)</f>
        <v>46.54879632404355</v>
      </c>
      <c r="Q17" s="270">
        <f>Q25*1000/(Q7*3)</f>
        <v>44.723761357579363</v>
      </c>
      <c r="R17" s="270">
        <f>R25*1000/(R7*3)</f>
        <v>44.251723371136315</v>
      </c>
      <c r="S17" s="272">
        <f>S25*1000/(S7*12)</f>
        <v>45.303637048169342</v>
      </c>
      <c r="T17" s="103"/>
      <c r="U17" s="269">
        <f>U25*1000/(U7*3)</f>
        <v>41.19975677252026</v>
      </c>
      <c r="V17" s="270">
        <f>V25*1000/(V7*3)</f>
        <v>43.624229166102673</v>
      </c>
      <c r="W17" s="270">
        <f>W25*1000/(W7*3)</f>
        <v>45.010067306560167</v>
      </c>
      <c r="X17" s="270">
        <f>X25*1000/(X7*3)</f>
        <v>44.680201868097548</v>
      </c>
      <c r="Y17" s="272">
        <f>Y25*1000/(Y7*12)</f>
        <v>43.622383733496669</v>
      </c>
      <c r="AA17" s="269">
        <f>AA25*1000/(AA7*3)</f>
        <v>41.401602448764017</v>
      </c>
      <c r="AB17" s="270">
        <f>AB25*1000/(AB7*3)</f>
        <v>42.341022535796341</v>
      </c>
      <c r="AC17" s="270">
        <f>AC25*1000/(AC7*3)</f>
        <v>42.150719742975774</v>
      </c>
      <c r="AD17" s="270">
        <f>AD25*1000/(AD7*3)</f>
        <v>39.128251404566356</v>
      </c>
      <c r="AE17" s="272">
        <f>AE25*1000/(AE7*12)</f>
        <v>41.233768830994009</v>
      </c>
      <c r="AG17" s="269">
        <f>AG25*1000/(AG7*3)</f>
        <v>35.433802877590523</v>
      </c>
      <c r="AH17" s="270">
        <f>AH25*1000/(AH7*3)</f>
        <v>35.132273123497747</v>
      </c>
      <c r="AI17" s="270">
        <f>AI25*1000/(AI7*3)</f>
        <v>32.781185232035746</v>
      </c>
      <c r="AJ17" s="270">
        <f>AJ25*1000/(AJ7*3)</f>
        <v>30.451158330147717</v>
      </c>
      <c r="AK17" s="272">
        <f>AK25*1000/(AK7*12)</f>
        <v>33.377950124162638</v>
      </c>
      <c r="AM17" s="269">
        <f>AM25*1000/(AM7*3)</f>
        <v>27.299660110495733</v>
      </c>
      <c r="AN17" s="270">
        <f>AN25*1000/(AN7*3)</f>
        <v>27.563539900554794</v>
      </c>
      <c r="AO17" s="270">
        <f>AO25*1000/(AO7*3)</f>
        <v>26.136547733434018</v>
      </c>
      <c r="AP17" s="270">
        <f>AP25*1000/(AP7*3)</f>
        <v>26.719265694813341</v>
      </c>
      <c r="AQ17" s="272">
        <f>AQ25*1000/(AQ7*12)</f>
        <v>26.932631139379257</v>
      </c>
      <c r="AS17" s="269">
        <f>AS25*1000/(AS7*3)</f>
        <v>24.240260880157606</v>
      </c>
      <c r="AT17" s="270">
        <f>AT25*1000/(AT7*3)</f>
        <v>24.50116057004514</v>
      </c>
      <c r="AU17" s="270">
        <f>AU25*1000/(AU7*3)</f>
        <v>24.728421552787765</v>
      </c>
      <c r="AV17" s="270">
        <f>AV25*1000/(AV7*3)</f>
        <v>23.764300613474795</v>
      </c>
      <c r="AW17" s="272">
        <f>AW25*1000/(AW7*12)</f>
        <v>24.308499584403947</v>
      </c>
      <c r="AY17" s="269">
        <f>AY25*1000/(AY7*3)</f>
        <v>22.729637973723136</v>
      </c>
      <c r="AZ17" s="270">
        <f>AZ25*1000/(AZ7*3)</f>
        <v>23.094394231681477</v>
      </c>
      <c r="BA17" s="270">
        <f>BA25*1000/(BA7*3)</f>
        <v>23.6513060305174</v>
      </c>
      <c r="BB17" s="270">
        <f>BB25*1000/(BB7*3)</f>
        <v>24.890396367829347</v>
      </c>
      <c r="BC17" s="272">
        <f>BC25*1000/(BC7*12)</f>
        <v>23.55120365400013</v>
      </c>
      <c r="BE17" s="269">
        <f>BE25*1000/(BE7*3)</f>
        <v>29.7350878809454</v>
      </c>
      <c r="BF17" s="270">
        <f>BF25*1000/(BF7*3)</f>
        <v>27.3268587994543</v>
      </c>
      <c r="BG17" s="270">
        <f>BG25*1000/(BG7*3)</f>
        <v>29.735821374402054</v>
      </c>
      <c r="BH17" s="270">
        <f>BH25*1000/(BH7*3)</f>
        <v>32.874589796385258</v>
      </c>
      <c r="BI17" s="272">
        <f>BI25*1000/(BI7*12)</f>
        <v>29.867015630205842</v>
      </c>
      <c r="BK17" s="269">
        <f>BK25*1000/(BK7*3)</f>
        <v>29.960762753838537</v>
      </c>
      <c r="BL17" s="270">
        <f>BL25*1000/(BL7*3)</f>
        <v>31.567556966145833</v>
      </c>
      <c r="BM17" s="270">
        <f>BM25*1000/(BM7*3)</f>
        <v>30.948584777107261</v>
      </c>
      <c r="BN17" s="270">
        <f>BN25*1000/(BN7*3)</f>
        <v>31.266226527235638</v>
      </c>
      <c r="BO17" s="272">
        <f>BO25*1000/(BO7*12)</f>
        <v>30.932358203657543</v>
      </c>
      <c r="BQ17" s="141">
        <f>BQ10+BQ13</f>
        <v>28.122669958890544</v>
      </c>
      <c r="BR17" s="142">
        <f>BR10+BR13</f>
        <v>29.408336069661459</v>
      </c>
      <c r="BS17" s="142">
        <f>BS10+BS13</f>
        <v>29.320689217831418</v>
      </c>
      <c r="BT17" s="143">
        <f>BT10+BT13</f>
        <v>30.023394022778021</v>
      </c>
      <c r="BU17" s="272">
        <f>BU25*1000/(BU7*12)</f>
        <v>29.219537611487389</v>
      </c>
      <c r="BW17" s="141">
        <f>BW10+BW13</f>
        <v>27.346454007654785</v>
      </c>
      <c r="BX17" s="142">
        <f>BX10+BX13</f>
        <v>28.544521440839844</v>
      </c>
      <c r="BY17" s="142">
        <f>BY10+BY13</f>
        <v>28.529643390928559</v>
      </c>
      <c r="BZ17" s="143">
        <f>BZ10+BZ13</f>
        <v>29.491477343983426</v>
      </c>
      <c r="CA17" s="272">
        <f>CA25*1000/(CA7*12)</f>
        <v>28.480224468924106</v>
      </c>
      <c r="CC17" s="141">
        <f>CC10+CC13</f>
        <v>27.184291753759169</v>
      </c>
      <c r="CD17" s="142">
        <f>CD10+CD13</f>
        <v>28.505072096250395</v>
      </c>
      <c r="CE17" s="142">
        <f>CE10+CE13</f>
        <v>28.554080393468563</v>
      </c>
      <c r="CF17" s="143">
        <f>CF10+CF13</f>
        <v>29.624214200426486</v>
      </c>
      <c r="CG17" s="272">
        <f>CG25*1000/(CG7*12)</f>
        <v>28.469070938709677</v>
      </c>
      <c r="CI17" s="141">
        <f>CI10+CI13</f>
        <v>27.277498203628603</v>
      </c>
      <c r="CJ17" s="142">
        <f>CJ10+CJ13</f>
        <v>28.607320069868926</v>
      </c>
      <c r="CK17" s="142">
        <f>CK10+CK13</f>
        <v>28.609658604777326</v>
      </c>
      <c r="CL17" s="143">
        <f>CL10+CL13</f>
        <v>29.662522050161055</v>
      </c>
      <c r="CM17" s="272">
        <f>CM25*1000/(CM7*12)</f>
        <v>28.541324776777575</v>
      </c>
      <c r="CO17" s="141">
        <f>CO10+CO13</f>
        <v>27.43408282470967</v>
      </c>
      <c r="CP17" s="142">
        <f>CP10+CP13</f>
        <v>28.775935257046086</v>
      </c>
      <c r="CQ17" s="142">
        <f>CQ10+CQ13</f>
        <v>28.73265504480424</v>
      </c>
      <c r="CR17" s="143">
        <f>CR10+CR13</f>
        <v>29.771161856981955</v>
      </c>
      <c r="CS17" s="272">
        <f>CS25*1000/(CS7*12)</f>
        <v>28.680460296144179</v>
      </c>
      <c r="CU17" s="141">
        <f>CU10+CU13</f>
        <v>27.653001749057829</v>
      </c>
      <c r="CV17" s="142">
        <f>CV10+CV13</f>
        <v>29.009835708647387</v>
      </c>
      <c r="CW17" s="142">
        <f>CW10+CW13</f>
        <v>28.921854736682082</v>
      </c>
      <c r="CX17" s="143">
        <f>CX10+CX13</f>
        <v>29.948818920586824</v>
      </c>
      <c r="CY17" s="272">
        <f>CY25*1000/(CY7*12)</f>
        <v>28.885313141294372</v>
      </c>
      <c r="DA17" s="141">
        <f>DA10+DA13</f>
        <v>27.933384093698326</v>
      </c>
      <c r="DB17" s="142">
        <f>DB10+DB13</f>
        <v>29.308120395833576</v>
      </c>
      <c r="DC17" s="142">
        <f>DC10+DC13</f>
        <v>29.176228806829897</v>
      </c>
      <c r="DD17" s="143">
        <f>DD10+DD13</f>
        <v>30.194373631376351</v>
      </c>
      <c r="DE17" s="272">
        <f>DE25*1000/(DE7*12)</f>
        <v>29.154902769094939</v>
      </c>
      <c r="DG17" s="141">
        <f>DG10+DG13</f>
        <v>28.274525995643749</v>
      </c>
      <c r="DH17" s="142">
        <f>DH10+DH13</f>
        <v>29.670062994976796</v>
      </c>
      <c r="DI17" s="142">
        <f>DI10+DI13</f>
        <v>29.494927846942794</v>
      </c>
      <c r="DJ17" s="143">
        <f>DJ10+DJ13</f>
        <v>30.506894413359497</v>
      </c>
      <c r="DK17" s="272">
        <f>DK25*1000/(DK7*12)</f>
        <v>29.488425977287331</v>
      </c>
    </row>
    <row r="18" spans="2:115" ht="15" x14ac:dyDescent="0.3">
      <c r="B18" s="5" t="s">
        <v>23</v>
      </c>
      <c r="C18" s="144" t="s">
        <v>35</v>
      </c>
      <c r="D18" s="107" t="s">
        <v>35</v>
      </c>
      <c r="E18" s="107" t="s">
        <v>35</v>
      </c>
      <c r="F18" s="107" t="s">
        <v>35</v>
      </c>
      <c r="G18" s="138" t="s">
        <v>35</v>
      </c>
      <c r="H18" s="107"/>
      <c r="I18" s="151">
        <f>I17/C17-1</f>
        <v>5.0353167040359414E-2</v>
      </c>
      <c r="J18" s="133">
        <f>J17/D17-1</f>
        <v>-7.6250199462712942E-3</v>
      </c>
      <c r="K18" s="133">
        <f>K17/E17-1</f>
        <v>1.6777778316128256E-2</v>
      </c>
      <c r="L18" s="152">
        <f>L17/F17-1</f>
        <v>5.1399908448496401E-2</v>
      </c>
      <c r="M18" s="153">
        <f>M17/G17-1</f>
        <v>2.72131177621735E-2</v>
      </c>
      <c r="N18" s="107"/>
      <c r="O18" s="151">
        <f>O17/I17-1</f>
        <v>-3.6501658336971388E-2</v>
      </c>
      <c r="P18" s="133">
        <f>P17/J17-1</f>
        <v>-1.2839217496022792E-2</v>
      </c>
      <c r="Q18" s="133">
        <f>Q17/K17-1</f>
        <v>-9.7504296123953615E-2</v>
      </c>
      <c r="R18" s="133">
        <f>R17/L17-1</f>
        <v>-0.1232154769846564</v>
      </c>
      <c r="S18" s="153">
        <f>S17/M17-1</f>
        <v>-6.9003092252993947E-2</v>
      </c>
      <c r="T18" s="107"/>
      <c r="U18" s="151">
        <f>U17/O17-1</f>
        <v>-9.862805611356007E-2</v>
      </c>
      <c r="V18" s="133">
        <f>V17/P17-1</f>
        <v>-6.2827986734219188E-2</v>
      </c>
      <c r="W18" s="133">
        <f>W17/Q17-1</f>
        <v>6.4016518354015339E-3</v>
      </c>
      <c r="X18" s="133">
        <f>X17/R17-1</f>
        <v>9.6827527680134473E-3</v>
      </c>
      <c r="Y18" s="153">
        <f>Y17/S17-1</f>
        <v>-3.7110780154032019E-2</v>
      </c>
      <c r="AA18" s="151">
        <f>AA17/U17-1</f>
        <v>4.8991958219128939E-3</v>
      </c>
      <c r="AB18" s="133">
        <f>AB17/V17-1</f>
        <v>-2.9414998381299129E-2</v>
      </c>
      <c r="AC18" s="133">
        <f>AC17/W17-1</f>
        <v>-6.3526844874716382E-2</v>
      </c>
      <c r="AD18" s="133">
        <f>AD17/X17-1</f>
        <v>-0.1242597443924125</v>
      </c>
      <c r="AE18" s="153">
        <f>AE17/Y17-1</f>
        <v>-5.4756634050433517E-2</v>
      </c>
      <c r="AG18" s="151">
        <f>AG17/AA17-1</f>
        <v>-0.14414416878087899</v>
      </c>
      <c r="AH18" s="133">
        <f>AH17/AB17-1</f>
        <v>-0.17025449506336576</v>
      </c>
      <c r="AI18" s="133">
        <f>AI17/AC17-1</f>
        <v>-0.22228646552355535</v>
      </c>
      <c r="AJ18" s="133">
        <f>AJ17/AD17-1</f>
        <v>-0.22176030778124689</v>
      </c>
      <c r="AK18" s="153">
        <f>AK17/AE17-1</f>
        <v>-0.19051905585032092</v>
      </c>
      <c r="AM18" s="151">
        <f>AM17/AG17-1</f>
        <v>-0.22955884230645429</v>
      </c>
      <c r="AN18" s="133">
        <f>AN17/AH17-1</f>
        <v>-0.21543534050123014</v>
      </c>
      <c r="AO18" s="133">
        <f>AO17/AI17-1</f>
        <v>-0.2026966826113471</v>
      </c>
      <c r="AP18" s="133">
        <f>AP17/AJ17-1</f>
        <v>-0.12255338844170238</v>
      </c>
      <c r="AQ18" s="153">
        <f>AQ17/AK17-1</f>
        <v>-0.19310110299786054</v>
      </c>
      <c r="AS18" s="151">
        <f>AS17/AM17-1</f>
        <v>-0.11206730112958063</v>
      </c>
      <c r="AT18" s="133">
        <f>AT17/AN17-1</f>
        <v>-0.11110254131211983</v>
      </c>
      <c r="AU18" s="133">
        <f>AU17/AO17-1</f>
        <v>-5.3875752643681052E-2</v>
      </c>
      <c r="AV18" s="133">
        <f>AV17/AP17-1</f>
        <v>-0.11059304978999307</v>
      </c>
      <c r="AW18" s="153">
        <f>AW17/AQ17-1</f>
        <v>-9.7433167275605137E-2</v>
      </c>
      <c r="AY18" s="151">
        <f>AY17/AS17-1</f>
        <v>-6.2318756134799869E-2</v>
      </c>
      <c r="AZ18" s="133">
        <f>AZ17/AT17-1</f>
        <v>-5.7416314396288692E-2</v>
      </c>
      <c r="BA18" s="133">
        <f>BA17/AU17-1</f>
        <v>-4.3557795226478402E-2</v>
      </c>
      <c r="BB18" s="133">
        <f>BB17/AV17-1</f>
        <v>4.7386025478739935E-2</v>
      </c>
      <c r="BC18" s="153">
        <f>BC17/AW17-1</f>
        <v>-3.1153544782734688E-2</v>
      </c>
      <c r="BE18" s="151">
        <f>BE17/AY17-1</f>
        <v>0.30820772048023803</v>
      </c>
      <c r="BF18" s="133">
        <f>BF17/AZ17-1</f>
        <v>0.18326804874434077</v>
      </c>
      <c r="BG18" s="133">
        <f>BG17/BA17-1</f>
        <v>0.25725916936822735</v>
      </c>
      <c r="BH18" s="133">
        <f>BH17/BB17-1</f>
        <v>0.32077405721330421</v>
      </c>
      <c r="BI18" s="153">
        <f>BI17/BC17-1</f>
        <v>0.26817363855341569</v>
      </c>
      <c r="BK18" s="151">
        <f>BK17/BE17-1</f>
        <v>7.5895142397663928E-3</v>
      </c>
      <c r="BL18" s="133">
        <f>BL17/BF17-1</f>
        <v>0.15518425289247717</v>
      </c>
      <c r="BM18" s="133">
        <f>BM17/BG17-1</f>
        <v>4.078459402332868E-2</v>
      </c>
      <c r="BN18" s="133">
        <f>BN17/BH17-1</f>
        <v>-4.8924208001113079E-2</v>
      </c>
      <c r="BO18" s="153">
        <f>BO17/BI17-1</f>
        <v>3.5669535471574587E-2</v>
      </c>
      <c r="BQ18" s="151">
        <f>BQ17/BK17-1</f>
        <v>-6.1350000000000016E-2</v>
      </c>
      <c r="BR18" s="133">
        <f>BR17/BL17-1</f>
        <v>-6.8400000000000016E-2</v>
      </c>
      <c r="BS18" s="133">
        <f>BS17/BM17-1</f>
        <v>-5.259999999999998E-2</v>
      </c>
      <c r="BT18" s="152">
        <f>BT17/BN17-1</f>
        <v>-3.9750000000000063E-2</v>
      </c>
      <c r="BU18" s="153">
        <f>BU17/BO17-1</f>
        <v>-5.5373100909184014E-2</v>
      </c>
      <c r="BW18" s="151">
        <f>BW17/BQ17-1</f>
        <v>-2.7601076013423542E-2</v>
      </c>
      <c r="BX18" s="133">
        <f>BX17/BR17-1</f>
        <v>-2.9373121511378275E-2</v>
      </c>
      <c r="BY18" s="133">
        <f>BY17/BS17-1</f>
        <v>-2.6979100696643332E-2</v>
      </c>
      <c r="BZ18" s="152">
        <f>BZ17/BT17-1</f>
        <v>-1.7716740432179079E-2</v>
      </c>
      <c r="CA18" s="153">
        <f>CA17/BU17-1</f>
        <v>-2.5302013755092001E-2</v>
      </c>
      <c r="CC18" s="151">
        <f>CC17/BW17-1</f>
        <v>-5.9299188790701285E-3</v>
      </c>
      <c r="CD18" s="133">
        <f>CD17/BX17-1</f>
        <v>-1.3820285854576619E-3</v>
      </c>
      <c r="CE18" s="133">
        <f>CE17/BY17-1</f>
        <v>8.5654777401722448E-4</v>
      </c>
      <c r="CF18" s="152">
        <f>CF17/BZ17-1</f>
        <v>4.5008547688147882E-3</v>
      </c>
      <c r="CG18" s="153">
        <f>CG17/CA17-1</f>
        <v>-3.9162367651279784E-4</v>
      </c>
      <c r="CI18" s="151">
        <f>CI17/CC17-1</f>
        <v>3.4286878140403765E-3</v>
      </c>
      <c r="CJ18" s="133">
        <f>CJ17/CD17-1</f>
        <v>3.5870098231389758E-3</v>
      </c>
      <c r="CK18" s="133">
        <f>CK17/CE17-1</f>
        <v>1.946419234761132E-3</v>
      </c>
      <c r="CL18" s="152">
        <f>CL17/CF17-1</f>
        <v>1.2931262741819882E-3</v>
      </c>
      <c r="CM18" s="153">
        <f>CM17/CG17-1</f>
        <v>2.5379766773370172E-3</v>
      </c>
      <c r="CO18" s="151">
        <f>CO17/CI17-1</f>
        <v>5.7404319088265598E-3</v>
      </c>
      <c r="CP18" s="133">
        <f>CP17/CJ17-1</f>
        <v>5.8941273340300526E-3</v>
      </c>
      <c r="CQ18" s="133">
        <f>CQ17/CK17-1</f>
        <v>4.2991229544548926E-3</v>
      </c>
      <c r="CR18" s="152">
        <f>CR17/CL17-1</f>
        <v>3.6625276379798066E-3</v>
      </c>
      <c r="CS18" s="153">
        <f>CS17/CM17-1</f>
        <v>4.8748795108422005E-3</v>
      </c>
      <c r="CU18" s="151">
        <f>CU17/CO17-1</f>
        <v>7.9798156820820587E-3</v>
      </c>
      <c r="CV18" s="133">
        <f>CV17/CP17-1</f>
        <v>8.1283353438192929E-3</v>
      </c>
      <c r="CW18" s="133">
        <f>CW17/CQ17-1</f>
        <v>6.5848314951337805E-3</v>
      </c>
      <c r="CX18" s="152">
        <f>CX17/CR17-1</f>
        <v>5.9674212400011584E-3</v>
      </c>
      <c r="CY18" s="153">
        <f>CY17/CS17-1</f>
        <v>7.1425926583796873E-3</v>
      </c>
      <c r="DA18" s="151">
        <f>DA17/CU17-1</f>
        <v>1.0139309547110953E-2</v>
      </c>
      <c r="DB18" s="133">
        <f>DB17/CV17-1</f>
        <v>1.0282191536068463E-2</v>
      </c>
      <c r="DC18" s="133">
        <f>DC17/CW17-1</f>
        <v>8.7952198247227553E-3</v>
      </c>
      <c r="DD18" s="152">
        <f>DD17/CX17-1</f>
        <v>8.1991450628036144E-3</v>
      </c>
      <c r="DE18" s="153">
        <f>DE17/CY17-1</f>
        <v>9.3331038677633149E-3</v>
      </c>
      <c r="DG18" s="151">
        <f>DG17/DA17-1</f>
        <v>1.2212695060545231E-2</v>
      </c>
      <c r="DH18" s="133">
        <f>DH17/DB17-1</f>
        <v>1.2349567091128444E-2</v>
      </c>
      <c r="DI18" s="133">
        <f>DI17/DC17-1</f>
        <v>1.0923243103930336E-2</v>
      </c>
      <c r="DJ18" s="152">
        <f>DJ17/DD17-1</f>
        <v>1.0350298562192828E-2</v>
      </c>
      <c r="DK18" s="153">
        <f>DK17/DE17-1</f>
        <v>1.1439695437637898E-2</v>
      </c>
    </row>
    <row r="19" spans="2:115" ht="15" x14ac:dyDescent="0.3">
      <c r="B19" s="5"/>
      <c r="C19" s="144"/>
      <c r="D19" s="107"/>
      <c r="E19" s="107"/>
      <c r="F19" s="107"/>
      <c r="G19" s="138"/>
      <c r="H19" s="107"/>
      <c r="I19" s="151"/>
      <c r="J19" s="133"/>
      <c r="K19" s="133"/>
      <c r="L19" s="152"/>
      <c r="M19" s="153"/>
      <c r="N19" s="107"/>
      <c r="O19" s="151"/>
      <c r="P19" s="133"/>
      <c r="Q19" s="133"/>
      <c r="R19" s="133"/>
      <c r="S19" s="153"/>
      <c r="T19" s="107"/>
      <c r="U19" s="151"/>
      <c r="V19" s="133"/>
      <c r="W19" s="133"/>
      <c r="X19" s="152"/>
      <c r="Y19" s="153"/>
      <c r="AA19" s="151"/>
      <c r="AB19" s="133"/>
      <c r="AC19" s="133"/>
      <c r="AD19" s="152"/>
      <c r="AE19" s="153"/>
      <c r="AG19" s="151"/>
      <c r="AH19" s="133"/>
      <c r="AI19" s="133"/>
      <c r="AJ19" s="152"/>
      <c r="AK19" s="153"/>
      <c r="AM19" s="151"/>
      <c r="AN19" s="133"/>
      <c r="AO19" s="133"/>
      <c r="AP19" s="133"/>
      <c r="AQ19" s="153"/>
      <c r="AS19" s="151"/>
      <c r="AT19" s="133"/>
      <c r="AU19" s="133"/>
      <c r="AV19" s="133"/>
      <c r="AW19" s="153"/>
      <c r="AY19" s="151"/>
      <c r="AZ19" s="133"/>
      <c r="BA19" s="133"/>
      <c r="BB19" s="133"/>
      <c r="BC19" s="153"/>
      <c r="BE19" s="151"/>
      <c r="BF19" s="133"/>
      <c r="BG19" s="133"/>
      <c r="BH19" s="133"/>
      <c r="BI19" s="153"/>
      <c r="BK19" s="151"/>
      <c r="BL19" s="133"/>
      <c r="BM19" s="133"/>
      <c r="BN19" s="133"/>
      <c r="BO19" s="153"/>
      <c r="BQ19" s="151"/>
      <c r="BR19" s="133"/>
      <c r="BS19" s="133"/>
      <c r="BT19" s="152"/>
      <c r="BU19" s="153"/>
      <c r="BW19" s="151"/>
      <c r="BX19" s="133"/>
      <c r="BY19" s="133"/>
      <c r="BZ19" s="152"/>
      <c r="CA19" s="153"/>
      <c r="CC19" s="151"/>
      <c r="CD19" s="133"/>
      <c r="CE19" s="133"/>
      <c r="CF19" s="152"/>
      <c r="CG19" s="153"/>
      <c r="CI19" s="151"/>
      <c r="CJ19" s="133"/>
      <c r="CK19" s="133"/>
      <c r="CL19" s="152"/>
      <c r="CM19" s="153"/>
      <c r="CO19" s="151"/>
      <c r="CP19" s="133"/>
      <c r="CQ19" s="133"/>
      <c r="CR19" s="152"/>
      <c r="CS19" s="153"/>
      <c r="CU19" s="151"/>
      <c r="CV19" s="133"/>
      <c r="CW19" s="133"/>
      <c r="CX19" s="152"/>
      <c r="CY19" s="153"/>
      <c r="DA19" s="151"/>
      <c r="DB19" s="133"/>
      <c r="DC19" s="133"/>
      <c r="DD19" s="152"/>
      <c r="DE19" s="153"/>
      <c r="DG19" s="151"/>
      <c r="DH19" s="133"/>
      <c r="DI19" s="133"/>
      <c r="DJ19" s="152"/>
      <c r="DK19" s="153"/>
    </row>
    <row r="20" spans="2:115" ht="15" x14ac:dyDescent="0.3">
      <c r="B20" s="105" t="s">
        <v>96</v>
      </c>
      <c r="C20" s="161">
        <f>C28*1000/(C7*3)</f>
        <v>11.625543677086297</v>
      </c>
      <c r="D20" s="162">
        <f>D28*1000/(D7*3)</f>
        <v>12.504351085763247</v>
      </c>
      <c r="E20" s="162">
        <f>E28*1000/(E7*3)</f>
        <v>12.859613683473944</v>
      </c>
      <c r="F20" s="162">
        <f>F28*1000/(F7*3)</f>
        <v>13.115603939865215</v>
      </c>
      <c r="G20" s="164">
        <f>G28*1000/(G7*12)</f>
        <v>12.534920603321854</v>
      </c>
      <c r="H20" s="129"/>
      <c r="I20" s="161">
        <f>I28*1000/(I7*3)</f>
        <v>13.110632183908047</v>
      </c>
      <c r="J20" s="162">
        <f>J28*1000/(J7*3)</f>
        <v>14.538787315359983</v>
      </c>
      <c r="K20" s="162">
        <f>K28*1000/(K7*3)</f>
        <v>15.52967276760954</v>
      </c>
      <c r="L20" s="163">
        <f>L28*1000/(L7*3)</f>
        <v>13.188262446422684</v>
      </c>
      <c r="M20" s="164">
        <f>M28*1000/(M7*12)</f>
        <v>14.086539849320209</v>
      </c>
      <c r="N20" s="129"/>
      <c r="O20" s="161">
        <f>O28*1000/(O7*3)</f>
        <v>10.140562248995984</v>
      </c>
      <c r="P20" s="162">
        <f>P28*1000/(P7*3)</f>
        <v>10.463490160823095</v>
      </c>
      <c r="Q20" s="162">
        <f>Q28*1000/(Q7*3)</f>
        <v>10.660320057516145</v>
      </c>
      <c r="R20" s="162">
        <f>R28*1000/(R7*3)</f>
        <v>10.624366861858523</v>
      </c>
      <c r="S20" s="164">
        <f>S28*1000/(S7*12)</f>
        <v>10.473354553855632</v>
      </c>
      <c r="T20" s="134"/>
      <c r="U20" s="161">
        <f>U28*1000/(U7*3)</f>
        <v>10.349577454301777</v>
      </c>
      <c r="V20" s="162">
        <f>V28*1000/(V7*3)</f>
        <v>10.862084068526235</v>
      </c>
      <c r="W20" s="162">
        <f>W28*1000/(W7*3)</f>
        <v>11.229336641977165</v>
      </c>
      <c r="X20" s="162">
        <f>X28*1000/(X7*3)</f>
        <v>11.261600200652119</v>
      </c>
      <c r="Y20" s="164">
        <f>Y28*1000/(Y7*12)</f>
        <v>10.924146551050699</v>
      </c>
      <c r="Z20" s="135"/>
      <c r="AA20" s="161">
        <f>AA28*1000/(AA7*3)</f>
        <v>10.491538674938841</v>
      </c>
      <c r="AB20" s="162">
        <f>AB28*1000/(AB7*3)</f>
        <v>10.690727121085754</v>
      </c>
      <c r="AC20" s="162">
        <f>AC28*1000/(AC7*3)</f>
        <v>10.146942763726559</v>
      </c>
      <c r="AD20" s="162">
        <f>AD28*1000/(AD7*3)</f>
        <v>8.8511626219755506</v>
      </c>
      <c r="AE20" s="164">
        <f>AE28*1000/(AE7*12)</f>
        <v>10.032277763238245</v>
      </c>
      <c r="AF20" s="135"/>
      <c r="AG20" s="161">
        <f>AG28*1000/(AG7*3)</f>
        <v>8.3702437833501904</v>
      </c>
      <c r="AH20" s="162">
        <f>AH28*1000/(AH7*3)</f>
        <v>8.2543978349120426</v>
      </c>
      <c r="AI20" s="162">
        <f>AI28*1000/(AI7*3)</f>
        <v>7.9243270308809279</v>
      </c>
      <c r="AJ20" s="162">
        <f>AJ28*1000/(AJ7*3)</f>
        <v>7.4015498972006961</v>
      </c>
      <c r="AK20" s="164">
        <f>AK28*1000/(AK7*12)</f>
        <v>7.974256598406809</v>
      </c>
      <c r="AL20" s="135"/>
      <c r="AM20" s="161">
        <f>AM28*1000/(AM7*3)</f>
        <v>6.5709189899558806</v>
      </c>
      <c r="AN20" s="162">
        <f>AN28*1000/(AN7*3)</f>
        <v>6.5646429168757319</v>
      </c>
      <c r="AO20" s="162">
        <f>AO28*1000/(AO7*3)</f>
        <v>6.1533274328823699</v>
      </c>
      <c r="AP20" s="162">
        <f>AP28*1000/(AP7*3)</f>
        <v>6.3827516277083998</v>
      </c>
      <c r="AQ20" s="164">
        <f>AQ28*1000/(AQ7*12)</f>
        <v>6.4187047369514838</v>
      </c>
      <c r="AR20" s="135"/>
      <c r="AS20" s="161">
        <f>AS28*1000/(AS7*3)</f>
        <v>5.7913619281828534</v>
      </c>
      <c r="AT20" s="162">
        <f>AT28*1000/(AT7*3)</f>
        <v>5.876799372009887</v>
      </c>
      <c r="AU20" s="162">
        <f>AU28*1000/(AU7*3)</f>
        <v>5.923000987166831</v>
      </c>
      <c r="AV20" s="162">
        <f>AV28*1000/(AV7*3)</f>
        <v>5.6421677802524126</v>
      </c>
      <c r="AW20" s="164">
        <f>AW28*1000/(AW7*12)</f>
        <v>5.8083201265725339</v>
      </c>
      <c r="AX20" s="135"/>
      <c r="AY20" s="161">
        <f>AY28*1000/(AY7*3)</f>
        <v>5.4186775040216748</v>
      </c>
      <c r="AZ20" s="162">
        <f>AZ28*1000/(AZ7*3)</f>
        <v>5.6502535235023137</v>
      </c>
      <c r="BA20" s="162">
        <f>BA28*1000/(BA7*3)</f>
        <v>5.6466706848967423</v>
      </c>
      <c r="BB20" s="162">
        <f>BB28*1000/(BB7*3)</f>
        <v>5.8374171230902281</v>
      </c>
      <c r="BC20" s="164">
        <f>BC28*1000/(BC7*12)</f>
        <v>5.6321763949713493</v>
      </c>
      <c r="BD20" s="135"/>
      <c r="BE20" s="161">
        <f>BE28*1000/(BE7*3)</f>
        <v>6.8126928285239634</v>
      </c>
      <c r="BF20" s="162">
        <f>BF28*1000/(BF7*3)</f>
        <v>6.2528422010004547</v>
      </c>
      <c r="BG20" s="162">
        <f>BG28*1000/(BG7*3)</f>
        <v>6.8545093921362739</v>
      </c>
      <c r="BH20" s="162">
        <f>BH28*1000/(BH7*3)</f>
        <v>7.5040036604895901</v>
      </c>
      <c r="BI20" s="164">
        <f>BI28*1000/(BI7*12)</f>
        <v>6.8445526052757373</v>
      </c>
      <c r="BJ20" s="135"/>
      <c r="BK20" s="161">
        <f>BK28*1000/(BK7*3)</f>
        <v>6.9341258048538883</v>
      </c>
      <c r="BL20" s="162">
        <f>BL28*1000/(BL7*3)</f>
        <v>7.389322916666667</v>
      </c>
      <c r="BM20" s="162">
        <f>BM28*1000/(BM7*3)</f>
        <v>7.2675361754590879</v>
      </c>
      <c r="BN20" s="162">
        <f>BN28*1000/(BN7*3)</f>
        <v>7.3892021268051336</v>
      </c>
      <c r="BO20" s="164">
        <f>BO28*1000/(BO7*12)</f>
        <v>7.2440970289521873</v>
      </c>
      <c r="BP20" s="135"/>
      <c r="BQ20" s="264">
        <f>BQ17/BQ23</f>
        <v>6.6170988138565985</v>
      </c>
      <c r="BR20" s="265">
        <f>BR17/BR23</f>
        <v>6.9196084869791665</v>
      </c>
      <c r="BS20" s="265">
        <f>BS17/BS23</f>
        <v>6.8989856983132753</v>
      </c>
      <c r="BT20" s="266">
        <f>BT17/BT23</f>
        <v>7.0643280053595348</v>
      </c>
      <c r="BU20" s="164">
        <f>BU28*1000/(BU7*12)</f>
        <v>6.8751853203499733</v>
      </c>
      <c r="BV20" s="135"/>
      <c r="BW20" s="264">
        <f>BW17/BW23</f>
        <v>6.4344597665070085</v>
      </c>
      <c r="BX20" s="265">
        <f>BX17/BX23</f>
        <v>6.7163579860799629</v>
      </c>
      <c r="BY20" s="265">
        <f>BY17/BY23</f>
        <v>6.7128572684537788</v>
      </c>
      <c r="BZ20" s="266">
        <f>BZ17/BZ23</f>
        <v>6.9391711397608065</v>
      </c>
      <c r="CA20" s="164">
        <f>CA28*1000/(CA7*12)</f>
        <v>6.7012292868056722</v>
      </c>
      <c r="CB20" s="135"/>
      <c r="CC20" s="264">
        <f>CC17/CC23</f>
        <v>6.3963039420609809</v>
      </c>
      <c r="CD20" s="265">
        <f>CD17/CD23</f>
        <v>6.707075787353034</v>
      </c>
      <c r="CE20" s="265">
        <f>CE17/CE23</f>
        <v>6.7186071514043677</v>
      </c>
      <c r="CF20" s="266">
        <f>CF17/CF23</f>
        <v>6.9704033412768203</v>
      </c>
      <c r="CG20" s="164">
        <f>CG28*1000/(CG7*12)</f>
        <v>6.6986049267552179</v>
      </c>
      <c r="CH20" s="135"/>
      <c r="CI20" s="264">
        <f>CI17/CI23</f>
        <v>6.4182348714420243</v>
      </c>
      <c r="CJ20" s="265">
        <f>CJ17/CJ23</f>
        <v>6.7311341340868065</v>
      </c>
      <c r="CK20" s="265">
        <f>CK17/CK23</f>
        <v>6.7316843775946653</v>
      </c>
      <c r="CL20" s="266">
        <f>CL17/CL23</f>
        <v>6.9794169529790722</v>
      </c>
      <c r="CM20" s="164">
        <f>CM28*1000/(CM7*12)</f>
        <v>6.715605829830019</v>
      </c>
      <c r="CN20" s="135"/>
      <c r="CO20" s="264">
        <f>CO17/CO23</f>
        <v>6.4550783116963926</v>
      </c>
      <c r="CP20" s="265">
        <f>CP17/CP23</f>
        <v>6.7708082957755495</v>
      </c>
      <c r="CQ20" s="265">
        <f>CQ17/CQ23</f>
        <v>6.7606247164245268</v>
      </c>
      <c r="CR20" s="266">
        <f>CR17/CR23</f>
        <v>7.0049792604663423</v>
      </c>
      <c r="CS20" s="164">
        <f>CS28*1000/(CS7*12)</f>
        <v>6.7483435990927481</v>
      </c>
      <c r="CT20" s="135"/>
      <c r="CU20" s="264">
        <f>CU17/CU23</f>
        <v>6.5065886468371366</v>
      </c>
      <c r="CV20" s="265">
        <f>CV17/CV23</f>
        <v>6.8258436961523259</v>
      </c>
      <c r="CW20" s="265">
        <f>CW17/CW23</f>
        <v>6.8051422909840191</v>
      </c>
      <c r="CX20" s="266">
        <f>CX17/CX23</f>
        <v>7.046780922491017</v>
      </c>
      <c r="CY20" s="164">
        <f>CY28*1000/(CY7*12)</f>
        <v>6.7965442685398507</v>
      </c>
      <c r="CZ20" s="135"/>
      <c r="DA20" s="264">
        <f>DA17/DA23</f>
        <v>6.5725609632231352</v>
      </c>
      <c r="DB20" s="265">
        <f>DB17/DB23</f>
        <v>6.8960283284314299</v>
      </c>
      <c r="DC20" s="265">
        <f>DC17/DC23</f>
        <v>6.8649950133717406</v>
      </c>
      <c r="DD20" s="266">
        <f>DD17/DD23</f>
        <v>7.1045585015003176</v>
      </c>
      <c r="DE20" s="164">
        <f>DE28*1000/(DE7*12)</f>
        <v>6.859977122139985</v>
      </c>
      <c r="DF20" s="135"/>
      <c r="DG20" s="264">
        <f>DG17/DG23</f>
        <v>6.6528296460338234</v>
      </c>
      <c r="DH20" s="265">
        <f>DH17/DH23</f>
        <v>6.9811912929357165</v>
      </c>
      <c r="DI20" s="265">
        <f>DI17/DI23</f>
        <v>6.9399830228100692</v>
      </c>
      <c r="DJ20" s="266">
        <f>DJ17/DJ23</f>
        <v>7.1780928031434108</v>
      </c>
      <c r="DK20" s="164">
        <f>DK28*1000/(DK7*12)</f>
        <v>6.9384531711264312</v>
      </c>
    </row>
    <row r="21" spans="2:115" s="241" customFormat="1" ht="15.75" thickBot="1" x14ac:dyDescent="0.35">
      <c r="B21" s="140" t="s">
        <v>23</v>
      </c>
      <c r="C21" s="155" t="s">
        <v>35</v>
      </c>
      <c r="D21" s="106" t="s">
        <v>35</v>
      </c>
      <c r="E21" s="106" t="s">
        <v>35</v>
      </c>
      <c r="F21" s="106" t="s">
        <v>35</v>
      </c>
      <c r="G21" s="108" t="s">
        <v>35</v>
      </c>
      <c r="H21" s="107"/>
      <c r="I21" s="109">
        <f>I20/C20-1</f>
        <v>0.12774357467245401</v>
      </c>
      <c r="J21" s="110">
        <f>J20/D20-1</f>
        <v>0.16269826523929187</v>
      </c>
      <c r="K21" s="110">
        <f>K20/E20-1</f>
        <v>0.20763136046356689</v>
      </c>
      <c r="L21" s="120">
        <f>L20/F20-1</f>
        <v>5.5398521402907352E-3</v>
      </c>
      <c r="M21" s="122">
        <f>M20/G20-1</f>
        <v>0.12378373147311073</v>
      </c>
      <c r="N21" s="107"/>
      <c r="O21" s="109">
        <f>O20/I20-1</f>
        <v>-0.22653903284370358</v>
      </c>
      <c r="P21" s="110">
        <f>P20/J20-1</f>
        <v>-0.28030516343212508</v>
      </c>
      <c r="Q21" s="110">
        <f>Q20/K20-1</f>
        <v>-0.31355153343922826</v>
      </c>
      <c r="R21" s="110">
        <f>R20/L20-1</f>
        <v>-0.19440738269957747</v>
      </c>
      <c r="S21" s="122">
        <f>S20/M20-1</f>
        <v>-0.2564991356368429</v>
      </c>
      <c r="T21" s="107"/>
      <c r="U21" s="109">
        <f>U20/O20-1</f>
        <v>2.061179648362077E-2</v>
      </c>
      <c r="V21" s="110">
        <f>V20/P20-1</f>
        <v>3.8093781479867639E-2</v>
      </c>
      <c r="W21" s="110">
        <f>W20/Q20-1</f>
        <v>5.3377063858399909E-2</v>
      </c>
      <c r="X21" s="110">
        <f>X20/R20-1</f>
        <v>5.9978476560449412E-2</v>
      </c>
      <c r="Y21" s="122">
        <f>Y20/S20-1</f>
        <v>4.3041796673360277E-2</v>
      </c>
      <c r="AA21" s="109">
        <f>AA20/U20-1</f>
        <v>1.3716619955151721E-2</v>
      </c>
      <c r="AB21" s="110">
        <f>AB20/V20-1</f>
        <v>-1.5775697035617875E-2</v>
      </c>
      <c r="AC21" s="110">
        <f>AC20/W20-1</f>
        <v>-9.6389832521756813E-2</v>
      </c>
      <c r="AD21" s="110">
        <f>AD20/X20-1</f>
        <v>-0.2140404148370485</v>
      </c>
      <c r="AE21" s="122">
        <f>AE20/Y20-1</f>
        <v>-8.1641964765354902E-2</v>
      </c>
      <c r="AG21" s="109">
        <f>AG20/AA20-1</f>
        <v>-0.20219101862110955</v>
      </c>
      <c r="AH21" s="110">
        <f>AH20/AB20-1</f>
        <v>-0.22789182237833383</v>
      </c>
      <c r="AI21" s="110">
        <f>AI20/AC20-1</f>
        <v>-0.2190428964269977</v>
      </c>
      <c r="AJ21" s="110">
        <f>AJ20/AD20-1</f>
        <v>-0.16377653272077219</v>
      </c>
      <c r="AK21" s="122">
        <f>AK20/AE20-1</f>
        <v>-0.20513997054315436</v>
      </c>
      <c r="AM21" s="109">
        <f>AM20/AG20-1</f>
        <v>-0.21496683250414605</v>
      </c>
      <c r="AN21" s="110">
        <f>AN20/AH20-1</f>
        <v>-0.20470965318505474</v>
      </c>
      <c r="AO21" s="110">
        <f>AO20/AI20-1</f>
        <v>-0.22348895888534281</v>
      </c>
      <c r="AP21" s="110">
        <f>AP20/AJ20-1</f>
        <v>-0.13764661235042286</v>
      </c>
      <c r="AQ21" s="122">
        <f>AQ20/AK20-1</f>
        <v>-0.19507170884946334</v>
      </c>
      <c r="AS21" s="109">
        <f>AS20/AM20-1</f>
        <v>-0.11863744827240086</v>
      </c>
      <c r="AT21" s="110">
        <f>AT20/AN20-1</f>
        <v>-0.10478003961153848</v>
      </c>
      <c r="AU21" s="110">
        <f>AU20/AO20-1</f>
        <v>-3.7431202585565759E-2</v>
      </c>
      <c r="AV21" s="110">
        <f>AV20/AP20-1</f>
        <v>-0.11602893088319643</v>
      </c>
      <c r="AW21" s="122">
        <f>AW20/AQ20-1</f>
        <v>-9.5094670247886759E-2</v>
      </c>
      <c r="AY21" s="109">
        <f>AY20/AS20-1</f>
        <v>-6.4351775762374941E-2</v>
      </c>
      <c r="AZ21" s="110">
        <f>AZ20/AT20-1</f>
        <v>-3.8549188795957479E-2</v>
      </c>
      <c r="BA21" s="110">
        <f>BA20/AU20-1</f>
        <v>-4.6653766033266653E-2</v>
      </c>
      <c r="BB21" s="110">
        <f>BB20/AV20-1</f>
        <v>3.4605376947702382E-2</v>
      </c>
      <c r="BC21" s="122">
        <f>BC20/AW20-1</f>
        <v>-3.0326105958819904E-2</v>
      </c>
      <c r="BE21" s="109">
        <f>BE20/AY20-1</f>
        <v>0.25726117183900832</v>
      </c>
      <c r="BF21" s="110">
        <f>BF20/AZ20-1</f>
        <v>0.10664807782370556</v>
      </c>
      <c r="BG21" s="110">
        <f>BG20/BA20-1</f>
        <v>0.2139028065635491</v>
      </c>
      <c r="BH21" s="110">
        <f>BH20/BB20-1</f>
        <v>0.28550067645621668</v>
      </c>
      <c r="BI21" s="122">
        <f>BI20/BC20-1</f>
        <v>0.21525892040363837</v>
      </c>
      <c r="BK21" s="109">
        <f>BK20/BE20-1</f>
        <v>1.7824519523542692E-2</v>
      </c>
      <c r="BL21" s="110">
        <f>BL20/BF20-1</f>
        <v>0.18175426136363648</v>
      </c>
      <c r="BM21" s="110">
        <f>BM20/BG20-1</f>
        <v>6.0256213784848356E-2</v>
      </c>
      <c r="BN21" s="110">
        <f>BN20/BH20-1</f>
        <v>-1.5298704382157302E-2</v>
      </c>
      <c r="BO21" s="122">
        <f>BO20/BI20-1</f>
        <v>5.8374074496627237E-2</v>
      </c>
      <c r="BQ21" s="109">
        <f>BQ20/BK20-1</f>
        <v>-4.571982105882344E-2</v>
      </c>
      <c r="BR21" s="110">
        <f>BR20/BL20-1</f>
        <v>-6.3566640000000008E-2</v>
      </c>
      <c r="BS21" s="110">
        <f>BS20/BM20-1</f>
        <v>-5.0711887529411803E-2</v>
      </c>
      <c r="BT21" s="120">
        <f>BT20/BN20-1</f>
        <v>-4.3966062352940982E-2</v>
      </c>
      <c r="BU21" s="122">
        <f>BU20/BO20-1</f>
        <v>-5.0925837565096055E-2</v>
      </c>
      <c r="BW21" s="109">
        <f>BW20/BQ20-1</f>
        <v>-2.7601076013423431E-2</v>
      </c>
      <c r="BX21" s="110">
        <f>BX20/BR20-1</f>
        <v>-2.9373121511378275E-2</v>
      </c>
      <c r="BY21" s="110">
        <f>BY20/BS20-1</f>
        <v>-2.6979100696643443E-2</v>
      </c>
      <c r="BZ21" s="120">
        <f>BZ20/BT20-1</f>
        <v>-1.7716740432179079E-2</v>
      </c>
      <c r="CA21" s="122">
        <f>CA20/BU20-1</f>
        <v>-2.530201375509189E-2</v>
      </c>
      <c r="CC21" s="109">
        <f>CC20/BW20-1</f>
        <v>-5.9299188790702395E-3</v>
      </c>
      <c r="CD21" s="110">
        <f>CD20/BX20-1</f>
        <v>-1.3820285854575509E-3</v>
      </c>
      <c r="CE21" s="110">
        <f>CE20/BY20-1</f>
        <v>8.5654777401722448E-4</v>
      </c>
      <c r="CF21" s="120">
        <f>CF20/BZ20-1</f>
        <v>4.5008547688147882E-3</v>
      </c>
      <c r="CG21" s="122">
        <f>CG20/CA20-1</f>
        <v>-3.9162367651279784E-4</v>
      </c>
      <c r="CI21" s="109">
        <f>CI20/CC20-1</f>
        <v>3.4286878140403765E-3</v>
      </c>
      <c r="CJ21" s="110">
        <f>CJ20/CD20-1</f>
        <v>3.5870098231389758E-3</v>
      </c>
      <c r="CK21" s="110">
        <f>CK20/CE20-1</f>
        <v>1.946419234761132E-3</v>
      </c>
      <c r="CL21" s="120">
        <f>CL20/CF20-1</f>
        <v>1.2931262741822103E-3</v>
      </c>
      <c r="CM21" s="122">
        <f>CM20/CG20-1</f>
        <v>2.5379766773372392E-3</v>
      </c>
      <c r="CO21" s="109">
        <f>CO20/CI20-1</f>
        <v>5.7404319088263378E-3</v>
      </c>
      <c r="CP21" s="110">
        <f>CP20/CJ20-1</f>
        <v>5.8941273340300526E-3</v>
      </c>
      <c r="CQ21" s="110">
        <f>CQ20/CK20-1</f>
        <v>4.2991229544546705E-3</v>
      </c>
      <c r="CR21" s="120">
        <f>CR20/CL20-1</f>
        <v>3.6625276379798066E-3</v>
      </c>
      <c r="CS21" s="122">
        <f>CS20/CM20-1</f>
        <v>4.8748795108419785E-3</v>
      </c>
      <c r="CU21" s="109">
        <f>CU20/CO20-1</f>
        <v>7.9798156820822808E-3</v>
      </c>
      <c r="CV21" s="110">
        <f>CV20/CP20-1</f>
        <v>8.1283353438190709E-3</v>
      </c>
      <c r="CW21" s="110">
        <f>CW20/CQ20-1</f>
        <v>6.5848314951337805E-3</v>
      </c>
      <c r="CX21" s="120">
        <f>CX20/CR20-1</f>
        <v>5.9674212400011584E-3</v>
      </c>
      <c r="CY21" s="122">
        <f>CY20/CS20-1</f>
        <v>7.1425926583794652E-3</v>
      </c>
      <c r="DA21" s="109">
        <f>DA20/CU20-1</f>
        <v>1.0139309547110731E-2</v>
      </c>
      <c r="DB21" s="110">
        <f>DB20/CV20-1</f>
        <v>1.0282191536068463E-2</v>
      </c>
      <c r="DC21" s="110">
        <f>DC20/CW20-1</f>
        <v>8.7952198247227553E-3</v>
      </c>
      <c r="DD21" s="120">
        <f>DD20/CX20-1</f>
        <v>8.1991450628036144E-3</v>
      </c>
      <c r="DE21" s="122">
        <f>DE20/CY20-1</f>
        <v>9.3331038677633149E-3</v>
      </c>
      <c r="DG21" s="109">
        <f>DG20/DA20-1</f>
        <v>1.2212695060545231E-2</v>
      </c>
      <c r="DH21" s="110">
        <f>DH20/DB20-1</f>
        <v>1.2349567091128444E-2</v>
      </c>
      <c r="DI21" s="110">
        <f>DI20/DC20-1</f>
        <v>1.0923243103930336E-2</v>
      </c>
      <c r="DJ21" s="120">
        <f>DJ20/DD20-1</f>
        <v>1.0350298562192828E-2</v>
      </c>
      <c r="DK21" s="122">
        <f>DK20/DE20-1</f>
        <v>1.143969543763812E-2</v>
      </c>
    </row>
    <row r="22" spans="2:115" s="241" customFormat="1" ht="15" x14ac:dyDescent="0.3">
      <c r="B22" s="6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AA22" s="107"/>
      <c r="AB22" s="107"/>
      <c r="AC22" s="107"/>
      <c r="AD22" s="107"/>
      <c r="AE22" s="107"/>
      <c r="AG22" s="107"/>
      <c r="AH22" s="107"/>
      <c r="AI22" s="107"/>
      <c r="AJ22" s="107"/>
      <c r="AK22" s="107"/>
      <c r="AM22" s="107"/>
      <c r="AN22" s="107"/>
      <c r="AO22" s="107"/>
      <c r="AP22" s="107"/>
      <c r="AQ22" s="107"/>
      <c r="AS22" s="107"/>
      <c r="AT22" s="107"/>
      <c r="AU22" s="107"/>
      <c r="AV22" s="107"/>
      <c r="AW22" s="107"/>
      <c r="AY22" s="107"/>
      <c r="AZ22" s="107"/>
      <c r="BA22" s="107"/>
      <c r="BB22" s="107"/>
      <c r="BC22" s="107"/>
      <c r="BE22" s="107"/>
      <c r="BF22" s="107"/>
      <c r="BG22" s="107"/>
      <c r="BH22" s="107"/>
      <c r="BI22" s="107"/>
      <c r="BK22" s="107"/>
      <c r="BL22" s="107"/>
      <c r="BM22" s="107"/>
      <c r="BN22" s="107"/>
      <c r="BO22" s="107"/>
      <c r="BQ22" s="107"/>
      <c r="BR22" s="107"/>
      <c r="BS22" s="107"/>
      <c r="BT22" s="107"/>
      <c r="BU22" s="107"/>
      <c r="BW22" s="107"/>
      <c r="BX22" s="107"/>
      <c r="BY22" s="107"/>
      <c r="BZ22" s="107"/>
      <c r="CA22" s="107"/>
      <c r="CC22" s="107"/>
      <c r="CD22" s="107"/>
      <c r="CE22" s="107"/>
      <c r="CF22" s="107"/>
      <c r="CG22" s="107"/>
      <c r="CI22" s="107"/>
      <c r="CJ22" s="107"/>
      <c r="CK22" s="107"/>
      <c r="CL22" s="107"/>
      <c r="CM22" s="107"/>
      <c r="CO22" s="107"/>
      <c r="CP22" s="107"/>
      <c r="CQ22" s="107"/>
      <c r="CR22" s="107"/>
      <c r="CS22" s="107"/>
      <c r="CU22" s="107"/>
      <c r="CV22" s="107"/>
      <c r="CW22" s="107"/>
      <c r="CX22" s="107"/>
      <c r="CY22" s="107"/>
      <c r="DA22" s="107"/>
      <c r="DB22" s="107"/>
      <c r="DC22" s="107"/>
      <c r="DD22" s="107"/>
      <c r="DE22" s="107"/>
      <c r="DG22" s="107"/>
      <c r="DH22" s="107"/>
      <c r="DI22" s="107"/>
      <c r="DJ22" s="107"/>
      <c r="DK22" s="107"/>
    </row>
    <row r="23" spans="2:115" s="241" customFormat="1" ht="15" x14ac:dyDescent="0.3">
      <c r="B23" s="16" t="s">
        <v>93</v>
      </c>
      <c r="C23" s="107">
        <v>3.8849999999999998</v>
      </c>
      <c r="D23" s="262">
        <v>3.8</v>
      </c>
      <c r="E23" s="107">
        <v>3.79</v>
      </c>
      <c r="F23" s="107">
        <v>3.66</v>
      </c>
      <c r="G23" s="107"/>
      <c r="H23" s="107"/>
      <c r="I23" s="262">
        <f>I25/I28</f>
        <v>3.6183953033268104</v>
      </c>
      <c r="J23" s="262">
        <f>J25/J28</f>
        <v>3.2433392539964476</v>
      </c>
      <c r="K23" s="262">
        <f>K25/K28</f>
        <v>3.191029900332226</v>
      </c>
      <c r="L23" s="262">
        <f>L25/L28</f>
        <v>3.8269230769230771</v>
      </c>
      <c r="M23" s="107"/>
      <c r="N23" s="107"/>
      <c r="O23" s="262">
        <f>O25/O28</f>
        <v>4.5074257425742577</v>
      </c>
      <c r="P23" s="262">
        <f>P25/P28</f>
        <v>4.4486873508353222</v>
      </c>
      <c r="Q23" s="262">
        <f>Q25/Q28</f>
        <v>4.195348837209302</v>
      </c>
      <c r="R23" s="262">
        <f>R25/R28</f>
        <v>4.1651162790697676</v>
      </c>
      <c r="S23" s="107"/>
      <c r="T23" s="107"/>
      <c r="U23" s="262">
        <f>U25/U28</f>
        <v>3.9808153477218227</v>
      </c>
      <c r="V23" s="263">
        <f>100/24.8992</f>
        <v>4.0161932913507261</v>
      </c>
      <c r="W23" s="263">
        <f>100/24.9485</f>
        <v>4.0082570094394452</v>
      </c>
      <c r="X23" s="263">
        <f>100/25.2049</f>
        <v>3.9674825133208227</v>
      </c>
      <c r="Y23" s="263"/>
      <c r="Z23" s="314"/>
      <c r="AA23" s="263">
        <f>100/25.3409</f>
        <v>3.9461897564806301</v>
      </c>
      <c r="AB23" s="263">
        <f>100/25.2491</f>
        <v>3.9605372072667939</v>
      </c>
      <c r="AC23" s="263">
        <f>100/24.073</f>
        <v>4.1540314875586759</v>
      </c>
      <c r="AD23" s="263">
        <f>100/22.6209</f>
        <v>4.4206906002855773</v>
      </c>
      <c r="AE23" s="262"/>
      <c r="AF23" s="447"/>
      <c r="AG23" s="263">
        <f>100/23.6222</f>
        <v>4.2333059579548049</v>
      </c>
      <c r="AH23" s="263">
        <f>100/23.4952</f>
        <v>4.2561884980762024</v>
      </c>
      <c r="AI23" s="263">
        <f>100/24.1734</f>
        <v>4.136778442420181</v>
      </c>
      <c r="AJ23" s="263">
        <f>100/24.3063</f>
        <v>4.1141597034513682</v>
      </c>
      <c r="AK23" s="262"/>
      <c r="AL23" s="447"/>
      <c r="AM23" s="263">
        <f>100/24.0696</f>
        <v>4.1546182736730151</v>
      </c>
      <c r="AN23" s="263">
        <f>100/23.8164</f>
        <v>4.1987873902017094</v>
      </c>
      <c r="AO23" s="263">
        <f>100/23.543</f>
        <v>4.2475470415834859</v>
      </c>
      <c r="AP23" s="263">
        <f>100/23.8882</f>
        <v>4.1861672290084639</v>
      </c>
      <c r="AQ23" s="262"/>
      <c r="AR23" s="447"/>
      <c r="AS23" s="263">
        <f>100/23.8915</f>
        <v>4.1855890170144194</v>
      </c>
      <c r="AT23" s="263">
        <f>100/23.9858</f>
        <v>4.1691334039306591</v>
      </c>
      <c r="AU23" s="263">
        <f>100/23.9522</f>
        <v>4.1749818388290008</v>
      </c>
      <c r="AV23" s="263">
        <f>100/23.7422</f>
        <v>4.2119095955724406</v>
      </c>
      <c r="AW23" s="263"/>
      <c r="AX23" s="314"/>
      <c r="AY23" s="263">
        <f>100/23.8397</f>
        <v>4.1946836579319369</v>
      </c>
      <c r="AZ23" s="263">
        <v>4.0873200000000001</v>
      </c>
      <c r="BA23" s="263">
        <v>4.1885399999999997</v>
      </c>
      <c r="BB23" s="263">
        <v>4.2639399999999998</v>
      </c>
      <c r="BC23" s="263"/>
      <c r="BD23" s="314"/>
      <c r="BE23" s="263">
        <v>4.3646599999999998</v>
      </c>
      <c r="BF23" s="263">
        <v>4.3703099999999999</v>
      </c>
      <c r="BG23" s="263">
        <v>4.3381400000000001</v>
      </c>
      <c r="BH23" s="263">
        <v>4.3809399999999998</v>
      </c>
      <c r="BI23" s="263"/>
      <c r="BJ23" s="314"/>
      <c r="BK23" s="263">
        <v>4.3207700000000004</v>
      </c>
      <c r="BL23" s="263">
        <v>4.2720500000000001</v>
      </c>
      <c r="BM23" s="263">
        <v>4.25847</v>
      </c>
      <c r="BN23" s="263">
        <v>4.2313400000000003</v>
      </c>
      <c r="BO23" s="263"/>
      <c r="BP23" s="314"/>
      <c r="BQ23" s="263">
        <v>4.25</v>
      </c>
      <c r="BR23" s="263">
        <v>4.25</v>
      </c>
      <c r="BS23" s="263">
        <v>4.25</v>
      </c>
      <c r="BT23" s="263">
        <v>4.25</v>
      </c>
      <c r="BU23" s="263"/>
      <c r="BV23" s="314"/>
      <c r="BW23" s="263">
        <v>4.25</v>
      </c>
      <c r="BX23" s="263">
        <v>4.25</v>
      </c>
      <c r="BY23" s="263">
        <v>4.25</v>
      </c>
      <c r="BZ23" s="263">
        <v>4.25</v>
      </c>
      <c r="CA23" s="263"/>
      <c r="CB23" s="314"/>
      <c r="CC23" s="263">
        <v>4.25</v>
      </c>
      <c r="CD23" s="263">
        <v>4.25</v>
      </c>
      <c r="CE23" s="263">
        <v>4.25</v>
      </c>
      <c r="CF23" s="263">
        <v>4.25</v>
      </c>
      <c r="CG23" s="263"/>
      <c r="CH23" s="314"/>
      <c r="CI23" s="263">
        <v>4.25</v>
      </c>
      <c r="CJ23" s="263">
        <v>4.25</v>
      </c>
      <c r="CK23" s="263">
        <v>4.25</v>
      </c>
      <c r="CL23" s="263">
        <v>4.25</v>
      </c>
      <c r="CM23" s="263"/>
      <c r="CN23" s="314"/>
      <c r="CO23" s="263">
        <v>4.25</v>
      </c>
      <c r="CP23" s="263">
        <v>4.25</v>
      </c>
      <c r="CQ23" s="263">
        <v>4.25</v>
      </c>
      <c r="CR23" s="263">
        <v>4.25</v>
      </c>
      <c r="CS23" s="263"/>
      <c r="CT23" s="314"/>
      <c r="CU23" s="263">
        <v>4.25</v>
      </c>
      <c r="CV23" s="263">
        <v>4.25</v>
      </c>
      <c r="CW23" s="263">
        <v>4.25</v>
      </c>
      <c r="CX23" s="263">
        <v>4.25</v>
      </c>
      <c r="CY23" s="107"/>
      <c r="CZ23" s="314"/>
      <c r="DA23" s="263">
        <v>4.25</v>
      </c>
      <c r="DB23" s="263">
        <v>4.25</v>
      </c>
      <c r="DC23" s="263">
        <v>4.25</v>
      </c>
      <c r="DD23" s="263">
        <v>4.25</v>
      </c>
      <c r="DE23" s="107"/>
      <c r="DF23" s="314"/>
      <c r="DG23" s="263">
        <v>4.25</v>
      </c>
      <c r="DH23" s="263">
        <v>4.25</v>
      </c>
      <c r="DI23" s="263">
        <v>4.25</v>
      </c>
      <c r="DJ23" s="263">
        <v>4.25</v>
      </c>
      <c r="DK23" s="107"/>
    </row>
    <row r="24" spans="2:115" s="241" customFormat="1" ht="15.75" thickBot="1" x14ac:dyDescent="0.35">
      <c r="B24" s="6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  <c r="Y24" s="107"/>
      <c r="AA24" s="107"/>
      <c r="AB24" s="107"/>
      <c r="AC24" s="107"/>
      <c r="AD24" s="107"/>
      <c r="AE24" s="107"/>
      <c r="AG24" s="107"/>
      <c r="AH24" s="107"/>
      <c r="AI24" s="107"/>
      <c r="AJ24" s="107"/>
      <c r="AK24" s="107"/>
      <c r="AM24" s="107"/>
      <c r="AN24" s="107"/>
      <c r="AO24" s="107"/>
      <c r="AP24" s="107"/>
      <c r="AQ24" s="107"/>
      <c r="AS24" s="107"/>
      <c r="AT24" s="107"/>
      <c r="AU24" s="107"/>
      <c r="AV24" s="107"/>
      <c r="AW24" s="107"/>
      <c r="AY24" s="107"/>
      <c r="AZ24" s="107"/>
      <c r="BA24" s="107"/>
      <c r="BB24" s="107"/>
      <c r="BC24" s="107"/>
      <c r="BE24" s="107"/>
      <c r="BF24" s="107"/>
      <c r="BG24" s="107"/>
      <c r="BH24" s="107"/>
      <c r="BI24" s="107"/>
      <c r="BK24" s="107"/>
      <c r="BL24" s="107"/>
      <c r="BM24" s="107"/>
      <c r="BN24" s="107"/>
      <c r="BO24" s="107"/>
      <c r="BQ24" s="107"/>
      <c r="BR24" s="107"/>
      <c r="BS24" s="107"/>
      <c r="BT24" s="107"/>
      <c r="BU24" s="107"/>
      <c r="BW24" s="107"/>
      <c r="BX24" s="107"/>
      <c r="BY24" s="107"/>
      <c r="BZ24" s="107"/>
      <c r="CA24" s="107"/>
      <c r="CC24" s="107"/>
      <c r="CD24" s="107"/>
      <c r="CE24" s="107"/>
      <c r="CF24" s="107"/>
      <c r="CG24" s="107"/>
      <c r="CI24" s="107"/>
      <c r="CJ24" s="107"/>
      <c r="CK24" s="107"/>
      <c r="CL24" s="107"/>
      <c r="CM24" s="107"/>
      <c r="CO24" s="107"/>
      <c r="CP24" s="107"/>
      <c r="CQ24" s="107"/>
      <c r="CR24" s="107"/>
      <c r="CS24" s="107"/>
      <c r="CU24" s="107"/>
      <c r="CV24" s="107"/>
      <c r="CW24" s="107"/>
      <c r="CX24" s="107"/>
      <c r="CY24" s="107"/>
      <c r="DA24" s="107"/>
      <c r="DB24" s="107"/>
      <c r="DC24" s="107"/>
      <c r="DD24" s="107"/>
      <c r="DE24" s="107"/>
      <c r="DG24" s="107"/>
      <c r="DH24" s="107"/>
      <c r="DI24" s="107"/>
      <c r="DJ24" s="107"/>
      <c r="DK24" s="107"/>
    </row>
    <row r="25" spans="2:115" ht="15" x14ac:dyDescent="0.3">
      <c r="B25" s="139" t="s">
        <v>101</v>
      </c>
      <c r="C25" s="181">
        <f>C28*C23</f>
        <v>1666.665</v>
      </c>
      <c r="D25" s="182">
        <f>D28*D23</f>
        <v>1774.6</v>
      </c>
      <c r="E25" s="182">
        <f>E28*E23</f>
        <v>1845.73</v>
      </c>
      <c r="F25" s="183">
        <f>F28*F23</f>
        <v>1851.96</v>
      </c>
      <c r="G25" s="201">
        <f>C25+D25+E25+F25</f>
        <v>7138.9549999999999</v>
      </c>
      <c r="H25" s="134"/>
      <c r="I25" s="181">
        <v>1849</v>
      </c>
      <c r="J25" s="182">
        <v>1826</v>
      </c>
      <c r="K25" s="182">
        <v>1921</v>
      </c>
      <c r="L25" s="182">
        <v>1990</v>
      </c>
      <c r="M25" s="201">
        <f>I25+J25+K25+L25</f>
        <v>7586</v>
      </c>
      <c r="N25" s="134"/>
      <c r="O25" s="198">
        <v>1821</v>
      </c>
      <c r="P25" s="199">
        <v>1864</v>
      </c>
      <c r="Q25" s="199">
        <v>1804</v>
      </c>
      <c r="R25" s="199">
        <v>1791</v>
      </c>
      <c r="S25" s="201">
        <f>O25+P25+Q25+R25</f>
        <v>7280</v>
      </c>
      <c r="T25" s="197"/>
      <c r="U25" s="198">
        <v>1660</v>
      </c>
      <c r="V25" s="199">
        <f>V28*V23</f>
        <v>1743.0278884462152</v>
      </c>
      <c r="W25" s="199">
        <f>W28*W23</f>
        <v>1795.6991402288713</v>
      </c>
      <c r="X25" s="199">
        <f>X28*X23</f>
        <v>1781.3996484810493</v>
      </c>
      <c r="Y25" s="201">
        <f>U25+V25+W25+X25</f>
        <v>6980.1266771561359</v>
      </c>
      <c r="AA25" s="198">
        <f>AA28*AA23</f>
        <v>1641.6149386959421</v>
      </c>
      <c r="AB25" s="199">
        <f>AB28*AB23</f>
        <v>1675.3072386738538</v>
      </c>
      <c r="AC25" s="199">
        <f>AC28*AC23</f>
        <v>1682.3827524612636</v>
      </c>
      <c r="AD25" s="199">
        <f>AD28*AD23</f>
        <v>1617.9727597045212</v>
      </c>
      <c r="AE25" s="201">
        <f>AA25+AB25+AC25+AD25</f>
        <v>6617.277689535581</v>
      </c>
      <c r="AG25" s="198">
        <f>AG28*AG23</f>
        <v>1523.9901448637297</v>
      </c>
      <c r="AH25" s="199">
        <f>AH28*AH23</f>
        <v>1557.7649902958901</v>
      </c>
      <c r="AI25" s="199">
        <f>AI28*AI23</f>
        <v>1505.7873530409458</v>
      </c>
      <c r="AJ25" s="199">
        <f>AJ28*AJ23</f>
        <v>1444.0700559114302</v>
      </c>
      <c r="AK25" s="201">
        <f>AG25+AH25+AI25+AJ25</f>
        <v>6031.6125441119957</v>
      </c>
      <c r="AM25" s="198">
        <f>AM28*AM23</f>
        <v>1308.7047562069997</v>
      </c>
      <c r="AN25" s="199">
        <f>AN28*AN23</f>
        <v>1318.4192405233368</v>
      </c>
      <c r="AO25" s="199">
        <f>AO28*AO23</f>
        <v>1240.2837361423778</v>
      </c>
      <c r="AP25" s="199">
        <f>AP28*AP23</f>
        <v>1251.6640014735308</v>
      </c>
      <c r="AQ25" s="201">
        <f>AM25+AN25+AO25+AP25</f>
        <v>5119.0717343462456</v>
      </c>
      <c r="AS25" s="198">
        <f>AS28*AS23</f>
        <v>1138.4802126279221</v>
      </c>
      <c r="AT25" s="199">
        <f>AT28*AT23</f>
        <v>1154.8499528887926</v>
      </c>
      <c r="AU25" s="199">
        <f>AU28*AU23</f>
        <v>1164.8199330332911</v>
      </c>
      <c r="AV25" s="199">
        <f>AV28*AV23</f>
        <v>1120.3679524222691</v>
      </c>
      <c r="AW25" s="201">
        <f>AS25+AT25+AU25+AV25</f>
        <v>4578.518050972275</v>
      </c>
      <c r="AY25" s="198">
        <f>AY28*AY23</f>
        <v>1073.8390164305758</v>
      </c>
      <c r="AZ25" s="199">
        <f>AZ28*AZ23</f>
        <v>1095.40176</v>
      </c>
      <c r="BA25" s="199">
        <f>BA28*BA23</f>
        <v>1118.3401799999999</v>
      </c>
      <c r="BB25" s="199">
        <f>BB28*BB23</f>
        <v>1036.13742</v>
      </c>
      <c r="BC25" s="201">
        <f>AY25+AZ25+BA25+BB25</f>
        <v>4323.7183764305755</v>
      </c>
      <c r="BE25" s="198">
        <f>BE28*BE23</f>
        <v>1064.97704</v>
      </c>
      <c r="BF25" s="199">
        <f>BF28*BF23</f>
        <v>961.46820000000002</v>
      </c>
      <c r="BG25" s="199">
        <f>BG28*BG23</f>
        <v>1019.4629</v>
      </c>
      <c r="BH25" s="199">
        <f>BH28*BH23</f>
        <v>1077.7112399999999</v>
      </c>
      <c r="BI25" s="201">
        <f>BE25+BF25+BG25+BH25</f>
        <v>4123.6193800000001</v>
      </c>
      <c r="BK25" s="198">
        <f>BK28*BK23</f>
        <v>937.60709000000008</v>
      </c>
      <c r="BL25" s="199">
        <f>BL28*BL23</f>
        <v>969.75535000000002</v>
      </c>
      <c r="BM25" s="199">
        <f>BM28*BM23</f>
        <v>953.89728000000002</v>
      </c>
      <c r="BN25" s="199">
        <f>BN28*BN23</f>
        <v>973.20820000000003</v>
      </c>
      <c r="BO25" s="201">
        <f>BK25+BL25+BM25+BN25</f>
        <v>3834.46792</v>
      </c>
      <c r="BQ25" s="198">
        <f>BQ17*BQ7*3/1000</f>
        <v>877.7647747568916</v>
      </c>
      <c r="BR25" s="199">
        <f>BR17*BR7*3/1000</f>
        <v>914.58454759843653</v>
      </c>
      <c r="BS25" s="199">
        <f>BS17*BS7*3/1000</f>
        <v>914.05782602128556</v>
      </c>
      <c r="BT25" s="200">
        <f>BT17*BT7*3/1000</f>
        <v>941.5936833423641</v>
      </c>
      <c r="BU25" s="201">
        <f>BQ25+BR25+BS25+BT25</f>
        <v>3648.0008317189777</v>
      </c>
      <c r="BW25" s="198">
        <f>BW17*BW7*3/1000</f>
        <v>862.76695071450467</v>
      </c>
      <c r="BX25" s="199">
        <f>BX17*BX7*3/1000</f>
        <v>902.70621830583968</v>
      </c>
      <c r="BY25" s="199">
        <f>BY17*BY7*3/1000</f>
        <v>904.37543067073989</v>
      </c>
      <c r="BZ25" s="200">
        <f>BZ17*BZ7*3/1000</f>
        <v>938.1828772668008</v>
      </c>
      <c r="CA25" s="201">
        <f>BW25+BX25+BY25+BZ25</f>
        <v>3608.0314769578849</v>
      </c>
      <c r="CC25" s="198">
        <f>CC17*CC7*3/1000</f>
        <v>867.84492209288453</v>
      </c>
      <c r="CD25" s="199">
        <f>CD17*CD7*3/1000</f>
        <v>912.14805454396446</v>
      </c>
      <c r="CE25" s="199">
        <f>CE17*CE7*3/1000</f>
        <v>915.85785158030751</v>
      </c>
      <c r="CF25" s="200">
        <f>CF17*CF7*3/1000</f>
        <v>952.40367443661125</v>
      </c>
      <c r="CG25" s="201">
        <f>CC25+CD25+CE25+CF25</f>
        <v>3648.2545026537678</v>
      </c>
      <c r="CI25" s="198">
        <f>CI17*CI7*3/1000</f>
        <v>879.00374086282989</v>
      </c>
      <c r="CJ25" s="199">
        <f>CJ17*CJ7*3/1000</f>
        <v>924.00213459673148</v>
      </c>
      <c r="CK25" s="199">
        <f>CK17*CK7*3/1000</f>
        <v>926.22339250036362</v>
      </c>
      <c r="CL25" s="200">
        <f>CL17*CL7*3/1000</f>
        <v>962.5340092667011</v>
      </c>
      <c r="CM25" s="201">
        <f>CI25+CJ25+CK25+CL25</f>
        <v>3691.7632772266261</v>
      </c>
      <c r="CO25" s="198">
        <f>CO17*CO7*3/1000</f>
        <v>892.2798268322698</v>
      </c>
      <c r="CP25" s="199">
        <f>CP17*CP7*3/1000</f>
        <v>938.08110141207396</v>
      </c>
      <c r="CQ25" s="199">
        <f>CQ17*CQ7*3/1000</f>
        <v>938.82513726145612</v>
      </c>
      <c r="CR25" s="200">
        <f>CR17*CR7*3/1000</f>
        <v>974.99066523523049</v>
      </c>
      <c r="CS25" s="201">
        <f>CO25+CP25+CQ25+CR25</f>
        <v>3744.1767307410305</v>
      </c>
      <c r="CU25" s="198">
        <f>CU17*CU7*3/1000</f>
        <v>907.69595591194866</v>
      </c>
      <c r="CV25" s="199">
        <f>CV17*CV7*3/1000</f>
        <v>954.40908989664467</v>
      </c>
      <c r="CW25" s="199">
        <f>CW17*CW7*3/1000</f>
        <v>953.68369901472329</v>
      </c>
      <c r="CX25" s="200">
        <f>CX17*CX7*3/1000</f>
        <v>989.79349091593417</v>
      </c>
      <c r="CY25" s="201">
        <f>CU25+CV25+CW25+CX25</f>
        <v>3805.5822357392508</v>
      </c>
      <c r="DA25" s="198">
        <f>DA17*DA7*3/1000</f>
        <v>925.27938141171023</v>
      </c>
      <c r="DB25" s="199">
        <f>DB17*DB7*3/1000</f>
        <v>973.01494308147687</v>
      </c>
      <c r="DC25" s="199">
        <f>DC17*DC7*3/1000</f>
        <v>970.82442543286129</v>
      </c>
      <c r="DD25" s="200">
        <f>DD17*DD7*3/1000</f>
        <v>1006.9672634195855</v>
      </c>
      <c r="DE25" s="201">
        <f>DA25+DB25+DC25+DD25</f>
        <v>3876.086013345634</v>
      </c>
      <c r="DG25" s="198">
        <f>DG17*DG7*3/1000</f>
        <v>945.06189414139442</v>
      </c>
      <c r="DH25" s="199">
        <f>DH17*DH7*3/1000</f>
        <v>993.93227530022523</v>
      </c>
      <c r="DI25" s="199">
        <f>DI17*DI7*3/1000</f>
        <v>990.27745499718083</v>
      </c>
      <c r="DJ25" s="200">
        <f>DJ17*DJ7*3/1000</f>
        <v>1026.5417435623403</v>
      </c>
      <c r="DK25" s="201">
        <f>DG25+DH25+DI25+DJ25</f>
        <v>3955.813368001141</v>
      </c>
    </row>
    <row r="26" spans="2:115" ht="15" x14ac:dyDescent="0.3">
      <c r="B26" s="5" t="s">
        <v>23</v>
      </c>
      <c r="C26" s="144" t="s">
        <v>35</v>
      </c>
      <c r="D26" s="107" t="s">
        <v>35</v>
      </c>
      <c r="E26" s="107" t="s">
        <v>35</v>
      </c>
      <c r="F26" s="145" t="s">
        <v>35</v>
      </c>
      <c r="G26" s="138" t="s">
        <v>35</v>
      </c>
      <c r="I26" s="151">
        <f>I25/C25-1</f>
        <v>0.10940110940110936</v>
      </c>
      <c r="J26" s="133">
        <f>J25/D25-1</f>
        <v>2.8964273639130012E-2</v>
      </c>
      <c r="K26" s="133">
        <f>K25/E25-1</f>
        <v>4.0780612548964257E-2</v>
      </c>
      <c r="L26" s="133">
        <f>L25/F25-1</f>
        <v>7.4537247024773823E-2</v>
      </c>
      <c r="M26" s="153">
        <f>M25/G25-1</f>
        <v>6.2620509584385919E-2</v>
      </c>
      <c r="O26" s="151">
        <f>O25/I25-1</f>
        <v>-1.5143320713899455E-2</v>
      </c>
      <c r="P26" s="133">
        <f>P25/J25-1</f>
        <v>2.0810514786418377E-2</v>
      </c>
      <c r="Q26" s="133">
        <f>Q25/K25-1</f>
        <v>-6.0905778240499697E-2</v>
      </c>
      <c r="R26" s="133">
        <f>R25/L25-1</f>
        <v>-9.9999999999999978E-2</v>
      </c>
      <c r="S26" s="153">
        <f>S25/M25-1</f>
        <v>-4.0337463749011371E-2</v>
      </c>
      <c r="U26" s="151">
        <f>U25/O25-1</f>
        <v>-8.8412959912136158E-2</v>
      </c>
      <c r="V26" s="133">
        <f>V25/P25-1</f>
        <v>-6.4899201477352397E-2</v>
      </c>
      <c r="W26" s="133">
        <f>W25/Q25-1</f>
        <v>-4.6013635094948047E-3</v>
      </c>
      <c r="X26" s="133">
        <f>X25/R25-1</f>
        <v>-5.3603302730043101E-3</v>
      </c>
      <c r="Y26" s="153">
        <f>Y25/S25-1</f>
        <v>-4.1191390500530778E-2</v>
      </c>
      <c r="AA26" s="151">
        <f>AA25/U25-1</f>
        <v>-1.1075338134974633E-2</v>
      </c>
      <c r="AB26" s="133">
        <f>AB25/V25-1</f>
        <v>-3.8852304212257605E-2</v>
      </c>
      <c r="AC26" s="133">
        <f>AC25/W25-1</f>
        <v>-6.3104328129914289E-2</v>
      </c>
      <c r="AD26" s="133">
        <f>AD25/X25-1</f>
        <v>-9.1740721356871169E-2</v>
      </c>
      <c r="AE26" s="153">
        <f>AE25/Y25-1</f>
        <v>-5.1983152226742657E-2</v>
      </c>
      <c r="AG26" s="151">
        <f>AG25/AA25-1</f>
        <v>-7.1651878317853579E-2</v>
      </c>
      <c r="AH26" s="133">
        <f>AH25/AB25-1</f>
        <v>-7.0161607175414753E-2</v>
      </c>
      <c r="AI26" s="133">
        <f>AI25/AC25-1</f>
        <v>-0.1049674333393904</v>
      </c>
      <c r="AJ26" s="133">
        <f>AJ25/AD25-1</f>
        <v>-0.1074818489681183</v>
      </c>
      <c r="AK26" s="153">
        <f>AK25/AE25-1</f>
        <v>-8.8505450866863788E-2</v>
      </c>
      <c r="AM26" s="151">
        <f>AM25/AG25-1</f>
        <v>-0.14126429188686129</v>
      </c>
      <c r="AN26" s="133">
        <f>AN25/AH25-1</f>
        <v>-0.15364689235125939</v>
      </c>
      <c r="AO26" s="133">
        <f>AO25/AI25-1</f>
        <v>-0.17632211903120454</v>
      </c>
      <c r="AP26" s="133">
        <f>AP25/AJ25-1</f>
        <v>-0.13323872595395769</v>
      </c>
      <c r="AQ26" s="153">
        <f>AQ25/AK25-1</f>
        <v>-0.1512930088084925</v>
      </c>
      <c r="AS26" s="151">
        <f>AS25/AM25-1</f>
        <v>-0.13007100552796713</v>
      </c>
      <c r="AT26" s="133">
        <f>AT25/AN25-1</f>
        <v>-0.12406470006431081</v>
      </c>
      <c r="AU26" s="133">
        <f>AU25/AO25-1</f>
        <v>-6.084398344511055E-2</v>
      </c>
      <c r="AV26" s="133">
        <f>AV25/AP25-1</f>
        <v>-0.10489719996476088</v>
      </c>
      <c r="AW26" s="153">
        <f>AW25/AQ25-1</f>
        <v>-0.1055960360444147</v>
      </c>
      <c r="AY26" s="151">
        <f>AY25/AS25-1</f>
        <v>-5.6778497755474167E-2</v>
      </c>
      <c r="AZ26" s="133">
        <f>AZ25/AT25-1</f>
        <v>-5.1476984295740102E-2</v>
      </c>
      <c r="BA26" s="133">
        <f>BA25/AU25-1</f>
        <v>-3.9902951276128973E-2</v>
      </c>
      <c r="BB26" s="133">
        <f>BB25/AV25-1</f>
        <v>-7.518113334120291E-2</v>
      </c>
      <c r="BC26" s="153">
        <f>BC25/AW25-1</f>
        <v>-5.56511237271613E-2</v>
      </c>
      <c r="BE26" s="151">
        <f>BE25/AY25-1</f>
        <v>-8.2526116996874954E-3</v>
      </c>
      <c r="BF26" s="133">
        <f>BF25/AZ25-1</f>
        <v>-0.12226889246553696</v>
      </c>
      <c r="BG26" s="133">
        <f>BG25/BA25-1</f>
        <v>-8.8414314149027451E-2</v>
      </c>
      <c r="BH26" s="133">
        <f>BH25/BB25-1</f>
        <v>4.0123847664916834E-2</v>
      </c>
      <c r="BI26" s="153">
        <f>BI25/BC25-1</f>
        <v>-4.6279377843236436E-2</v>
      </c>
      <c r="BK26" s="151">
        <f>BK25/BE25-1</f>
        <v>-0.11959877557548082</v>
      </c>
      <c r="BL26" s="133">
        <f>BL25/BF25-1</f>
        <v>8.6192658269925726E-3</v>
      </c>
      <c r="BM26" s="133">
        <f>BM25/BG25-1</f>
        <v>-6.4313885282142214E-2</v>
      </c>
      <c r="BN26" s="133">
        <f>BN25/BH25-1</f>
        <v>-9.6967569903047335E-2</v>
      </c>
      <c r="BO26" s="153">
        <f>BO25/BI25-1</f>
        <v>-7.012079276822103E-2</v>
      </c>
      <c r="BQ26" s="151">
        <f>BQ25/BK25-1</f>
        <v>-6.3824512294492708E-2</v>
      </c>
      <c r="BR26" s="133">
        <f>BR25/BL25-1</f>
        <v>-5.6891464843749961E-2</v>
      </c>
      <c r="BS26" s="133">
        <f>BS25/BM25-1</f>
        <v>-4.1764930893517627E-2</v>
      </c>
      <c r="BT26" s="152">
        <f>BT25/BN25-1</f>
        <v>-3.2484844103898736E-2</v>
      </c>
      <c r="BU26" s="153">
        <f>BU25/BO25-1</f>
        <v>-4.8629195020367333E-2</v>
      </c>
      <c r="BW26" s="151">
        <f>BW25/BQ25-1</f>
        <v>-1.7086381766163727E-2</v>
      </c>
      <c r="BX26" s="133">
        <f>BX25/BR25-1</f>
        <v>-1.2987677655157848E-2</v>
      </c>
      <c r="BY26" s="133">
        <f>BY25/BS25-1</f>
        <v>-1.0592760189682138E-2</v>
      </c>
      <c r="BZ26" s="152">
        <f>BZ25/BT25-1</f>
        <v>-3.6223756976109245E-3</v>
      </c>
      <c r="CA26" s="153">
        <f>CA25/BU25-1</f>
        <v>-1.0956509223781774E-2</v>
      </c>
      <c r="CC26" s="151">
        <f>CC25/BW25-1</f>
        <v>5.8856813814838205E-3</v>
      </c>
      <c r="CD26" s="133">
        <f>CD25/BX25-1</f>
        <v>1.0459478451189552E-2</v>
      </c>
      <c r="CE26" s="133">
        <f>CE25/BY25-1</f>
        <v>1.2696520184158011E-2</v>
      </c>
      <c r="CF26" s="152">
        <f>CF25/BZ25-1</f>
        <v>1.5157809329498395E-2</v>
      </c>
      <c r="CG26" s="153">
        <f>CG25/CA25-1</f>
        <v>1.1148191459182222E-2</v>
      </c>
      <c r="CI26" s="151">
        <f>CI25/CC25-1</f>
        <v>1.2858079232675346E-2</v>
      </c>
      <c r="CJ26" s="133">
        <f>CJ25/CD25-1</f>
        <v>1.2995785052343889E-2</v>
      </c>
      <c r="CK26" s="133">
        <f>CK25/CE25-1</f>
        <v>1.1317849055036744E-2</v>
      </c>
      <c r="CL26" s="152">
        <f>CL25/CF25-1</f>
        <v>1.0636597801958692E-2</v>
      </c>
      <c r="CM26" s="153">
        <f>CM25/CG25-1</f>
        <v>1.1925915404533693E-2</v>
      </c>
      <c r="CO26" s="151">
        <f>CO25/CI25-1</f>
        <v>1.5103560260628868E-2</v>
      </c>
      <c r="CP26" s="133">
        <f>CP25/CJ25-1</f>
        <v>1.5236941872961207E-2</v>
      </c>
      <c r="CQ26" s="133">
        <f>CQ25/CK25-1</f>
        <v>1.3605513381684142E-2</v>
      </c>
      <c r="CR26" s="152">
        <f>CR25/CL25-1</f>
        <v>1.2941522947349515E-2</v>
      </c>
      <c r="CS26" s="153">
        <f>CS25/CM25-1</f>
        <v>1.4197403673666509E-2</v>
      </c>
      <c r="CU26" s="151">
        <f>CU25/CO25-1</f>
        <v>1.7277235925425405E-2</v>
      </c>
      <c r="CV26" s="133">
        <f>CV25/CP25-1</f>
        <v>1.7405732254911044E-2</v>
      </c>
      <c r="CW26" s="133">
        <f>CW25/CQ25-1</f>
        <v>1.5826761729675676E-2</v>
      </c>
      <c r="CX26" s="152">
        <f>CX25/CR25-1</f>
        <v>1.5182530672878114E-2</v>
      </c>
      <c r="CY26" s="153">
        <f>CY25/CS25-1</f>
        <v>1.6400268847904353E-2</v>
      </c>
      <c r="DA26" s="151">
        <f>DA25/CU25-1</f>
        <v>1.937149260745108E-2</v>
      </c>
      <c r="DB26" s="133">
        <f>DB25/CV25-1</f>
        <v>1.9494631161619758E-2</v>
      </c>
      <c r="DC26" s="133">
        <f>DC25/CW25-1</f>
        <v>1.7973177517710104E-2</v>
      </c>
      <c r="DD26" s="152">
        <f>DD25/CX25-1</f>
        <v>1.7350864257309917E-2</v>
      </c>
      <c r="DE26" s="153">
        <f>DE25/CY25-1</f>
        <v>1.8526410215042421E-2</v>
      </c>
      <c r="DG26" s="151">
        <f>DG25/DA25-1</f>
        <v>2.1380042749360451E-2</v>
      </c>
      <c r="DH26" s="133">
        <f>DH25/DB25-1</f>
        <v>2.1497441912355919E-2</v>
      </c>
      <c r="DI26" s="133">
        <f>DI25/DC25-1</f>
        <v>2.003763920097712E-2</v>
      </c>
      <c r="DJ26" s="152">
        <f>DJ25/DD25-1</f>
        <v>1.9439043208099305E-2</v>
      </c>
      <c r="DK26" s="153">
        <f>DK25/DE25-1</f>
        <v>2.0569036492224413E-2</v>
      </c>
    </row>
    <row r="27" spans="2:115" ht="15" x14ac:dyDescent="0.3">
      <c r="B27" s="5"/>
      <c r="C27" s="144"/>
      <c r="D27" s="107"/>
      <c r="E27" s="107"/>
      <c r="F27" s="145"/>
      <c r="G27" s="138"/>
      <c r="I27" s="144"/>
      <c r="J27" s="107"/>
      <c r="K27" s="107"/>
      <c r="L27" s="107"/>
      <c r="M27" s="138"/>
      <c r="O27" s="144"/>
      <c r="P27" s="107"/>
      <c r="Q27" s="107"/>
      <c r="R27" s="107"/>
      <c r="S27" s="138"/>
      <c r="U27" s="144"/>
      <c r="V27" s="107"/>
      <c r="W27" s="107"/>
      <c r="X27" s="107"/>
      <c r="Y27" s="138"/>
      <c r="AA27" s="144"/>
      <c r="AB27" s="107"/>
      <c r="AC27" s="107"/>
      <c r="AD27" s="145"/>
      <c r="AE27" s="138"/>
      <c r="AG27" s="144"/>
      <c r="AH27" s="107"/>
      <c r="AI27" s="107"/>
      <c r="AJ27" s="145"/>
      <c r="AK27" s="138"/>
      <c r="AM27" s="144"/>
      <c r="AN27" s="107"/>
      <c r="AO27" s="107"/>
      <c r="AP27" s="145"/>
      <c r="AQ27" s="138"/>
      <c r="AS27" s="144"/>
      <c r="AT27" s="107"/>
      <c r="AU27" s="107"/>
      <c r="AV27" s="145"/>
      <c r="AW27" s="138"/>
      <c r="AY27" s="144"/>
      <c r="AZ27" s="107"/>
      <c r="BA27" s="107"/>
      <c r="BB27" s="145"/>
      <c r="BC27" s="138"/>
      <c r="BE27" s="144"/>
      <c r="BF27" s="107"/>
      <c r="BG27" s="107"/>
      <c r="BH27" s="145"/>
      <c r="BI27" s="138"/>
      <c r="BK27" s="144"/>
      <c r="BL27" s="107"/>
      <c r="BM27" s="107"/>
      <c r="BN27" s="145"/>
      <c r="BO27" s="138"/>
      <c r="BQ27" s="144"/>
      <c r="BR27" s="107"/>
      <c r="BS27" s="107"/>
      <c r="BT27" s="145"/>
      <c r="BU27" s="138"/>
      <c r="BW27" s="144"/>
      <c r="BX27" s="107"/>
      <c r="BY27" s="107"/>
      <c r="BZ27" s="145"/>
      <c r="CA27" s="138"/>
      <c r="CC27" s="144"/>
      <c r="CD27" s="107"/>
      <c r="CE27" s="107"/>
      <c r="CF27" s="145"/>
      <c r="CG27" s="138"/>
      <c r="CI27" s="144"/>
      <c r="CJ27" s="107"/>
      <c r="CK27" s="107"/>
      <c r="CL27" s="145"/>
      <c r="CM27" s="138"/>
      <c r="CO27" s="144"/>
      <c r="CP27" s="107"/>
      <c r="CQ27" s="107"/>
      <c r="CR27" s="145"/>
      <c r="CS27" s="138"/>
      <c r="CU27" s="144"/>
      <c r="CV27" s="107"/>
      <c r="CW27" s="107"/>
      <c r="CX27" s="145"/>
      <c r="CY27" s="138"/>
      <c r="DA27" s="144"/>
      <c r="DB27" s="107"/>
      <c r="DC27" s="107"/>
      <c r="DD27" s="145"/>
      <c r="DE27" s="138"/>
      <c r="DG27" s="144"/>
      <c r="DH27" s="107"/>
      <c r="DI27" s="107"/>
      <c r="DJ27" s="145"/>
      <c r="DK27" s="138"/>
    </row>
    <row r="28" spans="2:115" s="135" customFormat="1" ht="15" x14ac:dyDescent="0.3">
      <c r="B28" s="105" t="s">
        <v>59</v>
      </c>
      <c r="C28" s="156">
        <v>429</v>
      </c>
      <c r="D28" s="157">
        <v>467</v>
      </c>
      <c r="E28" s="157">
        <v>487</v>
      </c>
      <c r="F28" s="158">
        <v>506</v>
      </c>
      <c r="G28" s="159">
        <f>C28+D28+E28+F28</f>
        <v>1889</v>
      </c>
      <c r="H28" s="160"/>
      <c r="I28" s="156">
        <v>511</v>
      </c>
      <c r="J28" s="157">
        <v>563</v>
      </c>
      <c r="K28" s="157">
        <v>602</v>
      </c>
      <c r="L28" s="157">
        <v>520</v>
      </c>
      <c r="M28" s="159">
        <f>I28+J28+K28+L28</f>
        <v>2196</v>
      </c>
      <c r="N28" s="160"/>
      <c r="O28" s="156">
        <v>404</v>
      </c>
      <c r="P28" s="157">
        <v>419</v>
      </c>
      <c r="Q28" s="157">
        <v>430</v>
      </c>
      <c r="R28" s="157">
        <v>430</v>
      </c>
      <c r="S28" s="159">
        <f>O28+P28+Q28+R28</f>
        <v>1683</v>
      </c>
      <c r="T28" s="134"/>
      <c r="U28" s="156">
        <v>417</v>
      </c>
      <c r="V28" s="157">
        <v>434</v>
      </c>
      <c r="W28" s="157">
        <v>448</v>
      </c>
      <c r="X28" s="157">
        <v>449</v>
      </c>
      <c r="Y28" s="159">
        <f>U28+V28+W28+X28</f>
        <v>1748</v>
      </c>
      <c r="AA28" s="156">
        <v>416</v>
      </c>
      <c r="AB28" s="157">
        <v>423</v>
      </c>
      <c r="AC28" s="157">
        <v>405</v>
      </c>
      <c r="AD28" s="158">
        <v>366</v>
      </c>
      <c r="AE28" s="159">
        <f>AA28+AB28+AC28+AD28</f>
        <v>1610</v>
      </c>
      <c r="AG28" s="156">
        <v>360</v>
      </c>
      <c r="AH28" s="157">
        <v>366</v>
      </c>
      <c r="AI28" s="157">
        <v>364</v>
      </c>
      <c r="AJ28" s="158">
        <v>351</v>
      </c>
      <c r="AK28" s="159">
        <f>AG28+AH28+AI28+AJ28</f>
        <v>1441</v>
      </c>
      <c r="AM28" s="156">
        <v>315</v>
      </c>
      <c r="AN28" s="157">
        <v>314</v>
      </c>
      <c r="AO28" s="157">
        <v>292</v>
      </c>
      <c r="AP28" s="158">
        <v>299</v>
      </c>
      <c r="AQ28" s="159">
        <f>AM28+AN28+AO28+AP28</f>
        <v>1220</v>
      </c>
      <c r="AS28" s="156">
        <v>272</v>
      </c>
      <c r="AT28" s="157">
        <v>277</v>
      </c>
      <c r="AU28" s="157">
        <v>279</v>
      </c>
      <c r="AV28" s="158">
        <v>266</v>
      </c>
      <c r="AW28" s="159">
        <f>AS28+AT28+AU28+AV28</f>
        <v>1094</v>
      </c>
      <c r="AY28" s="156">
        <v>256</v>
      </c>
      <c r="AZ28" s="157">
        <v>268</v>
      </c>
      <c r="BA28" s="157">
        <v>267</v>
      </c>
      <c r="BB28" s="158">
        <v>243</v>
      </c>
      <c r="BC28" s="159">
        <f>AY28+AZ28+BA28+BB28</f>
        <v>1034</v>
      </c>
      <c r="BE28" s="156">
        <v>244</v>
      </c>
      <c r="BF28" s="157">
        <v>220</v>
      </c>
      <c r="BG28" s="157">
        <v>235</v>
      </c>
      <c r="BH28" s="158">
        <v>246</v>
      </c>
      <c r="BI28" s="159">
        <f>BE28+BF28+BG28+BH28</f>
        <v>945</v>
      </c>
      <c r="BK28" s="156">
        <v>217</v>
      </c>
      <c r="BL28" s="157">
        <v>227</v>
      </c>
      <c r="BM28" s="157">
        <v>224</v>
      </c>
      <c r="BN28" s="158">
        <v>230</v>
      </c>
      <c r="BO28" s="159">
        <f>BK28+BL28+BM28+BN28</f>
        <v>898</v>
      </c>
      <c r="BQ28" s="156">
        <f>BQ25/BQ23</f>
        <v>206.53288817809215</v>
      </c>
      <c r="BR28" s="157">
        <f>BR25/BR23</f>
        <v>215.19636414080858</v>
      </c>
      <c r="BS28" s="157">
        <f>BS25/BS23</f>
        <v>215.0724296520672</v>
      </c>
      <c r="BT28" s="158">
        <f>BT25/BT23</f>
        <v>221.55145490408566</v>
      </c>
      <c r="BU28" s="159">
        <f>BQ28+BR28+BS28+BT28</f>
        <v>858.35313687505356</v>
      </c>
      <c r="BW28" s="156">
        <f>BW25/BW23</f>
        <v>203.00398840341288</v>
      </c>
      <c r="BX28" s="157">
        <f>BX25/BX23</f>
        <v>212.4014631307858</v>
      </c>
      <c r="BY28" s="157">
        <f>BY25/BY23</f>
        <v>212.79421898135055</v>
      </c>
      <c r="BZ28" s="158">
        <f>BZ25/BZ23</f>
        <v>220.74891229807076</v>
      </c>
      <c r="CA28" s="159">
        <f>BW28+BX28+BY28+BZ28</f>
        <v>848.94858281361996</v>
      </c>
      <c r="CC28" s="156">
        <f>CC25/CC23</f>
        <v>204.19880519832577</v>
      </c>
      <c r="CD28" s="157">
        <f>CD25/CD23</f>
        <v>214.62307165740341</v>
      </c>
      <c r="CE28" s="157">
        <f>CE25/CE23</f>
        <v>215.4959650777194</v>
      </c>
      <c r="CF28" s="158">
        <f>CF25/CF23</f>
        <v>224.09498222037911</v>
      </c>
      <c r="CG28" s="159">
        <f>CC28+CD28+CE28+CF28</f>
        <v>858.41282415382761</v>
      </c>
      <c r="CI28" s="156">
        <f>CI25/CI23</f>
        <v>206.82440961478349</v>
      </c>
      <c r="CJ28" s="157">
        <f>CJ25/CJ23</f>
        <v>217.41226696393682</v>
      </c>
      <c r="CK28" s="157">
        <f>CK25/CK23</f>
        <v>217.9349158824385</v>
      </c>
      <c r="CL28" s="158">
        <f>CL25/CL23</f>
        <v>226.47859041569438</v>
      </c>
      <c r="CM28" s="159">
        <f>CI28+CJ28+CK28+CL28</f>
        <v>868.65018287685325</v>
      </c>
      <c r="CO28" s="156">
        <f>CO25/CO23</f>
        <v>209.94819454876938</v>
      </c>
      <c r="CP28" s="157">
        <f>CP25/CP23</f>
        <v>220.72496503813505</v>
      </c>
      <c r="CQ28" s="157">
        <f>CQ25/CQ23</f>
        <v>220.90003229681321</v>
      </c>
      <c r="CR28" s="158">
        <f>CR25/CR23</f>
        <v>229.40956829064248</v>
      </c>
      <c r="CS28" s="159">
        <f>CO28+CP28+CQ28+CR28</f>
        <v>880.98276017436012</v>
      </c>
      <c r="CU28" s="156">
        <f>CU25/CU23</f>
        <v>213.57551903810557</v>
      </c>
      <c r="CV28" s="157">
        <f>CV25/CV23</f>
        <v>224.56684468156345</v>
      </c>
      <c r="CW28" s="157">
        <f>CW25/CW23</f>
        <v>224.39616447405254</v>
      </c>
      <c r="CX28" s="158">
        <f>CX25/CX23</f>
        <v>232.89258609786685</v>
      </c>
      <c r="CY28" s="159">
        <f>CU28+CV28+CW28+CX28</f>
        <v>895.4311142915883</v>
      </c>
      <c r="DA28" s="156">
        <f>DA25/DA23</f>
        <v>217.71279562628476</v>
      </c>
      <c r="DB28" s="157">
        <f>DB25/DB23</f>
        <v>228.94469248975926</v>
      </c>
      <c r="DC28" s="157">
        <f>DC25/DC23</f>
        <v>228.42927657243794</v>
      </c>
      <c r="DD28" s="158">
        <f>DD25/DD23</f>
        <v>236.93347374578482</v>
      </c>
      <c r="DE28" s="159">
        <f>DA28+DB28+DC28+DD28</f>
        <v>912.02023843426673</v>
      </c>
      <c r="DG28" s="156">
        <f>DG25/DG23</f>
        <v>222.3675045038575</v>
      </c>
      <c r="DH28" s="157">
        <f>DH25/DH23</f>
        <v>233.86641771770005</v>
      </c>
      <c r="DI28" s="157">
        <f>DI25/DI23</f>
        <v>233.00645999933667</v>
      </c>
      <c r="DJ28" s="158">
        <f>DJ25/DJ23</f>
        <v>241.5392337793742</v>
      </c>
      <c r="DK28" s="159">
        <f>DG28+DH28+DI28+DJ28</f>
        <v>930.77961600026845</v>
      </c>
    </row>
    <row r="29" spans="2:115" ht="15.75" thickBot="1" x14ac:dyDescent="0.35">
      <c r="B29" s="140" t="s">
        <v>23</v>
      </c>
      <c r="C29" s="155" t="s">
        <v>35</v>
      </c>
      <c r="D29" s="106" t="s">
        <v>35</v>
      </c>
      <c r="E29" s="106" t="s">
        <v>35</v>
      </c>
      <c r="F29" s="154" t="s">
        <v>35</v>
      </c>
      <c r="G29" s="108" t="s">
        <v>35</v>
      </c>
      <c r="H29" s="107"/>
      <c r="I29" s="109">
        <f>I28/C28-1</f>
        <v>0.19114219114219111</v>
      </c>
      <c r="J29" s="110">
        <f>J28/D28-1</f>
        <v>0.20556745182012848</v>
      </c>
      <c r="K29" s="110">
        <f>K28/E28-1</f>
        <v>0.23613963039014374</v>
      </c>
      <c r="L29" s="110">
        <f>L28/F28-1</f>
        <v>2.7667984189723382E-2</v>
      </c>
      <c r="M29" s="122">
        <f>M28/G28-1</f>
        <v>0.16251985177342498</v>
      </c>
      <c r="N29" s="107"/>
      <c r="O29" s="109">
        <f>O28/I28-1</f>
        <v>-0.20939334637964779</v>
      </c>
      <c r="P29" s="110">
        <f>P28/J28-1</f>
        <v>-0.25577264653641207</v>
      </c>
      <c r="Q29" s="110">
        <f>Q28/K28-1</f>
        <v>-0.2857142857142857</v>
      </c>
      <c r="R29" s="110">
        <f>R28/L28-1</f>
        <v>-0.17307692307692313</v>
      </c>
      <c r="S29" s="122">
        <f>S28/M28-1</f>
        <v>-0.23360655737704916</v>
      </c>
      <c r="T29" s="107"/>
      <c r="U29" s="109">
        <f>U28/O28-1</f>
        <v>3.2178217821782207E-2</v>
      </c>
      <c r="V29" s="110">
        <f>V28/P28-1</f>
        <v>3.5799522673030992E-2</v>
      </c>
      <c r="W29" s="110">
        <f>W28/Q28-1</f>
        <v>4.1860465116279055E-2</v>
      </c>
      <c r="X29" s="110">
        <f>X28/R28-1</f>
        <v>4.4186046511627941E-2</v>
      </c>
      <c r="Y29" s="122">
        <f>Y28/S28-1</f>
        <v>3.8621509209744609E-2</v>
      </c>
      <c r="AA29" s="109">
        <f>AA28/U28-1</f>
        <v>-2.3980815347721673E-3</v>
      </c>
      <c r="AB29" s="110">
        <f>AB28/V28-1</f>
        <v>-2.5345622119815614E-2</v>
      </c>
      <c r="AC29" s="110">
        <f>AC28/W28-1</f>
        <v>-9.5982142857142905E-2</v>
      </c>
      <c r="AD29" s="120">
        <f>AD28/X28-1</f>
        <v>-0.18485523385300673</v>
      </c>
      <c r="AE29" s="122">
        <f>AE28/Y28-1</f>
        <v>-7.8947368421052655E-2</v>
      </c>
      <c r="AG29" s="109">
        <f>AG28/AA28-1</f>
        <v>-0.13461538461538458</v>
      </c>
      <c r="AH29" s="110">
        <f>AH28/AB28-1</f>
        <v>-0.13475177304964536</v>
      </c>
      <c r="AI29" s="110">
        <f>AI28/AC28-1</f>
        <v>-0.10123456790123453</v>
      </c>
      <c r="AJ29" s="120">
        <f>AJ28/AD28-1</f>
        <v>-4.0983606557377095E-2</v>
      </c>
      <c r="AK29" s="122">
        <f>AK28/AE28-1</f>
        <v>-0.10496894409937885</v>
      </c>
      <c r="AM29" s="109">
        <f>AM28/AG28-1</f>
        <v>-0.125</v>
      </c>
      <c r="AN29" s="110">
        <f>AN28/AH28-1</f>
        <v>-0.14207650273224048</v>
      </c>
      <c r="AO29" s="110">
        <f>AO28/AI28-1</f>
        <v>-0.19780219780219777</v>
      </c>
      <c r="AP29" s="120">
        <f>AP28/AJ28-1</f>
        <v>-0.14814814814814814</v>
      </c>
      <c r="AQ29" s="122">
        <f>AQ28/AK28-1</f>
        <v>-0.15336571825121448</v>
      </c>
      <c r="AS29" s="109">
        <f>AS28/AM28-1</f>
        <v>-0.13650793650793647</v>
      </c>
      <c r="AT29" s="110">
        <f>AT28/AN28-1</f>
        <v>-0.11783439490445857</v>
      </c>
      <c r="AU29" s="110">
        <f>AU28/AO28-1</f>
        <v>-4.4520547945205435E-2</v>
      </c>
      <c r="AV29" s="120">
        <f>AV28/AP28-1</f>
        <v>-0.11036789297658867</v>
      </c>
      <c r="AW29" s="122">
        <f>AW28/AQ28-1</f>
        <v>-0.10327868852459021</v>
      </c>
      <c r="AY29" s="109">
        <f>AY28/AS28-1</f>
        <v>-5.8823529411764719E-2</v>
      </c>
      <c r="AZ29" s="110">
        <f>AZ28/AT28-1</f>
        <v>-3.2490974729241895E-2</v>
      </c>
      <c r="BA29" s="110">
        <f>BA28/AU28-1</f>
        <v>-4.3010752688172005E-2</v>
      </c>
      <c r="BB29" s="120">
        <f>BB28/AV28-1</f>
        <v>-8.6466165413533802E-2</v>
      </c>
      <c r="BC29" s="122">
        <f>BC28/AW28-1</f>
        <v>-5.4844606946983565E-2</v>
      </c>
      <c r="BE29" s="109">
        <f>BE28/AY28-1</f>
        <v>-4.6875E-2</v>
      </c>
      <c r="BF29" s="110">
        <f>BF28/AZ28-1</f>
        <v>-0.17910447761194026</v>
      </c>
      <c r="BG29" s="110">
        <f>BG28/BA28-1</f>
        <v>-0.11985018726591756</v>
      </c>
      <c r="BH29" s="120">
        <f>BH28/BB28-1</f>
        <v>1.2345679012345734E-2</v>
      </c>
      <c r="BI29" s="122">
        <f>BI28/BC28-1</f>
        <v>-8.6073500967117966E-2</v>
      </c>
      <c r="BK29" s="109">
        <f>BK28/BE28-1</f>
        <v>-0.11065573770491799</v>
      </c>
      <c r="BL29" s="110">
        <f>BL28/BF28-1</f>
        <v>3.1818181818181746E-2</v>
      </c>
      <c r="BM29" s="110">
        <f>BM28/BG28-1</f>
        <v>-4.6808510638297829E-2</v>
      </c>
      <c r="BN29" s="120">
        <f>BN28/BH28-1</f>
        <v>-6.5040650406504086E-2</v>
      </c>
      <c r="BO29" s="122">
        <f>BO28/BI28-1</f>
        <v>-4.9735449735449744E-2</v>
      </c>
      <c r="BQ29" s="109">
        <f>BQ28/BK28-1</f>
        <v>-4.8235538349805762E-2</v>
      </c>
      <c r="BR29" s="110">
        <f>BR28/BL28-1</f>
        <v>-5.1998395855468837E-2</v>
      </c>
      <c r="BS29" s="110">
        <f>BS28/BM28-1</f>
        <v>-3.9855224767557096E-2</v>
      </c>
      <c r="BT29" s="120">
        <f>BT28/BN28-1</f>
        <v>-3.6732804764844973E-2</v>
      </c>
      <c r="BU29" s="122">
        <f>BU28/BO28-1</f>
        <v>-4.4150181653615173E-2</v>
      </c>
      <c r="BW29" s="109">
        <f>BW28/BQ28-1</f>
        <v>-1.7086381766163727E-2</v>
      </c>
      <c r="BX29" s="110">
        <f>BX28/BR28-1</f>
        <v>-1.2987677655157848E-2</v>
      </c>
      <c r="BY29" s="110">
        <f>BY28/BS28-1</f>
        <v>-1.0592760189682249E-2</v>
      </c>
      <c r="BZ29" s="120">
        <f>BZ28/BT28-1</f>
        <v>-3.6223756976109245E-3</v>
      </c>
      <c r="CA29" s="122">
        <f>CA28/BU28-1</f>
        <v>-1.0956509223781885E-2</v>
      </c>
      <c r="CC29" s="109">
        <f>CC28/BW28-1</f>
        <v>5.8856813814835984E-3</v>
      </c>
      <c r="CD29" s="110">
        <f>CD28/BX28-1</f>
        <v>1.0459478451189774E-2</v>
      </c>
      <c r="CE29" s="110">
        <f>CE28/BY28-1</f>
        <v>1.2696520184158011E-2</v>
      </c>
      <c r="CF29" s="120">
        <f>CF28/BZ28-1</f>
        <v>1.5157809329498617E-2</v>
      </c>
      <c r="CG29" s="122">
        <f>CG28/CA28-1</f>
        <v>1.1148191459182222E-2</v>
      </c>
      <c r="CI29" s="109">
        <f>CI28/CC28-1</f>
        <v>1.2858079232675346E-2</v>
      </c>
      <c r="CJ29" s="110">
        <f>CJ28/CD28-1</f>
        <v>1.2995785052343889E-2</v>
      </c>
      <c r="CK29" s="110">
        <f>CK28/CE28-1</f>
        <v>1.1317849055036744E-2</v>
      </c>
      <c r="CL29" s="120">
        <f>CL28/CF28-1</f>
        <v>1.0636597801958692E-2</v>
      </c>
      <c r="CM29" s="122">
        <f>CM28/CG28-1</f>
        <v>1.1925915404533916E-2</v>
      </c>
      <c r="CO29" s="109">
        <f>CO28/CI28-1</f>
        <v>1.5103560260628868E-2</v>
      </c>
      <c r="CP29" s="110">
        <f>CP28/CJ28-1</f>
        <v>1.5236941872961207E-2</v>
      </c>
      <c r="CQ29" s="110">
        <f>CQ28/CK28-1</f>
        <v>1.3605513381684142E-2</v>
      </c>
      <c r="CR29" s="120">
        <f>CR28/CL28-1</f>
        <v>1.2941522947349515E-2</v>
      </c>
      <c r="CS29" s="122">
        <f>CS28/CM28-1</f>
        <v>1.4197403673666509E-2</v>
      </c>
      <c r="CU29" s="109">
        <f>CU28/CO28-1</f>
        <v>1.7277235925425405E-2</v>
      </c>
      <c r="CV29" s="110">
        <f>CV28/CP28-1</f>
        <v>1.7405732254911044E-2</v>
      </c>
      <c r="CW29" s="110">
        <f>CW28/CQ28-1</f>
        <v>1.5826761729675676E-2</v>
      </c>
      <c r="CX29" s="120">
        <f>CX28/CR28-1</f>
        <v>1.5182530672877892E-2</v>
      </c>
      <c r="CY29" s="122">
        <f>CY28/CS28-1</f>
        <v>1.6400268847904131E-2</v>
      </c>
      <c r="DA29" s="109">
        <f>DA28/CU28-1</f>
        <v>1.937149260745108E-2</v>
      </c>
      <c r="DB29" s="110">
        <f>DB28/CV28-1</f>
        <v>1.9494631161619758E-2</v>
      </c>
      <c r="DC29" s="110">
        <f>DC28/CW28-1</f>
        <v>1.7973177517710104E-2</v>
      </c>
      <c r="DD29" s="120">
        <f>DD28/CX28-1</f>
        <v>1.7350864257309917E-2</v>
      </c>
      <c r="DE29" s="122">
        <f>DE28/CY28-1</f>
        <v>1.8526410215042421E-2</v>
      </c>
      <c r="DG29" s="109">
        <f>DG28/DA28-1</f>
        <v>2.1380042749360451E-2</v>
      </c>
      <c r="DH29" s="110">
        <f>DH28/DB28-1</f>
        <v>2.1497441912355919E-2</v>
      </c>
      <c r="DI29" s="110">
        <f>DI28/DC28-1</f>
        <v>2.003763920097712E-2</v>
      </c>
      <c r="DJ29" s="120">
        <f>DJ28/DD28-1</f>
        <v>1.9439043208099305E-2</v>
      </c>
      <c r="DK29" s="122">
        <f>DK28/DE28-1</f>
        <v>2.0569036492224413E-2</v>
      </c>
    </row>
    <row r="30" spans="2:115" ht="15.75" thickBot="1" x14ac:dyDescent="0.35">
      <c r="B30" s="1"/>
      <c r="AA30" s="103"/>
      <c r="AB30" s="103"/>
      <c r="AC30" s="103"/>
      <c r="AD30" s="103"/>
      <c r="AE30" s="103"/>
      <c r="AG30" s="103"/>
      <c r="AH30" s="103"/>
      <c r="AI30" s="103"/>
      <c r="AJ30" s="103"/>
      <c r="AK30" s="103"/>
      <c r="AM30" s="103"/>
      <c r="AN30" s="103"/>
      <c r="AO30" s="103"/>
      <c r="AP30" s="103"/>
      <c r="AQ30" s="103"/>
      <c r="AS30" s="103"/>
      <c r="AT30" s="103"/>
      <c r="AU30" s="103"/>
      <c r="AV30" s="103"/>
      <c r="AW30" s="103"/>
      <c r="AY30" s="103"/>
      <c r="AZ30" s="103"/>
      <c r="BA30" s="103"/>
      <c r="BB30" s="103"/>
      <c r="BC30" s="103"/>
      <c r="BE30" s="103"/>
      <c r="BF30" s="103"/>
      <c r="BG30" s="103"/>
      <c r="BH30" s="103"/>
      <c r="BI30" s="103"/>
      <c r="BK30" s="103"/>
      <c r="BL30" s="103"/>
      <c r="BM30" s="103"/>
      <c r="BN30" s="103"/>
      <c r="BO30" s="103"/>
      <c r="BQ30" s="103"/>
      <c r="BR30" s="103"/>
      <c r="BS30" s="103"/>
      <c r="BT30" s="103"/>
      <c r="BU30" s="103"/>
      <c r="BW30" s="103"/>
      <c r="BX30" s="103"/>
      <c r="BY30" s="103"/>
      <c r="BZ30" s="103"/>
      <c r="CA30" s="103"/>
      <c r="CC30" s="103"/>
      <c r="CD30" s="103"/>
      <c r="CE30" s="103"/>
      <c r="CF30" s="103"/>
      <c r="CG30" s="103"/>
      <c r="CI30" s="103"/>
      <c r="CJ30" s="103"/>
      <c r="CK30" s="103"/>
      <c r="CL30" s="103"/>
      <c r="CM30" s="103"/>
      <c r="CO30" s="103"/>
      <c r="CP30" s="103"/>
      <c r="CQ30" s="103"/>
      <c r="CR30" s="103"/>
      <c r="CS30" s="103"/>
      <c r="CU30" s="103"/>
      <c r="CV30" s="103"/>
      <c r="CW30" s="103"/>
      <c r="CX30" s="103"/>
      <c r="CY30" s="103"/>
      <c r="DA30" s="103"/>
      <c r="DB30" s="103"/>
      <c r="DC30" s="103"/>
      <c r="DD30" s="103"/>
      <c r="DE30" s="103"/>
      <c r="DG30" s="103"/>
      <c r="DH30" s="103"/>
      <c r="DI30" s="103"/>
      <c r="DJ30" s="103"/>
      <c r="DK30" s="103"/>
    </row>
    <row r="31" spans="2:115" ht="15" x14ac:dyDescent="0.3">
      <c r="B31" s="38" t="s">
        <v>41</v>
      </c>
      <c r="C31" s="185">
        <v>3.1E-2</v>
      </c>
      <c r="D31" s="186">
        <v>0.03</v>
      </c>
      <c r="E31" s="186">
        <v>0.03</v>
      </c>
      <c r="F31" s="186">
        <v>3.3000000000000002E-2</v>
      </c>
      <c r="G31" s="191">
        <f>G32/G7/12</f>
        <v>3.1012889932912627E-2</v>
      </c>
      <c r="H31" s="136"/>
      <c r="I31" s="185">
        <v>3.5999999999999997E-2</v>
      </c>
      <c r="J31" s="186">
        <v>3.5000000000000003E-2</v>
      </c>
      <c r="K31" s="186">
        <v>2.7E-2</v>
      </c>
      <c r="L31" s="187">
        <v>2.7E-2</v>
      </c>
      <c r="M31" s="191">
        <f>M32/M7/12</f>
        <v>3.1237354347679658E-2</v>
      </c>
      <c r="N31" s="136"/>
      <c r="O31" s="185">
        <v>2.8000000000000001E-2</v>
      </c>
      <c r="P31" s="186">
        <v>2.5999999999999999E-2</v>
      </c>
      <c r="Q31" s="186">
        <v>2.5999999999999999E-2</v>
      </c>
      <c r="R31" s="187">
        <v>2.9000000000000001E-2</v>
      </c>
      <c r="S31" s="191">
        <f>S32/S7/12</f>
        <v>2.7251444520157934E-2</v>
      </c>
      <c r="T31" s="227"/>
      <c r="U31" s="185">
        <v>2.9000000000000001E-2</v>
      </c>
      <c r="V31" s="186">
        <v>2.9000000000000001E-2</v>
      </c>
      <c r="W31" s="249">
        <v>2.8000000000000001E-2</v>
      </c>
      <c r="X31" s="249">
        <v>2.9000000000000001E-2</v>
      </c>
      <c r="Y31" s="191">
        <f>Y32/Y7/12</f>
        <v>2.8750672603702839E-2</v>
      </c>
      <c r="Z31" s="227"/>
      <c r="AA31" s="248">
        <v>0.03</v>
      </c>
      <c r="AB31" s="249">
        <v>2.7E-2</v>
      </c>
      <c r="AC31" s="249">
        <v>2.1999999999999999E-2</v>
      </c>
      <c r="AD31" s="250">
        <v>2.5000000000000001E-2</v>
      </c>
      <c r="AE31" s="191">
        <f>AE32/AE7/12</f>
        <v>2.5982343814259543E-2</v>
      </c>
      <c r="AG31" s="248">
        <v>2.75E-2</v>
      </c>
      <c r="AH31" s="249">
        <v>2.5000000000000001E-2</v>
      </c>
      <c r="AI31" s="249">
        <v>2.5000000000000001E-2</v>
      </c>
      <c r="AJ31" s="250">
        <v>2.75E-2</v>
      </c>
      <c r="AK31" s="191">
        <f>AK32/AK7/12</f>
        <v>2.6251089473815273E-2</v>
      </c>
      <c r="AM31" s="248">
        <v>2.75E-2</v>
      </c>
      <c r="AN31" s="249">
        <v>2.1000000000000001E-2</v>
      </c>
      <c r="AO31" s="249">
        <v>2.5999999999999999E-2</v>
      </c>
      <c r="AP31" s="250">
        <v>2.3E-2</v>
      </c>
      <c r="AQ31" s="191">
        <f>AQ32/AQ7/12</f>
        <v>2.4380659442993224E-2</v>
      </c>
      <c r="AS31" s="248">
        <v>1.2E-2</v>
      </c>
      <c r="AT31" s="249">
        <v>2.1000000000000001E-2</v>
      </c>
      <c r="AU31" s="249">
        <v>2.1999999999999999E-2</v>
      </c>
      <c r="AV31" s="250">
        <v>2.3E-2</v>
      </c>
      <c r="AW31" s="191">
        <f>AW32/AW7/12</f>
        <v>1.9506486576887239E-2</v>
      </c>
      <c r="AY31" s="248">
        <v>0.02</v>
      </c>
      <c r="AZ31" s="249">
        <v>2.1000000000000001E-2</v>
      </c>
      <c r="BA31" s="249">
        <v>2.5999999999999999E-2</v>
      </c>
      <c r="BB31" s="250">
        <v>0.11</v>
      </c>
      <c r="BC31" s="191">
        <f>BC32/BC7/12</f>
        <v>4.2210920648408395E-2</v>
      </c>
      <c r="BE31" s="248">
        <v>3.4000000000000002E-2</v>
      </c>
      <c r="BF31" s="249">
        <v>3.3000000000000002E-2</v>
      </c>
      <c r="BG31" s="249">
        <v>3.2000000000000001E-2</v>
      </c>
      <c r="BH31" s="250">
        <v>3.4000000000000002E-2</v>
      </c>
      <c r="BI31" s="191">
        <f>BI32/BI7/12</f>
        <v>3.3248533310156016E-2</v>
      </c>
      <c r="BK31" s="248">
        <v>3.2000000000000001E-2</v>
      </c>
      <c r="BL31" s="249">
        <v>0.02</v>
      </c>
      <c r="BM31" s="249">
        <v>1.7999999999999999E-2</v>
      </c>
      <c r="BN31" s="250">
        <v>1.4999999999999999E-2</v>
      </c>
      <c r="BO31" s="191">
        <f>BO32/BO7/12</f>
        <v>2.1276651097504901E-2</v>
      </c>
      <c r="BQ31" s="248">
        <v>0.02</v>
      </c>
      <c r="BR31" s="249">
        <v>0.02</v>
      </c>
      <c r="BS31" s="249">
        <v>0.02</v>
      </c>
      <c r="BT31" s="250">
        <v>2.2499999999999999E-2</v>
      </c>
      <c r="BU31" s="191">
        <f>BU32/BU7/12</f>
        <v>2.0628003652441371E-2</v>
      </c>
      <c r="BW31" s="248">
        <v>0.02</v>
      </c>
      <c r="BX31" s="249">
        <v>0.02</v>
      </c>
      <c r="BY31" s="249">
        <v>0.02</v>
      </c>
      <c r="BZ31" s="250">
        <v>2.2499999999999999E-2</v>
      </c>
      <c r="CA31" s="191">
        <f>CA32/CA7/12</f>
        <v>2.0627775080810356E-2</v>
      </c>
      <c r="CC31" s="248">
        <v>0.02</v>
      </c>
      <c r="CD31" s="249">
        <v>0.02</v>
      </c>
      <c r="CE31" s="249">
        <v>0.02</v>
      </c>
      <c r="CF31" s="250">
        <v>2.2499999999999999E-2</v>
      </c>
      <c r="CG31" s="191">
        <f>CG32/CG7/12</f>
        <v>2.0627194727970786E-2</v>
      </c>
      <c r="CI31" s="248">
        <v>0.02</v>
      </c>
      <c r="CJ31" s="249">
        <v>0.02</v>
      </c>
      <c r="CK31" s="249">
        <v>0.02</v>
      </c>
      <c r="CL31" s="250">
        <v>2.2499999999999999E-2</v>
      </c>
      <c r="CM31" s="191">
        <f>CM32/CM7/12</f>
        <v>2.0627174366824381E-2</v>
      </c>
      <c r="CO31" s="248">
        <v>0.02</v>
      </c>
      <c r="CP31" s="249">
        <v>0.02</v>
      </c>
      <c r="CQ31" s="249">
        <v>0.02</v>
      </c>
      <c r="CR31" s="250">
        <v>2.2499999999999999E-2</v>
      </c>
      <c r="CS31" s="191">
        <f>CS32/CS7/12</f>
        <v>2.0627154379998163E-2</v>
      </c>
      <c r="CU31" s="248">
        <v>0.02</v>
      </c>
      <c r="CV31" s="249">
        <v>0.02</v>
      </c>
      <c r="CW31" s="249">
        <v>0.02</v>
      </c>
      <c r="CX31" s="250">
        <v>2.2499999999999999E-2</v>
      </c>
      <c r="CY31" s="191">
        <f>CY32/CY7/12</f>
        <v>2.0627134757263868E-2</v>
      </c>
      <c r="DA31" s="248">
        <v>0.02</v>
      </c>
      <c r="DB31" s="249">
        <v>0.02</v>
      </c>
      <c r="DC31" s="249">
        <v>0.02</v>
      </c>
      <c r="DD31" s="250">
        <v>2.2499999999999999E-2</v>
      </c>
      <c r="DE31" s="191">
        <f>DE32/DE7/12</f>
        <v>2.0627115488762525E-2</v>
      </c>
      <c r="DG31" s="248">
        <v>0.02</v>
      </c>
      <c r="DH31" s="249">
        <v>0.02</v>
      </c>
      <c r="DI31" s="249">
        <v>0.02</v>
      </c>
      <c r="DJ31" s="250">
        <v>2.2499999999999999E-2</v>
      </c>
      <c r="DK31" s="191">
        <f>DK32/DK7/12</f>
        <v>2.0627096564987926E-2</v>
      </c>
    </row>
    <row r="32" spans="2:115" ht="15" x14ac:dyDescent="0.3">
      <c r="B32" s="40" t="s">
        <v>45</v>
      </c>
      <c r="C32" s="117">
        <f>C31*3*C7</f>
        <v>1143.9465</v>
      </c>
      <c r="D32" s="117">
        <f>D31*3*D7</f>
        <v>1120.4099999999999</v>
      </c>
      <c r="E32" s="117">
        <f>E31*3*E7</f>
        <v>1136.115</v>
      </c>
      <c r="F32" s="117">
        <f>F31*3*F7</f>
        <v>1273.1400000000001</v>
      </c>
      <c r="G32" s="118">
        <f>C32+D32+E32+F32</f>
        <v>4673.6115</v>
      </c>
      <c r="I32" s="116">
        <f>I31*3*I7</f>
        <v>1403.1359999999997</v>
      </c>
      <c r="J32" s="117">
        <f>J31*3*J7</f>
        <v>1355.3400000000001</v>
      </c>
      <c r="K32" s="117">
        <f>K31*3*K7</f>
        <v>1046.6415</v>
      </c>
      <c r="L32" s="119">
        <f>L31*3*L7</f>
        <v>1064.5830000000001</v>
      </c>
      <c r="M32" s="118">
        <f>I32+J32+K32+L32</f>
        <v>4869.700499999999</v>
      </c>
      <c r="N32" s="114"/>
      <c r="O32" s="116">
        <f>O31*3*O7</f>
        <v>1115.52</v>
      </c>
      <c r="P32" s="117">
        <f>P31*3*P7</f>
        <v>1041.144</v>
      </c>
      <c r="Q32" s="117">
        <f>Q31*3*Q7</f>
        <v>1048.749</v>
      </c>
      <c r="R32" s="119">
        <f>R31*3*R7</f>
        <v>1173.7170000000001</v>
      </c>
      <c r="S32" s="118">
        <f>O32+P32+Q32+R32</f>
        <v>4379.1299999999992</v>
      </c>
      <c r="U32" s="116">
        <f>U31*3*U7</f>
        <v>1168.4535000000001</v>
      </c>
      <c r="V32" s="117">
        <f>V31*3*V7</f>
        <v>1158.7095000000002</v>
      </c>
      <c r="W32" s="117">
        <f>W31*3*W7</f>
        <v>1117.0740000000001</v>
      </c>
      <c r="X32" s="119">
        <f>X31*3*X7</f>
        <v>1156.23</v>
      </c>
      <c r="Y32" s="118">
        <f>U32+V32+W32+X32</f>
        <v>4600.4670000000006</v>
      </c>
      <c r="AA32" s="116">
        <f>AA31*3*AA7</f>
        <v>1189.53</v>
      </c>
      <c r="AB32" s="117">
        <f>AB31*3*AB7</f>
        <v>1068.309</v>
      </c>
      <c r="AC32" s="117">
        <f>AC31*3*AC7</f>
        <v>878.09700000000009</v>
      </c>
      <c r="AD32" s="119">
        <f>AD31*3*AD7</f>
        <v>1033.7625</v>
      </c>
      <c r="AE32" s="118">
        <f>AA32+AB32+AC32+AD32</f>
        <v>4169.6985000000004</v>
      </c>
      <c r="AG32" s="116">
        <f>AG31*3*AG7</f>
        <v>1182.76125</v>
      </c>
      <c r="AH32" s="117">
        <f>AH31*3*AH7</f>
        <v>1108.5000000000002</v>
      </c>
      <c r="AI32" s="117">
        <f>AI31*3*AI7</f>
        <v>1148.3625000000002</v>
      </c>
      <c r="AJ32" s="119">
        <f>AJ31*3*AJ7</f>
        <v>1304.1187500000001</v>
      </c>
      <c r="AK32" s="118">
        <f>AG32+AH32+AI32+AJ32</f>
        <v>4743.7425000000003</v>
      </c>
      <c r="AM32" s="116">
        <f>AM31*3*AM7</f>
        <v>1318.3087500000001</v>
      </c>
      <c r="AN32" s="117">
        <f>AN31*3*AN7</f>
        <v>1004.472</v>
      </c>
      <c r="AO32" s="117">
        <f>AO31*3*AO7</f>
        <v>1233.8040000000001</v>
      </c>
      <c r="AP32" s="117">
        <f>AP31*3*AP7</f>
        <v>1077.4350000000002</v>
      </c>
      <c r="AQ32" s="118">
        <f>AM32+AN32+AO32+AP32</f>
        <v>4634.0197500000004</v>
      </c>
      <c r="AS32" s="116">
        <f>AS31*3*AS7</f>
        <v>563.59800000000007</v>
      </c>
      <c r="AT32" s="117">
        <f>AT31*3*AT7</f>
        <v>989.82450000000006</v>
      </c>
      <c r="AU32" s="117">
        <f>AU31*3*AU7</f>
        <v>1036.299</v>
      </c>
      <c r="AV32" s="117">
        <f>AV31*3*AV7</f>
        <v>1084.335</v>
      </c>
      <c r="AW32" s="118">
        <f>AS32+AT32+AU32+AV32</f>
        <v>3674.0565000000001</v>
      </c>
      <c r="AY32" s="116">
        <f>AY31*3*AY7</f>
        <v>944.88</v>
      </c>
      <c r="AZ32" s="117">
        <f>AZ31*3*AZ7</f>
        <v>996.06150000000002</v>
      </c>
      <c r="BA32" s="117">
        <f>BA31*3*BA7</f>
        <v>1229.3969999999999</v>
      </c>
      <c r="BB32" s="117">
        <f>BB31*3*BB7</f>
        <v>4579.08</v>
      </c>
      <c r="BC32" s="118">
        <f>AY32+AZ32+BA32+BB32</f>
        <v>7749.4184999999998</v>
      </c>
      <c r="BE32" s="116">
        <f>BE31*3*BE7</f>
        <v>1217.7270000000001</v>
      </c>
      <c r="BF32" s="117">
        <f>BF31*3*BF7</f>
        <v>1161.0720000000001</v>
      </c>
      <c r="BG32" s="117">
        <f>BG31*3*BG7</f>
        <v>1097.088</v>
      </c>
      <c r="BH32" s="117">
        <f>BH31*3*BH7</f>
        <v>1114.605</v>
      </c>
      <c r="BI32" s="118">
        <f>BE32+BF32+BG32+BH32</f>
        <v>4590.4920000000002</v>
      </c>
      <c r="BK32" s="116">
        <f>BK31*3*BK7</f>
        <v>1001.424</v>
      </c>
      <c r="BL32" s="117">
        <f>BL31*3*BL7</f>
        <v>614.4</v>
      </c>
      <c r="BM32" s="117">
        <f>BM31*3*BM7</f>
        <v>554.79599999999994</v>
      </c>
      <c r="BN32" s="117">
        <f>BN31*3*BN7</f>
        <v>466.89749999999998</v>
      </c>
      <c r="BO32" s="118">
        <f>BK32+BL32+BM32+BN32</f>
        <v>2637.5174999999999</v>
      </c>
      <c r="BQ32" s="116">
        <f>BQ31*3*BQ7</f>
        <v>624.24</v>
      </c>
      <c r="BR32" s="117">
        <f>BR31*3*BR7</f>
        <v>621.99</v>
      </c>
      <c r="BS32" s="117">
        <f>BS31*3*BS7</f>
        <v>623.49</v>
      </c>
      <c r="BT32" s="119">
        <f>BT31*3*BT7</f>
        <v>705.6450000000001</v>
      </c>
      <c r="BU32" s="118">
        <f>BQ32+BR32+BS32+BT32</f>
        <v>2575.3650000000002</v>
      </c>
      <c r="BW32" s="116">
        <f>BW31*3*BW7</f>
        <v>630.99</v>
      </c>
      <c r="BX32" s="117">
        <f>BX31*3*BX7</f>
        <v>632.49</v>
      </c>
      <c r="BY32" s="117">
        <f>BY31*3*BY7</f>
        <v>633.99</v>
      </c>
      <c r="BZ32" s="119">
        <f>BZ31*3*BZ7</f>
        <v>715.7700000000001</v>
      </c>
      <c r="CA32" s="118">
        <f>BW32+BX32+BY32+BZ32</f>
        <v>2613.2400000000002</v>
      </c>
      <c r="CC32" s="116">
        <f>CC31*3*CC7</f>
        <v>638.49</v>
      </c>
      <c r="CD32" s="117">
        <f>CD31*3*CD7</f>
        <v>639.99</v>
      </c>
      <c r="CE32" s="117">
        <f>CE31*3*CE7</f>
        <v>641.49</v>
      </c>
      <c r="CF32" s="119">
        <f>CF31*3*CF7</f>
        <v>723.3637500000001</v>
      </c>
      <c r="CG32" s="118">
        <f>CC32+CD32+CE32+CF32</f>
        <v>2643.3337500000002</v>
      </c>
      <c r="CI32" s="116">
        <f>CI31*3*CI7</f>
        <v>644.49</v>
      </c>
      <c r="CJ32" s="117">
        <f>CJ31*3*CJ7</f>
        <v>645.99</v>
      </c>
      <c r="CK32" s="117">
        <f>CK31*3*CK7</f>
        <v>647.49</v>
      </c>
      <c r="CL32" s="119">
        <f>CL31*3*CL7</f>
        <v>730.1137500000001</v>
      </c>
      <c r="CM32" s="118">
        <f>CI32+CJ32+CK32+CL32</f>
        <v>2668.0837500000002</v>
      </c>
      <c r="CO32" s="116">
        <f>CO31*3*CO7</f>
        <v>650.49</v>
      </c>
      <c r="CP32" s="117">
        <f>CP31*3*CP7</f>
        <v>651.99</v>
      </c>
      <c r="CQ32" s="117">
        <f>CQ31*3*CQ7</f>
        <v>653.49</v>
      </c>
      <c r="CR32" s="119">
        <f>CR31*3*CR7</f>
        <v>736.8637500000001</v>
      </c>
      <c r="CS32" s="118">
        <f>CO32+CP32+CQ32+CR32</f>
        <v>2692.8337500000002</v>
      </c>
      <c r="CU32" s="116">
        <f>CU31*3*CU7</f>
        <v>656.49</v>
      </c>
      <c r="CV32" s="117">
        <f>CV31*3*CV7</f>
        <v>657.99</v>
      </c>
      <c r="CW32" s="117">
        <f>CW31*3*CW7</f>
        <v>659.49</v>
      </c>
      <c r="CX32" s="119">
        <f>CX31*3*CX7</f>
        <v>743.6137500000001</v>
      </c>
      <c r="CY32" s="118">
        <f>CU32+CV32+CW32+CX32</f>
        <v>2717.5837500000002</v>
      </c>
      <c r="DA32" s="116">
        <f>DA31*3*DA7</f>
        <v>662.49</v>
      </c>
      <c r="DB32" s="117">
        <f>DB31*3*DB7</f>
        <v>663.99</v>
      </c>
      <c r="DC32" s="117">
        <f>DC31*3*DC7</f>
        <v>665.49</v>
      </c>
      <c r="DD32" s="119">
        <f>DD31*3*DD7</f>
        <v>750.3637500000001</v>
      </c>
      <c r="DE32" s="118">
        <f>DA32+DB32+DC32+DD32</f>
        <v>2742.3337500000002</v>
      </c>
      <c r="DG32" s="116">
        <f>DG31*3*DG7</f>
        <v>668.49</v>
      </c>
      <c r="DH32" s="117">
        <f>DH31*3*DH7</f>
        <v>669.99</v>
      </c>
      <c r="DI32" s="117">
        <f>DI31*3*DI7</f>
        <v>671.49</v>
      </c>
      <c r="DJ32" s="119">
        <f>DJ31*3*DJ7</f>
        <v>757.1137500000001</v>
      </c>
      <c r="DK32" s="118">
        <f>DG32+DH32+DI32+DJ32</f>
        <v>2767.0837500000002</v>
      </c>
    </row>
    <row r="33" spans="2:115" ht="15" x14ac:dyDescent="0.3">
      <c r="B33" s="40" t="s">
        <v>42</v>
      </c>
      <c r="C33" s="117">
        <f>C32+C5</f>
        <v>1288.9465</v>
      </c>
      <c r="D33" s="117">
        <f>D32+D5</f>
        <v>1272.4099999999999</v>
      </c>
      <c r="E33" s="117">
        <f>E32+E5</f>
        <v>1333.115</v>
      </c>
      <c r="F33" s="117">
        <f>F32+F5</f>
        <v>1549.14</v>
      </c>
      <c r="G33" s="118">
        <f>C33+D33+E33+F33</f>
        <v>5443.6115</v>
      </c>
      <c r="I33" s="116">
        <f>I32+I5</f>
        <v>1391.1359999999997</v>
      </c>
      <c r="J33" s="117">
        <f>J32+J5</f>
        <v>1199.3400000000001</v>
      </c>
      <c r="K33" s="117">
        <f>K32+K5</f>
        <v>1229.6415</v>
      </c>
      <c r="L33" s="119">
        <f>L32+L5</f>
        <v>1324.5830000000001</v>
      </c>
      <c r="M33" s="118">
        <f>I33+J33+K33+L33</f>
        <v>5144.700499999999</v>
      </c>
      <c r="O33" s="116">
        <f>O32+O5</f>
        <v>1129.52</v>
      </c>
      <c r="P33" s="117">
        <f>P32+P5</f>
        <v>1163.144</v>
      </c>
      <c r="Q33" s="117">
        <f>Q32+Q5</f>
        <v>1121.749</v>
      </c>
      <c r="R33" s="119">
        <f>R32+R5</f>
        <v>1191.7170000000001</v>
      </c>
      <c r="S33" s="118">
        <f>O33+P33+Q33+R33</f>
        <v>4606.1299999999992</v>
      </c>
      <c r="T33" s="107"/>
      <c r="U33" s="116">
        <f>U32+U5</f>
        <v>1029.4535000000001</v>
      </c>
      <c r="V33" s="117">
        <f>V32+V5</f>
        <v>1073.7095000000002</v>
      </c>
      <c r="W33" s="117">
        <f>W32+W5</f>
        <v>1162.0740000000001</v>
      </c>
      <c r="X33" s="119">
        <f>X32+X5</f>
        <v>1094.23</v>
      </c>
      <c r="Y33" s="118">
        <f>U33+V33+W33+X33</f>
        <v>4359.4670000000006</v>
      </c>
      <c r="AA33" s="116">
        <f>AA32+AA5</f>
        <v>1105.53</v>
      </c>
      <c r="AB33" s="117">
        <f>AB32+AB5</f>
        <v>1096.309</v>
      </c>
      <c r="AC33" s="117">
        <f>AC32+AC5</f>
        <v>1081.0970000000002</v>
      </c>
      <c r="AD33" s="119">
        <f>AD32+AD5</f>
        <v>1788.7625</v>
      </c>
      <c r="AE33" s="118">
        <f>AA33+AB33+AC33+AD33</f>
        <v>5071.6985000000004</v>
      </c>
      <c r="AG33" s="116">
        <f>AG32+AG5</f>
        <v>1533.76125</v>
      </c>
      <c r="AH33" s="117">
        <f>AH32+AH5</f>
        <v>1644.5000000000002</v>
      </c>
      <c r="AI33" s="117">
        <f>AI32+AI5</f>
        <v>1675.3625000000002</v>
      </c>
      <c r="AJ33" s="119">
        <f>AJ32+AJ5</f>
        <v>1769.1187500000001</v>
      </c>
      <c r="AK33" s="118">
        <f>AG33+AH33+AI33+AJ33</f>
        <v>6622.7425000000003</v>
      </c>
      <c r="AM33" s="116">
        <f>AM32+AM5</f>
        <v>1197.3087500000001</v>
      </c>
      <c r="AN33" s="117">
        <f>AN32+AN5</f>
        <v>1054.472</v>
      </c>
      <c r="AO33" s="117">
        <f>AO32+AO5</f>
        <v>931.80400000000009</v>
      </c>
      <c r="AP33" s="117">
        <f>AP32+AP5</f>
        <v>973.43500000000017</v>
      </c>
      <c r="AQ33" s="118">
        <f>AM33+AN33+AO33+AP33</f>
        <v>4157.0197500000004</v>
      </c>
      <c r="AS33" s="116">
        <f>AS32+AS5</f>
        <v>748.59800000000007</v>
      </c>
      <c r="AT33" s="117">
        <f>AT32+AT5</f>
        <v>916.82450000000006</v>
      </c>
      <c r="AU33" s="117">
        <f>AU32+AU5</f>
        <v>1089.299</v>
      </c>
      <c r="AV33" s="117">
        <f>AV32+AV5</f>
        <v>1058.335</v>
      </c>
      <c r="AW33" s="118">
        <f>AS33+AT33+AU33+AV33</f>
        <v>3813.0565000000001</v>
      </c>
      <c r="AY33" s="116">
        <f>AY32+AY5</f>
        <v>1036.8800000000001</v>
      </c>
      <c r="AZ33" s="117">
        <f>AZ32+AZ5</f>
        <v>1029.0615</v>
      </c>
      <c r="BA33" s="117">
        <f>BA32+BA5</f>
        <v>1098.3969999999999</v>
      </c>
      <c r="BB33" s="117">
        <f>BB32+BB5</f>
        <v>939.07999999999993</v>
      </c>
      <c r="BC33" s="118">
        <f>AY33+AZ33+BA33+BB33</f>
        <v>4103.4184999999998</v>
      </c>
      <c r="BE33" s="116">
        <f>BE32+BE5</f>
        <v>982.72700000000009</v>
      </c>
      <c r="BF33" s="117">
        <f>BF32+BF5</f>
        <v>975.07200000000012</v>
      </c>
      <c r="BG33" s="117">
        <f>BG32+BG5</f>
        <v>683.08799999999997</v>
      </c>
      <c r="BH33" s="117">
        <f>BH32+BH5</f>
        <v>527.60500000000002</v>
      </c>
      <c r="BI33" s="118">
        <f>BE33+BF33+BG33+BH33</f>
        <v>3168.4920000000002</v>
      </c>
      <c r="BK33" s="116">
        <f>BK32+BK5</f>
        <v>596.42399999999998</v>
      </c>
      <c r="BL33" s="117">
        <f>BL32+BL5</f>
        <v>636.4</v>
      </c>
      <c r="BM33" s="117">
        <f>BM32+BM5</f>
        <v>600.79599999999994</v>
      </c>
      <c r="BN33" s="117">
        <f>BN32+BN5</f>
        <v>623.89750000000004</v>
      </c>
      <c r="BO33" s="118">
        <f>BK33+BL33+BM33+BN33</f>
        <v>2457.5174999999999</v>
      </c>
      <c r="BQ33" s="116">
        <f>BQ32+BQ5</f>
        <v>524.24</v>
      </c>
      <c r="BR33" s="117">
        <f>BR32+BR5</f>
        <v>646.99</v>
      </c>
      <c r="BS33" s="117">
        <f>BS32+BS5</f>
        <v>648.49</v>
      </c>
      <c r="BT33" s="119">
        <f>BT32+BT5</f>
        <v>805.6450000000001</v>
      </c>
      <c r="BU33" s="118">
        <f>BQ33+BR33+BS33+BT33</f>
        <v>2625.3650000000002</v>
      </c>
      <c r="BW33" s="116">
        <f>BW32+BW5</f>
        <v>655.99</v>
      </c>
      <c r="BX33" s="117">
        <f>BX32+BX5</f>
        <v>657.49</v>
      </c>
      <c r="BY33" s="117">
        <f>BY32+BY5</f>
        <v>658.99</v>
      </c>
      <c r="BZ33" s="119">
        <f>BZ32+BZ5</f>
        <v>765.7700000000001</v>
      </c>
      <c r="CA33" s="118">
        <f>BW33+BX33+BY33+BZ33</f>
        <v>2738.2400000000002</v>
      </c>
      <c r="CC33" s="116">
        <f>CC32+CC5</f>
        <v>663.49</v>
      </c>
      <c r="CD33" s="117">
        <f>CD32+CD5</f>
        <v>664.99</v>
      </c>
      <c r="CE33" s="117">
        <f>CE32+CE5</f>
        <v>666.49</v>
      </c>
      <c r="CF33" s="119">
        <f>CF32+CF5</f>
        <v>748.3637500000001</v>
      </c>
      <c r="CG33" s="118">
        <f>CC33+CD33+CE33+CF33</f>
        <v>2743.3337500000002</v>
      </c>
      <c r="CI33" s="116">
        <f>CI32+CI5</f>
        <v>669.49</v>
      </c>
      <c r="CJ33" s="117">
        <f>CJ32+CJ5</f>
        <v>670.99</v>
      </c>
      <c r="CK33" s="117">
        <f>CK32+CK5</f>
        <v>672.49</v>
      </c>
      <c r="CL33" s="119">
        <f>CL32+CL5</f>
        <v>755.1137500000001</v>
      </c>
      <c r="CM33" s="118">
        <f>CI33+CJ33+CK33+CL33</f>
        <v>2768.0837500000002</v>
      </c>
      <c r="CO33" s="116">
        <f>CO32+CO5</f>
        <v>675.49</v>
      </c>
      <c r="CP33" s="117">
        <f>CP32+CP5</f>
        <v>676.99</v>
      </c>
      <c r="CQ33" s="117">
        <f>CQ32+CQ5</f>
        <v>678.49</v>
      </c>
      <c r="CR33" s="119">
        <f>CR32+CR5</f>
        <v>761.8637500000001</v>
      </c>
      <c r="CS33" s="118">
        <f>CO33+CP33+CQ33+CR33</f>
        <v>2792.8337500000002</v>
      </c>
      <c r="CU33" s="116">
        <f>CU32+CU5</f>
        <v>681.49</v>
      </c>
      <c r="CV33" s="117">
        <f>CV32+CV5</f>
        <v>682.99</v>
      </c>
      <c r="CW33" s="117">
        <f>CW32+CW5</f>
        <v>684.49</v>
      </c>
      <c r="CX33" s="119">
        <f>CX32+CX5</f>
        <v>768.6137500000001</v>
      </c>
      <c r="CY33" s="118">
        <f>CU33+CV33+CW33+CX33</f>
        <v>2817.5837500000002</v>
      </c>
      <c r="DA33" s="116">
        <f>DA32+DA5</f>
        <v>687.49</v>
      </c>
      <c r="DB33" s="117">
        <f>DB32+DB5</f>
        <v>688.99</v>
      </c>
      <c r="DC33" s="117">
        <f>DC32+DC5</f>
        <v>690.49</v>
      </c>
      <c r="DD33" s="119">
        <f>DD32+DD5</f>
        <v>775.3637500000001</v>
      </c>
      <c r="DE33" s="118">
        <f>DA33+DB33+DC33+DD33</f>
        <v>2842.3337500000002</v>
      </c>
      <c r="DG33" s="116">
        <f>DG32+DG5</f>
        <v>693.49</v>
      </c>
      <c r="DH33" s="117">
        <f>DH32+DH5</f>
        <v>694.99</v>
      </c>
      <c r="DI33" s="117">
        <f>DI32+DI5</f>
        <v>696.49</v>
      </c>
      <c r="DJ33" s="119">
        <f>DJ32+DJ5</f>
        <v>782.1137500000001</v>
      </c>
      <c r="DK33" s="118">
        <f>DG33+DH33+DI33+DJ33</f>
        <v>2867.0837500000002</v>
      </c>
    </row>
    <row r="34" spans="2:115" s="135" customFormat="1" ht="15" x14ac:dyDescent="0.3">
      <c r="B34" s="39" t="s">
        <v>43</v>
      </c>
      <c r="C34" s="188">
        <f>C37*1000/C33</f>
        <v>13.189065643919278</v>
      </c>
      <c r="D34" s="189">
        <f>D37*1000/D33</f>
        <v>14.932293836106288</v>
      </c>
      <c r="E34" s="189">
        <f>E37*1000/E33</f>
        <v>14.252333819662971</v>
      </c>
      <c r="F34" s="189">
        <f>F37*1000/F33</f>
        <v>13.555908439521282</v>
      </c>
      <c r="G34" s="192">
        <f>G37*1000/G33</f>
        <v>13.961319612907717</v>
      </c>
      <c r="H34" s="134"/>
      <c r="I34" s="188">
        <f>I37*1000/I33</f>
        <v>9.3448807305684003</v>
      </c>
      <c r="J34" s="189">
        <f>J37*1000/J33</f>
        <v>14.174462621108274</v>
      </c>
      <c r="K34" s="189">
        <f>K37*1000/K33</f>
        <v>13.011922580687136</v>
      </c>
      <c r="L34" s="190">
        <f>L37*1000/L33</f>
        <v>13.589182406840491</v>
      </c>
      <c r="M34" s="192">
        <f>M37*1000/M33</f>
        <v>12.439985573504233</v>
      </c>
      <c r="N34" s="134"/>
      <c r="O34" s="188">
        <f>O37*1000/O33</f>
        <v>10.623981868404279</v>
      </c>
      <c r="P34" s="189">
        <f>P37*1000/P33</f>
        <v>18.054514316370113</v>
      </c>
      <c r="Q34" s="189">
        <f>Q37*1000/Q33</f>
        <v>17.829300494139062</v>
      </c>
      <c r="R34" s="190">
        <f>R37*1000/R33</f>
        <v>17.62163332401904</v>
      </c>
      <c r="S34" s="192">
        <f>S37*1000/S33</f>
        <v>16.065547433528799</v>
      </c>
      <c r="T34" s="134"/>
      <c r="U34" s="188">
        <f>U37*1000/U33</f>
        <v>23.313340524851291</v>
      </c>
      <c r="V34" s="189">
        <f>V37*1000/V33</f>
        <v>15.832960405025752</v>
      </c>
      <c r="W34" s="189">
        <f>W37*1000/W33</f>
        <v>20.652729516364705</v>
      </c>
      <c r="X34" s="189">
        <f>X37*1000/X33</f>
        <v>23.761000886468111</v>
      </c>
      <c r="Y34" s="192">
        <f>Y37*1000/Y33</f>
        <v>20.874111445275304</v>
      </c>
      <c r="AA34" s="188">
        <f>AA37*1000/AA33</f>
        <v>21.709044530677595</v>
      </c>
      <c r="AB34" s="189">
        <f>AB37*1000/AB33</f>
        <v>27.364547768922815</v>
      </c>
      <c r="AC34" s="189">
        <f>AC37*1000/AC33</f>
        <v>30.524550525993497</v>
      </c>
      <c r="AD34" s="190">
        <f>X34*(1+AD35)</f>
        <v>27.325151019438326</v>
      </c>
      <c r="AE34" s="192">
        <f>AE37*1000/AE33</f>
        <v>25.632438521335601</v>
      </c>
      <c r="AG34" s="188">
        <f>AG37*1000/AG33</f>
        <v>34.55557375699771</v>
      </c>
      <c r="AH34" s="189">
        <f>AH37*1000/AH33</f>
        <v>31.62055335968379</v>
      </c>
      <c r="AI34" s="189">
        <f>AI37*1000/AI33</f>
        <v>34.619373419185393</v>
      </c>
      <c r="AJ34" s="189">
        <f>AJ37*1000/AJ33</f>
        <v>41.82873535199375</v>
      </c>
      <c r="AK34" s="192">
        <f>AK37*1000/AK33</f>
        <v>35.785779078682282</v>
      </c>
      <c r="AM34" s="188">
        <f>AM37*1000/AM33</f>
        <v>58.464452047143219</v>
      </c>
      <c r="AN34" s="189">
        <f>AN37*1000/AN33</f>
        <v>88.195798465962113</v>
      </c>
      <c r="AO34" s="189">
        <f>AO37*1000/AO33</f>
        <v>107.31870650909417</v>
      </c>
      <c r="AP34" s="189">
        <f>AP37*1000/AP33</f>
        <v>103.75628573042883</v>
      </c>
      <c r="AQ34" s="192">
        <f>AQ37*1000/AQ33</f>
        <v>87.562730487388222</v>
      </c>
      <c r="AS34" s="188">
        <f>AS37*1000/AS33</f>
        <v>104.19477476562854</v>
      </c>
      <c r="AT34" s="189">
        <f>AT37*1000/AT33</f>
        <v>95.983473391036114</v>
      </c>
      <c r="AU34" s="189">
        <f>AU37*1000/AU33</f>
        <v>100.06435331346123</v>
      </c>
      <c r="AV34" s="189">
        <f>AV37*1000/AV33</f>
        <v>116.22028941686706</v>
      </c>
      <c r="AW34" s="192">
        <f>AW37*1000/AW33</f>
        <v>104.37820682699036</v>
      </c>
      <c r="AY34" s="188">
        <f>AY37*1000/AY33</f>
        <v>121.5184013579199</v>
      </c>
      <c r="AZ34" s="189">
        <f>AZ37*1000/AZ33</f>
        <v>113.69582867496257</v>
      </c>
      <c r="BA34" s="189">
        <f>BA37*1000/BA33</f>
        <v>112.89178684938142</v>
      </c>
      <c r="BB34" s="189">
        <f>BB37*1000/BB33</f>
        <v>152.27669634109981</v>
      </c>
      <c r="BC34" s="192">
        <f>BC37*1000/BC33</f>
        <v>124.28661614700037</v>
      </c>
      <c r="BE34" s="188">
        <f>BE37*1000/BE33</f>
        <v>136.35526448342213</v>
      </c>
      <c r="BF34" s="189">
        <f>BF37*1000/BF33</f>
        <v>126.144530865413</v>
      </c>
      <c r="BG34" s="189">
        <f>BG37*1000/BG33</f>
        <v>202.02375096620057</v>
      </c>
      <c r="BH34" s="189">
        <f>BH37*1000/BH33</f>
        <v>280.51288369139792</v>
      </c>
      <c r="BI34" s="192">
        <f>BI37*1000/BI33</f>
        <v>171.37490011021015</v>
      </c>
      <c r="BK34" s="188">
        <f>BK37*1000/BK33</f>
        <v>246.46895497163092</v>
      </c>
      <c r="BL34" s="189">
        <f>BL37*1000/BL33</f>
        <v>237.27215587680706</v>
      </c>
      <c r="BM34" s="189">
        <f>BM37*1000/BM33</f>
        <v>252.99768973162273</v>
      </c>
      <c r="BN34" s="189">
        <f>BN37*1000/BN33</f>
        <v>259.65803677687438</v>
      </c>
      <c r="BO34" s="192">
        <f>BO37*1000/BO33</f>
        <v>249.03179733206377</v>
      </c>
      <c r="BQ34" s="188">
        <f>BK34*(1+BQ35)</f>
        <v>295.76274596595709</v>
      </c>
      <c r="BR34" s="189">
        <f>BL34*(1+BR35)</f>
        <v>243.20395977372721</v>
      </c>
      <c r="BS34" s="189">
        <f>BM34*(1+BS35)</f>
        <v>240.34780524504157</v>
      </c>
      <c r="BT34" s="190">
        <f>BN34*(1+BT35)</f>
        <v>207.72642942149952</v>
      </c>
      <c r="BU34" s="192">
        <f>BU37*1000/BU33</f>
        <v>242.10656397637587</v>
      </c>
      <c r="BW34" s="188">
        <f>BQ34*(1+BW35)</f>
        <v>244.0042654219146</v>
      </c>
      <c r="BX34" s="189">
        <f>BR34*(1+BX35)</f>
        <v>249.28405876807037</v>
      </c>
      <c r="BY34" s="189">
        <f>BS34*(1+BY35)</f>
        <v>242.75128329749199</v>
      </c>
      <c r="BZ34" s="190">
        <f>BT34*(1+BZ35)</f>
        <v>204.61053298017703</v>
      </c>
      <c r="CA34" s="192">
        <f>CA37*1000/CA33</f>
        <v>233.95371110420734</v>
      </c>
      <c r="CC34" s="188">
        <f>BW34*(1+CC35)</f>
        <v>244.0042654219146</v>
      </c>
      <c r="CD34" s="189">
        <f>BX34*(1+CD35)</f>
        <v>249.28405876807037</v>
      </c>
      <c r="CE34" s="189">
        <f>BY34*(1+CE35)</f>
        <v>242.75128329749199</v>
      </c>
      <c r="CF34" s="190">
        <f>BZ34*(1+CF35)</f>
        <v>204.61053298017703</v>
      </c>
      <c r="CG34" s="192">
        <f>CG37*1000/CG33</f>
        <v>234.23333193070459</v>
      </c>
      <c r="CI34" s="188">
        <f>CC34*(1+CI35)</f>
        <v>244.0042654219146</v>
      </c>
      <c r="CJ34" s="189">
        <f>CD34*(1+CJ35)</f>
        <v>249.28405876807037</v>
      </c>
      <c r="CK34" s="189">
        <f>CE34*(1+CK35)</f>
        <v>242.75128329749199</v>
      </c>
      <c r="CL34" s="190">
        <f>CF34*(1+CL35)</f>
        <v>204.61053298017703</v>
      </c>
      <c r="CM34" s="192">
        <f>CM37*1000/CM33</f>
        <v>234.23336219613867</v>
      </c>
      <c r="CO34" s="188">
        <f>CI34*(1+CO35)</f>
        <v>244.0042654219146</v>
      </c>
      <c r="CP34" s="189">
        <f>CJ34*(1+CP35)</f>
        <v>249.28405876807037</v>
      </c>
      <c r="CQ34" s="189">
        <f>CK34*(1+CQ35)</f>
        <v>242.75128329749199</v>
      </c>
      <c r="CR34" s="190">
        <f>CL34*(1+CR35)</f>
        <v>204.61053298017703</v>
      </c>
      <c r="CS34" s="192">
        <f>CS37*1000/CS33</f>
        <v>234.2333919251501</v>
      </c>
      <c r="CU34" s="188">
        <f>CO34*(1+CU35)</f>
        <v>246.44430807613375</v>
      </c>
      <c r="CV34" s="189">
        <f>CP34*(1+CV35)</f>
        <v>251.77689935575108</v>
      </c>
      <c r="CW34" s="189">
        <f>CQ34*(1+CW35)</f>
        <v>245.17879613046691</v>
      </c>
      <c r="CX34" s="190">
        <f>CR34*(1+CX35)</f>
        <v>206.6566383099788</v>
      </c>
      <c r="CY34" s="192">
        <f>CY37*1000/CY33</f>
        <v>236.57575534319383</v>
      </c>
      <c r="DA34" s="188">
        <f>CU34*(1+DA35)</f>
        <v>248.90875115689508</v>
      </c>
      <c r="DB34" s="189">
        <f>CV34*(1+DB35)</f>
        <v>254.29466834930861</v>
      </c>
      <c r="DC34" s="189">
        <f>CW34*(1+DC35)</f>
        <v>247.63058409177157</v>
      </c>
      <c r="DD34" s="190">
        <f>CX34*(1+DD35)</f>
        <v>208.7232046930786</v>
      </c>
      <c r="DE34" s="192">
        <f>DE37*1000/DE33</f>
        <v>238.94154217153925</v>
      </c>
      <c r="DG34" s="188">
        <f>DA34*(1+DG35)</f>
        <v>251.39783866846403</v>
      </c>
      <c r="DH34" s="189">
        <f>DB34*(1+DH35)</f>
        <v>256.83761503280169</v>
      </c>
      <c r="DI34" s="189">
        <f>DC34*(1+DI35)</f>
        <v>250.10688993268928</v>
      </c>
      <c r="DJ34" s="190">
        <f>DD34*(1+DJ35)</f>
        <v>210.81043674000938</v>
      </c>
      <c r="DK34" s="192">
        <f>DK37*1000/DK33</f>
        <v>241.3309866504336</v>
      </c>
    </row>
    <row r="35" spans="2:115" ht="15.75" thickBot="1" x14ac:dyDescent="0.35">
      <c r="B35" s="41" t="s">
        <v>23</v>
      </c>
      <c r="C35" s="155" t="s">
        <v>35</v>
      </c>
      <c r="D35" s="106" t="s">
        <v>35</v>
      </c>
      <c r="E35" s="106" t="s">
        <v>35</v>
      </c>
      <c r="F35" s="106" t="s">
        <v>35</v>
      </c>
      <c r="G35" s="108" t="s">
        <v>35</v>
      </c>
      <c r="I35" s="109">
        <f>I34/C34-1</f>
        <v>-0.29146756996567158</v>
      </c>
      <c r="J35" s="110">
        <f>J34/D34-1</f>
        <v>-5.0751158751348502E-2</v>
      </c>
      <c r="K35" s="110">
        <f>K34/E34-1</f>
        <v>-8.7032148886698413E-2</v>
      </c>
      <c r="L35" s="120">
        <f>L34/F34-1</f>
        <v>2.4545730348990435E-3</v>
      </c>
      <c r="M35" s="122">
        <f>M34/G34-1</f>
        <v>-0.10896778252945083</v>
      </c>
      <c r="O35" s="109">
        <f>O34/I34-1</f>
        <v>0.13687720311418872</v>
      </c>
      <c r="P35" s="110">
        <f>P34/J34-1</f>
        <v>0.27373536471737259</v>
      </c>
      <c r="Q35" s="110">
        <f>Q34/K34-1</f>
        <v>0.37022798772274346</v>
      </c>
      <c r="R35" s="120">
        <f>R34/L34-1</f>
        <v>0.29673977406828422</v>
      </c>
      <c r="S35" s="122">
        <f>S34/M34-1</f>
        <v>0.29144421740702042</v>
      </c>
      <c r="U35" s="109">
        <f>U34/O34-1</f>
        <v>1.1944070324691691</v>
      </c>
      <c r="V35" s="110">
        <f>V34/P34-1</f>
        <v>-0.12304700488841558</v>
      </c>
      <c r="W35" s="110">
        <f>W34/Q34-1</f>
        <v>0.15835893411262969</v>
      </c>
      <c r="X35" s="110">
        <f>X34/R34-1</f>
        <v>0.34839946159138657</v>
      </c>
      <c r="Y35" s="122">
        <f>Y34/S34-1</f>
        <v>0.2993090669111611</v>
      </c>
      <c r="AA35" s="109">
        <f>AA34/U34-1</f>
        <v>-6.88145052599205E-2</v>
      </c>
      <c r="AB35" s="110">
        <f>AB34/V34-1</f>
        <v>0.72832793545271968</v>
      </c>
      <c r="AC35" s="110">
        <f>AC34/W34-1</f>
        <v>0.47799110533097378</v>
      </c>
      <c r="AD35" s="120">
        <v>0.15</v>
      </c>
      <c r="AE35" s="122">
        <f>AE34/Y34-1</f>
        <v>0.22795351498122374</v>
      </c>
      <c r="AG35" s="109">
        <f>AG34/AA34-1</f>
        <v>0.59175931064890319</v>
      </c>
      <c r="AH35" s="110">
        <f>AH34/AB34-1</f>
        <v>0.15552990777338582</v>
      </c>
      <c r="AI35" s="110">
        <f>AI34/AC34-1</f>
        <v>0.13414850743518425</v>
      </c>
      <c r="AJ35" s="110">
        <f>AJ34/AD34-1</f>
        <v>0.53077782890341552</v>
      </c>
      <c r="AK35" s="122">
        <f>AK34/AE34-1</f>
        <v>0.3961129390360334</v>
      </c>
      <c r="AM35" s="109">
        <f>AM34/AG34-1</f>
        <v>0.6918964349507819</v>
      </c>
      <c r="AN35" s="110">
        <f>AN34/AH34-1</f>
        <v>1.7891921264860522</v>
      </c>
      <c r="AO35" s="110">
        <f>AO34/AI34-1</f>
        <v>2.0999609729972812</v>
      </c>
      <c r="AP35" s="110">
        <f>AP34/AJ34-1</f>
        <v>1.4805025745413394</v>
      </c>
      <c r="AQ35" s="122">
        <f>AQ34/AK34-1</f>
        <v>1.4468582979530451</v>
      </c>
      <c r="AS35" s="109">
        <f>AS34/AM34-1</f>
        <v>0.78219022187380371</v>
      </c>
      <c r="AT35" s="110">
        <f>AT34/AN34-1</f>
        <v>8.829984036121119E-2</v>
      </c>
      <c r="AU35" s="110">
        <f>AU34/AO34-1</f>
        <v>-6.7596353251035635E-2</v>
      </c>
      <c r="AV35" s="110">
        <f>AV34/AP34-1</f>
        <v>0.12012769731196049</v>
      </c>
      <c r="AW35" s="122">
        <f>AW34/AQ34-1</f>
        <v>0.19203919574006534</v>
      </c>
      <c r="AY35" s="109">
        <f>AY34/AS34-1</f>
        <v>0.1662619515350785</v>
      </c>
      <c r="AZ35" s="110">
        <f>AZ34/AT34-1</f>
        <v>0.18453546905691165</v>
      </c>
      <c r="BA35" s="110">
        <f>BA34/AU34-1</f>
        <v>0.12819183966279213</v>
      </c>
      <c r="BB35" s="110">
        <f>BB34/AV34-1</f>
        <v>0.31024193026144609</v>
      </c>
      <c r="BC35" s="122">
        <f>BC34/AW34-1</f>
        <v>0.19073339086011232</v>
      </c>
      <c r="BE35" s="109">
        <f>BE34/AY34-1</f>
        <v>0.12209560823468846</v>
      </c>
      <c r="BF35" s="110">
        <f>BF34/AZ34-1</f>
        <v>0.10949128332613856</v>
      </c>
      <c r="BG35" s="110">
        <f>BG34/BA34-1</f>
        <v>0.78953453217759506</v>
      </c>
      <c r="BH35" s="110">
        <f>BH34/BB34-1</f>
        <v>0.84212614557285281</v>
      </c>
      <c r="BI35" s="122">
        <f>BI34/BC34-1</f>
        <v>0.37886850107429071</v>
      </c>
      <c r="BK35" s="109">
        <f>BK34/BE34-1</f>
        <v>0.80754997546571627</v>
      </c>
      <c r="BL35" s="110">
        <f>BL34/BF34-1</f>
        <v>0.88095476077325241</v>
      </c>
      <c r="BM35" s="110">
        <f>BM34/BG34-1</f>
        <v>0.25231656437242522</v>
      </c>
      <c r="BN35" s="110">
        <f>BN34/BH34-1</f>
        <v>-7.4345415583359387E-2</v>
      </c>
      <c r="BO35" s="122">
        <f>BO34/BI34-1</f>
        <v>0.4531404375548167</v>
      </c>
      <c r="BQ35" s="109">
        <v>0.2</v>
      </c>
      <c r="BR35" s="110">
        <v>2.5000000000000001E-2</v>
      </c>
      <c r="BS35" s="110">
        <v>-0.05</v>
      </c>
      <c r="BT35" s="120">
        <v>-0.2</v>
      </c>
      <c r="BU35" s="122">
        <f>BU34/BO34-1</f>
        <v>-2.780863098559927E-2</v>
      </c>
      <c r="BW35" s="109">
        <v>-0.17499999999999999</v>
      </c>
      <c r="BX35" s="110">
        <v>2.5000000000000001E-2</v>
      </c>
      <c r="BY35" s="110">
        <v>0.01</v>
      </c>
      <c r="BZ35" s="120">
        <v>-1.4999999999999999E-2</v>
      </c>
      <c r="CA35" s="122">
        <f>CA34/BU34-1</f>
        <v>-3.3674646148644127E-2</v>
      </c>
      <c r="CC35" s="109">
        <v>0</v>
      </c>
      <c r="CD35" s="110">
        <v>0</v>
      </c>
      <c r="CE35" s="110">
        <v>0</v>
      </c>
      <c r="CF35" s="120">
        <v>0</v>
      </c>
      <c r="CG35" s="122">
        <f>CG34/CA34-1</f>
        <v>1.1951972258850141E-3</v>
      </c>
      <c r="CI35" s="109">
        <v>0</v>
      </c>
      <c r="CJ35" s="110">
        <v>0</v>
      </c>
      <c r="CK35" s="110">
        <v>0</v>
      </c>
      <c r="CL35" s="120">
        <v>0</v>
      </c>
      <c r="CM35" s="122">
        <f>CM34/CG34-1</f>
        <v>1.2921062020332386E-7</v>
      </c>
      <c r="CO35" s="109">
        <v>0</v>
      </c>
      <c r="CP35" s="110">
        <v>0</v>
      </c>
      <c r="CQ35" s="110">
        <v>0</v>
      </c>
      <c r="CR35" s="120">
        <v>0</v>
      </c>
      <c r="CS35" s="122">
        <f>CS34/CM34-1</f>
        <v>1.2692048279028256E-7</v>
      </c>
      <c r="CU35" s="109">
        <v>0.01</v>
      </c>
      <c r="CV35" s="110">
        <v>0.01</v>
      </c>
      <c r="CW35" s="110">
        <v>0.01</v>
      </c>
      <c r="CX35" s="120">
        <v>0.01</v>
      </c>
      <c r="CY35" s="122">
        <f>CY34/CS34-1</f>
        <v>1.0000125937604354E-2</v>
      </c>
      <c r="DA35" s="109">
        <v>0.01</v>
      </c>
      <c r="DB35" s="110">
        <v>0.01</v>
      </c>
      <c r="DC35" s="110">
        <v>0.01</v>
      </c>
      <c r="DD35" s="120">
        <v>0.01</v>
      </c>
      <c r="DE35" s="122">
        <f>DE34/CY34-1</f>
        <v>1.0000123744351663E-2</v>
      </c>
      <c r="DG35" s="109">
        <v>0.01</v>
      </c>
      <c r="DH35" s="110">
        <v>0.01</v>
      </c>
      <c r="DI35" s="110">
        <v>0.01</v>
      </c>
      <c r="DJ35" s="120">
        <v>0.01</v>
      </c>
      <c r="DK35" s="122">
        <f>DK34/DE34-1</f>
        <v>1.0000121607899093E-2</v>
      </c>
    </row>
    <row r="36" spans="2:115" ht="15.75" thickBot="1" x14ac:dyDescent="0.35">
      <c r="B36" s="1"/>
      <c r="AA36" s="103"/>
      <c r="AB36" s="103"/>
      <c r="AC36" s="103"/>
      <c r="AD36" s="103"/>
      <c r="AE36" s="103"/>
      <c r="AG36" s="103"/>
      <c r="AH36" s="103"/>
      <c r="AI36" s="103"/>
      <c r="AJ36" s="103"/>
      <c r="AK36" s="103"/>
      <c r="AM36" s="103"/>
      <c r="AN36" s="103"/>
      <c r="AO36" s="103"/>
      <c r="AP36" s="103"/>
      <c r="AQ36" s="103"/>
      <c r="AS36" s="103"/>
      <c r="AT36" s="103"/>
      <c r="AU36" s="103"/>
      <c r="AV36" s="103"/>
      <c r="AW36" s="103"/>
      <c r="AY36" s="103"/>
      <c r="AZ36" s="103"/>
      <c r="BA36" s="103"/>
      <c r="BB36" s="103"/>
      <c r="BC36" s="103"/>
      <c r="BE36" s="103"/>
      <c r="BF36" s="103"/>
      <c r="BG36" s="103"/>
      <c r="BH36" s="103"/>
      <c r="BI36" s="103"/>
      <c r="BK36" s="103"/>
      <c r="BL36" s="103"/>
      <c r="BM36" s="103"/>
      <c r="BN36" s="103"/>
      <c r="BO36" s="103"/>
      <c r="BQ36" s="103"/>
      <c r="BR36" s="103"/>
      <c r="BS36" s="103"/>
      <c r="BT36" s="103"/>
      <c r="BU36" s="103"/>
      <c r="BW36" s="103"/>
      <c r="BX36" s="103"/>
      <c r="BY36" s="103"/>
      <c r="BZ36" s="103"/>
      <c r="CA36" s="103"/>
      <c r="CC36" s="103"/>
      <c r="CD36" s="103"/>
      <c r="CE36" s="103"/>
      <c r="CF36" s="103"/>
      <c r="CG36" s="103"/>
      <c r="CI36" s="103"/>
      <c r="CJ36" s="103"/>
      <c r="CK36" s="103"/>
      <c r="CL36" s="103"/>
      <c r="CM36" s="103"/>
      <c r="CO36" s="103"/>
      <c r="CP36" s="103"/>
      <c r="CQ36" s="103"/>
      <c r="CR36" s="103"/>
      <c r="CS36" s="103"/>
      <c r="CU36" s="103"/>
      <c r="CV36" s="103"/>
      <c r="CW36" s="103"/>
      <c r="CX36" s="103"/>
      <c r="CY36" s="103"/>
      <c r="DA36" s="103"/>
      <c r="DB36" s="103"/>
      <c r="DC36" s="103"/>
      <c r="DD36" s="103"/>
      <c r="DE36" s="103"/>
      <c r="DG36" s="103"/>
      <c r="DH36" s="103"/>
      <c r="DI36" s="103"/>
      <c r="DJ36" s="103"/>
      <c r="DK36" s="103"/>
    </row>
    <row r="37" spans="2:115" s="135" customFormat="1" ht="15" x14ac:dyDescent="0.3">
      <c r="B37" s="139" t="s">
        <v>105</v>
      </c>
      <c r="C37" s="181">
        <f>C40-C28</f>
        <v>17</v>
      </c>
      <c r="D37" s="182">
        <f>D40-D28</f>
        <v>19</v>
      </c>
      <c r="E37" s="182">
        <f>E40-E28</f>
        <v>19</v>
      </c>
      <c r="F37" s="183">
        <f>F40-F28</f>
        <v>21</v>
      </c>
      <c r="G37" s="184">
        <f>C37+D37+E37+F37</f>
        <v>76</v>
      </c>
      <c r="H37" s="134"/>
      <c r="I37" s="181">
        <f>I40-I28</f>
        <v>13</v>
      </c>
      <c r="J37" s="182">
        <f>J40-J28</f>
        <v>17</v>
      </c>
      <c r="K37" s="182">
        <f>K40-K28</f>
        <v>16</v>
      </c>
      <c r="L37" s="182">
        <f>L40-L28</f>
        <v>18</v>
      </c>
      <c r="M37" s="184">
        <f>I37+J37+K37+L37</f>
        <v>64</v>
      </c>
      <c r="N37" s="134"/>
      <c r="O37" s="181">
        <f>O40-O28</f>
        <v>12</v>
      </c>
      <c r="P37" s="182">
        <f>P40-P28</f>
        <v>21</v>
      </c>
      <c r="Q37" s="182">
        <f>Q40-Q28</f>
        <v>20</v>
      </c>
      <c r="R37" s="183">
        <f>R40-R28</f>
        <v>21</v>
      </c>
      <c r="S37" s="184">
        <f>O37+P37+Q37+R37</f>
        <v>74</v>
      </c>
      <c r="T37" s="134"/>
      <c r="U37" s="181">
        <f>U40-U28</f>
        <v>24</v>
      </c>
      <c r="V37" s="182">
        <f>V40-V28</f>
        <v>17</v>
      </c>
      <c r="W37" s="182">
        <f>W40-W28</f>
        <v>24</v>
      </c>
      <c r="X37" s="182">
        <f>X40-X28</f>
        <v>26</v>
      </c>
      <c r="Y37" s="184">
        <f>U37+V37+W37+X37</f>
        <v>91</v>
      </c>
      <c r="AA37" s="181">
        <f>AA40-AA28</f>
        <v>24</v>
      </c>
      <c r="AB37" s="182">
        <f>AB40-AB28</f>
        <v>30</v>
      </c>
      <c r="AC37" s="182">
        <f>AC40-AC28</f>
        <v>33</v>
      </c>
      <c r="AD37" s="182">
        <f>AD40-AD28</f>
        <v>43</v>
      </c>
      <c r="AE37" s="184">
        <f>AA37+AB37+AC37+AD37</f>
        <v>130</v>
      </c>
      <c r="AG37" s="181">
        <f>AG40-AG28</f>
        <v>53</v>
      </c>
      <c r="AH37" s="182">
        <f>AH40-AH28</f>
        <v>52</v>
      </c>
      <c r="AI37" s="182">
        <f>AI40-AI28</f>
        <v>58</v>
      </c>
      <c r="AJ37" s="182">
        <f>AJ40-AJ28</f>
        <v>74</v>
      </c>
      <c r="AK37" s="184">
        <f>AG37+AH37+AI37+AJ37</f>
        <v>237</v>
      </c>
      <c r="AM37" s="181">
        <f>AM40-AM28</f>
        <v>70</v>
      </c>
      <c r="AN37" s="182">
        <f>AN40-AN28</f>
        <v>93</v>
      </c>
      <c r="AO37" s="182">
        <f>AO40-AO28</f>
        <v>100</v>
      </c>
      <c r="AP37" s="182">
        <f>AP40-AP28</f>
        <v>101</v>
      </c>
      <c r="AQ37" s="184">
        <f>AM37+AN37+AO37+AP37</f>
        <v>364</v>
      </c>
      <c r="AS37" s="181">
        <f>AS40-AS28</f>
        <v>78</v>
      </c>
      <c r="AT37" s="182">
        <f>AT40-AT28</f>
        <v>88</v>
      </c>
      <c r="AU37" s="182">
        <f>AU40-AU28</f>
        <v>109</v>
      </c>
      <c r="AV37" s="182">
        <f>AV40-AV28</f>
        <v>123</v>
      </c>
      <c r="AW37" s="184">
        <f>AS37+AT37+AU37+AV37</f>
        <v>398</v>
      </c>
      <c r="AY37" s="181">
        <f>AY40-AY28</f>
        <v>126</v>
      </c>
      <c r="AZ37" s="182">
        <f>AZ40-AZ28</f>
        <v>117</v>
      </c>
      <c r="BA37" s="182">
        <f>BA40-BA28</f>
        <v>124</v>
      </c>
      <c r="BB37" s="182">
        <f>BB40-BB28</f>
        <v>143</v>
      </c>
      <c r="BC37" s="184">
        <f>AY37+AZ37+BA37+BB37</f>
        <v>510</v>
      </c>
      <c r="BE37" s="181">
        <f>BE40-BE28</f>
        <v>134</v>
      </c>
      <c r="BF37" s="182">
        <f>BF40-BF28</f>
        <v>123</v>
      </c>
      <c r="BG37" s="182">
        <f>BG40-BG28</f>
        <v>138</v>
      </c>
      <c r="BH37" s="182">
        <f>BH40-BH28</f>
        <v>148</v>
      </c>
      <c r="BI37" s="184">
        <f>BE37+BF37+BG37+BH37</f>
        <v>543</v>
      </c>
      <c r="BK37" s="181">
        <f>BK40-BK28</f>
        <v>147</v>
      </c>
      <c r="BL37" s="182">
        <f>BL40-BL28</f>
        <v>151</v>
      </c>
      <c r="BM37" s="182">
        <f>BM40-BM28</f>
        <v>152</v>
      </c>
      <c r="BN37" s="182">
        <f>BN40-BN28</f>
        <v>162</v>
      </c>
      <c r="BO37" s="184">
        <f>BK37+BL37+BM37+BN37</f>
        <v>612</v>
      </c>
      <c r="BQ37" s="181">
        <f>BQ34*BQ33/1000</f>
        <v>155.05066194519333</v>
      </c>
      <c r="BR37" s="182">
        <f>BR34*BR33/1000</f>
        <v>157.35052993400379</v>
      </c>
      <c r="BS37" s="182">
        <f>BS34*BS33/1000</f>
        <v>155.863148223357</v>
      </c>
      <c r="BT37" s="182">
        <f>BT34*BT33/1000</f>
        <v>167.35375923128399</v>
      </c>
      <c r="BU37" s="184">
        <f>BQ37+BR37+BS37+BT37</f>
        <v>635.61809933383813</v>
      </c>
      <c r="BW37" s="181">
        <f>BW34*BW33/1000</f>
        <v>160.06435807412177</v>
      </c>
      <c r="BX37" s="182">
        <f>BX34*BX33/1000</f>
        <v>163.9017757994186</v>
      </c>
      <c r="BY37" s="182">
        <f>BY34*BY33/1000</f>
        <v>159.97066818021423</v>
      </c>
      <c r="BZ37" s="182">
        <f>BZ34*BZ33/1000</f>
        <v>156.6846078402302</v>
      </c>
      <c r="CA37" s="184">
        <f>BW37+BX37+BY37+BZ37</f>
        <v>640.62140989398483</v>
      </c>
      <c r="CC37" s="181">
        <f>CC34*CC33/1000</f>
        <v>161.89439006478614</v>
      </c>
      <c r="CD37" s="182">
        <f>CD34*CD33/1000</f>
        <v>165.77140624017912</v>
      </c>
      <c r="CE37" s="182">
        <f>CE34*CE33/1000</f>
        <v>161.79130280494545</v>
      </c>
      <c r="CF37" s="182">
        <f>CF34*CF33/1000</f>
        <v>153.12310575054397</v>
      </c>
      <c r="CG37" s="184">
        <f>CC37+CD37+CE37+CF37</f>
        <v>642.58020486045461</v>
      </c>
      <c r="CI37" s="181">
        <f>CI34*CI33/1000</f>
        <v>163.35841565731761</v>
      </c>
      <c r="CJ37" s="182">
        <f>CJ34*CJ33/1000</f>
        <v>167.26711059278753</v>
      </c>
      <c r="CK37" s="182">
        <f>CK34*CK33/1000</f>
        <v>163.24781050473038</v>
      </c>
      <c r="CL37" s="182">
        <f>CL34*CL33/1000</f>
        <v>154.50422684816019</v>
      </c>
      <c r="CM37" s="184">
        <f>CI37+CJ37+CK37+CL37</f>
        <v>648.37756360299579</v>
      </c>
      <c r="CO37" s="181">
        <f>CO34*CO33/1000</f>
        <v>164.82244124984911</v>
      </c>
      <c r="CP37" s="182">
        <f>CP34*CP33/1000</f>
        <v>168.76281494539595</v>
      </c>
      <c r="CQ37" s="182">
        <f>CQ34*CQ33/1000</f>
        <v>164.70431820451535</v>
      </c>
      <c r="CR37" s="182">
        <f>CR34*CR33/1000</f>
        <v>155.88534794577637</v>
      </c>
      <c r="CS37" s="184">
        <f>CO37+CP37+CQ37+CR37</f>
        <v>654.17492234553674</v>
      </c>
      <c r="CU37" s="181">
        <f>CU34*CU33/1000</f>
        <v>167.9493315108044</v>
      </c>
      <c r="CV37" s="182">
        <f>CV34*CV33/1000</f>
        <v>171.96110449098444</v>
      </c>
      <c r="CW37" s="182">
        <f>CW34*CW33/1000</f>
        <v>167.8224341633433</v>
      </c>
      <c r="CX37" s="182">
        <f>CX34*CX33/1000</f>
        <v>158.83913373382649</v>
      </c>
      <c r="CY37" s="184">
        <f>CU37+CV37+CW37+CX37</f>
        <v>666.57200389895866</v>
      </c>
      <c r="DA37" s="181">
        <f>DA34*DA33/1000</f>
        <v>171.1222773328538</v>
      </c>
      <c r="DB37" s="182">
        <f>DB34*DB33/1000</f>
        <v>175.20648354599012</v>
      </c>
      <c r="DC37" s="182">
        <f>DC34*DC33/1000</f>
        <v>170.98644200952737</v>
      </c>
      <c r="DD37" s="182">
        <f>DD34*DD33/1000</f>
        <v>161.83640670284302</v>
      </c>
      <c r="DE37" s="184">
        <f>DA37+DB37+DC37+DD37</f>
        <v>679.15160959121431</v>
      </c>
      <c r="DG37" s="181">
        <f>DG34*DG33/1000</f>
        <v>174.34188713819313</v>
      </c>
      <c r="DH37" s="182">
        <f>DH34*DH33/1000</f>
        <v>178.49957407164683</v>
      </c>
      <c r="DI37" s="182">
        <f>DI34*DI33/1000</f>
        <v>174.19694776921875</v>
      </c>
      <c r="DJ37" s="182">
        <f>DJ34*DJ33/1000</f>
        <v>164.87774121786654</v>
      </c>
      <c r="DK37" s="184">
        <f>DG37+DH37+DI37+DJ37</f>
        <v>691.91615019692517</v>
      </c>
    </row>
    <row r="38" spans="2:115" ht="15" x14ac:dyDescent="0.3">
      <c r="B38" s="5" t="s">
        <v>23</v>
      </c>
      <c r="C38" s="144" t="s">
        <v>35</v>
      </c>
      <c r="D38" s="107" t="s">
        <v>35</v>
      </c>
      <c r="E38" s="107" t="s">
        <v>35</v>
      </c>
      <c r="F38" s="145" t="s">
        <v>35</v>
      </c>
      <c r="G38" s="138" t="s">
        <v>35</v>
      </c>
      <c r="H38" s="107"/>
      <c r="I38" s="151">
        <f>I37/C37-1</f>
        <v>-0.23529411764705888</v>
      </c>
      <c r="J38" s="133">
        <f>J37/D37-1</f>
        <v>-0.10526315789473684</v>
      </c>
      <c r="K38" s="133">
        <f>K37/E37-1</f>
        <v>-0.15789473684210531</v>
      </c>
      <c r="L38" s="133">
        <f>L37/F37-1</f>
        <v>-0.1428571428571429</v>
      </c>
      <c r="M38" s="153">
        <f>M37/G37-1</f>
        <v>-0.15789473684210531</v>
      </c>
      <c r="N38" s="107"/>
      <c r="O38" s="151">
        <f>O37/I37-1</f>
        <v>-7.6923076923076872E-2</v>
      </c>
      <c r="P38" s="133">
        <f>P37/J37-1</f>
        <v>0.23529411764705888</v>
      </c>
      <c r="Q38" s="133">
        <f>Q37/K37-1</f>
        <v>0.25</v>
      </c>
      <c r="R38" s="152">
        <f>R37/L37-1</f>
        <v>0.16666666666666674</v>
      </c>
      <c r="S38" s="153">
        <f>S37/M37-1</f>
        <v>0.15625</v>
      </c>
      <c r="T38" s="107"/>
      <c r="U38" s="151">
        <f>U37/O37-1</f>
        <v>1</v>
      </c>
      <c r="V38" s="133">
        <f>V37/P37-1</f>
        <v>-0.19047619047619047</v>
      </c>
      <c r="W38" s="133">
        <f>W37/Q37-1</f>
        <v>0.19999999999999996</v>
      </c>
      <c r="X38" s="133">
        <f>X37/R37-1</f>
        <v>0.23809523809523814</v>
      </c>
      <c r="Y38" s="153">
        <f>Y37/S37-1</f>
        <v>0.22972972972972983</v>
      </c>
      <c r="AA38" s="151">
        <f>AA37/U37-1</f>
        <v>0</v>
      </c>
      <c r="AB38" s="133">
        <f>AB37/V37-1</f>
        <v>0.76470588235294112</v>
      </c>
      <c r="AC38" s="133">
        <f>AC37/W37-1</f>
        <v>0.375</v>
      </c>
      <c r="AD38" s="133">
        <f>AD37/X37-1</f>
        <v>0.65384615384615374</v>
      </c>
      <c r="AE38" s="153">
        <f>AE37/Y37-1</f>
        <v>0.4285714285714286</v>
      </c>
      <c r="AG38" s="151">
        <f>AG37/AA37-1</f>
        <v>1.2083333333333335</v>
      </c>
      <c r="AH38" s="133">
        <f>AH37/AB37-1</f>
        <v>0.73333333333333339</v>
      </c>
      <c r="AI38" s="133">
        <f>AI37/AC37-1</f>
        <v>0.75757575757575757</v>
      </c>
      <c r="AJ38" s="133">
        <f>AJ37/AD37-1</f>
        <v>0.72093023255813948</v>
      </c>
      <c r="AK38" s="153">
        <f>AK37/AE37-1</f>
        <v>0.82307692307692304</v>
      </c>
      <c r="AM38" s="151">
        <f>AM37/AG37-1</f>
        <v>0.320754716981132</v>
      </c>
      <c r="AN38" s="133">
        <f>AN37/AH37-1</f>
        <v>0.78846153846153855</v>
      </c>
      <c r="AO38" s="133">
        <f>AO37/AI37-1</f>
        <v>0.72413793103448265</v>
      </c>
      <c r="AP38" s="133">
        <f>AP37/AJ37-1</f>
        <v>0.36486486486486491</v>
      </c>
      <c r="AQ38" s="153">
        <f>AQ37/AK37-1</f>
        <v>0.53586497890295348</v>
      </c>
      <c r="AS38" s="151">
        <f>AS37/AM37-1</f>
        <v>0.11428571428571432</v>
      </c>
      <c r="AT38" s="133">
        <f>AT37/AN37-1</f>
        <v>-5.3763440860215006E-2</v>
      </c>
      <c r="AU38" s="133">
        <f>AU37/AO37-1</f>
        <v>9.000000000000008E-2</v>
      </c>
      <c r="AV38" s="133">
        <f>AV37/AP37-1</f>
        <v>0.21782178217821779</v>
      </c>
      <c r="AW38" s="153">
        <f>AW37/AQ37-1</f>
        <v>9.3406593406593297E-2</v>
      </c>
      <c r="AY38" s="151">
        <f>AY37/AS37-1</f>
        <v>0.61538461538461542</v>
      </c>
      <c r="AZ38" s="133">
        <f>AZ37/AT37-1</f>
        <v>0.32954545454545459</v>
      </c>
      <c r="BA38" s="133">
        <f>BA37/AU37-1</f>
        <v>0.13761467889908263</v>
      </c>
      <c r="BB38" s="133">
        <f>BB37/AV37-1</f>
        <v>0.16260162601626016</v>
      </c>
      <c r="BC38" s="153">
        <f>BC37/AW37-1</f>
        <v>0.28140703517587951</v>
      </c>
      <c r="BE38" s="151">
        <f>BE37/AY37-1</f>
        <v>6.3492063492063489E-2</v>
      </c>
      <c r="BF38" s="133">
        <f>BF37/AZ37-1</f>
        <v>5.1282051282051322E-2</v>
      </c>
      <c r="BG38" s="133">
        <f>BG37/BA37-1</f>
        <v>0.11290322580645151</v>
      </c>
      <c r="BH38" s="133">
        <f>BH37/BB37-1</f>
        <v>3.4965034965035002E-2</v>
      </c>
      <c r="BI38" s="153">
        <f>BI37/BC37-1</f>
        <v>6.4705882352941169E-2</v>
      </c>
      <c r="BK38" s="151">
        <f>BK37/BE37-1</f>
        <v>9.7014925373134275E-2</v>
      </c>
      <c r="BL38" s="133">
        <f>BL37/BF37-1</f>
        <v>0.22764227642276413</v>
      </c>
      <c r="BM38" s="133">
        <f>BM37/BG37-1</f>
        <v>0.10144927536231885</v>
      </c>
      <c r="BN38" s="133">
        <f>BN37/BH37-1</f>
        <v>9.4594594594594517E-2</v>
      </c>
      <c r="BO38" s="153">
        <f>BO37/BI37-1</f>
        <v>0.1270718232044199</v>
      </c>
      <c r="BQ38" s="151">
        <f>BQ37/BK37-1</f>
        <v>5.4766407790430849E-2</v>
      </c>
      <c r="BR38" s="133">
        <f>BR37/BL37-1</f>
        <v>4.2056489629164195E-2</v>
      </c>
      <c r="BS38" s="133">
        <f>BS37/BM37-1</f>
        <v>2.5415448837875054E-2</v>
      </c>
      <c r="BT38" s="133">
        <f>BT37/BN37-1</f>
        <v>3.3047896489407425E-2</v>
      </c>
      <c r="BU38" s="153">
        <f>BU37/BO37-1</f>
        <v>3.8591665578166845E-2</v>
      </c>
      <c r="BW38" s="151">
        <f>BW37/BQ37-1</f>
        <v>3.2335857622463271E-2</v>
      </c>
      <c r="BX38" s="133">
        <f>BX37/BR37-1</f>
        <v>4.163472387517575E-2</v>
      </c>
      <c r="BY38" s="133">
        <f>BY37/BS37-1</f>
        <v>2.6353374762910775E-2</v>
      </c>
      <c r="BZ38" s="133">
        <f>BZ37/BT37-1</f>
        <v>-6.3752086837254418E-2</v>
      </c>
      <c r="CA38" s="153">
        <f>CA37/BU37-1</f>
        <v>7.8715671649225438E-3</v>
      </c>
      <c r="CC38" s="151">
        <f>CC37/BW37-1</f>
        <v>1.1433101114346256E-2</v>
      </c>
      <c r="CD38" s="133">
        <f>CD37/BX37-1</f>
        <v>1.1407017597225844E-2</v>
      </c>
      <c r="CE38" s="133">
        <f>CE37/BY37-1</f>
        <v>1.1381052823260074E-2</v>
      </c>
      <c r="CF38" s="133">
        <f>CF37/BZ37-1</f>
        <v>-2.273038902020208E-2</v>
      </c>
      <c r="CG38" s="153">
        <f>CG37/CA37-1</f>
        <v>3.0576483024411516E-3</v>
      </c>
      <c r="CI38" s="151">
        <f>CI37/CC37-1</f>
        <v>9.0430903254004047E-3</v>
      </c>
      <c r="CJ38" s="133">
        <f>CJ37/CD37-1</f>
        <v>9.0226920705573921E-3</v>
      </c>
      <c r="CK38" s="133">
        <f>CK37/CE37-1</f>
        <v>9.0023856321923557E-3</v>
      </c>
      <c r="CL38" s="133">
        <f>CL37/CF37-1</f>
        <v>9.0196779306854769E-3</v>
      </c>
      <c r="CM38" s="153">
        <f>CM37/CG37-1</f>
        <v>9.0220002089858031E-3</v>
      </c>
      <c r="CO38" s="151">
        <f>CO37/CI37-1</f>
        <v>8.9620457363068784E-3</v>
      </c>
      <c r="CP38" s="133">
        <f>CP37/CJ37-1</f>
        <v>8.9420110582869583E-3</v>
      </c>
      <c r="CQ38" s="133">
        <f>CQ37/CK37-1</f>
        <v>8.9220657556245975E-3</v>
      </c>
      <c r="CR38" s="133">
        <f>CR37/CL37-1</f>
        <v>8.9390505735063019E-3</v>
      </c>
      <c r="CS38" s="153">
        <f>CS37/CM37-1</f>
        <v>8.9413315141957384E-3</v>
      </c>
      <c r="CU38" s="151">
        <f>CU37/CO37-1</f>
        <v>1.897126530370552E-2</v>
      </c>
      <c r="CV38" s="133">
        <f>CV37/CP37-1</f>
        <v>1.8951387760528293E-2</v>
      </c>
      <c r="CW38" s="133">
        <f>CW37/CQ37-1</f>
        <v>1.8931598107562397E-2</v>
      </c>
      <c r="CX38" s="133">
        <f>CX37/CR37-1</f>
        <v>1.8948450428308172E-2</v>
      </c>
      <c r="CY38" s="153">
        <f>CY37/CS37-1</f>
        <v>1.8950713532356556E-2</v>
      </c>
      <c r="DA38" s="151">
        <f>DA37/CU37-1</f>
        <v>1.8892280150845764E-2</v>
      </c>
      <c r="DB38" s="133">
        <f>DB37/CV37-1</f>
        <v>1.8872750699131746E-2</v>
      </c>
      <c r="DC38" s="133">
        <f>DC37/CW37-1</f>
        <v>1.8853306841590145E-2</v>
      </c>
      <c r="DD38" s="133">
        <f>DD37/CX37-1</f>
        <v>1.886986474025476E-2</v>
      </c>
      <c r="DE38" s="153">
        <f>DE37/CY37-1</f>
        <v>1.8872088264544784E-2</v>
      </c>
      <c r="DG38" s="151">
        <f>DG37/DA37-1</f>
        <v>1.8814673667980619E-2</v>
      </c>
      <c r="DH38" s="133">
        <f>DH37/DB37-1</f>
        <v>1.8795483243588373E-2</v>
      </c>
      <c r="DI38" s="133">
        <f>DI37/DC37-1</f>
        <v>1.8776376196613764E-2</v>
      </c>
      <c r="DJ38" s="133">
        <f>DJ37/DD37-1</f>
        <v>1.8792647321982825E-2</v>
      </c>
      <c r="DK38" s="153">
        <f>DK37/DE37-1</f>
        <v>1.8794832295831343E-2</v>
      </c>
    </row>
    <row r="39" spans="2:115" ht="15" x14ac:dyDescent="0.3">
      <c r="B39" s="5"/>
      <c r="C39" s="144"/>
      <c r="D39" s="107"/>
      <c r="E39" s="107"/>
      <c r="F39" s="145"/>
      <c r="G39" s="138"/>
      <c r="I39" s="144"/>
      <c r="J39" s="107"/>
      <c r="K39" s="107"/>
      <c r="L39" s="145"/>
      <c r="M39" s="138"/>
      <c r="O39" s="144"/>
      <c r="P39" s="107"/>
      <c r="Q39" s="107"/>
      <c r="R39" s="145"/>
      <c r="S39" s="138"/>
      <c r="U39" s="144"/>
      <c r="V39" s="107"/>
      <c r="W39" s="107"/>
      <c r="X39" s="107"/>
      <c r="Y39" s="138"/>
      <c r="AA39" s="144"/>
      <c r="AB39" s="107"/>
      <c r="AC39" s="107"/>
      <c r="AD39" s="107"/>
      <c r="AE39" s="138"/>
      <c r="AG39" s="144"/>
      <c r="AH39" s="107"/>
      <c r="AI39" s="107"/>
      <c r="AJ39" s="107"/>
      <c r="AK39" s="138"/>
      <c r="AM39" s="144"/>
      <c r="AN39" s="107"/>
      <c r="AO39" s="107"/>
      <c r="AP39" s="107"/>
      <c r="AQ39" s="138"/>
      <c r="AS39" s="144"/>
      <c r="AT39" s="107"/>
      <c r="AU39" s="107"/>
      <c r="AV39" s="107"/>
      <c r="AW39" s="138"/>
      <c r="AY39" s="144"/>
      <c r="AZ39" s="107"/>
      <c r="BA39" s="107"/>
      <c r="BB39" s="107"/>
      <c r="BC39" s="138"/>
      <c r="BE39" s="144"/>
      <c r="BF39" s="107"/>
      <c r="BG39" s="107"/>
      <c r="BH39" s="107"/>
      <c r="BI39" s="138"/>
      <c r="BK39" s="144"/>
      <c r="BL39" s="107"/>
      <c r="BM39" s="107"/>
      <c r="BN39" s="107"/>
      <c r="BO39" s="138"/>
      <c r="BQ39" s="144"/>
      <c r="BR39" s="107"/>
      <c r="BS39" s="107"/>
      <c r="BT39" s="107"/>
      <c r="BU39" s="138"/>
      <c r="BW39" s="144"/>
      <c r="BX39" s="107"/>
      <c r="BY39" s="107"/>
      <c r="BZ39" s="107"/>
      <c r="CA39" s="138"/>
      <c r="CC39" s="144"/>
      <c r="CD39" s="107"/>
      <c r="CE39" s="107"/>
      <c r="CF39" s="107"/>
      <c r="CG39" s="138"/>
      <c r="CI39" s="144"/>
      <c r="CJ39" s="107"/>
      <c r="CK39" s="107"/>
      <c r="CL39" s="107"/>
      <c r="CM39" s="138"/>
      <c r="CO39" s="144"/>
      <c r="CP39" s="107"/>
      <c r="CQ39" s="107"/>
      <c r="CR39" s="107"/>
      <c r="CS39" s="138"/>
      <c r="CU39" s="144"/>
      <c r="CV39" s="107"/>
      <c r="CW39" s="107"/>
      <c r="CX39" s="107"/>
      <c r="CY39" s="138"/>
      <c r="DA39" s="144"/>
      <c r="DB39" s="107"/>
      <c r="DC39" s="107"/>
      <c r="DD39" s="107"/>
      <c r="DE39" s="138"/>
      <c r="DG39" s="144"/>
      <c r="DH39" s="107"/>
      <c r="DI39" s="107"/>
      <c r="DJ39" s="107"/>
      <c r="DK39" s="138"/>
    </row>
    <row r="40" spans="2:115" s="135" customFormat="1" ht="15" x14ac:dyDescent="0.3">
      <c r="B40" s="105" t="s">
        <v>58</v>
      </c>
      <c r="C40" s="156">
        <v>446</v>
      </c>
      <c r="D40" s="157">
        <v>486</v>
      </c>
      <c r="E40" s="157">
        <v>506</v>
      </c>
      <c r="F40" s="158">
        <v>527</v>
      </c>
      <c r="G40" s="159">
        <f>C40+D40+E40+F40</f>
        <v>1965</v>
      </c>
      <c r="H40" s="160"/>
      <c r="I40" s="156">
        <v>524</v>
      </c>
      <c r="J40" s="157">
        <v>580</v>
      </c>
      <c r="K40" s="157">
        <v>618</v>
      </c>
      <c r="L40" s="158">
        <v>538</v>
      </c>
      <c r="M40" s="159">
        <f>I40+J40+K40+L40</f>
        <v>2260</v>
      </c>
      <c r="N40" s="160"/>
      <c r="O40" s="156">
        <v>416</v>
      </c>
      <c r="P40" s="157">
        <v>440</v>
      </c>
      <c r="Q40" s="157">
        <v>450</v>
      </c>
      <c r="R40" s="158">
        <v>451</v>
      </c>
      <c r="S40" s="159">
        <f>O40+P40+Q40+R40</f>
        <v>1757</v>
      </c>
      <c r="T40" s="160"/>
      <c r="U40" s="156">
        <v>441</v>
      </c>
      <c r="V40" s="157">
        <v>451</v>
      </c>
      <c r="W40" s="157">
        <v>472</v>
      </c>
      <c r="X40" s="157">
        <v>475</v>
      </c>
      <c r="Y40" s="159">
        <f>U40+V40+W40+X40</f>
        <v>1839</v>
      </c>
      <c r="AA40" s="156">
        <v>440</v>
      </c>
      <c r="AB40" s="157">
        <v>453</v>
      </c>
      <c r="AC40" s="157">
        <v>438</v>
      </c>
      <c r="AD40" s="157">
        <v>409</v>
      </c>
      <c r="AE40" s="159">
        <f>AA40+AB40+AC40+AD40</f>
        <v>1740</v>
      </c>
      <c r="AF40" s="247"/>
      <c r="AG40" s="156">
        <v>413</v>
      </c>
      <c r="AH40" s="157">
        <v>418</v>
      </c>
      <c r="AI40" s="157">
        <v>422</v>
      </c>
      <c r="AJ40" s="157">
        <v>425</v>
      </c>
      <c r="AK40" s="159">
        <f>AG40+AH40+AI40+AJ40</f>
        <v>1678</v>
      </c>
      <c r="AM40" s="156">
        <v>385</v>
      </c>
      <c r="AN40" s="157">
        <v>407</v>
      </c>
      <c r="AO40" s="157">
        <v>392</v>
      </c>
      <c r="AP40" s="157">
        <v>400</v>
      </c>
      <c r="AQ40" s="159">
        <f>AM40+AN40+AO40+AP40</f>
        <v>1584</v>
      </c>
      <c r="AS40" s="156">
        <v>350</v>
      </c>
      <c r="AT40" s="157">
        <v>365</v>
      </c>
      <c r="AU40" s="157">
        <v>388</v>
      </c>
      <c r="AV40" s="157">
        <v>389</v>
      </c>
      <c r="AW40" s="159">
        <f>AS40+AT40+AU40+AV40</f>
        <v>1492</v>
      </c>
      <c r="AY40" s="156">
        <v>382</v>
      </c>
      <c r="AZ40" s="157">
        <v>385</v>
      </c>
      <c r="BA40" s="157">
        <v>391</v>
      </c>
      <c r="BB40" s="157">
        <v>386</v>
      </c>
      <c r="BC40" s="159">
        <f>AY40+AZ40+BA40+BB40</f>
        <v>1544</v>
      </c>
      <c r="BE40" s="156">
        <v>378</v>
      </c>
      <c r="BF40" s="157">
        <v>343</v>
      </c>
      <c r="BG40" s="157">
        <v>373</v>
      </c>
      <c r="BH40" s="157">
        <v>394</v>
      </c>
      <c r="BI40" s="159">
        <f>BE40+BF40+BG40+BH40</f>
        <v>1488</v>
      </c>
      <c r="BK40" s="156">
        <v>364</v>
      </c>
      <c r="BL40" s="157">
        <v>378</v>
      </c>
      <c r="BM40" s="157">
        <v>376</v>
      </c>
      <c r="BN40" s="157">
        <v>392</v>
      </c>
      <c r="BO40" s="159">
        <f>BK40+BL40+BM40+BN40</f>
        <v>1510</v>
      </c>
      <c r="BQ40" s="156">
        <f>BQ28+BQ37</f>
        <v>361.58355012328548</v>
      </c>
      <c r="BR40" s="157">
        <f>BR28+BR37</f>
        <v>372.54689407481237</v>
      </c>
      <c r="BS40" s="157">
        <f>BS28+BS37</f>
        <v>370.9355778754242</v>
      </c>
      <c r="BT40" s="157">
        <f>BT28+BT37</f>
        <v>388.90521413536965</v>
      </c>
      <c r="BU40" s="159">
        <f>BQ40+BR40+BS40+BT40</f>
        <v>1493.9712362088917</v>
      </c>
      <c r="BW40" s="156">
        <f>BW28+BW37</f>
        <v>363.06834647753465</v>
      </c>
      <c r="BX40" s="157">
        <f>BX28+BX37</f>
        <v>376.30323893020443</v>
      </c>
      <c r="BY40" s="157">
        <f>BY28+BY37</f>
        <v>372.76488716156479</v>
      </c>
      <c r="BZ40" s="157">
        <f>BZ28+BZ37</f>
        <v>377.43352013830099</v>
      </c>
      <c r="CA40" s="159">
        <f>BW40+BX40+BY40+BZ40</f>
        <v>1489.5699927076048</v>
      </c>
      <c r="CC40" s="156">
        <f>CC28+CC37</f>
        <v>366.09319526311191</v>
      </c>
      <c r="CD40" s="157">
        <f>CD28+CD37</f>
        <v>380.39447789758253</v>
      </c>
      <c r="CE40" s="157">
        <f>CE28+CE37</f>
        <v>377.28726788266488</v>
      </c>
      <c r="CF40" s="157">
        <f>CF28+CF37</f>
        <v>377.21808797092308</v>
      </c>
      <c r="CG40" s="159">
        <f>CC40+CD40+CE40+CF40</f>
        <v>1500.9930290142825</v>
      </c>
      <c r="CI40" s="156">
        <f>CI28+CI37</f>
        <v>370.18282527210113</v>
      </c>
      <c r="CJ40" s="157">
        <f>CJ28+CJ37</f>
        <v>384.67937755672438</v>
      </c>
      <c r="CK40" s="157">
        <f>CK28+CK37</f>
        <v>381.18272638716888</v>
      </c>
      <c r="CL40" s="157">
        <f>CL28+CL37</f>
        <v>380.9828172638546</v>
      </c>
      <c r="CM40" s="159">
        <f>CI40+CJ40+CK40+CL40</f>
        <v>1517.0277464798492</v>
      </c>
      <c r="CO40" s="156">
        <f>CO28+CO37</f>
        <v>374.77063579861851</v>
      </c>
      <c r="CP40" s="157">
        <f>CP28+CP37</f>
        <v>389.48777998353103</v>
      </c>
      <c r="CQ40" s="157">
        <f>CQ28+CQ37</f>
        <v>385.60435050132855</v>
      </c>
      <c r="CR40" s="157">
        <f>CR28+CR37</f>
        <v>385.29491623641889</v>
      </c>
      <c r="CS40" s="159">
        <f>CO40+CP40+CQ40+CR40</f>
        <v>1535.157682519897</v>
      </c>
      <c r="CU40" s="156">
        <f>CU28+CU37</f>
        <v>381.52485054890997</v>
      </c>
      <c r="CV40" s="157">
        <f>CV28+CV37</f>
        <v>396.52794917254789</v>
      </c>
      <c r="CW40" s="157">
        <f>CW28+CW37</f>
        <v>392.21859863739587</v>
      </c>
      <c r="CX40" s="157">
        <f>CX28+CX37</f>
        <v>391.73171983169334</v>
      </c>
      <c r="CY40" s="159">
        <f>CU40+CV40+CW40+CX40</f>
        <v>1562.003118190547</v>
      </c>
      <c r="DA40" s="156">
        <f>DA28+DA37</f>
        <v>388.83507295913853</v>
      </c>
      <c r="DB40" s="157">
        <f>DB28+DB37</f>
        <v>404.15117603574936</v>
      </c>
      <c r="DC40" s="157">
        <f>DC28+DC37</f>
        <v>399.41571858196528</v>
      </c>
      <c r="DD40" s="157">
        <f>DD28+DD37</f>
        <v>398.76988044862787</v>
      </c>
      <c r="DE40" s="159">
        <f>DA40+DB40+DC40+DD40</f>
        <v>1591.171848025481</v>
      </c>
      <c r="DG40" s="156">
        <f>DG28+DG37</f>
        <v>396.7093916420506</v>
      </c>
      <c r="DH40" s="157">
        <f>DH28+DH37</f>
        <v>412.36599178934688</v>
      </c>
      <c r="DI40" s="157">
        <f>DI28+DI37</f>
        <v>407.20340776855539</v>
      </c>
      <c r="DJ40" s="157">
        <f>DJ28+DJ37</f>
        <v>406.41697499724074</v>
      </c>
      <c r="DK40" s="159">
        <f>DG40+DH40+DI40+DJ40</f>
        <v>1622.6957661971937</v>
      </c>
    </row>
    <row r="41" spans="2:115" ht="15.75" thickBot="1" x14ac:dyDescent="0.35">
      <c r="B41" s="140" t="s">
        <v>23</v>
      </c>
      <c r="C41" s="155" t="s">
        <v>35</v>
      </c>
      <c r="D41" s="106" t="s">
        <v>35</v>
      </c>
      <c r="E41" s="106" t="s">
        <v>35</v>
      </c>
      <c r="F41" s="154" t="s">
        <v>35</v>
      </c>
      <c r="G41" s="108" t="s">
        <v>35</v>
      </c>
      <c r="I41" s="109">
        <f>I40/C40-1</f>
        <v>0.17488789237668168</v>
      </c>
      <c r="J41" s="110">
        <f>J40/D40-1</f>
        <v>0.1934156378600822</v>
      </c>
      <c r="K41" s="110">
        <f>K40/E40-1</f>
        <v>0.22134387351778662</v>
      </c>
      <c r="L41" s="110">
        <f>L40/F40-1</f>
        <v>2.0872865275142205E-2</v>
      </c>
      <c r="M41" s="122">
        <f>M40/G40-1</f>
        <v>0.15012722646310439</v>
      </c>
      <c r="O41" s="109">
        <f>O40/I40-1</f>
        <v>-0.20610687022900764</v>
      </c>
      <c r="P41" s="110">
        <f>P40/J40-1</f>
        <v>-0.24137931034482762</v>
      </c>
      <c r="Q41" s="110">
        <f>Q40/K40-1</f>
        <v>-0.27184466019417475</v>
      </c>
      <c r="R41" s="120">
        <f>R40/L40-1</f>
        <v>-0.16171003717472121</v>
      </c>
      <c r="S41" s="122">
        <f>S40/M40-1</f>
        <v>-0.22256637168141591</v>
      </c>
      <c r="U41" s="109">
        <f>U40/O40-1</f>
        <v>6.0096153846153744E-2</v>
      </c>
      <c r="V41" s="110">
        <f>V40/P40-1</f>
        <v>2.4999999999999911E-2</v>
      </c>
      <c r="W41" s="110">
        <f>W40/Q40-1</f>
        <v>4.8888888888888982E-2</v>
      </c>
      <c r="X41" s="110">
        <f>X40/R40-1</f>
        <v>5.3215077605321515E-2</v>
      </c>
      <c r="Y41" s="122">
        <f>Y40/S40-1</f>
        <v>4.6670461013090581E-2</v>
      </c>
      <c r="AA41" s="109">
        <f>AA40/U40-1</f>
        <v>-2.2675736961451642E-3</v>
      </c>
      <c r="AB41" s="110">
        <f>AB40/V40-1</f>
        <v>4.4345898004434225E-3</v>
      </c>
      <c r="AC41" s="110">
        <f>AC40/W40-1</f>
        <v>-7.2033898305084776E-2</v>
      </c>
      <c r="AD41" s="110">
        <f>AD40/X40-1</f>
        <v>-0.1389473684210526</v>
      </c>
      <c r="AE41" s="122">
        <f>AE40/Y40-1</f>
        <v>-5.3833605220228398E-2</v>
      </c>
      <c r="AG41" s="109">
        <f>AG40/AA40-1</f>
        <v>-6.1363636363636398E-2</v>
      </c>
      <c r="AH41" s="110">
        <f>AH40/AB40-1</f>
        <v>-7.7262693156732842E-2</v>
      </c>
      <c r="AI41" s="110">
        <f>AI40/AC40-1</f>
        <v>-3.6529680365296802E-2</v>
      </c>
      <c r="AJ41" s="110">
        <f>AJ40/AD40-1</f>
        <v>3.9119804400977953E-2</v>
      </c>
      <c r="AK41" s="122">
        <f>AK40/AE40-1</f>
        <v>-3.5632183908046011E-2</v>
      </c>
      <c r="AM41" s="109">
        <f>AM40/AG40-1</f>
        <v>-6.7796610169491567E-2</v>
      </c>
      <c r="AN41" s="110">
        <f>AN40/AH40-1</f>
        <v>-2.6315789473684181E-2</v>
      </c>
      <c r="AO41" s="110">
        <f>AO40/AI40-1</f>
        <v>-7.1090047393364886E-2</v>
      </c>
      <c r="AP41" s="110">
        <f>AP40/AJ40-1</f>
        <v>-5.8823529411764719E-2</v>
      </c>
      <c r="AQ41" s="122">
        <f>AQ40/AK40-1</f>
        <v>-5.6019070321811637E-2</v>
      </c>
      <c r="AS41" s="109">
        <f>AS40/AM40-1</f>
        <v>-9.0909090909090939E-2</v>
      </c>
      <c r="AT41" s="110">
        <f>AT40/AN40-1</f>
        <v>-0.10319410319410316</v>
      </c>
      <c r="AU41" s="110">
        <f>AU40/AO40-1</f>
        <v>-1.0204081632653073E-2</v>
      </c>
      <c r="AV41" s="110">
        <f>AV40/AP40-1</f>
        <v>-2.7499999999999969E-2</v>
      </c>
      <c r="AW41" s="122">
        <f>AW40/AQ40-1</f>
        <v>-5.8080808080808066E-2</v>
      </c>
      <c r="AY41" s="109">
        <f>AY40/AS40-1</f>
        <v>9.1428571428571415E-2</v>
      </c>
      <c r="AZ41" s="110">
        <f>AZ40/AT40-1</f>
        <v>5.4794520547945202E-2</v>
      </c>
      <c r="BA41" s="110">
        <f>BA40/AU40-1</f>
        <v>7.7319587628865705E-3</v>
      </c>
      <c r="BB41" s="110">
        <f>BB40/AV40-1</f>
        <v>-7.7120822622107621E-3</v>
      </c>
      <c r="BC41" s="122">
        <f>BC40/AW40-1</f>
        <v>3.4852546916890104E-2</v>
      </c>
      <c r="BE41" s="109">
        <f>BE40/AY40-1</f>
        <v>-1.0471204188481686E-2</v>
      </c>
      <c r="BF41" s="110">
        <f>BF40/AZ40-1</f>
        <v>-0.10909090909090913</v>
      </c>
      <c r="BG41" s="110">
        <f>BG40/BA40-1</f>
        <v>-4.6035805626598481E-2</v>
      </c>
      <c r="BH41" s="110">
        <f>BH40/BB40-1</f>
        <v>2.0725388601036343E-2</v>
      </c>
      <c r="BI41" s="122">
        <f>BI40/BC40-1</f>
        <v>-3.6269430051813489E-2</v>
      </c>
      <c r="BK41" s="109">
        <f>BK40/BE40-1</f>
        <v>-3.703703703703709E-2</v>
      </c>
      <c r="BL41" s="110">
        <f>BL40/BF40-1</f>
        <v>0.1020408163265305</v>
      </c>
      <c r="BM41" s="110">
        <f>BM40/BG40-1</f>
        <v>8.0428954423592547E-3</v>
      </c>
      <c r="BN41" s="110">
        <f>BN40/BH40-1</f>
        <v>-5.0761421319797106E-3</v>
      </c>
      <c r="BO41" s="122">
        <f>BO40/BI40-1</f>
        <v>1.4784946236559238E-2</v>
      </c>
      <c r="BQ41" s="109">
        <f>BQ40/BK40-1</f>
        <v>-6.6385985624025645E-3</v>
      </c>
      <c r="BR41" s="110">
        <f>BR40/BL40-1</f>
        <v>-1.4426206151289978E-2</v>
      </c>
      <c r="BS41" s="110">
        <f>BS40/BM40-1</f>
        <v>-1.3469207778127101E-2</v>
      </c>
      <c r="BT41" s="110">
        <f>BT40/BN40-1</f>
        <v>-7.8948618995672293E-3</v>
      </c>
      <c r="BU41" s="122">
        <f>BU40/BO40-1</f>
        <v>-1.0615075358349824E-2</v>
      </c>
      <c r="BW41" s="109">
        <f>BW40/BQ40-1</f>
        <v>4.106371414692056E-3</v>
      </c>
      <c r="BX41" s="110">
        <f>BX40/BR40-1</f>
        <v>1.008287792794671E-2</v>
      </c>
      <c r="BY41" s="110">
        <f>BY40/BS40-1</f>
        <v>4.93160913983548E-3</v>
      </c>
      <c r="BZ41" s="110">
        <f>BZ40/BT40-1</f>
        <v>-2.949740342919549E-2</v>
      </c>
      <c r="CA41" s="122">
        <f>CA40/BU40-1</f>
        <v>-2.9460028376820935E-3</v>
      </c>
      <c r="CC41" s="109">
        <f>CC40/BW40-1</f>
        <v>8.3313481192290872E-3</v>
      </c>
      <c r="CD41" s="110">
        <f>CD40/BX40-1</f>
        <v>1.0872186428714015E-2</v>
      </c>
      <c r="CE41" s="110">
        <f>CE40/BY40-1</f>
        <v>1.2131992247274015E-2</v>
      </c>
      <c r="CF41" s="110">
        <f>CF40/BZ40-1</f>
        <v>-5.7078175594726943E-4</v>
      </c>
      <c r="CG41" s="122">
        <f>CG40/CA40-1</f>
        <v>7.6686804665779817E-3</v>
      </c>
      <c r="CI41" s="109">
        <f>CI40/CC40-1</f>
        <v>1.1171007988963089E-2</v>
      </c>
      <c r="CJ41" s="110">
        <f>CJ40/CD40-1</f>
        <v>1.12643582073646E-2</v>
      </c>
      <c r="CK41" s="110">
        <f>CK40/CE40-1</f>
        <v>1.0324913762304488E-2</v>
      </c>
      <c r="CL41" s="110">
        <f>CL40/CF40-1</f>
        <v>9.9802459452096315E-3</v>
      </c>
      <c r="CM41" s="122">
        <f>CM40/CG40-1</f>
        <v>1.0682739463551583E-2</v>
      </c>
      <c r="CO41" s="109">
        <f>CO40/CI40-1</f>
        <v>1.2393364071240143E-2</v>
      </c>
      <c r="CP41" s="110">
        <f>CP40/CJ40-1</f>
        <v>1.2499766577940941E-2</v>
      </c>
      <c r="CQ41" s="110">
        <f>CQ40/CK40-1</f>
        <v>1.1599749432687156E-2</v>
      </c>
      <c r="CR41" s="110">
        <f>CR40/CL40-1</f>
        <v>1.1318355519372103E-2</v>
      </c>
      <c r="CS41" s="122">
        <f>CS40/CM40-1</f>
        <v>1.1950958762696917E-2</v>
      </c>
      <c r="CU41" s="109">
        <f>CU40/CO40-1</f>
        <v>1.8022262432323632E-2</v>
      </c>
      <c r="CV41" s="110">
        <f>CV40/CP40-1</f>
        <v>1.8075455895726789E-2</v>
      </c>
      <c r="CW41" s="110">
        <f>CW40/CQ40-1</f>
        <v>1.715293960627795E-2</v>
      </c>
      <c r="CX41" s="110">
        <f>CX40/CR40-1</f>
        <v>1.6706173178067107E-2</v>
      </c>
      <c r="CY41" s="122">
        <f>CY40/CS40-1</f>
        <v>1.7487086816114106E-2</v>
      </c>
      <c r="DA41" s="109">
        <f>DA40/CU40-1</f>
        <v>1.9160540656031122E-2</v>
      </c>
      <c r="DB41" s="110">
        <f>DB40/CV40-1</f>
        <v>1.9224942098303943E-2</v>
      </c>
      <c r="DC41" s="110">
        <f>DC40/CW40-1</f>
        <v>1.8349767118573279E-2</v>
      </c>
      <c r="DD41" s="110">
        <f>DD40/CX40-1</f>
        <v>1.7966787626895409E-2</v>
      </c>
      <c r="DE41" s="122">
        <f>DE40/CY40-1</f>
        <v>1.8673925484043563E-2</v>
      </c>
      <c r="DG41" s="109">
        <f>DG40/DA40-1</f>
        <v>2.0251050459482611E-2</v>
      </c>
      <c r="DH41" s="110">
        <f>DH40/DB40-1</f>
        <v>2.0326096373578073E-2</v>
      </c>
      <c r="DI41" s="110">
        <f>DI40/DC40-1</f>
        <v>1.9497703330851657E-2</v>
      </c>
      <c r="DJ41" s="110">
        <f>DJ40/DD40-1</f>
        <v>1.9176710487787352E-2</v>
      </c>
      <c r="DK41" s="122">
        <f>DK40/DE40-1</f>
        <v>1.9811762136711542E-2</v>
      </c>
    </row>
    <row r="42" spans="2:115" ht="15.75" thickBot="1" x14ac:dyDescent="0.35">
      <c r="B42" s="1"/>
      <c r="AA42" s="103"/>
      <c r="AB42" s="103"/>
      <c r="AC42" s="103"/>
      <c r="AD42" s="103"/>
      <c r="AE42" s="103"/>
      <c r="AG42" s="103"/>
      <c r="AH42" s="103"/>
      <c r="AI42" s="103"/>
      <c r="AJ42" s="103"/>
      <c r="AK42" s="103"/>
      <c r="AM42" s="103"/>
      <c r="AN42" s="103"/>
      <c r="AO42" s="103"/>
      <c r="AP42" s="103"/>
      <c r="AQ42" s="103"/>
      <c r="AS42" s="103"/>
      <c r="AT42" s="103"/>
      <c r="AU42" s="103"/>
      <c r="AV42" s="103"/>
      <c r="AW42" s="103"/>
      <c r="AY42" s="103"/>
      <c r="AZ42" s="103"/>
      <c r="BA42" s="103"/>
      <c r="BB42" s="103"/>
      <c r="BC42" s="103"/>
      <c r="BE42" s="103"/>
      <c r="BF42" s="103"/>
      <c r="BG42" s="103"/>
      <c r="BH42" s="103"/>
      <c r="BI42" s="103"/>
      <c r="BK42" s="103"/>
      <c r="BL42" s="103"/>
      <c r="BM42" s="103"/>
      <c r="BN42" s="103"/>
      <c r="BO42" s="103"/>
      <c r="BQ42" s="103"/>
      <c r="BR42" s="103"/>
      <c r="BS42" s="103"/>
      <c r="BT42" s="103"/>
      <c r="BU42" s="103"/>
      <c r="BW42" s="103"/>
      <c r="BX42" s="103"/>
      <c r="BY42" s="103"/>
      <c r="BZ42" s="103"/>
      <c r="CA42" s="103"/>
      <c r="CC42" s="103"/>
      <c r="CD42" s="103"/>
      <c r="CE42" s="103"/>
      <c r="CF42" s="103"/>
      <c r="CG42" s="103"/>
      <c r="CI42" s="103"/>
      <c r="CJ42" s="103"/>
      <c r="CK42" s="103"/>
      <c r="CL42" s="103"/>
      <c r="CM42" s="103"/>
      <c r="CO42" s="103"/>
      <c r="CP42" s="103"/>
      <c r="CQ42" s="103"/>
      <c r="CR42" s="103"/>
      <c r="CS42" s="103"/>
      <c r="CU42" s="103"/>
      <c r="CV42" s="103"/>
      <c r="CW42" s="103"/>
      <c r="CX42" s="103"/>
      <c r="CY42" s="103"/>
      <c r="DA42" s="103"/>
      <c r="DB42" s="103"/>
      <c r="DC42" s="103"/>
      <c r="DD42" s="103"/>
      <c r="DE42" s="103"/>
      <c r="DG42" s="103"/>
      <c r="DH42" s="103"/>
      <c r="DI42" s="103"/>
      <c r="DJ42" s="103"/>
      <c r="DK42" s="103"/>
    </row>
    <row r="43" spans="2:115" s="135" customFormat="1" ht="15" x14ac:dyDescent="0.3">
      <c r="B43" s="139" t="s">
        <v>57</v>
      </c>
      <c r="C43" s="178">
        <v>28</v>
      </c>
      <c r="D43" s="179">
        <v>23</v>
      </c>
      <c r="E43" s="179">
        <v>25</v>
      </c>
      <c r="F43" s="179">
        <v>34</v>
      </c>
      <c r="G43" s="202">
        <f>G45*1000/G33</f>
        <v>27.804072167898095</v>
      </c>
      <c r="H43" s="134"/>
      <c r="I43" s="178">
        <v>27</v>
      </c>
      <c r="J43" s="179">
        <v>26</v>
      </c>
      <c r="K43" s="179">
        <v>29</v>
      </c>
      <c r="L43" s="180">
        <v>27</v>
      </c>
      <c r="M43" s="202">
        <f>M45*1000/M33</f>
        <v>27.244901136616217</v>
      </c>
      <c r="N43" s="134"/>
      <c r="O43" s="178">
        <v>24</v>
      </c>
      <c r="P43" s="179">
        <v>15</v>
      </c>
      <c r="Q43" s="179">
        <v>19</v>
      </c>
      <c r="R43" s="179">
        <v>22</v>
      </c>
      <c r="S43" s="202">
        <f>S45*1000/S33</f>
        <v>19.992194097865241</v>
      </c>
      <c r="T43" s="134"/>
      <c r="U43" s="211">
        <v>21</v>
      </c>
      <c r="V43" s="212">
        <v>21</v>
      </c>
      <c r="W43" s="212">
        <v>24</v>
      </c>
      <c r="X43" s="212">
        <v>27</v>
      </c>
      <c r="Y43" s="202">
        <f>Y45*1000/Y33</f>
        <v>23.305695168698374</v>
      </c>
      <c r="AA43" s="211">
        <v>24</v>
      </c>
      <c r="AB43" s="212">
        <v>20</v>
      </c>
      <c r="AC43" s="212">
        <v>19</v>
      </c>
      <c r="AD43" s="212">
        <v>17</v>
      </c>
      <c r="AE43" s="202">
        <f>AE45*1000/AE33</f>
        <v>19.600673324725435</v>
      </c>
      <c r="AG43" s="211">
        <v>30</v>
      </c>
      <c r="AH43" s="212">
        <v>26</v>
      </c>
      <c r="AI43" s="212">
        <v>21</v>
      </c>
      <c r="AJ43" s="212">
        <v>20</v>
      </c>
      <c r="AK43" s="202">
        <f>AK45*1000/AK33</f>
        <v>24.058737751014782</v>
      </c>
      <c r="AM43" s="211">
        <v>20</v>
      </c>
      <c r="AN43" s="212">
        <v>19</v>
      </c>
      <c r="AO43" s="212">
        <v>20</v>
      </c>
      <c r="AP43" s="212">
        <v>12</v>
      </c>
      <c r="AQ43" s="202">
        <f>AQ45*1000/AQ33</f>
        <v>17.873006978136196</v>
      </c>
      <c r="AS43" s="211">
        <v>18</v>
      </c>
      <c r="AT43" s="212">
        <v>7</v>
      </c>
      <c r="AU43" s="212">
        <v>9</v>
      </c>
      <c r="AV43" s="212">
        <v>5</v>
      </c>
      <c r="AW43" s="202">
        <f>AW45*1000/AW33</f>
        <v>9.175815123641625</v>
      </c>
      <c r="AY43" s="211">
        <v>5</v>
      </c>
      <c r="AZ43" s="212">
        <v>11</v>
      </c>
      <c r="BA43" s="212">
        <v>6</v>
      </c>
      <c r="BB43" s="212">
        <v>7</v>
      </c>
      <c r="BC43" s="202">
        <f>BC45*1000/BC33</f>
        <v>7.2300737787286389</v>
      </c>
      <c r="BE43" s="211">
        <v>7</v>
      </c>
      <c r="BF43" s="212">
        <v>6</v>
      </c>
      <c r="BG43" s="212">
        <v>6</v>
      </c>
      <c r="BH43" s="212">
        <v>10</v>
      </c>
      <c r="BI43" s="202">
        <f>BI45*1000/BI33</f>
        <v>6.9762205490813924</v>
      </c>
      <c r="BK43" s="211">
        <v>7</v>
      </c>
      <c r="BL43" s="212">
        <v>2</v>
      </c>
      <c r="BM43" s="212">
        <v>5</v>
      </c>
      <c r="BN43" s="212">
        <v>3</v>
      </c>
      <c r="BO43" s="202">
        <f>BO45*1000/BO33</f>
        <v>4.2007597097477429</v>
      </c>
      <c r="BQ43" s="211">
        <f>BK43*(1+BQ44)</f>
        <v>5.25</v>
      </c>
      <c r="BR43" s="212">
        <f>BL43*(1+BR44)</f>
        <v>3</v>
      </c>
      <c r="BS43" s="212">
        <f>BM43*(1+BS44)</f>
        <v>4</v>
      </c>
      <c r="BT43" s="212">
        <f>BN43*(1+BT44)</f>
        <v>3.75</v>
      </c>
      <c r="BU43" s="202">
        <f>BU45*1000/BU33</f>
        <v>3.9264478462994665</v>
      </c>
      <c r="BW43" s="211">
        <f>BQ43*(1+BW44)</f>
        <v>5.3812499999999996</v>
      </c>
      <c r="BX43" s="212">
        <f>BR43*(1+BX44)</f>
        <v>3.0749999999999997</v>
      </c>
      <c r="BY43" s="212">
        <f>BS43*(1+BY44)</f>
        <v>4.0999999999999996</v>
      </c>
      <c r="BZ43" s="212">
        <f>BT43*(1+BZ44)</f>
        <v>3.8437499999999996</v>
      </c>
      <c r="CA43" s="202">
        <f>CA45*1000/CA33</f>
        <v>4.0891650750116861</v>
      </c>
      <c r="CC43" s="211">
        <f>BW43*(1+CC44)</f>
        <v>5.515781249999999</v>
      </c>
      <c r="CD43" s="212">
        <f>BX43*(1+CD44)</f>
        <v>3.1518749999999995</v>
      </c>
      <c r="CE43" s="212">
        <f>BY43*(1+CE44)</f>
        <v>4.2024999999999997</v>
      </c>
      <c r="CF43" s="212">
        <f>BZ43*(1+CF44)</f>
        <v>3.9398437499999992</v>
      </c>
      <c r="CG43" s="202">
        <f>CG45*1000/CG33</f>
        <v>4.1937994332539956</v>
      </c>
      <c r="CI43" s="211">
        <f>CC43*(1+CI44)</f>
        <v>5.6536757812499987</v>
      </c>
      <c r="CJ43" s="212">
        <f>CD43*(1+CJ44)</f>
        <v>3.2306718749999992</v>
      </c>
      <c r="CK43" s="212">
        <f>CE43*(1+CK44)</f>
        <v>4.3075624999999995</v>
      </c>
      <c r="CL43" s="212">
        <f>CF43*(1+CL44)</f>
        <v>4.0383398437499984</v>
      </c>
      <c r="CM43" s="202">
        <f>CM45*1000/CM33</f>
        <v>4.2986512127780756</v>
      </c>
      <c r="CO43" s="211">
        <f>CI43*(1+CO44)</f>
        <v>5.7950176757812484</v>
      </c>
      <c r="CP43" s="212">
        <f>CJ43*(1+CP44)</f>
        <v>3.3114386718749991</v>
      </c>
      <c r="CQ43" s="212">
        <f>CK43*(1+CQ44)</f>
        <v>4.4152515624999991</v>
      </c>
      <c r="CR43" s="212">
        <f>CL43*(1+CR44)</f>
        <v>4.139298339843748</v>
      </c>
      <c r="CS43" s="202">
        <f>CS45*1000/CS33</f>
        <v>4.406124333211344</v>
      </c>
      <c r="CU43" s="211">
        <f>CO43*(1+CU44)</f>
        <v>5.939893117675779</v>
      </c>
      <c r="CV43" s="212">
        <f>CP43*(1+CV44)</f>
        <v>3.394224638671874</v>
      </c>
      <c r="CW43" s="212">
        <f>CQ43*(1+CW44)</f>
        <v>4.5256328515624986</v>
      </c>
      <c r="CX43" s="212">
        <f>CR43*(1+CX44)</f>
        <v>4.2427807983398411</v>
      </c>
      <c r="CY43" s="202">
        <f>CY45*1000/CY33</f>
        <v>4.516284329485277</v>
      </c>
      <c r="DA43" s="211">
        <f>CU43*(1+DA44)</f>
        <v>6.088390445617673</v>
      </c>
      <c r="DB43" s="212">
        <f>CV43*(1+DB44)</f>
        <v>3.4790802546386703</v>
      </c>
      <c r="DC43" s="212">
        <f>CW43*(1+DC44)</f>
        <v>4.6387736728515607</v>
      </c>
      <c r="DD43" s="212">
        <f>CX43*(1+DD44)</f>
        <v>4.3488503182983367</v>
      </c>
      <c r="DE43" s="202">
        <f>DE45*1000/DE33</f>
        <v>4.6291983749103913</v>
      </c>
      <c r="DG43" s="211">
        <f>DA43*(1+DG44)</f>
        <v>6.2406002067581143</v>
      </c>
      <c r="DH43" s="212">
        <f>DB43*(1+DH44)</f>
        <v>3.5660572610046368</v>
      </c>
      <c r="DI43" s="212">
        <f>DC43*(1+DI44)</f>
        <v>4.7547430146728491</v>
      </c>
      <c r="DJ43" s="212">
        <f>DD43*(1+DJ44)</f>
        <v>4.4575715762557948</v>
      </c>
      <c r="DK43" s="202">
        <f>DK45*1000/DK33</f>
        <v>4.7449353221365156</v>
      </c>
    </row>
    <row r="44" spans="2:115" ht="15" x14ac:dyDescent="0.3">
      <c r="B44" s="5" t="s">
        <v>23</v>
      </c>
      <c r="C44" s="144" t="s">
        <v>35</v>
      </c>
      <c r="D44" s="107" t="s">
        <v>35</v>
      </c>
      <c r="E44" s="107" t="s">
        <v>35</v>
      </c>
      <c r="F44" s="107" t="s">
        <v>35</v>
      </c>
      <c r="G44" s="138" t="s">
        <v>35</v>
      </c>
      <c r="I44" s="151">
        <f>I43/C43-1</f>
        <v>-3.5714285714285698E-2</v>
      </c>
      <c r="J44" s="133">
        <f>J43/D43-1</f>
        <v>0.13043478260869557</v>
      </c>
      <c r="K44" s="133">
        <f>K43/E43-1</f>
        <v>0.15999999999999992</v>
      </c>
      <c r="L44" s="152">
        <f>L43/F43-1</f>
        <v>-0.20588235294117652</v>
      </c>
      <c r="M44" s="153">
        <f>M43/G43-1</f>
        <v>-2.0111119979305814E-2</v>
      </c>
      <c r="O44" s="151">
        <f>O43/I43-1</f>
        <v>-0.11111111111111116</v>
      </c>
      <c r="P44" s="133">
        <f>P43/J43-1</f>
        <v>-0.42307692307692313</v>
      </c>
      <c r="Q44" s="133">
        <f>Q43/K43-1</f>
        <v>-0.34482758620689657</v>
      </c>
      <c r="R44" s="133">
        <f>R43/L43-1</f>
        <v>-0.18518518518518523</v>
      </c>
      <c r="S44" s="153">
        <f>S43/M43-1</f>
        <v>-0.26620419734258405</v>
      </c>
      <c r="U44" s="151">
        <f>U43/O43-1</f>
        <v>-0.125</v>
      </c>
      <c r="V44" s="133">
        <f>V43/P43-1</f>
        <v>0.39999999999999991</v>
      </c>
      <c r="W44" s="133">
        <f>W43/Q43-1</f>
        <v>0.26315789473684204</v>
      </c>
      <c r="X44" s="133">
        <f>X43/R43-1</f>
        <v>0.22727272727272729</v>
      </c>
      <c r="Y44" s="153">
        <f>Y43/S43-1</f>
        <v>0.16573974095154198</v>
      </c>
      <c r="AA44" s="151">
        <f>AA43/U43-1</f>
        <v>0.14285714285714279</v>
      </c>
      <c r="AB44" s="133">
        <f>AB43/V43-1</f>
        <v>-4.7619047619047672E-2</v>
      </c>
      <c r="AC44" s="133">
        <f>AC43/W43-1</f>
        <v>-0.20833333333333337</v>
      </c>
      <c r="AD44" s="133">
        <f>AD43/X43-1</f>
        <v>-0.37037037037037035</v>
      </c>
      <c r="AE44" s="153">
        <f>AE43/Y43-1</f>
        <v>-0.15897495514096982</v>
      </c>
      <c r="AG44" s="151">
        <f>AG43/AA43-1</f>
        <v>0.25</v>
      </c>
      <c r="AH44" s="133">
        <f>AH43/AB43-1</f>
        <v>0.30000000000000004</v>
      </c>
      <c r="AI44" s="133">
        <f>AI43/AC43-1</f>
        <v>0.10526315789473695</v>
      </c>
      <c r="AJ44" s="133">
        <f>AJ43/AD43-1</f>
        <v>0.17647058823529416</v>
      </c>
      <c r="AK44" s="153">
        <f>AK43/AE43-1</f>
        <v>0.22744445317935513</v>
      </c>
      <c r="AM44" s="151">
        <f>AM43/AG43-1</f>
        <v>-0.33333333333333337</v>
      </c>
      <c r="AN44" s="133">
        <f>AN43/AH43-1</f>
        <v>-0.26923076923076927</v>
      </c>
      <c r="AO44" s="133">
        <f>AO43/AI43-1</f>
        <v>-4.7619047619047672E-2</v>
      </c>
      <c r="AP44" s="133">
        <f>AP43/AJ43-1</f>
        <v>-0.4</v>
      </c>
      <c r="AQ44" s="153">
        <f>AQ43/AK43-1</f>
        <v>-0.25710953071998444</v>
      </c>
      <c r="AS44" s="151">
        <f>AS43/AM43-1</f>
        <v>-9.9999999999999978E-2</v>
      </c>
      <c r="AT44" s="133">
        <f>AT43/AN43-1</f>
        <v>-0.63157894736842102</v>
      </c>
      <c r="AU44" s="133">
        <f>AU43/AO43-1</f>
        <v>-0.55000000000000004</v>
      </c>
      <c r="AV44" s="133">
        <f>AV43/AP43-1</f>
        <v>-0.58333333333333326</v>
      </c>
      <c r="AW44" s="153">
        <f>AW43/AQ43-1</f>
        <v>-0.48661044362225825</v>
      </c>
      <c r="AY44" s="151">
        <f>AY43/AS43-1</f>
        <v>-0.72222222222222221</v>
      </c>
      <c r="AZ44" s="133">
        <f>AZ43/AT43-1</f>
        <v>0.5714285714285714</v>
      </c>
      <c r="BA44" s="133">
        <f>BA43/AU43-1</f>
        <v>-0.33333333333333337</v>
      </c>
      <c r="BB44" s="133">
        <f>BB43/AV43-1</f>
        <v>0.39999999999999991</v>
      </c>
      <c r="BC44" s="153">
        <f>BC43/AW43-1</f>
        <v>-0.21205106235191618</v>
      </c>
      <c r="BE44" s="151">
        <f>BE43/AY43-1</f>
        <v>0.39999999999999991</v>
      </c>
      <c r="BF44" s="133">
        <f>BF43/AZ43-1</f>
        <v>-0.45454545454545459</v>
      </c>
      <c r="BG44" s="133">
        <f>BG43/BA43-1</f>
        <v>0</v>
      </c>
      <c r="BH44" s="133">
        <f>BH43/BB43-1</f>
        <v>0.4285714285714286</v>
      </c>
      <c r="BI44" s="153">
        <f>BI43/BC43-1</f>
        <v>-3.5110738481549109E-2</v>
      </c>
      <c r="BK44" s="151">
        <f>BK43/BE43-1</f>
        <v>0</v>
      </c>
      <c r="BL44" s="133">
        <f>BL43/BF43-1</f>
        <v>-0.66666666666666674</v>
      </c>
      <c r="BM44" s="133">
        <f>BM43/BG43-1</f>
        <v>-0.16666666666666663</v>
      </c>
      <c r="BN44" s="133">
        <f>BN43/BH43-1</f>
        <v>-0.7</v>
      </c>
      <c r="BO44" s="153">
        <f>BO43/BI43-1</f>
        <v>-0.39784591381634482</v>
      </c>
      <c r="BQ44" s="151">
        <v>-0.25</v>
      </c>
      <c r="BR44" s="133">
        <v>0.5</v>
      </c>
      <c r="BS44" s="133">
        <v>-0.2</v>
      </c>
      <c r="BT44" s="133">
        <v>0.25</v>
      </c>
      <c r="BU44" s="153">
        <f>BU43/BO43-1</f>
        <v>-6.5300536665247377E-2</v>
      </c>
      <c r="BW44" s="151">
        <v>2.5000000000000001E-2</v>
      </c>
      <c r="BX44" s="133">
        <v>2.5000000000000001E-2</v>
      </c>
      <c r="BY44" s="133">
        <v>2.5000000000000001E-2</v>
      </c>
      <c r="BZ44" s="133">
        <v>2.5000000000000001E-2</v>
      </c>
      <c r="CA44" s="153">
        <f>CA43/BU43-1</f>
        <v>4.1441331982946084E-2</v>
      </c>
      <c r="CC44" s="151">
        <v>2.5000000000000001E-2</v>
      </c>
      <c r="CD44" s="133">
        <v>2.5000000000000001E-2</v>
      </c>
      <c r="CE44" s="133">
        <v>2.5000000000000001E-2</v>
      </c>
      <c r="CF44" s="133">
        <v>2.5000000000000001E-2</v>
      </c>
      <c r="CG44" s="153">
        <f>CG43/CA43-1</f>
        <v>2.5588196202133151E-2</v>
      </c>
      <c r="CI44" s="151">
        <v>2.5000000000000001E-2</v>
      </c>
      <c r="CJ44" s="133">
        <v>2.5000000000000001E-2</v>
      </c>
      <c r="CK44" s="133">
        <v>2.5000000000000001E-2</v>
      </c>
      <c r="CL44" s="133">
        <v>2.5000000000000001E-2</v>
      </c>
      <c r="CM44" s="153">
        <f>CM43/CG43-1</f>
        <v>2.5001619937442987E-2</v>
      </c>
      <c r="CO44" s="151">
        <v>2.5000000000000001E-2</v>
      </c>
      <c r="CP44" s="133">
        <v>2.5000000000000001E-2</v>
      </c>
      <c r="CQ44" s="133">
        <v>2.5000000000000001E-2</v>
      </c>
      <c r="CR44" s="133">
        <v>2.5000000000000001E-2</v>
      </c>
      <c r="CS44" s="153">
        <f>CS43/CM43-1</f>
        <v>2.5001591223264619E-2</v>
      </c>
      <c r="CU44" s="151">
        <v>2.5000000000000001E-2</v>
      </c>
      <c r="CV44" s="133">
        <v>2.5000000000000001E-2</v>
      </c>
      <c r="CW44" s="133">
        <v>2.5000000000000001E-2</v>
      </c>
      <c r="CX44" s="133">
        <v>2.5000000000000001E-2</v>
      </c>
      <c r="CY44" s="153">
        <f>CY43/CS43-1</f>
        <v>2.5001563265838245E-2</v>
      </c>
      <c r="DA44" s="151">
        <v>2.5000000000000001E-2</v>
      </c>
      <c r="DB44" s="133">
        <v>2.5000000000000001E-2</v>
      </c>
      <c r="DC44" s="133">
        <v>2.5000000000000001E-2</v>
      </c>
      <c r="DD44" s="133">
        <v>2.5000000000000001E-2</v>
      </c>
      <c r="DE44" s="153">
        <f>DE43/CY43-1</f>
        <v>2.5001536038804506E-2</v>
      </c>
      <c r="DG44" s="151">
        <v>2.5000000000000001E-2</v>
      </c>
      <c r="DH44" s="133">
        <v>2.5000000000000001E-2</v>
      </c>
      <c r="DI44" s="133">
        <v>2.5000000000000001E-2</v>
      </c>
      <c r="DJ44" s="133">
        <v>2.5000000000000001E-2</v>
      </c>
      <c r="DK44" s="153">
        <f>DK43/DE43-1</f>
        <v>2.5001509516939802E-2</v>
      </c>
    </row>
    <row r="45" spans="2:115" ht="15" x14ac:dyDescent="0.3">
      <c r="B45" s="105" t="s">
        <v>55</v>
      </c>
      <c r="C45" s="193">
        <f>C43*C33/1000</f>
        <v>36.090502000000001</v>
      </c>
      <c r="D45" s="194">
        <f>D43*D33/1000</f>
        <v>29.265429999999995</v>
      </c>
      <c r="E45" s="194">
        <f>E43*E33/1000</f>
        <v>33.327874999999999</v>
      </c>
      <c r="F45" s="195">
        <f>F43*F33/1000</f>
        <v>52.670760000000001</v>
      </c>
      <c r="G45" s="159">
        <f>C45+D45+E45+F45</f>
        <v>151.354567</v>
      </c>
      <c r="I45" s="193">
        <f>I43*I33/1000</f>
        <v>37.56067199999999</v>
      </c>
      <c r="J45" s="194">
        <f>J43*J33/1000</f>
        <v>31.182840000000002</v>
      </c>
      <c r="K45" s="194">
        <f>K43*K33/1000</f>
        <v>35.659603499999996</v>
      </c>
      <c r="L45" s="195">
        <f>L43*L33/1000</f>
        <v>35.763741000000003</v>
      </c>
      <c r="M45" s="159">
        <f>I45+J45+K45+L45</f>
        <v>140.16685649999999</v>
      </c>
      <c r="N45" s="129"/>
      <c r="O45" s="193">
        <f>O43*O33/1000</f>
        <v>27.10848</v>
      </c>
      <c r="P45" s="194">
        <f>P43*P33/1000</f>
        <v>17.44716</v>
      </c>
      <c r="Q45" s="194">
        <f>Q43*Q33/1000</f>
        <v>21.313230999999998</v>
      </c>
      <c r="R45" s="194">
        <f>R43*R33/1000</f>
        <v>26.217774000000002</v>
      </c>
      <c r="S45" s="159">
        <f>O45+P45+Q45+R45</f>
        <v>92.086645000000004</v>
      </c>
      <c r="U45" s="193">
        <f>U43*U33/1000</f>
        <v>21.618523500000002</v>
      </c>
      <c r="V45" s="194">
        <f>V43*V33/1000</f>
        <v>22.547899500000003</v>
      </c>
      <c r="W45" s="194">
        <f>W43*W33/1000</f>
        <v>27.889776000000001</v>
      </c>
      <c r="X45" s="194">
        <f>X43*X33/1000</f>
        <v>29.54421</v>
      </c>
      <c r="Y45" s="196">
        <f>U45+V45+W45+X45</f>
        <v>101.60040900000001</v>
      </c>
      <c r="AA45" s="193">
        <f>AA43*AA33/1000</f>
        <v>26.532720000000001</v>
      </c>
      <c r="AB45" s="194">
        <f>AB43*AB33/1000</f>
        <v>21.926179999999999</v>
      </c>
      <c r="AC45" s="194">
        <f>AC43*AC33/1000</f>
        <v>20.540843000000006</v>
      </c>
      <c r="AD45" s="194">
        <f>AD43*AD33/1000</f>
        <v>30.408962500000001</v>
      </c>
      <c r="AE45" s="196">
        <f>AA45+AB45+AC45+AD45</f>
        <v>99.408705500000011</v>
      </c>
      <c r="AG45" s="193">
        <f>AG43*AG33/1000</f>
        <v>46.012837500000003</v>
      </c>
      <c r="AH45" s="194">
        <f>AH43*AH33/1000</f>
        <v>42.757000000000005</v>
      </c>
      <c r="AI45" s="194">
        <f>AI43*AI33/1000</f>
        <v>35.182612500000005</v>
      </c>
      <c r="AJ45" s="194">
        <f>AJ43*AJ33/1000</f>
        <v>35.382375000000003</v>
      </c>
      <c r="AK45" s="196">
        <f>AG45+AH45+AI45+AJ45</f>
        <v>159.33482500000002</v>
      </c>
      <c r="AM45" s="193">
        <f>AM43*AM33/1000</f>
        <v>23.946175000000004</v>
      </c>
      <c r="AN45" s="194">
        <f>AN43*AN33/1000</f>
        <v>20.034967999999999</v>
      </c>
      <c r="AO45" s="194">
        <f>AO43*AO33/1000</f>
        <v>18.636080000000003</v>
      </c>
      <c r="AP45" s="194">
        <f>AP43*AP33/1000</f>
        <v>11.681220000000001</v>
      </c>
      <c r="AQ45" s="196">
        <f>AM45+AN45+AO45+AP45</f>
        <v>74.298443000000006</v>
      </c>
      <c r="AS45" s="193">
        <f>AS43*AS33/1000</f>
        <v>13.474764</v>
      </c>
      <c r="AT45" s="194">
        <f>AT43*AT33/1000</f>
        <v>6.4177715000000006</v>
      </c>
      <c r="AU45" s="194">
        <f>AU43*AU33/1000</f>
        <v>9.8036909999999988</v>
      </c>
      <c r="AV45" s="194">
        <f>AV43*AV33/1000</f>
        <v>5.2916750000000006</v>
      </c>
      <c r="AW45" s="196">
        <f>AS45+AT45+AU45+AV45</f>
        <v>34.9879015</v>
      </c>
      <c r="AY45" s="193">
        <f>AY43*AY33/1000</f>
        <v>5.1844000000000001</v>
      </c>
      <c r="AZ45" s="194">
        <f>AZ43*AZ33/1000</f>
        <v>11.3196765</v>
      </c>
      <c r="BA45" s="194">
        <f>BA43*BA33/1000</f>
        <v>6.590382</v>
      </c>
      <c r="BB45" s="194">
        <f>BB43*BB33/1000</f>
        <v>6.5735599999999996</v>
      </c>
      <c r="BC45" s="196">
        <f>AY45+AZ45+BA45+BB45</f>
        <v>29.668018500000002</v>
      </c>
      <c r="BE45" s="193">
        <f>BE43*BE33/1000</f>
        <v>6.8790890000000005</v>
      </c>
      <c r="BF45" s="194">
        <f>BF43*BF33/1000</f>
        <v>5.8504320000000005</v>
      </c>
      <c r="BG45" s="194">
        <f>BG43*BG33/1000</f>
        <v>4.0985279999999999</v>
      </c>
      <c r="BH45" s="194">
        <f>BH43*BH33/1000</f>
        <v>5.2760500000000006</v>
      </c>
      <c r="BI45" s="196">
        <f>BE45+BF45+BG45+BH45</f>
        <v>22.104099000000001</v>
      </c>
      <c r="BK45" s="193">
        <f>BK43*BK33/1000</f>
        <v>4.1749679999999998</v>
      </c>
      <c r="BL45" s="194">
        <f>BL43*BL33/1000</f>
        <v>1.2727999999999999</v>
      </c>
      <c r="BM45" s="194">
        <f>BM43*BM33/1000</f>
        <v>3.0039799999999994</v>
      </c>
      <c r="BN45" s="194">
        <f>BN43*BN33/1000</f>
        <v>1.8716925000000002</v>
      </c>
      <c r="BO45" s="196">
        <f>BK45+BL45+BM45+BN45</f>
        <v>10.323440499999998</v>
      </c>
      <c r="BQ45" s="193">
        <f>BQ43*BQ33/1000</f>
        <v>2.7522600000000002</v>
      </c>
      <c r="BR45" s="194">
        <f>BR43*BR33/1000</f>
        <v>1.9409700000000001</v>
      </c>
      <c r="BS45" s="194">
        <f>BS43*BS33/1000</f>
        <v>2.59396</v>
      </c>
      <c r="BT45" s="194">
        <f>BT43*BT33/1000</f>
        <v>3.0211687500000002</v>
      </c>
      <c r="BU45" s="196">
        <f>BQ45+BR45+BS45+BT45</f>
        <v>10.30835875</v>
      </c>
      <c r="BW45" s="193">
        <f>BW43*BW33/1000</f>
        <v>3.5300461874999995</v>
      </c>
      <c r="BX45" s="194">
        <f>BX43*BX33/1000</f>
        <v>2.0217817499999997</v>
      </c>
      <c r="BY45" s="194">
        <f>BY43*BY33/1000</f>
        <v>2.7018589999999998</v>
      </c>
      <c r="BZ45" s="194">
        <f>BZ43*BZ33/1000</f>
        <v>2.9434284375000002</v>
      </c>
      <c r="CA45" s="196">
        <f>BW45+BX45+BY45+BZ45</f>
        <v>11.197115374999999</v>
      </c>
      <c r="CC45" s="193">
        <f>CC43*CC33/1000</f>
        <v>3.6596657015624992</v>
      </c>
      <c r="CD45" s="194">
        <f>CD43*CD33/1000</f>
        <v>2.0959653562499998</v>
      </c>
      <c r="CE45" s="194">
        <f>CE43*CE33/1000</f>
        <v>2.8009242249999997</v>
      </c>
      <c r="CF45" s="194">
        <f>CF43*CF33/1000</f>
        <v>2.9484362431640623</v>
      </c>
      <c r="CG45" s="196">
        <f>CC45+CD45+CE45+CF45</f>
        <v>11.50499152597656</v>
      </c>
      <c r="CI45" s="193">
        <f>CI43*CI33/1000</f>
        <v>3.7850793987890614</v>
      </c>
      <c r="CJ45" s="194">
        <f>CJ43*CJ33/1000</f>
        <v>2.1677485214062493</v>
      </c>
      <c r="CK45" s="194">
        <f>CK43*CK33/1000</f>
        <v>2.8967927056249998</v>
      </c>
      <c r="CL45" s="194">
        <f>CL43*CL33/1000</f>
        <v>3.0494059431884759</v>
      </c>
      <c r="CM45" s="196">
        <f>CI45+CJ45+CK45+CL45</f>
        <v>11.899026569008786</v>
      </c>
      <c r="CO45" s="193">
        <f>CO43*CO33/1000</f>
        <v>3.9144764898134752</v>
      </c>
      <c r="CP45" s="194">
        <f>CP43*CP33/1000</f>
        <v>2.2418108664726555</v>
      </c>
      <c r="CQ45" s="194">
        <f>CQ43*CQ33/1000</f>
        <v>2.9957040326406243</v>
      </c>
      <c r="CR45" s="194">
        <f>CR43*CR33/1000</f>
        <v>3.1535813555621326</v>
      </c>
      <c r="CS45" s="196">
        <f>CO45+CP45+CQ45+CR45</f>
        <v>12.305572744488888</v>
      </c>
      <c r="CU45" s="193">
        <f>CU43*CU33/1000</f>
        <v>4.0479777607648666</v>
      </c>
      <c r="CV45" s="194">
        <f>CV43*CV33/1000</f>
        <v>2.3182214859665033</v>
      </c>
      <c r="CW45" s="194">
        <f>CW43*CW33/1000</f>
        <v>3.0977504305660144</v>
      </c>
      <c r="CX45" s="194">
        <f>CX43*CX33/1000</f>
        <v>3.2610596598399795</v>
      </c>
      <c r="CY45" s="196">
        <f>CU45+CV45+CW45+CX45</f>
        <v>12.725009337137363</v>
      </c>
      <c r="DA45" s="193">
        <f>DA43*DA33/1000</f>
        <v>4.1857075474576941</v>
      </c>
      <c r="DB45" s="194">
        <f>DB43*DB33/1000</f>
        <v>2.3970515046434975</v>
      </c>
      <c r="DC45" s="194">
        <f>DC43*DC33/1000</f>
        <v>3.2030268333672742</v>
      </c>
      <c r="DD45" s="194">
        <f>DD43*DD33/1000</f>
        <v>3.3719408909844923</v>
      </c>
      <c r="DE45" s="196">
        <f>DA45+DB45+DC45+DD45</f>
        <v>13.157726776452959</v>
      </c>
      <c r="DG45" s="193">
        <f>DG43*DG33/1000</f>
        <v>4.3277938373846849</v>
      </c>
      <c r="DH45" s="194">
        <f>DH43*DH33/1000</f>
        <v>2.4783741358256126</v>
      </c>
      <c r="DI45" s="194">
        <f>DI43*DI33/1000</f>
        <v>3.3116309622894926</v>
      </c>
      <c r="DJ45" s="194">
        <f>DJ43*DJ33/1000</f>
        <v>3.486328021398831</v>
      </c>
      <c r="DK45" s="196">
        <f>DG45+DH45+DI45+DJ45</f>
        <v>13.604126956898622</v>
      </c>
    </row>
    <row r="46" spans="2:115" ht="15" x14ac:dyDescent="0.3">
      <c r="B46" s="5" t="s">
        <v>23</v>
      </c>
      <c r="C46" s="144" t="s">
        <v>35</v>
      </c>
      <c r="D46" s="107" t="s">
        <v>35</v>
      </c>
      <c r="E46" s="107" t="s">
        <v>35</v>
      </c>
      <c r="F46" s="145" t="s">
        <v>35</v>
      </c>
      <c r="G46" s="138" t="s">
        <v>35</v>
      </c>
      <c r="I46" s="151">
        <f>I45/C45-1</f>
        <v>4.0735648398572799E-2</v>
      </c>
      <c r="J46" s="133">
        <f>J45/D45-1</f>
        <v>6.5517916531552922E-2</v>
      </c>
      <c r="K46" s="133">
        <f>K45/E45-1</f>
        <v>6.9963311492256874E-2</v>
      </c>
      <c r="L46" s="152">
        <f>L45/F45-1</f>
        <v>-0.32099439992891687</v>
      </c>
      <c r="M46" s="153">
        <f>M45/G45-1</f>
        <v>-7.3917231053886923E-2</v>
      </c>
      <c r="O46" s="151">
        <f>O45/I45-1</f>
        <v>-0.27827489348433365</v>
      </c>
      <c r="P46" s="133">
        <f>P45/J45-1</f>
        <v>-0.44048842247851705</v>
      </c>
      <c r="Q46" s="133">
        <f>Q45/K45-1</f>
        <v>-0.40231441440452353</v>
      </c>
      <c r="R46" s="133">
        <f>R45/L45-1</f>
        <v>-0.26691746257753068</v>
      </c>
      <c r="S46" s="153">
        <f>S45/M45-1</f>
        <v>-0.34302125838143482</v>
      </c>
      <c r="U46" s="151">
        <f>U45/O45-1</f>
        <v>-0.2025180497025284</v>
      </c>
      <c r="V46" s="133">
        <f>V45/P45-1</f>
        <v>0.29235356929150669</v>
      </c>
      <c r="W46" s="133">
        <f>W45/Q45-1</f>
        <v>0.30856630794270479</v>
      </c>
      <c r="X46" s="133">
        <f>X45/R45-1</f>
        <v>0.12687713304722203</v>
      </c>
      <c r="Y46" s="153">
        <f>Y45/S45-1</f>
        <v>0.10331317858306166</v>
      </c>
      <c r="AA46" s="151">
        <f>AA45/U45-1</f>
        <v>0.22731415954470702</v>
      </c>
      <c r="AB46" s="133">
        <f>AB45/V45-1</f>
        <v>-2.7573277945469155E-2</v>
      </c>
      <c r="AC46" s="133">
        <f>AC45/W45-1</f>
        <v>-0.26349917618556684</v>
      </c>
      <c r="AD46" s="133">
        <f>AD45/X45-1</f>
        <v>2.9269779087002235E-2</v>
      </c>
      <c r="AE46" s="153">
        <f>AE45/Y45-1</f>
        <v>-2.1571798003293452E-2</v>
      </c>
      <c r="AG46" s="151">
        <f>AG45/AA45-1</f>
        <v>0.73419225394154841</v>
      </c>
      <c r="AH46" s="133">
        <f>AH45/AB45-1</f>
        <v>0.95004328159305484</v>
      </c>
      <c r="AI46" s="133">
        <f>AI45/AC45-1</f>
        <v>0.71281249265183488</v>
      </c>
      <c r="AJ46" s="133">
        <f>AJ45/AD45-1</f>
        <v>0.16355087747567842</v>
      </c>
      <c r="AK46" s="153">
        <f>AK45/AE45-1</f>
        <v>0.60282567003148446</v>
      </c>
      <c r="AM46" s="151">
        <f>AM45/AG45-1</f>
        <v>-0.47957621609404111</v>
      </c>
      <c r="AN46" s="133">
        <f>AN45/AH45-1</f>
        <v>-0.53142250391748724</v>
      </c>
      <c r="AO46" s="133">
        <f>AO45/AI45-1</f>
        <v>-0.47030425895746086</v>
      </c>
      <c r="AP46" s="133">
        <f>AP45/AJ45-1</f>
        <v>-0.6698576621835024</v>
      </c>
      <c r="AQ46" s="153">
        <f>AQ45/AK45-1</f>
        <v>-0.53369614583629166</v>
      </c>
      <c r="AS46" s="151">
        <f>AS45/AM45-1</f>
        <v>-0.43728950448244874</v>
      </c>
      <c r="AT46" s="133">
        <f>AT45/AN45-1</f>
        <v>-0.67967148737147964</v>
      </c>
      <c r="AU46" s="133">
        <f>AU45/AO45-1</f>
        <v>-0.47394028143257616</v>
      </c>
      <c r="AV46" s="133">
        <f>AV45/AP45-1</f>
        <v>-0.54699295107874013</v>
      </c>
      <c r="AW46" s="153">
        <f>AW45/AQ45-1</f>
        <v>-0.52908970784219533</v>
      </c>
      <c r="AY46" s="151">
        <f>AY45/AS45-1</f>
        <v>-0.61525114651358637</v>
      </c>
      <c r="AZ46" s="133">
        <f>AZ45/AT45-1</f>
        <v>0.76380173398195916</v>
      </c>
      <c r="BA46" s="133">
        <f>BA45/AU45-1</f>
        <v>-0.32776522638259398</v>
      </c>
      <c r="BB46" s="133">
        <f>BB45/AV45-1</f>
        <v>0.24224560276283014</v>
      </c>
      <c r="BC46" s="153">
        <f>BC45/AW45-1</f>
        <v>-0.15204921621263845</v>
      </c>
      <c r="BE46" s="151">
        <f>BE45/AY45-1</f>
        <v>0.32688237790293972</v>
      </c>
      <c r="BF46" s="133">
        <f>BF45/AZ45-1</f>
        <v>-0.48316261511537006</v>
      </c>
      <c r="BG46" s="133">
        <f>BG45/BA45-1</f>
        <v>-0.37810463794056248</v>
      </c>
      <c r="BH46" s="133">
        <f>BH45/BB45-1</f>
        <v>-0.19738315311642385</v>
      </c>
      <c r="BI46" s="153">
        <f>BI45/BC45-1</f>
        <v>-0.25495196114968044</v>
      </c>
      <c r="BK46" s="151">
        <f>BK45/BE45-1</f>
        <v>-0.39309289355029431</v>
      </c>
      <c r="BL46" s="133">
        <f>BL45/BF45-1</f>
        <v>-0.78244341614431212</v>
      </c>
      <c r="BM46" s="133">
        <f>BM45/BG45-1</f>
        <v>-0.26705880745477417</v>
      </c>
      <c r="BN46" s="133">
        <f>BN45/BH45-1</f>
        <v>-0.64524739151448529</v>
      </c>
      <c r="BO46" s="153">
        <f>BO45/BI45-1</f>
        <v>-0.53296261928613342</v>
      </c>
      <c r="BQ46" s="151">
        <f>BQ45/BK45-1</f>
        <v>-0.34077099513098053</v>
      </c>
      <c r="BR46" s="133">
        <f>BR45/BL45-1</f>
        <v>0.52496071653048415</v>
      </c>
      <c r="BS46" s="133">
        <f>BS45/BM45-1</f>
        <v>-0.13649225361021022</v>
      </c>
      <c r="BT46" s="133">
        <f>BT45/BN45-1</f>
        <v>0.61413733826469885</v>
      </c>
      <c r="BU46" s="153">
        <f>BU45/BO45-1</f>
        <v>-1.4609228386600615E-3</v>
      </c>
      <c r="BW46" s="151">
        <f>BW45/BQ45-1</f>
        <v>0.28259909583396903</v>
      </c>
      <c r="BX46" s="133">
        <f>BX45/BR45-1</f>
        <v>4.1634723875175528E-2</v>
      </c>
      <c r="BY46" s="133">
        <f>BY45/BS45-1</f>
        <v>4.1596246665330128E-2</v>
      </c>
      <c r="BZ46" s="133">
        <f>BZ45/BT45-1</f>
        <v>-2.5731867013386811E-2</v>
      </c>
      <c r="CA46" s="153">
        <f>CA45/BU45-1</f>
        <v>8.6217083296601382E-2</v>
      </c>
      <c r="CC46" s="151">
        <f>CC45/BW45-1</f>
        <v>3.6718928642204718E-2</v>
      </c>
      <c r="CD46" s="133">
        <f>CD45/BX45-1</f>
        <v>3.6692193037156429E-2</v>
      </c>
      <c r="CE46" s="133">
        <f>CE45/BY45-1</f>
        <v>3.6665579143841276E-2</v>
      </c>
      <c r="CF46" s="133">
        <f>CF45/BZ45-1</f>
        <v>1.7013512542929377E-3</v>
      </c>
      <c r="CG46" s="153">
        <f>CG45/CA45-1</f>
        <v>2.749602381198657E-2</v>
      </c>
      <c r="CI46" s="151">
        <f>CI45/CC45-1</f>
        <v>3.4269167583535598E-2</v>
      </c>
      <c r="CJ46" s="133">
        <f>CJ45/CD45-1</f>
        <v>3.4248259372321233E-2</v>
      </c>
      <c r="CK46" s="133">
        <f>CK45/CE45-1</f>
        <v>3.422744527299737E-2</v>
      </c>
      <c r="CL46" s="133">
        <f>CL45/CF45-1</f>
        <v>3.4245169878952542E-2</v>
      </c>
      <c r="CM46" s="153">
        <f>CM45/CG45-1</f>
        <v>3.4249051130768038E-2</v>
      </c>
      <c r="CO46" s="151">
        <f>CO45/CI45-1</f>
        <v>3.4186096879714301E-2</v>
      </c>
      <c r="CP46" s="133">
        <f>CP45/CJ45-1</f>
        <v>3.4165561334744243E-2</v>
      </c>
      <c r="CQ46" s="133">
        <f>CQ45/CK45-1</f>
        <v>3.414511739951509E-2</v>
      </c>
      <c r="CR46" s="133">
        <f>CR45/CL45-1</f>
        <v>3.4162526837843821E-2</v>
      </c>
      <c r="CS46" s="153">
        <f>CS45/CM45-1</f>
        <v>3.4166338996078682E-2</v>
      </c>
      <c r="CU46" s="151">
        <f>CU45/CO45-1</f>
        <v>3.4104501917126884E-2</v>
      </c>
      <c r="CV46" s="133">
        <f>CV45/CP45-1</f>
        <v>3.4084329162912486E-2</v>
      </c>
      <c r="CW46" s="133">
        <f>CW45/CQ45-1</f>
        <v>3.4064245604209065E-2</v>
      </c>
      <c r="CX46" s="133">
        <f>CX45/CR45-1</f>
        <v>3.4081348206946416E-2</v>
      </c>
      <c r="CY46" s="153">
        <f>CY45/CS45-1</f>
        <v>3.408509310030472E-2</v>
      </c>
      <c r="DA46" s="151">
        <f>DA45/CU45-1</f>
        <v>3.4024343717442562E-2</v>
      </c>
      <c r="DB46" s="133">
        <f>DB45/CV45-1</f>
        <v>3.4004524224366284E-2</v>
      </c>
      <c r="DC46" s="133">
        <f>DC45/CW45-1</f>
        <v>3.3984791596663344E-2</v>
      </c>
      <c r="DD46" s="133">
        <f>DD45/CX45-1</f>
        <v>3.4001595404713925E-2</v>
      </c>
      <c r="DE46" s="153">
        <f>DE45/CY45-1</f>
        <v>3.400527479793114E-2</v>
      </c>
      <c r="DG46" s="151">
        <f>DG45/DA45-1</f>
        <v>3.3945584663049644E-2</v>
      </c>
      <c r="DH46" s="133">
        <f>DH45/DB45-1</f>
        <v>3.3926109232354618E-2</v>
      </c>
      <c r="DI46" s="133">
        <f>DI45/DC45-1</f>
        <v>3.3906718417355597E-2</v>
      </c>
      <c r="DJ46" s="133">
        <f>DJ45/DD45-1</f>
        <v>3.3923231193101255E-2</v>
      </c>
      <c r="DK46" s="153">
        <f>DK45/DE45-1</f>
        <v>3.3926846789716025E-2</v>
      </c>
    </row>
    <row r="47" spans="2:115" ht="15" x14ac:dyDescent="0.3">
      <c r="B47" s="5"/>
      <c r="C47" s="144"/>
      <c r="D47" s="107"/>
      <c r="E47" s="107"/>
      <c r="F47" s="107"/>
      <c r="G47" s="138"/>
      <c r="I47" s="144"/>
      <c r="J47" s="107"/>
      <c r="K47" s="107"/>
      <c r="L47" s="145"/>
      <c r="M47" s="138"/>
      <c r="O47" s="144"/>
      <c r="P47" s="107"/>
      <c r="Q47" s="107"/>
      <c r="R47" s="107"/>
      <c r="S47" s="138"/>
      <c r="U47" s="144"/>
      <c r="V47" s="107"/>
      <c r="W47" s="107"/>
      <c r="X47" s="107"/>
      <c r="Y47" s="138"/>
      <c r="AA47" s="144"/>
      <c r="AB47" s="107"/>
      <c r="AC47" s="107"/>
      <c r="AD47" s="107"/>
      <c r="AE47" s="138"/>
      <c r="AG47" s="144"/>
      <c r="AH47" s="107"/>
      <c r="AI47" s="107"/>
      <c r="AJ47" s="107"/>
      <c r="AK47" s="138"/>
      <c r="AM47" s="144"/>
      <c r="AN47" s="107"/>
      <c r="AO47" s="107"/>
      <c r="AP47" s="107"/>
      <c r="AQ47" s="138"/>
      <c r="AS47" s="144"/>
      <c r="AT47" s="107"/>
      <c r="AU47" s="107"/>
      <c r="AV47" s="107"/>
      <c r="AW47" s="138"/>
      <c r="AY47" s="144"/>
      <c r="AZ47" s="107"/>
      <c r="BA47" s="107"/>
      <c r="BB47" s="107"/>
      <c r="BC47" s="138"/>
      <c r="BE47" s="144"/>
      <c r="BF47" s="107"/>
      <c r="BG47" s="107"/>
      <c r="BH47" s="107"/>
      <c r="BI47" s="138"/>
      <c r="BK47" s="144"/>
      <c r="BL47" s="107"/>
      <c r="BM47" s="107"/>
      <c r="BN47" s="107"/>
      <c r="BO47" s="138"/>
      <c r="BQ47" s="144"/>
      <c r="BR47" s="107"/>
      <c r="BS47" s="107"/>
      <c r="BT47" s="145"/>
      <c r="BU47" s="145"/>
      <c r="BW47" s="144"/>
      <c r="BX47" s="107"/>
      <c r="BY47" s="107"/>
      <c r="BZ47" s="145"/>
      <c r="CA47" s="145"/>
      <c r="CC47" s="144"/>
      <c r="CD47" s="107"/>
      <c r="CE47" s="107"/>
      <c r="CF47" s="145"/>
      <c r="CG47" s="145"/>
      <c r="CI47" s="144"/>
      <c r="CJ47" s="107"/>
      <c r="CK47" s="107"/>
      <c r="CL47" s="145"/>
      <c r="CM47" s="145"/>
      <c r="CO47" s="144"/>
      <c r="CP47" s="107"/>
      <c r="CQ47" s="107"/>
      <c r="CR47" s="145"/>
      <c r="CS47" s="145"/>
      <c r="CU47" s="144"/>
      <c r="CV47" s="107"/>
      <c r="CW47" s="107"/>
      <c r="CX47" s="145"/>
      <c r="CY47" s="145"/>
      <c r="DA47" s="144"/>
      <c r="DB47" s="107"/>
      <c r="DC47" s="107"/>
      <c r="DD47" s="145"/>
      <c r="DE47" s="145"/>
      <c r="DG47" s="144"/>
      <c r="DH47" s="107"/>
      <c r="DI47" s="107"/>
      <c r="DJ47" s="145"/>
      <c r="DK47" s="145"/>
    </row>
    <row r="48" spans="2:115" ht="15" x14ac:dyDescent="0.3">
      <c r="B48" s="105" t="s">
        <v>53</v>
      </c>
      <c r="C48" s="203">
        <f>C40-C45-C54</f>
        <v>262.90949799999999</v>
      </c>
      <c r="D48" s="204">
        <f>D40-D45-D54</f>
        <v>288.73457000000002</v>
      </c>
      <c r="E48" s="204">
        <f>E40-E45-E54</f>
        <v>295.67212499999999</v>
      </c>
      <c r="F48" s="205">
        <f>F40-F45-F54</f>
        <v>320.32924000000003</v>
      </c>
      <c r="G48" s="159">
        <f>C48+D48+E48+F48</f>
        <v>1167.6454330000001</v>
      </c>
      <c r="H48" s="197"/>
      <c r="I48" s="203">
        <f>I40-I45-I54</f>
        <v>302.43932799999999</v>
      </c>
      <c r="J48" s="204">
        <f>J40-J45-J54</f>
        <v>334.81715999999994</v>
      </c>
      <c r="K48" s="204">
        <f>K40-K45-K54</f>
        <v>360.3403965</v>
      </c>
      <c r="L48" s="205">
        <f>L40-L45-L54</f>
        <v>337.23625900000002</v>
      </c>
      <c r="M48" s="159">
        <f>I48+J48+K48+L48</f>
        <v>1334.8331435</v>
      </c>
      <c r="N48" s="197"/>
      <c r="O48" s="203">
        <f>O40-O45-O54</f>
        <v>278.89152000000001</v>
      </c>
      <c r="P48" s="204">
        <f>P40-P45-P54</f>
        <v>252.55284</v>
      </c>
      <c r="Q48" s="204">
        <f>Q40-Q45-Q54</f>
        <v>253.68676900000003</v>
      </c>
      <c r="R48" s="204">
        <f>R40-R45-R54</f>
        <v>263.78222599999998</v>
      </c>
      <c r="S48" s="159">
        <f>O48+P48+Q48+R48</f>
        <v>1048.9133549999999</v>
      </c>
      <c r="T48" s="114"/>
      <c r="U48" s="203">
        <f>U40-U45-U54</f>
        <v>250.38147650000002</v>
      </c>
      <c r="V48" s="204">
        <f>V40-V45-V54</f>
        <v>252.45210049999997</v>
      </c>
      <c r="W48" s="204">
        <f>W40-W45-W54</f>
        <v>285.11022400000002</v>
      </c>
      <c r="X48" s="204">
        <f>X40-X45-X54</f>
        <v>258.45578999999998</v>
      </c>
      <c r="Y48" s="213">
        <f>U48+V48+W48+X48</f>
        <v>1046.3995909999999</v>
      </c>
      <c r="AA48" s="203">
        <f>AA40-AA45-AA54</f>
        <v>269.46728000000002</v>
      </c>
      <c r="AB48" s="204">
        <f>AB40-AB45-AB54</f>
        <v>255.07382000000001</v>
      </c>
      <c r="AC48" s="204">
        <f>AC40-AC45-AC54</f>
        <v>261.459157</v>
      </c>
      <c r="AD48" s="204">
        <f>AD40-AD45-AD54</f>
        <v>225.59103749999997</v>
      </c>
      <c r="AE48" s="213">
        <f>AA48+AB48+AC48+AD48</f>
        <v>1011.5912945</v>
      </c>
      <c r="AG48" s="203">
        <f>AG40-AG45-AG54</f>
        <v>239.98716250000001</v>
      </c>
      <c r="AH48" s="204">
        <f>AH40-AH45-AH54</f>
        <v>236.24299999999999</v>
      </c>
      <c r="AI48" s="204">
        <f>AI40-AI45-AI54</f>
        <v>226.8173875</v>
      </c>
      <c r="AJ48" s="204">
        <f>AJ40-AJ45-AJ54</f>
        <v>229.61762499999998</v>
      </c>
      <c r="AK48" s="213">
        <f>AG48+AH48+AI48+AJ48</f>
        <v>932.66517499999998</v>
      </c>
      <c r="AM48" s="203">
        <f>AM40-AM45-AM54</f>
        <v>221.05382500000002</v>
      </c>
      <c r="AN48" s="204">
        <f>AN40-AN45-AN54</f>
        <v>239.96503200000001</v>
      </c>
      <c r="AO48" s="204">
        <f>AO40-AO45-AO54</f>
        <v>228.36392000000001</v>
      </c>
      <c r="AP48" s="204">
        <f>AP40-AP45-AP54</f>
        <v>221.31878</v>
      </c>
      <c r="AQ48" s="213">
        <f>AM48+AN48+AO48+AP48</f>
        <v>910.70155700000009</v>
      </c>
      <c r="AS48" s="203">
        <f>AS40-AS45-AS54</f>
        <v>202.52523600000001</v>
      </c>
      <c r="AT48" s="204">
        <f>AT40-AT45-AT54</f>
        <v>217.58222849999999</v>
      </c>
      <c r="AU48" s="204">
        <f>AU40-AU45-AU54</f>
        <v>229.19630899999999</v>
      </c>
      <c r="AV48" s="204">
        <f>AV40-AV45-AV54</f>
        <v>228.708325</v>
      </c>
      <c r="AW48" s="213">
        <f>AS48+AT48+AU48+AV48</f>
        <v>878.01209850000009</v>
      </c>
      <c r="AY48" s="203">
        <f>AY40-AY45-AY54</f>
        <v>246.81560000000002</v>
      </c>
      <c r="AZ48" s="204">
        <f>AZ40-AZ45-AZ54</f>
        <v>228.68032349999999</v>
      </c>
      <c r="BA48" s="204">
        <f>BA40-BA45-BA54</f>
        <v>220.40961800000002</v>
      </c>
      <c r="BB48" s="204">
        <f>BB40-BB45-BB54</f>
        <v>238.42644000000001</v>
      </c>
      <c r="BC48" s="213">
        <f>AY48+AZ48+BA48+BB48</f>
        <v>934.33198149999998</v>
      </c>
      <c r="BE48" s="203">
        <f>BE40-BE45-BE54</f>
        <v>251.12091099999998</v>
      </c>
      <c r="BF48" s="204">
        <f>BF40-BF45-BF54</f>
        <v>237.14956799999999</v>
      </c>
      <c r="BG48" s="204">
        <f>BG40-BG45-BG54</f>
        <v>243.90147200000001</v>
      </c>
      <c r="BH48" s="204">
        <f>BH40-BH45-BH54</f>
        <v>256.72395</v>
      </c>
      <c r="BI48" s="213">
        <f>BE48+BF48+BG48+BH48</f>
        <v>988.89590100000009</v>
      </c>
      <c r="BK48" s="203">
        <f>BK40-BK45-BK54</f>
        <v>259.82503200000002</v>
      </c>
      <c r="BL48" s="204">
        <f>BL40-BL45-BL54</f>
        <v>251.72719999999998</v>
      </c>
      <c r="BM48" s="204">
        <f>BM40-BM45-BM54</f>
        <v>284.99601999999999</v>
      </c>
      <c r="BN48" s="204">
        <f>BN40-BN45-BN54</f>
        <v>284.12830750000001</v>
      </c>
      <c r="BO48" s="213">
        <f>BK48+BL48+BM48+BN48</f>
        <v>1080.6765595000002</v>
      </c>
      <c r="BQ48" s="203">
        <f>BQ51*BQ40</f>
        <v>270.75558217040361</v>
      </c>
      <c r="BR48" s="204">
        <f>BR51*BR40</f>
        <v>255.54666940040923</v>
      </c>
      <c r="BS48" s="204">
        <f>BS51*BS40</f>
        <v>284.86670516943497</v>
      </c>
      <c r="BT48" s="204">
        <f>BT51*BT40</f>
        <v>283.82967982120658</v>
      </c>
      <c r="BU48" s="213">
        <f>BQ48+BR48+BS48+BT48</f>
        <v>1094.9986365614543</v>
      </c>
      <c r="BW48" s="203">
        <f>BW51*BW40</f>
        <v>273.68274688578418</v>
      </c>
      <c r="BX48" s="204">
        <f>BX51*BX40</f>
        <v>260.00483146751793</v>
      </c>
      <c r="BY48" s="204">
        <f>BY51*BY40</f>
        <v>288.1353808520912</v>
      </c>
      <c r="BZ48" s="204">
        <f>BZ51*BZ40</f>
        <v>277.34460885103255</v>
      </c>
      <c r="CA48" s="213">
        <f>BW48+BX48+BY48+BZ48</f>
        <v>1099.1675680564258</v>
      </c>
      <c r="CC48" s="203">
        <f>CC51*CC40</f>
        <v>276.87812611247432</v>
      </c>
      <c r="CD48" s="204">
        <f>CD51*CD40</f>
        <v>263.78263866234312</v>
      </c>
      <c r="CE48" s="204">
        <f>CE51*CE40</f>
        <v>292.57425522846074</v>
      </c>
      <c r="CF48" s="204">
        <f>CF51*CF40</f>
        <v>278.12935082811731</v>
      </c>
      <c r="CG48" s="213">
        <f>CC48+CD48+CE48+CF48</f>
        <v>1111.3643708313955</v>
      </c>
      <c r="CI48" s="203">
        <f>CI51*CI40</f>
        <v>279.97113387124585</v>
      </c>
      <c r="CJ48" s="204">
        <f>CJ51*CJ40</f>
        <v>266.75398079311958</v>
      </c>
      <c r="CK48" s="204">
        <f>CK51*CK40</f>
        <v>295.59505918276511</v>
      </c>
      <c r="CL48" s="204">
        <f>CL51*CL40</f>
        <v>280.9051501539634</v>
      </c>
      <c r="CM48" s="213">
        <f>CI48+CJ48+CK48+CL48</f>
        <v>1123.2253240010941</v>
      </c>
      <c r="CO48" s="203">
        <f>CO51*CO40</f>
        <v>283.44091806275009</v>
      </c>
      <c r="CP48" s="204">
        <f>CP51*CP40</f>
        <v>270.08834328677011</v>
      </c>
      <c r="CQ48" s="204">
        <f>CQ51*CQ40</f>
        <v>299.02388780282547</v>
      </c>
      <c r="CR48" s="204">
        <f>CR51*CR40</f>
        <v>284.0845345106286</v>
      </c>
      <c r="CS48" s="213">
        <f>CO48+CP48+CQ48+CR48</f>
        <v>1136.6376836629743</v>
      </c>
      <c r="CU48" s="203">
        <f>CU51*CU40</f>
        <v>288.5491646721357</v>
      </c>
      <c r="CV48" s="204">
        <f>CV51*CV40</f>
        <v>274.97031322380008</v>
      </c>
      <c r="CW48" s="204">
        <f>CW51*CW40</f>
        <v>304.15302649114176</v>
      </c>
      <c r="CX48" s="204">
        <f>CX51*CX40</f>
        <v>288.83049994137372</v>
      </c>
      <c r="CY48" s="213">
        <f>CU48+CV48+CW48+CX48</f>
        <v>1156.5030043284512</v>
      </c>
      <c r="DA48" s="203">
        <f>DA51*DA40</f>
        <v>294.07792267309992</v>
      </c>
      <c r="DB48" s="204">
        <f>DB51*DB40</f>
        <v>280.25660157428013</v>
      </c>
      <c r="DC48" s="204">
        <f>DC51*DC40</f>
        <v>309.73416369566348</v>
      </c>
      <c r="DD48" s="204">
        <f>DD51*DD40</f>
        <v>294.01985619399039</v>
      </c>
      <c r="DE48" s="213">
        <f>DA48+DB48+DC48+DD48</f>
        <v>1178.088544137034</v>
      </c>
      <c r="DG48" s="203">
        <f>DG51*DG40</f>
        <v>300.03330952417269</v>
      </c>
      <c r="DH48" s="204">
        <f>DH51*DH40</f>
        <v>285.9531242672104</v>
      </c>
      <c r="DI48" s="204">
        <f>DI51*DI40</f>
        <v>315.77326853083099</v>
      </c>
      <c r="DJ48" s="204">
        <f>DJ51*DJ40</f>
        <v>299.65818985388341</v>
      </c>
      <c r="DK48" s="213">
        <f>DG48+DH48+DI48+DJ48</f>
        <v>1201.4178921760974</v>
      </c>
    </row>
    <row r="49" spans="2:115" ht="15" x14ac:dyDescent="0.3">
      <c r="B49" s="40" t="s">
        <v>23</v>
      </c>
      <c r="C49" s="144" t="s">
        <v>35</v>
      </c>
      <c r="D49" s="107" t="s">
        <v>35</v>
      </c>
      <c r="E49" s="107" t="s">
        <v>35</v>
      </c>
      <c r="F49" s="145" t="s">
        <v>35</v>
      </c>
      <c r="G49" s="138" t="s">
        <v>35</v>
      </c>
      <c r="I49" s="151">
        <f>I48/C48-1</f>
        <v>0.1503552754872326</v>
      </c>
      <c r="J49" s="133">
        <f>J48/D48-1</f>
        <v>0.15960191396548029</v>
      </c>
      <c r="K49" s="133">
        <f>K48/E48-1</f>
        <v>0.21871615898860952</v>
      </c>
      <c r="L49" s="133">
        <f>L48/F48-1</f>
        <v>5.2780130218521348E-2</v>
      </c>
      <c r="M49" s="153">
        <f>M48/G48-1</f>
        <v>0.14318362901523018</v>
      </c>
      <c r="O49" s="151">
        <f>O48/I48-1</f>
        <v>-7.7859609580933742E-2</v>
      </c>
      <c r="P49" s="133">
        <f>P48/J48-1</f>
        <v>-0.24569923477040412</v>
      </c>
      <c r="Q49" s="133">
        <f>Q48/K48-1</f>
        <v>-0.29598021353123527</v>
      </c>
      <c r="R49" s="133">
        <f>R48/L48-1</f>
        <v>-0.21781178933075529</v>
      </c>
      <c r="S49" s="153">
        <f>S48/M48-1</f>
        <v>-0.21419889811119308</v>
      </c>
      <c r="U49" s="151">
        <f>U48/O48-1</f>
        <v>-0.10222628317992599</v>
      </c>
      <c r="V49" s="133">
        <f>V48/P48-1</f>
        <v>-3.9888484326700002E-4</v>
      </c>
      <c r="W49" s="133">
        <f>W48/Q48-1</f>
        <v>0.12386714184530456</v>
      </c>
      <c r="X49" s="133">
        <f>X48/R48-1</f>
        <v>-2.0192550805147924E-2</v>
      </c>
      <c r="Y49" s="153">
        <f>Y48/S48-1</f>
        <v>-2.3965411327993014E-3</v>
      </c>
      <c r="AA49" s="151">
        <f>AA48/U48-1</f>
        <v>7.6226898917580277E-2</v>
      </c>
      <c r="AB49" s="133">
        <f>AB48/V48-1</f>
        <v>1.038501757286836E-2</v>
      </c>
      <c r="AC49" s="133">
        <f>AC48/W48-1</f>
        <v>-8.2954117422320173E-2</v>
      </c>
      <c r="AD49" s="133">
        <f>AD48/X48-1</f>
        <v>-0.12715812054355602</v>
      </c>
      <c r="AE49" s="153">
        <f>AE48/Y48-1</f>
        <v>-3.3264822348348821E-2</v>
      </c>
      <c r="AG49" s="151">
        <f>AG48/AA48-1</f>
        <v>-0.10940147352955065</v>
      </c>
      <c r="AH49" s="133">
        <f>AH48/AB48-1</f>
        <v>-7.3824981332854978E-2</v>
      </c>
      <c r="AI49" s="133">
        <f>AI48/AC48-1</f>
        <v>-0.1324939998181055</v>
      </c>
      <c r="AJ49" s="133">
        <f>AJ48/AD48-1</f>
        <v>1.7849057944068436E-2</v>
      </c>
      <c r="AK49" s="153">
        <f>AK48/AE48-1</f>
        <v>-7.8021746459384977E-2</v>
      </c>
      <c r="AM49" s="151">
        <f>AM48/AG48-1</f>
        <v>-7.8893126210448861E-2</v>
      </c>
      <c r="AN49" s="133">
        <f>AN48/AH48-1</f>
        <v>1.5755099621999502E-2</v>
      </c>
      <c r="AO49" s="133">
        <f>AO48/AI48-1</f>
        <v>6.8184036375960044E-3</v>
      </c>
      <c r="AP49" s="133">
        <f>AP48/AJ48-1</f>
        <v>-3.6142020892342086E-2</v>
      </c>
      <c r="AQ49" s="153">
        <f>AQ48/AK48-1</f>
        <v>-2.3549306427142924E-2</v>
      </c>
      <c r="AS49" s="151">
        <f>AS48/AM48-1</f>
        <v>-8.3819354856221162E-2</v>
      </c>
      <c r="AT49" s="133">
        <f>AT48/AN48-1</f>
        <v>-9.327527145705139E-2</v>
      </c>
      <c r="AU49" s="133">
        <f>AU48/AO48-1</f>
        <v>3.6450109982346657E-3</v>
      </c>
      <c r="AV49" s="133">
        <f>AV48/AP48-1</f>
        <v>3.3388693901168276E-2</v>
      </c>
      <c r="AW49" s="153">
        <f>AW48/AQ48-1</f>
        <v>-3.5894809060922683E-2</v>
      </c>
      <c r="AY49" s="151">
        <f>AY48/AS48-1</f>
        <v>0.21869059320587581</v>
      </c>
      <c r="AZ49" s="133">
        <f>AZ48/AT48-1</f>
        <v>5.1006440537490816E-2</v>
      </c>
      <c r="BA49" s="133">
        <f>BA48/AU48-1</f>
        <v>-3.8336965539876866E-2</v>
      </c>
      <c r="BB49" s="133">
        <f>BB48/AV48-1</f>
        <v>4.2491304153445375E-2</v>
      </c>
      <c r="BC49" s="153">
        <f>BC48/AW48-1</f>
        <v>6.4144768729516466E-2</v>
      </c>
      <c r="BE49" s="151">
        <f>BE48/AY48-1</f>
        <v>1.7443431452468738E-2</v>
      </c>
      <c r="BF49" s="133">
        <f>BF48/AZ48-1</f>
        <v>3.7035300503237334E-2</v>
      </c>
      <c r="BG49" s="133">
        <f>BG48/BA48-1</f>
        <v>0.10658270820105487</v>
      </c>
      <c r="BH49" s="133">
        <f>BH48/BB48-1</f>
        <v>7.6742789096712505E-2</v>
      </c>
      <c r="BI49" s="153">
        <f>BI48/BC48-1</f>
        <v>5.8398856702305935E-2</v>
      </c>
      <c r="BK49" s="151">
        <f>BK48/BE48-1</f>
        <v>3.4661076074226527E-2</v>
      </c>
      <c r="BL49" s="133">
        <f>BL48/BF48-1</f>
        <v>6.1470202636000559E-2</v>
      </c>
      <c r="BM49" s="133">
        <f>BM48/BG48-1</f>
        <v>0.16848831482247051</v>
      </c>
      <c r="BN49" s="133">
        <f>BN48/BH48-1</f>
        <v>0.10674640017029957</v>
      </c>
      <c r="BO49" s="153">
        <f>BO48/BI48-1</f>
        <v>9.2811243738788685E-2</v>
      </c>
      <c r="BQ49" s="151">
        <f>BQ48/BK48-1</f>
        <v>4.2068887998457427E-2</v>
      </c>
      <c r="BR49" s="133">
        <f>BR48/BL48-1</f>
        <v>1.5173050033565172E-2</v>
      </c>
      <c r="BS49" s="133">
        <f>BS48/BM48-1</f>
        <v>-4.5374258407193668E-4</v>
      </c>
      <c r="BT49" s="152">
        <f>BT48/BN48-1</f>
        <v>-1.0510310691004277E-3</v>
      </c>
      <c r="BU49" s="152">
        <f>BU48/BO48-1</f>
        <v>1.325288027722249E-2</v>
      </c>
      <c r="BW49" s="151">
        <f>BW48/BQ48-1</f>
        <v>1.0811096457979286E-2</v>
      </c>
      <c r="BX49" s="133">
        <f>BX48/BR48-1</f>
        <v>1.744558861819212E-2</v>
      </c>
      <c r="BY49" s="133">
        <f>BY48/BS48-1</f>
        <v>1.1474404075099143E-2</v>
      </c>
      <c r="BZ49" s="152">
        <f>BZ48/BT48-1</f>
        <v>-2.2848459591185755E-2</v>
      </c>
      <c r="CA49" s="152">
        <f>CA48/BU48-1</f>
        <v>3.807248114995776E-3</v>
      </c>
      <c r="CC49" s="151">
        <f>CC48/BW48-1</f>
        <v>1.1675486537058299E-2</v>
      </c>
      <c r="CD49" s="133">
        <f>CD48/BX48-1</f>
        <v>1.4529757672203658E-2</v>
      </c>
      <c r="CE49" s="133">
        <f>CE48/BY48-1</f>
        <v>1.540551654310085E-2</v>
      </c>
      <c r="CF49" s="152">
        <f>CF48/BZ48-1</f>
        <v>2.8294834369981814E-3</v>
      </c>
      <c r="CG49" s="152">
        <f>CG48/CA48-1</f>
        <v>1.1096399793287581E-2</v>
      </c>
      <c r="CI49" s="151">
        <f>CI48/CC48-1</f>
        <v>1.1171007988962867E-2</v>
      </c>
      <c r="CJ49" s="133">
        <f>CJ48/CD48-1</f>
        <v>1.12643582073646E-2</v>
      </c>
      <c r="CK49" s="133">
        <f>CK48/CE48-1</f>
        <v>1.032491376230471E-2</v>
      </c>
      <c r="CL49" s="152">
        <f>CL48/CF48-1</f>
        <v>9.9802459452096315E-3</v>
      </c>
      <c r="CM49" s="152">
        <f>CM48/CG48-1</f>
        <v>1.0672425246839312E-2</v>
      </c>
      <c r="CO49" s="151">
        <f>CO48/CI48-1</f>
        <v>1.2393364071240143E-2</v>
      </c>
      <c r="CP49" s="133">
        <f>CP48/CJ48-1</f>
        <v>1.2499766577940941E-2</v>
      </c>
      <c r="CQ49" s="133">
        <f>CQ48/CK48-1</f>
        <v>1.1599749432686934E-2</v>
      </c>
      <c r="CR49" s="152">
        <f>CR48/CL48-1</f>
        <v>1.1318355519372325E-2</v>
      </c>
      <c r="CS49" s="152">
        <f>CS48/CM48-1</f>
        <v>1.1940934178819473E-2</v>
      </c>
      <c r="CU49" s="151">
        <f>CU48/CO48-1</f>
        <v>1.8022262432323632E-2</v>
      </c>
      <c r="CV49" s="133">
        <f>CV48/CP48-1</f>
        <v>1.8075455895727011E-2</v>
      </c>
      <c r="CW49" s="133">
        <f>CW48/CQ48-1</f>
        <v>1.715293960627795E-2</v>
      </c>
      <c r="CX49" s="152">
        <f>CX48/CR48-1</f>
        <v>1.6706173178067107E-2</v>
      </c>
      <c r="CY49" s="152">
        <f>CY48/CS48-1</f>
        <v>1.7477267339455205E-2</v>
      </c>
      <c r="DA49" s="151">
        <f>DA48/CU48-1</f>
        <v>1.91605406560309E-2</v>
      </c>
      <c r="DB49" s="133">
        <f>DB48/CV48-1</f>
        <v>1.9224942098303943E-2</v>
      </c>
      <c r="DC49" s="133">
        <f>DC48/CW48-1</f>
        <v>1.8349767118573279E-2</v>
      </c>
      <c r="DD49" s="152">
        <f>DD48/CX48-1</f>
        <v>1.7966787626895409E-2</v>
      </c>
      <c r="DE49" s="152">
        <f>DE48/CY48-1</f>
        <v>1.8664490907325249E-2</v>
      </c>
      <c r="DG49" s="151">
        <f>DG48/DA48-1</f>
        <v>2.0251050459482611E-2</v>
      </c>
      <c r="DH49" s="133">
        <f>DH48/DB48-1</f>
        <v>2.0326096373578073E-2</v>
      </c>
      <c r="DI49" s="133">
        <f>DI48/DC48-1</f>
        <v>1.9497703330851657E-2</v>
      </c>
      <c r="DJ49" s="152">
        <f>DJ48/DD48-1</f>
        <v>1.9176710487787352E-2</v>
      </c>
      <c r="DK49" s="152">
        <f>DK48/DE48-1</f>
        <v>1.98027119057953E-2</v>
      </c>
    </row>
    <row r="50" spans="2:115" ht="15" x14ac:dyDescent="0.3">
      <c r="B50" s="105"/>
      <c r="C50" s="203"/>
      <c r="D50" s="204"/>
      <c r="E50" s="204"/>
      <c r="F50" s="204"/>
      <c r="G50" s="159"/>
      <c r="H50" s="197"/>
      <c r="I50" s="203"/>
      <c r="J50" s="204"/>
      <c r="K50" s="204"/>
      <c r="L50" s="205"/>
      <c r="M50" s="159"/>
      <c r="N50" s="197"/>
      <c r="O50" s="203"/>
      <c r="P50" s="204"/>
      <c r="Q50" s="204"/>
      <c r="R50" s="204"/>
      <c r="S50" s="159"/>
      <c r="T50" s="114"/>
      <c r="U50" s="203"/>
      <c r="V50" s="204"/>
      <c r="W50" s="204"/>
      <c r="X50" s="204"/>
      <c r="Y50" s="213"/>
      <c r="AA50" s="203"/>
      <c r="AB50" s="204"/>
      <c r="AC50" s="204"/>
      <c r="AD50" s="204"/>
      <c r="AE50" s="213"/>
      <c r="AG50" s="203"/>
      <c r="AH50" s="204"/>
      <c r="AI50" s="204"/>
      <c r="AJ50" s="204"/>
      <c r="AK50" s="213"/>
      <c r="AM50" s="203"/>
      <c r="AN50" s="204"/>
      <c r="AO50" s="204"/>
      <c r="AP50" s="204"/>
      <c r="AQ50" s="213"/>
      <c r="AS50" s="203"/>
      <c r="AT50" s="204"/>
      <c r="AU50" s="204"/>
      <c r="AV50" s="204"/>
      <c r="AW50" s="213"/>
      <c r="AY50" s="203"/>
      <c r="AZ50" s="204"/>
      <c r="BA50" s="204"/>
      <c r="BB50" s="204"/>
      <c r="BC50" s="213"/>
      <c r="BE50" s="203"/>
      <c r="BF50" s="204"/>
      <c r="BG50" s="204"/>
      <c r="BH50" s="204"/>
      <c r="BI50" s="213"/>
      <c r="BK50" s="203"/>
      <c r="BL50" s="204"/>
      <c r="BM50" s="204"/>
      <c r="BN50" s="204"/>
      <c r="BO50" s="213"/>
      <c r="BQ50" s="203"/>
      <c r="BR50" s="204"/>
      <c r="BS50" s="204"/>
      <c r="BT50" s="204"/>
      <c r="BU50" s="213"/>
      <c r="BW50" s="203"/>
      <c r="BX50" s="204"/>
      <c r="BY50" s="204"/>
      <c r="BZ50" s="204"/>
      <c r="CA50" s="213"/>
      <c r="CC50" s="203"/>
      <c r="CD50" s="204"/>
      <c r="CE50" s="204"/>
      <c r="CF50" s="204"/>
      <c r="CG50" s="213"/>
      <c r="CI50" s="203"/>
      <c r="CJ50" s="204"/>
      <c r="CK50" s="204"/>
      <c r="CL50" s="204"/>
      <c r="CM50" s="213"/>
      <c r="CO50" s="203"/>
      <c r="CP50" s="204"/>
      <c r="CQ50" s="204"/>
      <c r="CR50" s="204"/>
      <c r="CS50" s="213"/>
      <c r="CU50" s="203"/>
      <c r="CV50" s="204"/>
      <c r="CW50" s="204"/>
      <c r="CX50" s="204"/>
      <c r="CY50" s="213"/>
      <c r="DA50" s="203"/>
      <c r="DB50" s="204"/>
      <c r="DC50" s="204"/>
      <c r="DD50" s="204"/>
      <c r="DE50" s="213"/>
      <c r="DG50" s="203"/>
      <c r="DH50" s="204"/>
      <c r="DI50" s="204"/>
      <c r="DJ50" s="204"/>
      <c r="DK50" s="213"/>
    </row>
    <row r="51" spans="2:115" ht="15" x14ac:dyDescent="0.3">
      <c r="B51" s="5" t="s">
        <v>54</v>
      </c>
      <c r="C51" s="151">
        <f>C48/C40</f>
        <v>0.5894831793721973</v>
      </c>
      <c r="D51" s="133">
        <f>D48/D40</f>
        <v>0.59410405349794237</v>
      </c>
      <c r="E51" s="133">
        <f>E48/E40</f>
        <v>0.58433226284584983</v>
      </c>
      <c r="F51" s="133">
        <f>F48/F40</f>
        <v>0.60783537001897536</v>
      </c>
      <c r="G51" s="153">
        <f>G48/G40</f>
        <v>0.5942215944020357</v>
      </c>
      <c r="I51" s="151">
        <f>I48/I40</f>
        <v>0.57717429007633581</v>
      </c>
      <c r="J51" s="133">
        <f>J48/J40</f>
        <v>0.57727096551724133</v>
      </c>
      <c r="K51" s="133">
        <f>K48/K40</f>
        <v>0.5830750752427184</v>
      </c>
      <c r="L51" s="152">
        <f>L48/L40</f>
        <v>0.62683319516728631</v>
      </c>
      <c r="M51" s="153">
        <f>M48/M40</f>
        <v>0.59063413429203537</v>
      </c>
      <c r="O51" s="151">
        <f>O48/O40</f>
        <v>0.67041230769230775</v>
      </c>
      <c r="P51" s="133">
        <f>P48/P40</f>
        <v>0.57398372727272728</v>
      </c>
      <c r="Q51" s="133">
        <f>Q48/Q40</f>
        <v>0.56374837555555557</v>
      </c>
      <c r="R51" s="133">
        <f>R48/R40</f>
        <v>0.58488298447893561</v>
      </c>
      <c r="S51" s="153">
        <f>S48/S40</f>
        <v>0.59699109561752983</v>
      </c>
      <c r="U51" s="151">
        <f>U48/U40</f>
        <v>0.56775845011337878</v>
      </c>
      <c r="V51" s="133">
        <f>V48/V40</f>
        <v>0.55976075498891342</v>
      </c>
      <c r="W51" s="133">
        <f>W48/W40</f>
        <v>0.60404708474576274</v>
      </c>
      <c r="X51" s="133">
        <f>X48/X40</f>
        <v>0.54411745263157896</v>
      </c>
      <c r="Y51" s="153">
        <f>Y48/Y40</f>
        <v>0.56900467156063073</v>
      </c>
      <c r="AA51" s="151">
        <f>AA48/AA40</f>
        <v>0.61242563636363645</v>
      </c>
      <c r="AB51" s="133">
        <f>AB48/AB40</f>
        <v>0.56307686534216339</v>
      </c>
      <c r="AC51" s="133">
        <f>AC48/AC40</f>
        <v>0.5969387146118722</v>
      </c>
      <c r="AD51" s="133">
        <f>AD48/AD40</f>
        <v>0.55156732885085569</v>
      </c>
      <c r="AE51" s="153">
        <f>AE48/AE40</f>
        <v>0.58137430718390803</v>
      </c>
      <c r="AG51" s="151">
        <f>AG48/AG40</f>
        <v>0.58108271791767552</v>
      </c>
      <c r="AH51" s="133">
        <f>AH48/AH40</f>
        <v>0.56517464114832539</v>
      </c>
      <c r="AI51" s="133">
        <f>AI48/AI40</f>
        <v>0.53748196090047395</v>
      </c>
      <c r="AJ51" s="133">
        <f>AJ48/AJ40</f>
        <v>0.54027676470588226</v>
      </c>
      <c r="AK51" s="153">
        <f>AK48/AK40</f>
        <v>0.55581953218116809</v>
      </c>
      <c r="AM51" s="151">
        <f>AM48/AM40</f>
        <v>0.57416577922077927</v>
      </c>
      <c r="AN51" s="133">
        <f>AN48/AN40</f>
        <v>0.5895946732186732</v>
      </c>
      <c r="AO51" s="133">
        <f>AO48/AO40</f>
        <v>0.58256102040816327</v>
      </c>
      <c r="AP51" s="133">
        <f>AP48/AP40</f>
        <v>0.55329695000000001</v>
      </c>
      <c r="AQ51" s="153">
        <f>AQ48/AQ40</f>
        <v>0.5749378516414142</v>
      </c>
      <c r="AS51" s="151">
        <f>AS48/AS40</f>
        <v>0.5786435314285715</v>
      </c>
      <c r="AT51" s="133">
        <f>AT48/AT40</f>
        <v>0.59611569452054791</v>
      </c>
      <c r="AU51" s="133">
        <f>AU48/AU40</f>
        <v>0.59071213659793809</v>
      </c>
      <c r="AV51" s="133">
        <f>AV48/AV40</f>
        <v>0.58793913881748072</v>
      </c>
      <c r="AW51" s="153">
        <f>AW48/AW40</f>
        <v>0.58847995878016091</v>
      </c>
      <c r="AY51" s="151">
        <f>AY48/AY40</f>
        <v>0.64611413612565449</v>
      </c>
      <c r="AZ51" s="133">
        <f>AZ48/AZ40</f>
        <v>0.59397486623376616</v>
      </c>
      <c r="BA51" s="133">
        <f>BA48/BA40</f>
        <v>0.56370746291560103</v>
      </c>
      <c r="BB51" s="133">
        <f>BB48/BB40</f>
        <v>0.61768507772020731</v>
      </c>
      <c r="BC51" s="153">
        <f>BC48/BC40</f>
        <v>0.6051372937176166</v>
      </c>
      <c r="BE51" s="151">
        <f>BE48/BE40</f>
        <v>0.66434103439153436</v>
      </c>
      <c r="BF51" s="133">
        <f>BF48/BF40</f>
        <v>0.69139815743440225</v>
      </c>
      <c r="BG51" s="133">
        <f>BG48/BG40</f>
        <v>0.65389134584450403</v>
      </c>
      <c r="BH51" s="133">
        <f>BH48/BH40</f>
        <v>0.6515836294416244</v>
      </c>
      <c r="BI51" s="153">
        <f>BI48/BI40</f>
        <v>0.6645805786290323</v>
      </c>
      <c r="BK51" s="151">
        <f>BK48/BK40</f>
        <v>0.71380503296703302</v>
      </c>
      <c r="BL51" s="133">
        <f>BL48/BL40</f>
        <v>0.66594497354497351</v>
      </c>
      <c r="BM51" s="133">
        <f>BM48/BM40</f>
        <v>0.75796813829787235</v>
      </c>
      <c r="BN51" s="133">
        <f>BN48/BN40</f>
        <v>0.72481711096938772</v>
      </c>
      <c r="BO51" s="153">
        <f>BO48/BO40</f>
        <v>0.7156798407284769</v>
      </c>
      <c r="BQ51" s="214">
        <f>BK51+BQ52</f>
        <v>0.74880503296703305</v>
      </c>
      <c r="BR51" s="215">
        <f>BL51+BR52</f>
        <v>0.68594497354497352</v>
      </c>
      <c r="BS51" s="215">
        <f>BM51+BS52</f>
        <v>0.76796813829787236</v>
      </c>
      <c r="BT51" s="215">
        <f>BN51+BT52</f>
        <v>0.72981711096938773</v>
      </c>
      <c r="BU51" s="153">
        <f>BU48/BU40</f>
        <v>0.7329449255931646</v>
      </c>
      <c r="BW51" s="214">
        <f>BQ51+BW52</f>
        <v>0.75380503296703305</v>
      </c>
      <c r="BX51" s="215">
        <f>BR51+BX52</f>
        <v>0.69094497354497353</v>
      </c>
      <c r="BY51" s="215">
        <f>BS51+BY52</f>
        <v>0.77296813829787236</v>
      </c>
      <c r="BZ51" s="215">
        <f>BT51+BZ52</f>
        <v>0.73481711096938773</v>
      </c>
      <c r="CA51" s="153">
        <f>CA48/CA40</f>
        <v>0.73790931170576213</v>
      </c>
      <c r="CC51" s="214">
        <f>BW51+CC52</f>
        <v>0.756305032967033</v>
      </c>
      <c r="CD51" s="215">
        <f>BX51+CD52</f>
        <v>0.69344497354497348</v>
      </c>
      <c r="CE51" s="215">
        <f>BY51+CE52</f>
        <v>0.77546813829787231</v>
      </c>
      <c r="CF51" s="215">
        <f>BZ51+CF52</f>
        <v>0.73731711096938768</v>
      </c>
      <c r="CG51" s="153">
        <f>CG48/CG40</f>
        <v>0.74041940858395583</v>
      </c>
      <c r="CI51" s="214">
        <f>CC51+CI52</f>
        <v>0.756305032967033</v>
      </c>
      <c r="CJ51" s="215">
        <f>CD51+CJ52</f>
        <v>0.69344497354497348</v>
      </c>
      <c r="CK51" s="215">
        <f>CE51+CK52</f>
        <v>0.77546813829787231</v>
      </c>
      <c r="CL51" s="215">
        <f>CF51+CL52</f>
        <v>0.73731711096938768</v>
      </c>
      <c r="CM51" s="153">
        <f>CM48/CM40</f>
        <v>0.74041185245784435</v>
      </c>
      <c r="CO51" s="214">
        <f>CI51+CO52</f>
        <v>0.756305032967033</v>
      </c>
      <c r="CP51" s="215">
        <f>CJ51+CP52</f>
        <v>0.69344497354497348</v>
      </c>
      <c r="CQ51" s="215">
        <f>CK51+CQ52</f>
        <v>0.77546813829787231</v>
      </c>
      <c r="CR51" s="215">
        <f>CL51+CR52</f>
        <v>0.73731711096938768</v>
      </c>
      <c r="CS51" s="153">
        <f>CS48/CS40</f>
        <v>0.74040451779339767</v>
      </c>
      <c r="CU51" s="214">
        <f>CO51+CU52</f>
        <v>0.756305032967033</v>
      </c>
      <c r="CV51" s="215">
        <f>CP51+CV52</f>
        <v>0.69344497354497348</v>
      </c>
      <c r="CW51" s="215">
        <f>CQ51+CW52</f>
        <v>0.77546813829787231</v>
      </c>
      <c r="CX51" s="215">
        <f>CR51+CX52</f>
        <v>0.73731711096938768</v>
      </c>
      <c r="CY51" s="153">
        <f>CY48/CY40</f>
        <v>0.74039737236130843</v>
      </c>
      <c r="DA51" s="214">
        <f>CU51+DA52</f>
        <v>0.756305032967033</v>
      </c>
      <c r="DB51" s="215">
        <f>CV51+DB52</f>
        <v>0.69344497354497348</v>
      </c>
      <c r="DC51" s="215">
        <f>CW51+DC52</f>
        <v>0.77546813829787231</v>
      </c>
      <c r="DD51" s="215">
        <f>CX51+DD52</f>
        <v>0.73731711096938768</v>
      </c>
      <c r="DE51" s="153">
        <f>DE48/DE40</f>
        <v>0.74039051507789622</v>
      </c>
      <c r="DG51" s="214">
        <f>DA51+DG52</f>
        <v>0.756305032967033</v>
      </c>
      <c r="DH51" s="215">
        <f>DB51+DH52</f>
        <v>0.69344497354497348</v>
      </c>
      <c r="DI51" s="215">
        <f>DC51+DI52</f>
        <v>0.77546813829787231</v>
      </c>
      <c r="DJ51" s="215">
        <f>DD51+DJ52</f>
        <v>0.73731711096938768</v>
      </c>
      <c r="DK51" s="153">
        <f>DK48/DK40</f>
        <v>0.74038394454657031</v>
      </c>
    </row>
    <row r="52" spans="2:115" ht="15.75" thickBot="1" x14ac:dyDescent="0.35">
      <c r="B52" s="140" t="s">
        <v>23</v>
      </c>
      <c r="C52" s="155" t="s">
        <v>35</v>
      </c>
      <c r="D52" s="106" t="s">
        <v>35</v>
      </c>
      <c r="E52" s="106" t="s">
        <v>35</v>
      </c>
      <c r="F52" s="106" t="s">
        <v>35</v>
      </c>
      <c r="G52" s="108" t="s">
        <v>35</v>
      </c>
      <c r="I52" s="109">
        <f>I51-C51</f>
        <v>-1.2308889295861491E-2</v>
      </c>
      <c r="J52" s="110">
        <f>J51-D51</f>
        <v>-1.6833087980701045E-2</v>
      </c>
      <c r="K52" s="110">
        <f>K51-E51</f>
        <v>-1.2571876031314266E-3</v>
      </c>
      <c r="L52" s="120">
        <f>L51-F51</f>
        <v>1.8997825148310943E-2</v>
      </c>
      <c r="M52" s="122">
        <f>M51-G51</f>
        <v>-3.5874601100003289E-3</v>
      </c>
      <c r="O52" s="109">
        <f>O51-I51</f>
        <v>9.3238017615971946E-2</v>
      </c>
      <c r="P52" s="110">
        <f>P51-J51</f>
        <v>-3.2872382445140458E-3</v>
      </c>
      <c r="Q52" s="110">
        <f>Q51-K51</f>
        <v>-1.9326699687162829E-2</v>
      </c>
      <c r="R52" s="110">
        <f>R51-L51</f>
        <v>-4.1950210688350698E-2</v>
      </c>
      <c r="S52" s="122">
        <f>S51-M51</f>
        <v>6.356961325494459E-3</v>
      </c>
      <c r="U52" s="109">
        <f>U51-O51</f>
        <v>-0.10265385757892898</v>
      </c>
      <c r="V52" s="110">
        <f>V51-P51</f>
        <v>-1.4222972283813862E-2</v>
      </c>
      <c r="W52" s="110">
        <f>W51-Q51</f>
        <v>4.0298709190207171E-2</v>
      </c>
      <c r="X52" s="110">
        <f>X51-R51</f>
        <v>-4.0765531847356651E-2</v>
      </c>
      <c r="Y52" s="122">
        <f>Y51-S51</f>
        <v>-2.7986424056899106E-2</v>
      </c>
      <c r="AA52" s="109">
        <f>AA51-U51</f>
        <v>4.4667186250257673E-2</v>
      </c>
      <c r="AB52" s="110">
        <f>AB51-V51</f>
        <v>3.3161103532499681E-3</v>
      </c>
      <c r="AC52" s="110">
        <f>AC51-W51</f>
        <v>-7.1083701338905403E-3</v>
      </c>
      <c r="AD52" s="110">
        <f>AD51-X51</f>
        <v>7.4498762192767298E-3</v>
      </c>
      <c r="AE52" s="122">
        <f>AE51-Y51</f>
        <v>1.2369635623277309E-2</v>
      </c>
      <c r="AG52" s="109">
        <f>AG51-AA51</f>
        <v>-3.1342918445960932E-2</v>
      </c>
      <c r="AH52" s="110">
        <f>AH51-AB51</f>
        <v>2.0977758061619944E-3</v>
      </c>
      <c r="AI52" s="110">
        <f>AI51-AC51</f>
        <v>-5.9456753711398247E-2</v>
      </c>
      <c r="AJ52" s="110">
        <f>AJ51-AD51</f>
        <v>-1.1290564144973425E-2</v>
      </c>
      <c r="AK52" s="122">
        <f>AK51-AE51</f>
        <v>-2.5554775002739949E-2</v>
      </c>
      <c r="AM52" s="109">
        <f>AM51-AG51</f>
        <v>-6.9169386968962465E-3</v>
      </c>
      <c r="AN52" s="110">
        <f>AN51-AH51</f>
        <v>2.4420032070347819E-2</v>
      </c>
      <c r="AO52" s="110">
        <f>AO51-AI51</f>
        <v>4.5079059507689312E-2</v>
      </c>
      <c r="AP52" s="110">
        <f>AP51-AJ51</f>
        <v>1.3020185294117748E-2</v>
      </c>
      <c r="AQ52" s="122">
        <f>AQ51-AK51</f>
        <v>1.9118319460246114E-2</v>
      </c>
      <c r="AS52" s="109">
        <f>AS51-AM51</f>
        <v>4.4777522077922294E-3</v>
      </c>
      <c r="AT52" s="110">
        <f>AT51-AN51</f>
        <v>6.5210213018747076E-3</v>
      </c>
      <c r="AU52" s="110">
        <f>AU51-AO51</f>
        <v>8.1511161897748208E-3</v>
      </c>
      <c r="AV52" s="110">
        <f>AV51-AP51</f>
        <v>3.4642188817480712E-2</v>
      </c>
      <c r="AW52" s="122">
        <f>AW51-AQ51</f>
        <v>1.3542107138746706E-2</v>
      </c>
      <c r="AY52" s="109">
        <f>AY51-AS51</f>
        <v>6.7470604697082992E-2</v>
      </c>
      <c r="AZ52" s="110">
        <f>AZ51-AT51</f>
        <v>-2.1408282867817485E-3</v>
      </c>
      <c r="BA52" s="110">
        <f>BA51-AU51</f>
        <v>-2.7004673682337055E-2</v>
      </c>
      <c r="BB52" s="110">
        <f>BB51-AV51</f>
        <v>2.9745938902726587E-2</v>
      </c>
      <c r="BC52" s="122">
        <f>BC51-AW51</f>
        <v>1.6657334937455692E-2</v>
      </c>
      <c r="BE52" s="109">
        <f>BE51-AY51</f>
        <v>1.8226898265879865E-2</v>
      </c>
      <c r="BF52" s="110">
        <f>BF51-AZ51</f>
        <v>9.7423291200636086E-2</v>
      </c>
      <c r="BG52" s="110">
        <f>BG51-BA51</f>
        <v>9.0183882928903003E-2</v>
      </c>
      <c r="BH52" s="110">
        <f>BH51-BB51</f>
        <v>3.3898551721417092E-2</v>
      </c>
      <c r="BI52" s="122">
        <f>BI51-BC51</f>
        <v>5.9443284911415706E-2</v>
      </c>
      <c r="BK52" s="109">
        <f>BK51-BE51</f>
        <v>4.9463998575498658E-2</v>
      </c>
      <c r="BL52" s="110">
        <f>BL51-BF51</f>
        <v>-2.5453183889428743E-2</v>
      </c>
      <c r="BM52" s="110">
        <f>BM51-BG51</f>
        <v>0.10407679245336832</v>
      </c>
      <c r="BN52" s="110">
        <f>BN51-BH51</f>
        <v>7.3233481527763322E-2</v>
      </c>
      <c r="BO52" s="122">
        <f>BO51-BI51</f>
        <v>5.1099262099444598E-2</v>
      </c>
      <c r="BQ52" s="109">
        <v>3.5000000000000003E-2</v>
      </c>
      <c r="BR52" s="110">
        <v>0.02</v>
      </c>
      <c r="BS52" s="110">
        <v>0.01</v>
      </c>
      <c r="BT52" s="110">
        <v>5.0000000000000001E-3</v>
      </c>
      <c r="BU52" s="122">
        <f>BU51-BO51</f>
        <v>1.7265084864687696E-2</v>
      </c>
      <c r="BW52" s="109">
        <v>5.0000000000000001E-3</v>
      </c>
      <c r="BX52" s="110">
        <v>5.0000000000000001E-3</v>
      </c>
      <c r="BY52" s="110">
        <v>5.0000000000000001E-3</v>
      </c>
      <c r="BZ52" s="110">
        <v>5.0000000000000001E-3</v>
      </c>
      <c r="CA52" s="122">
        <f>CA51-BU51</f>
        <v>4.9643861125975297E-3</v>
      </c>
      <c r="CC52" s="109">
        <v>2.5000000000000001E-3</v>
      </c>
      <c r="CD52" s="110">
        <v>2.5000000000000001E-3</v>
      </c>
      <c r="CE52" s="110">
        <v>2.5000000000000001E-3</v>
      </c>
      <c r="CF52" s="110">
        <v>2.5000000000000001E-3</v>
      </c>
      <c r="CG52" s="122">
        <f>CG51-CA51</f>
        <v>2.5100968781937016E-3</v>
      </c>
      <c r="CI52" s="109">
        <v>0</v>
      </c>
      <c r="CJ52" s="110">
        <v>0</v>
      </c>
      <c r="CK52" s="110">
        <v>0</v>
      </c>
      <c r="CL52" s="110">
        <v>0</v>
      </c>
      <c r="CM52" s="122">
        <f>CM51-CG51</f>
        <v>-7.5561261114742706E-6</v>
      </c>
      <c r="CO52" s="109">
        <v>0</v>
      </c>
      <c r="CP52" s="110">
        <v>0</v>
      </c>
      <c r="CQ52" s="110">
        <v>0</v>
      </c>
      <c r="CR52" s="110">
        <v>0</v>
      </c>
      <c r="CS52" s="122">
        <f>CS51-CM51</f>
        <v>-7.3346644466898425E-6</v>
      </c>
      <c r="CU52" s="109">
        <v>0</v>
      </c>
      <c r="CV52" s="110">
        <v>0</v>
      </c>
      <c r="CW52" s="110">
        <v>0</v>
      </c>
      <c r="CX52" s="110">
        <v>0</v>
      </c>
      <c r="CY52" s="122">
        <f>CY51-CS51</f>
        <v>-7.1454320892394563E-6</v>
      </c>
      <c r="DA52" s="109">
        <v>0</v>
      </c>
      <c r="DB52" s="110">
        <v>0</v>
      </c>
      <c r="DC52" s="110">
        <v>0</v>
      </c>
      <c r="DD52" s="110">
        <v>0</v>
      </c>
      <c r="DE52" s="122">
        <f>DE51-CY51</f>
        <v>-6.8572834122093695E-6</v>
      </c>
      <c r="DG52" s="109">
        <v>0</v>
      </c>
      <c r="DH52" s="110">
        <v>0</v>
      </c>
      <c r="DI52" s="110">
        <v>0</v>
      </c>
      <c r="DJ52" s="110">
        <v>0</v>
      </c>
      <c r="DK52" s="122">
        <f>DK51-DE51</f>
        <v>-6.570531325911233E-6</v>
      </c>
    </row>
    <row r="53" spans="2:115" ht="15.75" thickBot="1" x14ac:dyDescent="0.35">
      <c r="B53" s="1"/>
      <c r="AA53" s="103"/>
      <c r="AB53" s="103"/>
      <c r="AC53" s="103"/>
      <c r="AD53" s="103"/>
      <c r="AE53" s="103"/>
      <c r="AG53" s="103"/>
      <c r="AH53" s="103"/>
      <c r="AI53" s="103"/>
      <c r="AJ53" s="103"/>
      <c r="AK53" s="103"/>
      <c r="AM53" s="103"/>
      <c r="AN53" s="103"/>
      <c r="AO53" s="103"/>
      <c r="AP53" s="103"/>
      <c r="AQ53" s="103"/>
      <c r="AS53" s="103"/>
      <c r="AT53" s="103"/>
      <c r="AU53" s="474"/>
      <c r="AV53" s="103"/>
      <c r="AW53" s="103"/>
      <c r="AY53" s="103"/>
      <c r="AZ53" s="103"/>
      <c r="BA53" s="103"/>
      <c r="BB53" s="103"/>
      <c r="BC53" s="103"/>
      <c r="BE53" s="103"/>
      <c r="BF53" s="103"/>
      <c r="BG53" s="103"/>
      <c r="BH53" s="103"/>
      <c r="BI53" s="103"/>
      <c r="BK53" s="103"/>
      <c r="BL53" s="103"/>
      <c r="BM53" s="103"/>
      <c r="BN53" s="103"/>
      <c r="BO53" s="103"/>
      <c r="BQ53" s="103"/>
      <c r="BR53" s="103"/>
      <c r="BS53" s="103"/>
      <c r="BT53" s="103"/>
      <c r="BU53" s="103"/>
      <c r="BW53" s="103"/>
      <c r="BX53" s="103"/>
      <c r="BY53" s="103"/>
      <c r="BZ53" s="103"/>
      <c r="CA53" s="103"/>
      <c r="CC53" s="103"/>
      <c r="CD53" s="103"/>
      <c r="CE53" s="103"/>
      <c r="CF53" s="103"/>
      <c r="CG53" s="103"/>
      <c r="CI53" s="103"/>
      <c r="CJ53" s="103"/>
      <c r="CK53" s="103"/>
      <c r="CL53" s="103"/>
      <c r="CM53" s="103"/>
      <c r="CO53" s="103"/>
      <c r="CP53" s="103"/>
      <c r="CQ53" s="103"/>
      <c r="CR53" s="103"/>
      <c r="CS53" s="103"/>
      <c r="CU53" s="103"/>
      <c r="CV53" s="103"/>
      <c r="CW53" s="103"/>
      <c r="CX53" s="103"/>
      <c r="CY53" s="103"/>
      <c r="DA53" s="103"/>
      <c r="DB53" s="103"/>
      <c r="DC53" s="103"/>
      <c r="DD53" s="103"/>
      <c r="DE53" s="103"/>
      <c r="DG53" s="103"/>
      <c r="DH53" s="103"/>
      <c r="DI53" s="103"/>
      <c r="DJ53" s="103"/>
      <c r="DK53" s="103"/>
    </row>
    <row r="54" spans="2:115" ht="15" x14ac:dyDescent="0.3">
      <c r="B54" s="42" t="s">
        <v>61</v>
      </c>
      <c r="C54" s="198">
        <v>147</v>
      </c>
      <c r="D54" s="199">
        <v>168</v>
      </c>
      <c r="E54" s="199">
        <v>177</v>
      </c>
      <c r="F54" s="200">
        <v>154</v>
      </c>
      <c r="G54" s="201">
        <f>C54+D54+E54+F54</f>
        <v>646</v>
      </c>
      <c r="H54" s="197"/>
      <c r="I54" s="198">
        <v>184</v>
      </c>
      <c r="J54" s="199">
        <v>214</v>
      </c>
      <c r="K54" s="199">
        <v>222</v>
      </c>
      <c r="L54" s="199">
        <v>165</v>
      </c>
      <c r="M54" s="201">
        <f>I54+J54+K54+L54</f>
        <v>785</v>
      </c>
      <c r="N54" s="197"/>
      <c r="O54" s="198">
        <v>110</v>
      </c>
      <c r="P54" s="199">
        <v>170</v>
      </c>
      <c r="Q54" s="199">
        <v>175</v>
      </c>
      <c r="R54" s="199">
        <v>161</v>
      </c>
      <c r="S54" s="201">
        <f>O54+P54+Q54+R54</f>
        <v>616</v>
      </c>
      <c r="T54" s="197"/>
      <c r="U54" s="198">
        <v>169</v>
      </c>
      <c r="V54" s="199">
        <v>176</v>
      </c>
      <c r="W54" s="199">
        <v>159</v>
      </c>
      <c r="X54" s="199">
        <v>187</v>
      </c>
      <c r="Y54" s="184">
        <f>U54+V54+W54+X54</f>
        <v>691</v>
      </c>
      <c r="AA54" s="198">
        <v>144</v>
      </c>
      <c r="AB54" s="199">
        <v>176</v>
      </c>
      <c r="AC54" s="199">
        <v>156</v>
      </c>
      <c r="AD54" s="199">
        <v>153</v>
      </c>
      <c r="AE54" s="184">
        <f>AA54+AB54+AC54+AD54</f>
        <v>629</v>
      </c>
      <c r="AG54" s="198">
        <v>127</v>
      </c>
      <c r="AH54" s="199">
        <v>139</v>
      </c>
      <c r="AI54" s="199">
        <v>160</v>
      </c>
      <c r="AJ54" s="199">
        <v>160</v>
      </c>
      <c r="AK54" s="184">
        <f>AG54+AH54+AI54+AJ54</f>
        <v>586</v>
      </c>
      <c r="AM54" s="198">
        <v>140</v>
      </c>
      <c r="AN54" s="199">
        <v>147</v>
      </c>
      <c r="AO54" s="199">
        <v>145</v>
      </c>
      <c r="AP54" s="199">
        <v>167</v>
      </c>
      <c r="AQ54" s="184">
        <f>AM54+AN54+AO54+AP54</f>
        <v>599</v>
      </c>
      <c r="AS54" s="198">
        <v>134</v>
      </c>
      <c r="AT54" s="199">
        <v>141</v>
      </c>
      <c r="AU54" s="199">
        <v>149</v>
      </c>
      <c r="AV54" s="199">
        <v>155</v>
      </c>
      <c r="AW54" s="184">
        <f>AS54+AT54+AU54+AV54</f>
        <v>579</v>
      </c>
      <c r="AY54" s="198">
        <v>130</v>
      </c>
      <c r="AZ54" s="199">
        <v>145</v>
      </c>
      <c r="BA54" s="199">
        <v>164</v>
      </c>
      <c r="BB54" s="199">
        <v>141</v>
      </c>
      <c r="BC54" s="184">
        <f>AY54+AZ54+BA54+BB54</f>
        <v>580</v>
      </c>
      <c r="BE54" s="198">
        <v>120</v>
      </c>
      <c r="BF54" s="199">
        <v>100</v>
      </c>
      <c r="BG54" s="199">
        <v>125</v>
      </c>
      <c r="BH54" s="199">
        <v>132</v>
      </c>
      <c r="BI54" s="184">
        <f>BE54+BF54+BG54+BH54</f>
        <v>477</v>
      </c>
      <c r="BK54" s="198">
        <v>100</v>
      </c>
      <c r="BL54" s="199">
        <v>125</v>
      </c>
      <c r="BM54" s="199">
        <v>88</v>
      </c>
      <c r="BN54" s="199">
        <v>106</v>
      </c>
      <c r="BO54" s="184">
        <f>BK54+BL54+BM54+BN54</f>
        <v>419</v>
      </c>
      <c r="BQ54" s="198">
        <f>BQ40-BQ45-BQ48</f>
        <v>88.075707952881885</v>
      </c>
      <c r="BR54" s="199">
        <f>BR40-BR45-BR48</f>
        <v>115.05925467440315</v>
      </c>
      <c r="BS54" s="199">
        <f>BS40-BS45-BS48</f>
        <v>83.474912705989254</v>
      </c>
      <c r="BT54" s="199">
        <f>BT40-BT45-BT48</f>
        <v>102.05436556416305</v>
      </c>
      <c r="BU54" s="184">
        <f>BQ54+BR54+BS54+BT54</f>
        <v>388.66424089743737</v>
      </c>
      <c r="BW54" s="198">
        <f>BW40-BW45-BW48</f>
        <v>85.855553404250486</v>
      </c>
      <c r="BX54" s="199">
        <f>BX40-BX45-BX48</f>
        <v>114.2766257126865</v>
      </c>
      <c r="BY54" s="199">
        <f>BY40-BY45-BY48</f>
        <v>81.927647309473571</v>
      </c>
      <c r="BZ54" s="199">
        <f>BZ40-BZ45-BZ48</f>
        <v>97.145482849768428</v>
      </c>
      <c r="CA54" s="184">
        <f>BW54+BX54+BY54+BZ54</f>
        <v>379.20530927617898</v>
      </c>
      <c r="CC54" s="198">
        <f>CC40-CC45-CC48</f>
        <v>85.555403449075072</v>
      </c>
      <c r="CD54" s="199">
        <f>CD40-CD45-CD48</f>
        <v>114.5158738789894</v>
      </c>
      <c r="CE54" s="199">
        <f>CE40-CE45-CE48</f>
        <v>81.912088429204118</v>
      </c>
      <c r="CF54" s="199">
        <f>CF40-CF45-CF48</f>
        <v>96.140300899641716</v>
      </c>
      <c r="CG54" s="184">
        <f>CC54+CD54+CE54+CF54</f>
        <v>378.1236666569103</v>
      </c>
      <c r="CI54" s="198">
        <f>CI40-CI45-CI48</f>
        <v>86.426612002066236</v>
      </c>
      <c r="CJ54" s="199">
        <f>CJ40-CJ45-CJ48</f>
        <v>115.75764824219857</v>
      </c>
      <c r="CK54" s="199">
        <f>CK40-CK45-CK48</f>
        <v>82.690874498778783</v>
      </c>
      <c r="CL54" s="199">
        <f>CL40-CL45-CL48</f>
        <v>97.028261166702691</v>
      </c>
      <c r="CM54" s="184">
        <f>CI54+CJ54+CK54+CL54</f>
        <v>381.90339590974628</v>
      </c>
      <c r="CO54" s="198">
        <f>CO40-CO45-CO48</f>
        <v>87.415241246054961</v>
      </c>
      <c r="CP54" s="199">
        <f>CP40-CP45-CP48</f>
        <v>117.15762583028828</v>
      </c>
      <c r="CQ54" s="199">
        <f>CQ40-CQ45-CQ48</f>
        <v>83.584758665862466</v>
      </c>
      <c r="CR54" s="199">
        <f>CR40-CR45-CR48</f>
        <v>98.056800370228132</v>
      </c>
      <c r="CS54" s="184">
        <f>CO54+CP54+CQ54+CR54</f>
        <v>386.21442611243384</v>
      </c>
      <c r="CU54" s="198">
        <f>CU40-CU45-CU48</f>
        <v>88.927708116009399</v>
      </c>
      <c r="CV54" s="199">
        <f>CV40-CV45-CV48</f>
        <v>119.23941446278133</v>
      </c>
      <c r="CW54" s="199">
        <f>CW40-CW45-CW48</f>
        <v>84.967821715688103</v>
      </c>
      <c r="CX54" s="199">
        <f>CX40-CX45-CX48</f>
        <v>99.640160230479637</v>
      </c>
      <c r="CY54" s="184">
        <f>CU54+CV54+CW54+CX54</f>
        <v>392.77510452495846</v>
      </c>
      <c r="DA54" s="198">
        <f>DA40-DA45-DA48</f>
        <v>90.571442738580913</v>
      </c>
      <c r="DB54" s="199">
        <f>DB40-DB45-DB48</f>
        <v>121.49752295682572</v>
      </c>
      <c r="DC54" s="199">
        <f>DC40-DC45-DC48</f>
        <v>86.478528052934507</v>
      </c>
      <c r="DD54" s="199">
        <f>DD40-DD45-DD48</f>
        <v>101.37808336365299</v>
      </c>
      <c r="DE54" s="184">
        <f>DA54+DB54+DC54+DD54</f>
        <v>399.92557711199413</v>
      </c>
      <c r="DG54" s="198">
        <f>DG40-DG45-DG48</f>
        <v>92.34828828049325</v>
      </c>
      <c r="DH54" s="199">
        <f>DH40-DH45-DH48</f>
        <v>123.93449338631086</v>
      </c>
      <c r="DI54" s="199">
        <f>DI40-DI45-DI48</f>
        <v>88.11850827543492</v>
      </c>
      <c r="DJ54" s="199">
        <f>DJ40-DJ45-DJ48</f>
        <v>103.2724571219585</v>
      </c>
      <c r="DK54" s="184">
        <f>DG54+DH54+DI54+DJ54</f>
        <v>407.67374706419753</v>
      </c>
    </row>
    <row r="55" spans="2:115" ht="15.75" thickBot="1" x14ac:dyDescent="0.35">
      <c r="B55" s="41" t="s">
        <v>23</v>
      </c>
      <c r="C55" s="155" t="s">
        <v>35</v>
      </c>
      <c r="D55" s="106" t="s">
        <v>35</v>
      </c>
      <c r="E55" s="106" t="s">
        <v>35</v>
      </c>
      <c r="F55" s="154" t="s">
        <v>35</v>
      </c>
      <c r="G55" s="108" t="s">
        <v>35</v>
      </c>
      <c r="I55" s="109">
        <f>I54/C54-1</f>
        <v>0.2517006802721089</v>
      </c>
      <c r="J55" s="110">
        <f>J54/D54-1</f>
        <v>0.27380952380952372</v>
      </c>
      <c r="K55" s="110">
        <f>K54/E54-1</f>
        <v>0.25423728813559321</v>
      </c>
      <c r="L55" s="110">
        <f>L54/F54-1</f>
        <v>7.1428571428571397E-2</v>
      </c>
      <c r="M55" s="122">
        <f>M54/G54-1</f>
        <v>0.21517027863777094</v>
      </c>
      <c r="O55" s="109">
        <f>O54/I54-1</f>
        <v>-0.40217391304347827</v>
      </c>
      <c r="P55" s="110">
        <f>P54/J54-1</f>
        <v>-0.20560747663551404</v>
      </c>
      <c r="Q55" s="110">
        <f>Q54/K54-1</f>
        <v>-0.21171171171171166</v>
      </c>
      <c r="R55" s="110">
        <f>R54/L54-1</f>
        <v>-2.4242424242424288E-2</v>
      </c>
      <c r="S55" s="122">
        <f>S54/M54-1</f>
        <v>-0.21528662420382161</v>
      </c>
      <c r="U55" s="109">
        <f>U54/O54-1</f>
        <v>0.53636363636363638</v>
      </c>
      <c r="V55" s="110">
        <f>V54/P54-1</f>
        <v>3.529411764705892E-2</v>
      </c>
      <c r="W55" s="110">
        <f>W54/Q54-1</f>
        <v>-9.1428571428571415E-2</v>
      </c>
      <c r="X55" s="110">
        <f>X54/R54-1</f>
        <v>0.16149068322981375</v>
      </c>
      <c r="Y55" s="122">
        <f>Y54/S54-1</f>
        <v>0.12175324675324672</v>
      </c>
      <c r="AA55" s="109">
        <f>AA54/U54-1</f>
        <v>-0.14792899408284022</v>
      </c>
      <c r="AB55" s="110">
        <f>AB54/V54-1</f>
        <v>0</v>
      </c>
      <c r="AC55" s="110">
        <f>AC54/W54-1</f>
        <v>-1.8867924528301883E-2</v>
      </c>
      <c r="AD55" s="110">
        <f>AD54/X54-1</f>
        <v>-0.18181818181818177</v>
      </c>
      <c r="AE55" s="122">
        <f>AE54/Y54-1</f>
        <v>-8.9725036179450046E-2</v>
      </c>
      <c r="AG55" s="109">
        <f>AG54/AA54-1</f>
        <v>-0.11805555555555558</v>
      </c>
      <c r="AH55" s="110">
        <f>AH54/AB54-1</f>
        <v>-0.21022727272727271</v>
      </c>
      <c r="AI55" s="110">
        <f>AI54/AC54-1</f>
        <v>2.564102564102555E-2</v>
      </c>
      <c r="AJ55" s="110">
        <f>AJ54/AD54-1</f>
        <v>4.5751633986928164E-2</v>
      </c>
      <c r="AK55" s="122">
        <f>AK54/AE54-1</f>
        <v>-6.8362480127186043E-2</v>
      </c>
      <c r="AM55" s="109">
        <f>AM54/AG54-1</f>
        <v>0.10236220472440949</v>
      </c>
      <c r="AN55" s="110">
        <f>AN54/AH54-1</f>
        <v>5.755395683453246E-2</v>
      </c>
      <c r="AO55" s="110">
        <f>AO54/AI54-1</f>
        <v>-9.375E-2</v>
      </c>
      <c r="AP55" s="110">
        <f>AP54/AJ54-1</f>
        <v>4.3749999999999956E-2</v>
      </c>
      <c r="AQ55" s="122">
        <f>AQ54/AK54-1</f>
        <v>2.2184300341296925E-2</v>
      </c>
      <c r="AS55" s="109">
        <f>AS54/AM54-1</f>
        <v>-4.2857142857142816E-2</v>
      </c>
      <c r="AT55" s="110">
        <f>AT54/AN54-1</f>
        <v>-4.081632653061229E-2</v>
      </c>
      <c r="AU55" s="110">
        <f>AU54/AO54-1</f>
        <v>2.7586206896551779E-2</v>
      </c>
      <c r="AV55" s="110">
        <f>AV54/AP54-1</f>
        <v>-7.1856287425149712E-2</v>
      </c>
      <c r="AW55" s="122">
        <f>AW54/AQ54-1</f>
        <v>-3.3388981636060078E-2</v>
      </c>
      <c r="AY55" s="109">
        <f>AY54/AS54-1</f>
        <v>-2.9850746268656692E-2</v>
      </c>
      <c r="AZ55" s="110">
        <f>AZ54/AT54-1</f>
        <v>2.8368794326241176E-2</v>
      </c>
      <c r="BA55" s="110">
        <f>BA54/AU54-1</f>
        <v>0.10067114093959728</v>
      </c>
      <c r="BB55" s="110">
        <f>BB54/AV54-1</f>
        <v>-9.0322580645161299E-2</v>
      </c>
      <c r="BC55" s="122">
        <f>BC54/AW54-1</f>
        <v>1.7271157167531026E-3</v>
      </c>
      <c r="BE55" s="109">
        <f>BE54/AY54-1</f>
        <v>-7.6923076923076872E-2</v>
      </c>
      <c r="BF55" s="110">
        <f>BF54/AZ54-1</f>
        <v>-0.31034482758620685</v>
      </c>
      <c r="BG55" s="110">
        <f>BG54/BA54-1</f>
        <v>-0.23780487804878048</v>
      </c>
      <c r="BH55" s="110">
        <f>BH54/BB54-1</f>
        <v>-6.3829787234042534E-2</v>
      </c>
      <c r="BI55" s="122">
        <f>BI54/BC54-1</f>
        <v>-0.17758620689655169</v>
      </c>
      <c r="BK55" s="109">
        <f>BK54/BE54-1</f>
        <v>-0.16666666666666663</v>
      </c>
      <c r="BL55" s="110">
        <f>BL54/BF54-1</f>
        <v>0.25</v>
      </c>
      <c r="BM55" s="110">
        <f>BM54/BG54-1</f>
        <v>-0.29600000000000004</v>
      </c>
      <c r="BN55" s="110">
        <f>BN54/BH54-1</f>
        <v>-0.19696969696969702</v>
      </c>
      <c r="BO55" s="122">
        <f>BO54/BI54-1</f>
        <v>-0.12159329140461217</v>
      </c>
      <c r="BQ55" s="109">
        <f>BQ54/BK54-1</f>
        <v>-0.11924292047118112</v>
      </c>
      <c r="BR55" s="110">
        <f>BR54/BL54-1</f>
        <v>-7.9525962604774847E-2</v>
      </c>
      <c r="BS55" s="110">
        <f>BS54/BM54-1</f>
        <v>-5.1421446522849412E-2</v>
      </c>
      <c r="BT55" s="110">
        <f>BT54/BN54-1</f>
        <v>-3.7222966375820343E-2</v>
      </c>
      <c r="BU55" s="122">
        <f>BU54/BO54-1</f>
        <v>-7.2400379719719909E-2</v>
      </c>
      <c r="BW55" s="109">
        <f>BW54/BQ54-1</f>
        <v>-2.5207342640028774E-2</v>
      </c>
      <c r="BX55" s="110">
        <f>BX54/BR54-1</f>
        <v>-6.8019644654517819E-3</v>
      </c>
      <c r="BY55" s="110">
        <f>BY54/BS54-1</f>
        <v>-1.8535693495905448E-2</v>
      </c>
      <c r="BZ55" s="110">
        <f>BZ54/BT54-1</f>
        <v>-4.8100663673307897E-2</v>
      </c>
      <c r="CA55" s="122">
        <f>CA54/BU54-1</f>
        <v>-2.4337025704802229E-2</v>
      </c>
      <c r="CC55" s="109">
        <f>CC54/BW54-1</f>
        <v>-3.4959876592042249E-3</v>
      </c>
      <c r="CD55" s="110">
        <f>CD54/BX54-1</f>
        <v>2.0935879477612662E-3</v>
      </c>
      <c r="CE55" s="110">
        <f>CE54/BY54-1</f>
        <v>-1.8991000938528568E-4</v>
      </c>
      <c r="CF55" s="110">
        <f>CF54/BZ54-1</f>
        <v>-1.0347181573858499E-2</v>
      </c>
      <c r="CG55" s="122">
        <f>CG54/CA54-1</f>
        <v>-2.8523931306059236E-3</v>
      </c>
      <c r="CI55" s="109">
        <f>CI54/CC54-1</f>
        <v>1.018297521686895E-2</v>
      </c>
      <c r="CJ55" s="110">
        <f>CJ54/CD54-1</f>
        <v>1.0843687614185082E-2</v>
      </c>
      <c r="CK55" s="110">
        <f>CK54/CE54-1</f>
        <v>9.5075841003340322E-3</v>
      </c>
      <c r="CL55" s="110">
        <f>CL54/CF54-1</f>
        <v>9.2360878710779915E-3</v>
      </c>
      <c r="CM55" s="122">
        <f>CM54/CG54-1</f>
        <v>9.9960134372270026E-3</v>
      </c>
      <c r="CO55" s="109">
        <f>CO54/CI54-1</f>
        <v>1.143894480053298E-2</v>
      </c>
      <c r="CP55" s="110">
        <f>CP54/CJ54-1</f>
        <v>1.2094039653954836E-2</v>
      </c>
      <c r="CQ55" s="110">
        <f>CQ54/CK54-1</f>
        <v>1.0809949374726679E-2</v>
      </c>
      <c r="CR55" s="110">
        <f>CR54/CL54-1</f>
        <v>1.0600408490865521E-2</v>
      </c>
      <c r="CS55" s="122">
        <f>CS54/CM54-1</f>
        <v>1.1288274073651738E-2</v>
      </c>
      <c r="CU55" s="109">
        <f>CU54/CO54-1</f>
        <v>1.7302095703164211E-2</v>
      </c>
      <c r="CV55" s="110">
        <f>CV54/CP54-1</f>
        <v>1.7769126147269887E-2</v>
      </c>
      <c r="CW55" s="110">
        <f>CW54/CQ54-1</f>
        <v>1.6546833081788836E-2</v>
      </c>
      <c r="CX55" s="110">
        <f>CX54/CR54-1</f>
        <v>1.6147374320529373E-2</v>
      </c>
      <c r="CY55" s="122">
        <f>CY54/CS54-1</f>
        <v>1.6987139705171739E-2</v>
      </c>
      <c r="DA55" s="109">
        <f>DA54/CU54-1</f>
        <v>1.8483942264959863E-2</v>
      </c>
      <c r="DB55" s="110">
        <f>DB54/CV54-1</f>
        <v>1.8937601331053378E-2</v>
      </c>
      <c r="DC55" s="110">
        <f>DC54/CW54-1</f>
        <v>1.7779746576314537E-2</v>
      </c>
      <c r="DD55" s="110">
        <f>DD54/CX54-1</f>
        <v>1.7441994564775243E-2</v>
      </c>
      <c r="DE55" s="122">
        <f>DE54/CY54-1</f>
        <v>1.8205004606093311E-2</v>
      </c>
      <c r="DG55" s="109">
        <f>DG54/DA54-1</f>
        <v>1.9618165375160146E-2</v>
      </c>
      <c r="DH55" s="110">
        <f>DH54/DB54-1</f>
        <v>2.0057778711678909E-2</v>
      </c>
      <c r="DI55" s="110">
        <f>DI54/DC54-1</f>
        <v>1.8964016379841242E-2</v>
      </c>
      <c r="DJ55" s="110">
        <f>DJ54/DD54-1</f>
        <v>1.8686225813820068E-2</v>
      </c>
      <c r="DK55" s="122">
        <f>DK54/DE54-1</f>
        <v>1.937402955858869E-2</v>
      </c>
    </row>
    <row r="56" spans="2:115" ht="15.75" thickBot="1" x14ac:dyDescent="0.35">
      <c r="B56" s="1"/>
      <c r="AA56" s="103"/>
      <c r="AB56" s="103"/>
      <c r="AC56" s="103"/>
      <c r="AD56" s="103"/>
      <c r="AE56" s="103"/>
      <c r="AG56" s="103"/>
      <c r="AH56" s="103"/>
      <c r="AI56" s="103"/>
      <c r="AJ56" s="103"/>
      <c r="AK56" s="103"/>
      <c r="AM56" s="103"/>
      <c r="AN56" s="103"/>
      <c r="AO56" s="103"/>
      <c r="AP56" s="103"/>
      <c r="AQ56" s="103"/>
      <c r="AS56" s="103"/>
      <c r="AT56" s="103"/>
      <c r="AU56" s="103"/>
      <c r="AV56" s="103"/>
      <c r="AW56" s="103"/>
      <c r="AY56" s="103"/>
      <c r="AZ56" s="103"/>
      <c r="BA56" s="103"/>
      <c r="BB56" s="103"/>
      <c r="BC56" s="103"/>
      <c r="BE56" s="103"/>
      <c r="BF56" s="103"/>
      <c r="BG56" s="103"/>
      <c r="BH56" s="103"/>
      <c r="BI56" s="103"/>
      <c r="BK56" s="103"/>
      <c r="BL56" s="103"/>
      <c r="BM56" s="103"/>
      <c r="BN56" s="103"/>
      <c r="BO56" s="103"/>
      <c r="BQ56" s="103"/>
      <c r="BR56" s="103"/>
      <c r="BS56" s="103"/>
      <c r="BT56" s="103"/>
      <c r="BU56" s="103"/>
      <c r="BW56" s="103"/>
      <c r="BX56" s="103"/>
      <c r="BY56" s="103"/>
      <c r="BZ56" s="103"/>
      <c r="CA56" s="103"/>
      <c r="CC56" s="103"/>
      <c r="CD56" s="103"/>
      <c r="CE56" s="103"/>
      <c r="CF56" s="103"/>
      <c r="CG56" s="103"/>
      <c r="CI56" s="103"/>
      <c r="CJ56" s="103"/>
      <c r="CK56" s="103"/>
      <c r="CL56" s="103"/>
      <c r="CM56" s="103"/>
      <c r="CO56" s="103"/>
      <c r="CP56" s="103"/>
      <c r="CQ56" s="103"/>
      <c r="CR56" s="103"/>
      <c r="CS56" s="103"/>
      <c r="CU56" s="103"/>
      <c r="CV56" s="103"/>
      <c r="CW56" s="103"/>
      <c r="CX56" s="103"/>
      <c r="CY56" s="103"/>
      <c r="DA56" s="103"/>
      <c r="DB56" s="103"/>
      <c r="DC56" s="103"/>
      <c r="DD56" s="103"/>
      <c r="DE56" s="103"/>
      <c r="DG56" s="103"/>
      <c r="DH56" s="103"/>
      <c r="DI56" s="103"/>
      <c r="DJ56" s="103"/>
      <c r="DK56" s="103"/>
    </row>
    <row r="57" spans="2:115" ht="15" x14ac:dyDescent="0.3">
      <c r="B57" s="42" t="s">
        <v>36</v>
      </c>
      <c r="C57" s="206">
        <f>C54/C40</f>
        <v>0.32959641255605382</v>
      </c>
      <c r="D57" s="206">
        <f>D54/D40</f>
        <v>0.34567901234567899</v>
      </c>
      <c r="E57" s="206">
        <f>E54/E40</f>
        <v>0.34980237154150196</v>
      </c>
      <c r="F57" s="206">
        <f>F54/F40</f>
        <v>0.29222011385199242</v>
      </c>
      <c r="G57" s="208">
        <f>G54/G40</f>
        <v>0.3287531806615776</v>
      </c>
      <c r="H57" s="129"/>
      <c r="I57" s="209">
        <f>I54/I40</f>
        <v>0.35114503816793891</v>
      </c>
      <c r="J57" s="206">
        <f>J54/J40</f>
        <v>0.36896551724137933</v>
      </c>
      <c r="K57" s="206">
        <f>K54/K40</f>
        <v>0.35922330097087379</v>
      </c>
      <c r="L57" s="206">
        <f>L54/L40</f>
        <v>0.30669144981412638</v>
      </c>
      <c r="M57" s="208">
        <f>M54/M40</f>
        <v>0.34734513274336282</v>
      </c>
      <c r="N57" s="129"/>
      <c r="O57" s="209">
        <f>O54/O40</f>
        <v>0.26442307692307693</v>
      </c>
      <c r="P57" s="206">
        <f>P54/P40</f>
        <v>0.38636363636363635</v>
      </c>
      <c r="Q57" s="206">
        <f>Q54/Q40</f>
        <v>0.3888888888888889</v>
      </c>
      <c r="R57" s="206">
        <f>R54/R40</f>
        <v>0.35698447893569846</v>
      </c>
      <c r="S57" s="208">
        <f>S54/S40</f>
        <v>0.35059760956175301</v>
      </c>
      <c r="U57" s="209">
        <f>U54/U40</f>
        <v>0.3832199546485261</v>
      </c>
      <c r="V57" s="206">
        <f>V54/V40</f>
        <v>0.3902439024390244</v>
      </c>
      <c r="W57" s="206">
        <f>W54/W40</f>
        <v>0.33686440677966101</v>
      </c>
      <c r="X57" s="207">
        <f>X54/X40</f>
        <v>0.3936842105263158</v>
      </c>
      <c r="Y57" s="208">
        <f>Y54/Y40</f>
        <v>0.37574768896139205</v>
      </c>
      <c r="AA57" s="209">
        <f>AA54/AA40</f>
        <v>0.32727272727272727</v>
      </c>
      <c r="AB57" s="206">
        <f>AB54/AB40</f>
        <v>0.38852097130242824</v>
      </c>
      <c r="AC57" s="206">
        <f>AC54/AC40</f>
        <v>0.35616438356164382</v>
      </c>
      <c r="AD57" s="206">
        <f>AD54/AD40</f>
        <v>0.37408312958435208</v>
      </c>
      <c r="AE57" s="208">
        <f>AE54/AE40</f>
        <v>0.36149425287356324</v>
      </c>
      <c r="AG57" s="209">
        <f>AG54/AG40</f>
        <v>0.30750605326876512</v>
      </c>
      <c r="AH57" s="206">
        <f>AH54/AH40</f>
        <v>0.33253588516746413</v>
      </c>
      <c r="AI57" s="206">
        <f>AI54/AI40</f>
        <v>0.37914691943127959</v>
      </c>
      <c r="AJ57" s="206">
        <f>AJ54/AJ40</f>
        <v>0.37647058823529411</v>
      </c>
      <c r="AK57" s="208">
        <f>AK54/AK40</f>
        <v>0.34922526817640048</v>
      </c>
      <c r="AM57" s="209">
        <f>AM54/AM40</f>
        <v>0.36363636363636365</v>
      </c>
      <c r="AN57" s="206">
        <f>AN54/AN40</f>
        <v>0.36117936117936117</v>
      </c>
      <c r="AO57" s="206">
        <f>AO54/AO40</f>
        <v>0.36989795918367346</v>
      </c>
      <c r="AP57" s="206">
        <f>AP54/AP40</f>
        <v>0.41749999999999998</v>
      </c>
      <c r="AQ57" s="208">
        <f>AQ54/AQ40</f>
        <v>0.37815656565656564</v>
      </c>
      <c r="AS57" s="209">
        <f>AS54/AS40</f>
        <v>0.38285714285714284</v>
      </c>
      <c r="AT57" s="206">
        <f>AT54/AT40</f>
        <v>0.38630136986301372</v>
      </c>
      <c r="AU57" s="206">
        <f>AU54/AU40</f>
        <v>0.38402061855670105</v>
      </c>
      <c r="AV57" s="206">
        <f>AV54/AV40</f>
        <v>0.39845758354755784</v>
      </c>
      <c r="AW57" s="208">
        <f>AW54/AW40</f>
        <v>0.38806970509383376</v>
      </c>
      <c r="AY57" s="209">
        <f>AY54/AY40</f>
        <v>0.34031413612565448</v>
      </c>
      <c r="AZ57" s="206">
        <f>AZ54/AZ40</f>
        <v>0.37662337662337664</v>
      </c>
      <c r="BA57" s="206">
        <f>BA54/BA40</f>
        <v>0.41943734015345269</v>
      </c>
      <c r="BB57" s="206">
        <f>BB54/BB40</f>
        <v>0.36528497409326427</v>
      </c>
      <c r="BC57" s="208">
        <f>BC54/BC40</f>
        <v>0.37564766839378239</v>
      </c>
      <c r="BE57" s="209">
        <f>BE54/BE40</f>
        <v>0.31746031746031744</v>
      </c>
      <c r="BF57" s="206">
        <f>BF54/BF40</f>
        <v>0.29154518950437319</v>
      </c>
      <c r="BG57" s="206">
        <f>BG54/BG40</f>
        <v>0.33512064343163539</v>
      </c>
      <c r="BH57" s="206">
        <f>BH54/BH40</f>
        <v>0.3350253807106599</v>
      </c>
      <c r="BI57" s="208">
        <f>BI54/BI40</f>
        <v>0.32056451612903225</v>
      </c>
      <c r="BK57" s="209">
        <f>BK54/BK40</f>
        <v>0.27472527472527475</v>
      </c>
      <c r="BL57" s="206">
        <f>BL54/BL40</f>
        <v>0.3306878306878307</v>
      </c>
      <c r="BM57" s="206">
        <f>BM54/BM40</f>
        <v>0.23404255319148937</v>
      </c>
      <c r="BN57" s="206">
        <f>BN54/BN40</f>
        <v>0.27040816326530615</v>
      </c>
      <c r="BO57" s="208">
        <f>BO54/BO40</f>
        <v>0.27748344370860928</v>
      </c>
      <c r="BQ57" s="209">
        <f>BQ54/BQ40</f>
        <v>0.24358328226727019</v>
      </c>
      <c r="BR57" s="206">
        <f>BR54/BR40</f>
        <v>0.30884502462473279</v>
      </c>
      <c r="BS57" s="206">
        <f>BS54/BS40</f>
        <v>0.22503884147242315</v>
      </c>
      <c r="BT57" s="206">
        <f>BT54/BT40</f>
        <v>0.26241449549874146</v>
      </c>
      <c r="BU57" s="208">
        <f>BU54/BU40</f>
        <v>0.2601551030418186</v>
      </c>
      <c r="BW57" s="209">
        <f>BW54/BW40</f>
        <v>0.23647215252228801</v>
      </c>
      <c r="BX57" s="206">
        <f>BX54/BX40</f>
        <v>0.30368228037995221</v>
      </c>
      <c r="BY57" s="206">
        <f>BY54/BY40</f>
        <v>0.21978370316291154</v>
      </c>
      <c r="BZ57" s="206">
        <f>BZ54/BZ40</f>
        <v>0.25738435424117051</v>
      </c>
      <c r="CA57" s="208">
        <f>CA54/CA40</f>
        <v>0.25457367638488343</v>
      </c>
      <c r="CC57" s="209">
        <f>CC54/CC40</f>
        <v>0.23369842585461398</v>
      </c>
      <c r="CD57" s="206">
        <f>CD54/CD40</f>
        <v>0.3010450480561962</v>
      </c>
      <c r="CE57" s="206">
        <f>CE54/CE40</f>
        <v>0.21710801132753441</v>
      </c>
      <c r="CF57" s="206">
        <f>CF54/CF40</f>
        <v>0.25486662481321004</v>
      </c>
      <c r="CG57" s="208">
        <f>CG54/CG40</f>
        <v>0.25191567139071125</v>
      </c>
      <c r="CI57" s="209">
        <f>CI54/CI40</f>
        <v>0.23347007505963779</v>
      </c>
      <c r="CJ57" s="206">
        <f>CJ54/CJ40</f>
        <v>0.30091981789465455</v>
      </c>
      <c r="CK57" s="206">
        <f>CK54/CK40</f>
        <v>0.2169323759303545</v>
      </c>
      <c r="CL57" s="206">
        <f>CL54/CL40</f>
        <v>0.25467883791594859</v>
      </c>
      <c r="CM57" s="208">
        <f>CM54/CM40</f>
        <v>0.2517445028912127</v>
      </c>
      <c r="CO57" s="209">
        <f>CO54/CO40</f>
        <v>0.2332499745071468</v>
      </c>
      <c r="CP57" s="206">
        <f>CP54/CP40</f>
        <v>0.30079923389442959</v>
      </c>
      <c r="CQ57" s="206">
        <f>CQ54/CQ40</f>
        <v>0.21676300736024628</v>
      </c>
      <c r="CR57" s="206">
        <f>CR54/CR40</f>
        <v>0.25449803835475471</v>
      </c>
      <c r="CS57" s="208">
        <f>CS54/CS40</f>
        <v>0.25157964586313963</v>
      </c>
      <c r="CU57" s="209">
        <f>CU54/CU40</f>
        <v>0.23308496940125062</v>
      </c>
      <c r="CV57" s="206">
        <f>CV54/CV40</f>
        <v>0.30070872611023608</v>
      </c>
      <c r="CW57" s="206">
        <f>CW54/CW40</f>
        <v>0.21663384146206802</v>
      </c>
      <c r="CX57" s="206">
        <f>CX54/CX40</f>
        <v>0.25435816194126382</v>
      </c>
      <c r="CY57" s="208">
        <f>CY54/CY40</f>
        <v>0.25145603100969244</v>
      </c>
      <c r="DA57" s="209">
        <f>DA54/DA40</f>
        <v>0.23293022938828048</v>
      </c>
      <c r="DB57" s="206">
        <f>DB54/DB40</f>
        <v>0.30062395004902476</v>
      </c>
      <c r="DC57" s="206">
        <f>DC54/DC40</f>
        <v>0.21651258082670574</v>
      </c>
      <c r="DD57" s="206">
        <f>DD54/DD40</f>
        <v>0.25422703251709899</v>
      </c>
      <c r="DE57" s="208">
        <f>DE54/DE40</f>
        <v>0.25134027956079685</v>
      </c>
      <c r="DG57" s="209">
        <f>DG54/DG40</f>
        <v>0.23278573743426464</v>
      </c>
      <c r="DH57" s="206">
        <f>DH54/DH40</f>
        <v>0.30054489422983643</v>
      </c>
      <c r="DI57" s="206">
        <f>DI54/DI40</f>
        <v>0.21639924075861211</v>
      </c>
      <c r="DJ57" s="206">
        <f>DJ54/DJ40</f>
        <v>0.25410468429046212</v>
      </c>
      <c r="DK57" s="208">
        <f>DK54/DK40</f>
        <v>0.25123239707439776</v>
      </c>
    </row>
    <row r="58" spans="2:115" ht="15.75" thickBot="1" x14ac:dyDescent="0.35">
      <c r="B58" s="41" t="s">
        <v>37</v>
      </c>
      <c r="C58" s="155" t="s">
        <v>35</v>
      </c>
      <c r="D58" s="106" t="s">
        <v>35</v>
      </c>
      <c r="E58" s="106" t="s">
        <v>35</v>
      </c>
      <c r="F58" s="106" t="s">
        <v>35</v>
      </c>
      <c r="G58" s="108" t="s">
        <v>35</v>
      </c>
      <c r="I58" s="174">
        <f>I57-C57</f>
        <v>2.1548625611885086E-2</v>
      </c>
      <c r="J58" s="175">
        <f>J57-D57</f>
        <v>2.3286504895700333E-2</v>
      </c>
      <c r="K58" s="175">
        <f>K57-E57</f>
        <v>9.4209294293718382E-3</v>
      </c>
      <c r="L58" s="175">
        <f>L57-F57</f>
        <v>1.4471335962133958E-2</v>
      </c>
      <c r="M58" s="177">
        <f>M57-G57</f>
        <v>1.8591952081785212E-2</v>
      </c>
      <c r="O58" s="174">
        <f>O57-I57</f>
        <v>-8.6721961244861978E-2</v>
      </c>
      <c r="P58" s="175">
        <f>P57-J57</f>
        <v>1.7398119122257028E-2</v>
      </c>
      <c r="Q58" s="175">
        <f>Q57-K57</f>
        <v>2.9665587918015102E-2</v>
      </c>
      <c r="R58" s="175">
        <f>R57-L57</f>
        <v>5.0293029121572075E-2</v>
      </c>
      <c r="S58" s="177">
        <f>S57-M57</f>
        <v>3.2524768183901931E-3</v>
      </c>
      <c r="U58" s="174">
        <f>U57-O57</f>
        <v>0.11879687772544917</v>
      </c>
      <c r="V58" s="175">
        <f>V57-P57</f>
        <v>3.8802660753880502E-3</v>
      </c>
      <c r="W58" s="175">
        <f>W57-Q57</f>
        <v>-5.2024482109227888E-2</v>
      </c>
      <c r="X58" s="176">
        <f>X57-R57</f>
        <v>3.6699731590617346E-2</v>
      </c>
      <c r="Y58" s="177">
        <f>Y57-S57</f>
        <v>2.5150079399639036E-2</v>
      </c>
      <c r="AA58" s="174">
        <f>AA57-U57</f>
        <v>-5.5947227375798825E-2</v>
      </c>
      <c r="AB58" s="175">
        <f>AB57-V57</f>
        <v>-1.7229311365961619E-3</v>
      </c>
      <c r="AC58" s="175">
        <f>AC57-W57</f>
        <v>1.9299976781982808E-2</v>
      </c>
      <c r="AD58" s="175">
        <f>AD57-X57</f>
        <v>-1.9601080941963722E-2</v>
      </c>
      <c r="AE58" s="177">
        <f>AE57-Y57</f>
        <v>-1.4253436087828808E-2</v>
      </c>
      <c r="AG58" s="174">
        <f>AG57-AA57</f>
        <v>-1.9766674003962148E-2</v>
      </c>
      <c r="AH58" s="175">
        <f>AH57-AB57</f>
        <v>-5.5985086134964113E-2</v>
      </c>
      <c r="AI58" s="175">
        <f>AI57-AC57</f>
        <v>2.2982535869635778E-2</v>
      </c>
      <c r="AJ58" s="175">
        <f>AJ57-AD57</f>
        <v>2.3874586509420315E-3</v>
      </c>
      <c r="AK58" s="177">
        <f>AK57-AE57</f>
        <v>-1.2268984697162755E-2</v>
      </c>
      <c r="AM58" s="174">
        <f>AM57-AG57</f>
        <v>5.6130310367598524E-2</v>
      </c>
      <c r="AN58" s="175">
        <f>AN57-AH57</f>
        <v>2.864347601189704E-2</v>
      </c>
      <c r="AO58" s="175">
        <f>AO57-AI57</f>
        <v>-9.2489602476061306E-3</v>
      </c>
      <c r="AP58" s="175">
        <f>AP57-AJ57</f>
        <v>4.102941176470587E-2</v>
      </c>
      <c r="AQ58" s="177">
        <f>AQ57-AK57</f>
        <v>2.8931297480165152E-2</v>
      </c>
      <c r="AS58" s="174">
        <f>AS57-AM57</f>
        <v>1.9220779220779194E-2</v>
      </c>
      <c r="AT58" s="175">
        <f>AT57-AN57</f>
        <v>2.5122008683652552E-2</v>
      </c>
      <c r="AU58" s="175">
        <f>AU57-AO57</f>
        <v>1.4122659373027591E-2</v>
      </c>
      <c r="AV58" s="175">
        <f>AV57-AP57</f>
        <v>-1.9042416452442146E-2</v>
      </c>
      <c r="AW58" s="177">
        <f>AW57-AQ57</f>
        <v>9.9131394372681259E-3</v>
      </c>
      <c r="AY58" s="174">
        <f>AY57-AS57</f>
        <v>-4.2543006731488364E-2</v>
      </c>
      <c r="AZ58" s="175">
        <f>AZ57-AT57</f>
        <v>-9.6779932396370838E-3</v>
      </c>
      <c r="BA58" s="175">
        <f>BA57-AU57</f>
        <v>3.5416721596751632E-2</v>
      </c>
      <c r="BB58" s="175">
        <f>BB57-AV57</f>
        <v>-3.3172609454293567E-2</v>
      </c>
      <c r="BC58" s="177">
        <f>BC57-AW57</f>
        <v>-1.2422036700051375E-2</v>
      </c>
      <c r="BE58" s="174">
        <f>BE57-AY57</f>
        <v>-2.2853818665337033E-2</v>
      </c>
      <c r="BF58" s="175">
        <f>BF57-AZ57</f>
        <v>-8.5078187119003446E-2</v>
      </c>
      <c r="BG58" s="175">
        <f>BG57-BA57</f>
        <v>-8.4316696721817297E-2</v>
      </c>
      <c r="BH58" s="175">
        <f>BH57-BB57</f>
        <v>-3.0259593382604366E-2</v>
      </c>
      <c r="BI58" s="177">
        <f>BI57-BC57</f>
        <v>-5.5083152264750135E-2</v>
      </c>
      <c r="BK58" s="174">
        <f>BK57-BE57</f>
        <v>-4.2735042735042694E-2</v>
      </c>
      <c r="BL58" s="175">
        <f>BL57-BF57</f>
        <v>3.9142641183457505E-2</v>
      </c>
      <c r="BM58" s="175">
        <f>BM57-BG57</f>
        <v>-0.10107809024014602</v>
      </c>
      <c r="BN58" s="175">
        <f>BN57-BH57</f>
        <v>-6.4617217445353758E-2</v>
      </c>
      <c r="BO58" s="177">
        <f>BO57-BI57</f>
        <v>-4.3081072420422972E-2</v>
      </c>
      <c r="BQ58" s="174">
        <f>BQ57-BK57</f>
        <v>-3.1141992458004558E-2</v>
      </c>
      <c r="BR58" s="175">
        <f>BR57-BL57</f>
        <v>-2.1842806063097908E-2</v>
      </c>
      <c r="BS58" s="175">
        <f>BS57-BM57</f>
        <v>-9.0037117190662208E-3</v>
      </c>
      <c r="BT58" s="175">
        <f>BT57-BN57</f>
        <v>-7.9936677665646827E-3</v>
      </c>
      <c r="BU58" s="177">
        <f>BU57-BO57</f>
        <v>-1.7328340666790676E-2</v>
      </c>
      <c r="BW58" s="174">
        <f>BW57-BQ57</f>
        <v>-7.1111297449821809E-3</v>
      </c>
      <c r="BX58" s="175">
        <f>BX57-BR57</f>
        <v>-5.1627442447805816E-3</v>
      </c>
      <c r="BY58" s="175">
        <f>BY57-BS57</f>
        <v>-5.2551383095116033E-3</v>
      </c>
      <c r="BZ58" s="175">
        <f>BZ57-BT57</f>
        <v>-5.0301412575709525E-3</v>
      </c>
      <c r="CA58" s="177">
        <f>CA57-BU57</f>
        <v>-5.5814266569351734E-3</v>
      </c>
      <c r="CC58" s="174">
        <f>CC57-BW57</f>
        <v>-2.7737266676740313E-3</v>
      </c>
      <c r="CD58" s="175">
        <f>CD57-BX57</f>
        <v>-2.6372323237560114E-3</v>
      </c>
      <c r="CE58" s="175">
        <f>CE57-BY57</f>
        <v>-2.6756918353771364E-3</v>
      </c>
      <c r="CF58" s="175">
        <f>CF57-BZ57</f>
        <v>-2.5177294279604689E-3</v>
      </c>
      <c r="CG58" s="177">
        <f>CG57-CA57</f>
        <v>-2.6580049941721806E-3</v>
      </c>
      <c r="CI58" s="174">
        <f>CI57-CC57</f>
        <v>-2.2835079497618427E-4</v>
      </c>
      <c r="CJ58" s="175">
        <f>CJ57-CD57</f>
        <v>-1.2523016154164512E-4</v>
      </c>
      <c r="CK58" s="175">
        <f>CK57-CE57</f>
        <v>-1.7563539717990739E-4</v>
      </c>
      <c r="CL58" s="175">
        <f>CL57-CF57</f>
        <v>-1.8778689726145492E-4</v>
      </c>
      <c r="CM58" s="177">
        <f>CM57-CG57</f>
        <v>-1.7116849949855295E-4</v>
      </c>
      <c r="CO58" s="174">
        <f>CO57-CI57</f>
        <v>-2.2010055249099825E-4</v>
      </c>
      <c r="CP58" s="175">
        <f>CP57-CJ57</f>
        <v>-1.2058400022496585E-4</v>
      </c>
      <c r="CQ58" s="175">
        <f>CQ57-CK57</f>
        <v>-1.6936857010821371E-4</v>
      </c>
      <c r="CR58" s="175">
        <f>CR57-CL57</f>
        <v>-1.8079956119387841E-4</v>
      </c>
      <c r="CS58" s="177">
        <f>CS57-CM57</f>
        <v>-1.6485702807306213E-4</v>
      </c>
      <c r="CU58" s="174">
        <f>CU57-CO57</f>
        <v>-1.6500510589617656E-4</v>
      </c>
      <c r="CV58" s="175">
        <f>CV57-CP57</f>
        <v>-9.0507784193505358E-5</v>
      </c>
      <c r="CW58" s="175">
        <f>CW57-CQ57</f>
        <v>-1.291658981782684E-4</v>
      </c>
      <c r="CX58" s="175">
        <f>CX57-CR57</f>
        <v>-1.3987641349089142E-4</v>
      </c>
      <c r="CY58" s="177">
        <f>CY57-CS57</f>
        <v>-1.2361485344719592E-4</v>
      </c>
      <c r="DA58" s="174">
        <f>DA57-CU57</f>
        <v>-1.5474001297013928E-4</v>
      </c>
      <c r="DB58" s="175">
        <f>DB57-CV57</f>
        <v>-8.4776061211322418E-5</v>
      </c>
      <c r="DC58" s="175">
        <f>DC57-CW57</f>
        <v>-1.2126063536227472E-4</v>
      </c>
      <c r="DD58" s="175">
        <f>DD57-CX57</f>
        <v>-1.3112942416482198E-4</v>
      </c>
      <c r="DE58" s="177">
        <f>DE57-CY57</f>
        <v>-1.1575144889558464E-4</v>
      </c>
      <c r="DG58" s="174">
        <f>DG57-DA57</f>
        <v>-1.4449195401583514E-4</v>
      </c>
      <c r="DH58" s="175">
        <f>DH57-DB57</f>
        <v>-7.9055819188322829E-5</v>
      </c>
      <c r="DI58" s="175">
        <f>DI57-DC57</f>
        <v>-1.133400680936314E-4</v>
      </c>
      <c r="DJ58" s="175">
        <f>DJ57-DD57</f>
        <v>-1.2234822663687028E-4</v>
      </c>
      <c r="DK58" s="177">
        <f>DK57-DE57</f>
        <v>-1.0788248639909126E-4</v>
      </c>
    </row>
    <row r="59" spans="2:115" ht="15.75" thickBot="1" x14ac:dyDescent="0.35">
      <c r="B59" s="1"/>
      <c r="AA59" s="103"/>
      <c r="AB59" s="103"/>
      <c r="AC59" s="103"/>
      <c r="AD59" s="103"/>
      <c r="AE59" s="103"/>
      <c r="AG59" s="103"/>
      <c r="AH59" s="103"/>
      <c r="AI59" s="103"/>
      <c r="AJ59" s="103"/>
      <c r="AK59" s="103"/>
      <c r="AM59" s="103"/>
      <c r="AN59" s="103"/>
      <c r="AO59" s="103"/>
      <c r="AP59" s="103"/>
      <c r="AQ59" s="103"/>
      <c r="AS59" s="103"/>
      <c r="AT59" s="103"/>
      <c r="AU59" s="103"/>
      <c r="AV59" s="103"/>
      <c r="AW59" s="103"/>
      <c r="AY59" s="103"/>
      <c r="AZ59" s="103"/>
      <c r="BA59" s="103"/>
      <c r="BB59" s="103"/>
      <c r="BC59" s="103"/>
      <c r="BE59" s="103"/>
      <c r="BF59" s="103"/>
      <c r="BG59" s="103"/>
      <c r="BH59" s="103"/>
      <c r="BI59" s="103"/>
      <c r="BK59" s="103"/>
      <c r="BL59" s="103"/>
      <c r="BM59" s="103"/>
      <c r="BN59" s="103"/>
      <c r="BO59" s="103"/>
      <c r="BQ59" s="103"/>
      <c r="BR59" s="103"/>
      <c r="BS59" s="103"/>
      <c r="BT59" s="103"/>
      <c r="BU59" s="103"/>
      <c r="BW59" s="103"/>
      <c r="BX59" s="103"/>
      <c r="BY59" s="103"/>
      <c r="BZ59" s="103"/>
      <c r="CA59" s="103"/>
      <c r="CC59" s="103"/>
      <c r="CD59" s="103"/>
      <c r="CE59" s="103"/>
      <c r="CF59" s="103"/>
      <c r="CG59" s="103"/>
      <c r="CI59" s="103"/>
      <c r="CJ59" s="103"/>
      <c r="CK59" s="103"/>
      <c r="CL59" s="103"/>
      <c r="CM59" s="103"/>
      <c r="CO59" s="103"/>
      <c r="CP59" s="103"/>
      <c r="CQ59" s="103"/>
      <c r="CR59" s="103"/>
      <c r="CS59" s="103"/>
      <c r="CU59" s="103"/>
      <c r="CV59" s="103"/>
      <c r="CW59" s="103"/>
      <c r="CX59" s="103"/>
      <c r="CY59" s="103"/>
      <c r="DA59" s="103"/>
      <c r="DB59" s="103"/>
      <c r="DC59" s="103"/>
      <c r="DD59" s="103"/>
      <c r="DE59" s="103"/>
      <c r="DG59" s="103"/>
      <c r="DH59" s="103"/>
      <c r="DI59" s="103"/>
      <c r="DJ59" s="103"/>
      <c r="DK59" s="103"/>
    </row>
    <row r="60" spans="2:115" ht="15" x14ac:dyDescent="0.3">
      <c r="B60" s="139" t="s">
        <v>62</v>
      </c>
      <c r="C60" s="126">
        <v>33</v>
      </c>
      <c r="D60" s="127">
        <v>77</v>
      </c>
      <c r="E60" s="127">
        <v>61</v>
      </c>
      <c r="F60" s="128">
        <v>111</v>
      </c>
      <c r="G60" s="201">
        <f>C60+D60+E60+F60</f>
        <v>282</v>
      </c>
      <c r="H60" s="129"/>
      <c r="I60" s="126">
        <v>91</v>
      </c>
      <c r="J60" s="127">
        <v>70</v>
      </c>
      <c r="K60" s="127">
        <v>90</v>
      </c>
      <c r="L60" s="127">
        <v>95</v>
      </c>
      <c r="M60" s="201">
        <f>I60+J60+K60+L60</f>
        <v>346</v>
      </c>
      <c r="N60" s="129"/>
      <c r="O60" s="126">
        <v>90</v>
      </c>
      <c r="P60" s="127">
        <v>55</v>
      </c>
      <c r="Q60" s="127">
        <v>49</v>
      </c>
      <c r="R60" s="127">
        <v>45</v>
      </c>
      <c r="S60" s="201">
        <f>O60+P60+Q60+R60</f>
        <v>239</v>
      </c>
      <c r="T60" s="129"/>
      <c r="U60" s="126">
        <v>57</v>
      </c>
      <c r="V60" s="252">
        <v>35</v>
      </c>
      <c r="W60" s="252">
        <v>48</v>
      </c>
      <c r="X60" s="258">
        <v>58</v>
      </c>
      <c r="Y60" s="201">
        <f>U60+V60+W60+X60</f>
        <v>198</v>
      </c>
      <c r="Z60" s="254"/>
      <c r="AA60" s="251">
        <v>39</v>
      </c>
      <c r="AB60" s="252">
        <v>32</v>
      </c>
      <c r="AC60" s="252">
        <v>39</v>
      </c>
      <c r="AD60" s="252">
        <v>55</v>
      </c>
      <c r="AE60" s="201">
        <f>AA60+AB60+AC60+AD60</f>
        <v>165</v>
      </c>
      <c r="AF60" s="254"/>
      <c r="AG60" s="251">
        <v>73</v>
      </c>
      <c r="AH60" s="252">
        <v>34</v>
      </c>
      <c r="AI60" s="252">
        <v>51</v>
      </c>
      <c r="AJ60" s="252">
        <v>67</v>
      </c>
      <c r="AK60" s="201">
        <f>AG60+AH60+AI60+AJ60</f>
        <v>225</v>
      </c>
      <c r="AL60" s="254"/>
      <c r="AM60" s="251">
        <v>85</v>
      </c>
      <c r="AN60" s="252">
        <v>57</v>
      </c>
      <c r="AO60" s="252">
        <v>142</v>
      </c>
      <c r="AP60" s="252">
        <v>55</v>
      </c>
      <c r="AQ60" s="201">
        <f>AM60+AN60+AO60+AP60</f>
        <v>339</v>
      </c>
      <c r="AR60" s="254"/>
      <c r="AS60" s="251">
        <v>68</v>
      </c>
      <c r="AT60" s="252">
        <v>52</v>
      </c>
      <c r="AU60" s="252">
        <v>123</v>
      </c>
      <c r="AV60" s="252">
        <v>42</v>
      </c>
      <c r="AW60" s="201">
        <f>AS60+AT60+AU60+AV60</f>
        <v>285</v>
      </c>
      <c r="AX60" s="254"/>
      <c r="AY60" s="251">
        <v>62</v>
      </c>
      <c r="AZ60" s="252">
        <v>45</v>
      </c>
      <c r="BA60" s="252">
        <v>34</v>
      </c>
      <c r="BB60" s="252">
        <v>48</v>
      </c>
      <c r="BC60" s="201">
        <f>AY60+AZ60+BA60+BB60</f>
        <v>189</v>
      </c>
      <c r="BD60" s="254"/>
      <c r="BE60" s="251">
        <f>546-484</f>
        <v>62</v>
      </c>
      <c r="BF60" s="252">
        <v>35</v>
      </c>
      <c r="BG60" s="252">
        <f>492-461</f>
        <v>31</v>
      </c>
      <c r="BH60" s="252">
        <v>70</v>
      </c>
      <c r="BI60" s="201">
        <f>BE60+BF60+BG60+BH60</f>
        <v>198</v>
      </c>
      <c r="BJ60" s="254"/>
      <c r="BK60" s="251">
        <v>76</v>
      </c>
      <c r="BL60" s="252">
        <v>34</v>
      </c>
      <c r="BM60" s="252">
        <v>45</v>
      </c>
      <c r="BN60" s="252">
        <v>48</v>
      </c>
      <c r="BO60" s="201">
        <f>BK60+BL60+BM60+BN60</f>
        <v>203</v>
      </c>
      <c r="BP60" s="254"/>
      <c r="BQ60" s="251">
        <f>BQ63*BQ40</f>
        <v>65.085039022191381</v>
      </c>
      <c r="BR60" s="252">
        <f>BR63*BR40</f>
        <v>40.980158348229359</v>
      </c>
      <c r="BS60" s="252">
        <f>BS63*BS40</f>
        <v>40.80291356629666</v>
      </c>
      <c r="BT60" s="252">
        <f>BT63*BT40</f>
        <v>54.446729978951758</v>
      </c>
      <c r="BU60" s="201">
        <f>BQ60+BR60+BS60+BT60</f>
        <v>201.31484091566918</v>
      </c>
      <c r="BV60" s="254"/>
      <c r="BW60" s="251">
        <f>BW63*BW40</f>
        <v>59.906277168793217</v>
      </c>
      <c r="BX60" s="252">
        <f>BX63*BX40</f>
        <v>41.393356282322486</v>
      </c>
      <c r="BY60" s="252">
        <f>BY63*BY40</f>
        <v>37.276488716156479</v>
      </c>
      <c r="BZ60" s="252">
        <f>BZ63*BZ40</f>
        <v>60.389363222128161</v>
      </c>
      <c r="CA60" s="201">
        <f>BW60+BX60+BY60+BZ60</f>
        <v>198.96548538940036</v>
      </c>
      <c r="CB60" s="254"/>
      <c r="CC60" s="251">
        <f>CC63*CC40</f>
        <v>54.913979289466788</v>
      </c>
      <c r="CD60" s="252">
        <f>CD63*CD40</f>
        <v>41.843392568734082</v>
      </c>
      <c r="CE60" s="252">
        <f>CE63*CE40</f>
        <v>37.728726788266492</v>
      </c>
      <c r="CF60" s="252">
        <f>CF63*CF40</f>
        <v>58.468803635493074</v>
      </c>
      <c r="CG60" s="201">
        <f>CC60+CD60+CE60+CF60</f>
        <v>192.95490228196041</v>
      </c>
      <c r="CH60" s="254"/>
      <c r="CI60" s="251">
        <f>CI63*CI40</f>
        <v>51.825595538094163</v>
      </c>
      <c r="CJ60" s="252">
        <f>CJ63*CJ40</f>
        <v>38.467937755672438</v>
      </c>
      <c r="CK60" s="252">
        <f>CK63*CK40</f>
        <v>41.93009990258858</v>
      </c>
      <c r="CL60" s="252">
        <f>CL63*CL40</f>
        <v>55.242508503258911</v>
      </c>
      <c r="CM60" s="201">
        <f>CI60+CJ60+CK60+CL60</f>
        <v>187.4661416996141</v>
      </c>
      <c r="CN60" s="254"/>
      <c r="CO60" s="251">
        <f>CO63*CO40</f>
        <v>48.720182653820409</v>
      </c>
      <c r="CP60" s="252">
        <f>CP63*CP40</f>
        <v>42.843655798188415</v>
      </c>
      <c r="CQ60" s="252">
        <f>CQ63*CQ40</f>
        <v>38.56043505013286</v>
      </c>
      <c r="CR60" s="252">
        <f>CR63*CR40</f>
        <v>53.94128827309865</v>
      </c>
      <c r="CS60" s="201">
        <f>CO60+CP60+CQ60+CR60</f>
        <v>184.06556177524033</v>
      </c>
      <c r="CT60" s="254"/>
      <c r="CU60" s="251">
        <f>CU63*CU40</f>
        <v>49.5982305713583</v>
      </c>
      <c r="CV60" s="252">
        <f>CV63*CV40</f>
        <v>43.61807440898027</v>
      </c>
      <c r="CW60" s="252">
        <f>CW63*CW40</f>
        <v>39.221859863739589</v>
      </c>
      <c r="CX60" s="252">
        <f>CX63*CX40</f>
        <v>54.842440776437073</v>
      </c>
      <c r="CY60" s="201">
        <f>CU60+CV60+CW60+CX60</f>
        <v>187.28060562051525</v>
      </c>
      <c r="CZ60" s="254"/>
      <c r="DA60" s="251">
        <f>DA63*DA40</f>
        <v>50.548559484688013</v>
      </c>
      <c r="DB60" s="252">
        <f>DB63*DB40</f>
        <v>44.456629363932429</v>
      </c>
      <c r="DC60" s="252">
        <f>DC63*DC40</f>
        <v>39.941571858196532</v>
      </c>
      <c r="DD60" s="252">
        <f>DD63*DD40</f>
        <v>55.827783262807905</v>
      </c>
      <c r="DE60" s="201">
        <f>DA60+DB60+DC60+DD60</f>
        <v>190.77454396962489</v>
      </c>
      <c r="DF60" s="254"/>
      <c r="DG60" s="251">
        <f>DG63*DG40</f>
        <v>51.57222091346658</v>
      </c>
      <c r="DH60" s="252">
        <f>DH63*DH40</f>
        <v>45.360259096828159</v>
      </c>
      <c r="DI60" s="252">
        <f>DI63*DI40</f>
        <v>40.720340776855544</v>
      </c>
      <c r="DJ60" s="252">
        <f>DJ63*DJ40</f>
        <v>56.898376499613711</v>
      </c>
      <c r="DK60" s="201">
        <f>DG60+DH60+DI60+DJ60</f>
        <v>194.55119728676399</v>
      </c>
    </row>
    <row r="61" spans="2:115" ht="15" x14ac:dyDescent="0.3">
      <c r="B61" s="5" t="s">
        <v>40</v>
      </c>
      <c r="C61" s="144" t="s">
        <v>35</v>
      </c>
      <c r="D61" s="107" t="s">
        <v>35</v>
      </c>
      <c r="E61" s="107" t="s">
        <v>35</v>
      </c>
      <c r="F61" s="145" t="s">
        <v>35</v>
      </c>
      <c r="G61" s="138" t="s">
        <v>35</v>
      </c>
      <c r="H61" s="107"/>
      <c r="I61" s="151">
        <f>I60/C60-1</f>
        <v>1.7575757575757578</v>
      </c>
      <c r="J61" s="133">
        <f>J60/D60-1</f>
        <v>-9.0909090909090939E-2</v>
      </c>
      <c r="K61" s="133">
        <f>K60/E60-1</f>
        <v>0.47540983606557385</v>
      </c>
      <c r="L61" s="133">
        <f>L60/F60-1</f>
        <v>-0.14414414414414412</v>
      </c>
      <c r="M61" s="153">
        <f>M60/G60-1</f>
        <v>0.22695035460992918</v>
      </c>
      <c r="N61" s="107"/>
      <c r="O61" s="151">
        <f>O60/I60-1</f>
        <v>-1.098901098901095E-2</v>
      </c>
      <c r="P61" s="133">
        <f>P60/J60-1</f>
        <v>-0.2142857142857143</v>
      </c>
      <c r="Q61" s="133">
        <f>Q60/K60-1</f>
        <v>-0.4555555555555556</v>
      </c>
      <c r="R61" s="152">
        <f>R60/L60-1</f>
        <v>-0.52631578947368429</v>
      </c>
      <c r="S61" s="153">
        <f>S60/M60-1</f>
        <v>-0.30924855491329484</v>
      </c>
      <c r="T61" s="107"/>
      <c r="U61" s="151">
        <f>U60/O60-1</f>
        <v>-0.3666666666666667</v>
      </c>
      <c r="V61" s="133">
        <f>V60/P60-1</f>
        <v>-0.36363636363636365</v>
      </c>
      <c r="W61" s="133">
        <f>W60/Q60-1</f>
        <v>-2.0408163265306145E-2</v>
      </c>
      <c r="X61" s="152">
        <f>X60/R60-1</f>
        <v>0.28888888888888897</v>
      </c>
      <c r="Y61" s="153">
        <f>Y60/S60-1</f>
        <v>-0.17154811715481166</v>
      </c>
      <c r="AA61" s="151">
        <f>AA60/U60-1</f>
        <v>-0.31578947368421051</v>
      </c>
      <c r="AB61" s="133">
        <f>AB60/V60-1</f>
        <v>-8.5714285714285743E-2</v>
      </c>
      <c r="AC61" s="133">
        <f>AC60/W60-1</f>
        <v>-0.1875</v>
      </c>
      <c r="AD61" s="133">
        <f>AD60/X60-1</f>
        <v>-5.1724137931034475E-2</v>
      </c>
      <c r="AE61" s="153">
        <f>AE60/Y60-1</f>
        <v>-0.16666666666666663</v>
      </c>
      <c r="AG61" s="151">
        <f>AG60/AA60-1</f>
        <v>0.87179487179487181</v>
      </c>
      <c r="AH61" s="133">
        <f>AH60/AB60-1</f>
        <v>6.25E-2</v>
      </c>
      <c r="AI61" s="133">
        <f>AI60/AC60-1</f>
        <v>0.30769230769230771</v>
      </c>
      <c r="AJ61" s="152">
        <f>AJ60/AD60-1</f>
        <v>0.21818181818181825</v>
      </c>
      <c r="AK61" s="153">
        <f>AK60/AE60-1</f>
        <v>0.36363636363636354</v>
      </c>
      <c r="AM61" s="151">
        <f>AM60/AG60-1</f>
        <v>0.16438356164383561</v>
      </c>
      <c r="AN61" s="133">
        <f>AN60/AH60-1</f>
        <v>0.67647058823529416</v>
      </c>
      <c r="AO61" s="133">
        <f>AO60/AI60-1</f>
        <v>1.784313725490196</v>
      </c>
      <c r="AP61" s="133">
        <f>AP60/AJ60-1</f>
        <v>-0.17910447761194026</v>
      </c>
      <c r="AQ61" s="153">
        <f>AQ60/AK60-1</f>
        <v>0.5066666666666666</v>
      </c>
      <c r="AS61" s="151">
        <f>AS60/AM60-1</f>
        <v>-0.19999999999999996</v>
      </c>
      <c r="AT61" s="133">
        <f>AT60/AN60-1</f>
        <v>-8.7719298245614086E-2</v>
      </c>
      <c r="AU61" s="133">
        <f>AU60/AO60-1</f>
        <v>-0.13380281690140849</v>
      </c>
      <c r="AV61" s="133">
        <f>AV60/AP60-1</f>
        <v>-0.23636363636363633</v>
      </c>
      <c r="AW61" s="153">
        <f>AW60/AQ60-1</f>
        <v>-0.15929203539823011</v>
      </c>
      <c r="AY61" s="151">
        <f>AY60/AS60-1</f>
        <v>-8.8235294117647078E-2</v>
      </c>
      <c r="AZ61" s="133">
        <f>AZ60/AT60-1</f>
        <v>-0.13461538461538458</v>
      </c>
      <c r="BA61" s="133">
        <f>BA60/AU60-1</f>
        <v>-0.72357723577235777</v>
      </c>
      <c r="BB61" s="133">
        <f>BB60/AV60-1</f>
        <v>0.14285714285714279</v>
      </c>
      <c r="BC61" s="153">
        <f>BC60/AW60-1</f>
        <v>-0.33684210526315794</v>
      </c>
      <c r="BE61" s="151">
        <f>BE60/AY60-1</f>
        <v>0</v>
      </c>
      <c r="BF61" s="133">
        <f>BF60/AZ60-1</f>
        <v>-0.22222222222222221</v>
      </c>
      <c r="BG61" s="133">
        <f>BG60/BA60-1</f>
        <v>-8.8235294117647078E-2</v>
      </c>
      <c r="BH61" s="133">
        <f>BH60/BB60-1</f>
        <v>0.45833333333333326</v>
      </c>
      <c r="BI61" s="153">
        <f>BI60/BC60-1</f>
        <v>4.7619047619047672E-2</v>
      </c>
      <c r="BK61" s="151">
        <f>BK60/BE60-1</f>
        <v>0.22580645161290325</v>
      </c>
      <c r="BL61" s="133">
        <f>BL60/BF60-1</f>
        <v>-2.8571428571428581E-2</v>
      </c>
      <c r="BM61" s="133">
        <f>BM60/BG60-1</f>
        <v>0.45161290322580649</v>
      </c>
      <c r="BN61" s="133">
        <f>BN60/BH60-1</f>
        <v>-0.31428571428571428</v>
      </c>
      <c r="BO61" s="153">
        <f>BO60/BI60-1</f>
        <v>2.5252525252525304E-2</v>
      </c>
      <c r="BQ61" s="151">
        <f>BQ60/BK60-1</f>
        <v>-0.14361790760274495</v>
      </c>
      <c r="BR61" s="133">
        <f>BR60/BL60-1</f>
        <v>0.20529877494792226</v>
      </c>
      <c r="BS61" s="133">
        <f>BS60/BM60-1</f>
        <v>-9.3268587415629822E-2</v>
      </c>
      <c r="BT61" s="152">
        <f>BT60/BN60-1</f>
        <v>0.13430687456149504</v>
      </c>
      <c r="BU61" s="153">
        <f>BU60/BO60-1</f>
        <v>-8.3012762774917759E-3</v>
      </c>
      <c r="BW61" s="151">
        <f>BW60/BQ60-1</f>
        <v>-7.9569159536532097E-2</v>
      </c>
      <c r="BX61" s="133">
        <f>BX60/BR60-1</f>
        <v>1.008287792794671E-2</v>
      </c>
      <c r="BY61" s="133">
        <f>BY60/BS60-1</f>
        <v>-8.6425809872876846E-2</v>
      </c>
      <c r="BZ61" s="152">
        <f>BZ60/BT60-1</f>
        <v>0.10914582465234801</v>
      </c>
      <c r="CA61" s="153">
        <f>CA60/BU60-1</f>
        <v>-1.1670056293827669E-2</v>
      </c>
      <c r="CC61" s="151">
        <f>CC60/BW60-1</f>
        <v>-8.3335138073427961E-2</v>
      </c>
      <c r="CD61" s="133">
        <f>CD60/BX60-1</f>
        <v>1.0872186428714237E-2</v>
      </c>
      <c r="CE61" s="133">
        <f>CE60/BY60-1</f>
        <v>1.2131992247274237E-2</v>
      </c>
      <c r="CF61" s="152">
        <f>CF60/BZ60-1</f>
        <v>-3.1802944826074042E-2</v>
      </c>
      <c r="CG61" s="153">
        <f>CG60/CA60-1</f>
        <v>-3.0209174700207342E-2</v>
      </c>
      <c r="CI61" s="151">
        <f>CI60/CC60-1</f>
        <v>-5.6240392543634443E-2</v>
      </c>
      <c r="CJ61" s="133">
        <f>CJ60/CD60-1</f>
        <v>-8.0668765266032172E-2</v>
      </c>
      <c r="CK61" s="133">
        <f>CK60/CE60-1</f>
        <v>0.11135740513853487</v>
      </c>
      <c r="CL61" s="152">
        <f>CL60/CF60-1</f>
        <v>-5.5179769922223287E-2</v>
      </c>
      <c r="CM61" s="153">
        <f>CM60/CG60-1</f>
        <v>-2.8445820849504644E-2</v>
      </c>
      <c r="CO61" s="151">
        <f>CO60/CI60-1</f>
        <v>-5.9920447648134312E-2</v>
      </c>
      <c r="CP61" s="133">
        <f>CP60/CJ60-1</f>
        <v>0.11374974323573506</v>
      </c>
      <c r="CQ61" s="133">
        <f>CQ60/CK60-1</f>
        <v>-8.0363864152102615E-2</v>
      </c>
      <c r="CR61" s="152">
        <f>CR60/CL60-1</f>
        <v>-2.3554691222674951E-2</v>
      </c>
      <c r="CS61" s="153">
        <f>CS60/CM60-1</f>
        <v>-1.8139701887195603E-2</v>
      </c>
      <c r="CU61" s="151">
        <f>CU60/CO60-1</f>
        <v>1.8022262432323632E-2</v>
      </c>
      <c r="CV61" s="133">
        <f>CV60/CP60-1</f>
        <v>1.8075455895726789E-2</v>
      </c>
      <c r="CW61" s="133">
        <f>CW60/CQ60-1</f>
        <v>1.715293960627795E-2</v>
      </c>
      <c r="CX61" s="152">
        <f>CX60/CR60-1</f>
        <v>1.6706173178067107E-2</v>
      </c>
      <c r="CY61" s="153">
        <f>CY60/CS60-1</f>
        <v>1.7466840696690245E-2</v>
      </c>
      <c r="DA61" s="151">
        <f>DA60/CU60-1</f>
        <v>1.9160540656031122E-2</v>
      </c>
      <c r="DB61" s="133">
        <f>DB60/CV60-1</f>
        <v>1.9224942098303943E-2</v>
      </c>
      <c r="DC61" s="133">
        <f>DC60/CW60-1</f>
        <v>1.8349767118573501E-2</v>
      </c>
      <c r="DD61" s="152">
        <f>DD60/CX60-1</f>
        <v>1.7966787626895409E-2</v>
      </c>
      <c r="DE61" s="153">
        <f>DE60/CY60-1</f>
        <v>1.8656167506150512E-2</v>
      </c>
      <c r="DG61" s="151">
        <f>DG60/DA60-1</f>
        <v>2.0251050459482389E-2</v>
      </c>
      <c r="DH61" s="133">
        <f>DH60/DB60-1</f>
        <v>2.0326096373578073E-2</v>
      </c>
      <c r="DI61" s="133">
        <f>DI60/DC60-1</f>
        <v>1.9497703330851657E-2</v>
      </c>
      <c r="DJ61" s="152">
        <f>DJ60/DD60-1</f>
        <v>1.9176710487787352E-2</v>
      </c>
      <c r="DK61" s="153">
        <f>DK60/DE60-1</f>
        <v>1.9796421674269205E-2</v>
      </c>
    </row>
    <row r="62" spans="2:115" ht="15" x14ac:dyDescent="0.3">
      <c r="B62" s="105"/>
      <c r="C62" s="144"/>
      <c r="D62" s="107"/>
      <c r="E62" s="107"/>
      <c r="F62" s="145"/>
      <c r="G62" s="138"/>
      <c r="H62" s="107"/>
      <c r="I62" s="144"/>
      <c r="J62" s="107"/>
      <c r="K62" s="107"/>
      <c r="L62" s="107"/>
      <c r="M62" s="138"/>
      <c r="N62" s="107"/>
      <c r="O62" s="144"/>
      <c r="P62" s="107"/>
      <c r="Q62" s="107"/>
      <c r="R62" s="107"/>
      <c r="S62" s="138"/>
      <c r="T62" s="107"/>
      <c r="U62" s="144"/>
      <c r="V62" s="107"/>
      <c r="W62" s="107"/>
      <c r="X62" s="145"/>
      <c r="Y62" s="138"/>
      <c r="AA62" s="144"/>
      <c r="AB62" s="107"/>
      <c r="AC62" s="107"/>
      <c r="AD62" s="145"/>
      <c r="AE62" s="138"/>
      <c r="AG62" s="144"/>
      <c r="AH62" s="107"/>
      <c r="AI62" s="107"/>
      <c r="AJ62" s="145"/>
      <c r="AK62" s="138"/>
      <c r="AM62" s="144"/>
      <c r="AN62" s="107"/>
      <c r="AO62" s="107"/>
      <c r="AP62" s="107"/>
      <c r="AQ62" s="138"/>
      <c r="AS62" s="144"/>
      <c r="AT62" s="107"/>
      <c r="AU62" s="107"/>
      <c r="AV62" s="107"/>
      <c r="AW62" s="138"/>
      <c r="AY62" s="144"/>
      <c r="AZ62" s="107"/>
      <c r="BA62" s="107"/>
      <c r="BB62" s="107"/>
      <c r="BC62" s="138"/>
      <c r="BE62" s="144"/>
      <c r="BF62" s="107"/>
      <c r="BG62" s="107"/>
      <c r="BH62" s="107"/>
      <c r="BI62" s="138"/>
      <c r="BK62" s="144"/>
      <c r="BL62" s="107"/>
      <c r="BM62" s="107"/>
      <c r="BN62" s="107"/>
      <c r="BO62" s="138"/>
      <c r="BQ62" s="144"/>
      <c r="BR62" s="107"/>
      <c r="BS62" s="107"/>
      <c r="BT62" s="145"/>
      <c r="BU62" s="138"/>
      <c r="BW62" s="144"/>
      <c r="BX62" s="107"/>
      <c r="BY62" s="107"/>
      <c r="BZ62" s="145"/>
      <c r="CA62" s="138"/>
      <c r="CC62" s="144"/>
      <c r="CD62" s="107"/>
      <c r="CE62" s="107"/>
      <c r="CF62" s="145"/>
      <c r="CG62" s="138"/>
      <c r="CI62" s="144"/>
      <c r="CJ62" s="107"/>
      <c r="CK62" s="107"/>
      <c r="CL62" s="145"/>
      <c r="CM62" s="138"/>
      <c r="CO62" s="144"/>
      <c r="CP62" s="107"/>
      <c r="CQ62" s="107"/>
      <c r="CR62" s="145"/>
      <c r="CS62" s="138"/>
      <c r="CU62" s="144"/>
      <c r="CV62" s="107"/>
      <c r="CW62" s="107"/>
      <c r="CX62" s="145"/>
      <c r="CY62" s="138"/>
      <c r="DA62" s="144"/>
      <c r="DB62" s="107"/>
      <c r="DC62" s="107"/>
      <c r="DD62" s="145"/>
      <c r="DE62" s="138"/>
      <c r="DG62" s="144"/>
      <c r="DH62" s="107"/>
      <c r="DI62" s="107"/>
      <c r="DJ62" s="145"/>
      <c r="DK62" s="138"/>
    </row>
    <row r="63" spans="2:115" ht="15" x14ac:dyDescent="0.3">
      <c r="B63" s="105" t="s">
        <v>24</v>
      </c>
      <c r="C63" s="171">
        <f>C60/C40</f>
        <v>7.3991031390134535E-2</v>
      </c>
      <c r="D63" s="165">
        <f>D60/D40</f>
        <v>0.15843621399176955</v>
      </c>
      <c r="E63" s="165">
        <f>E60/E40</f>
        <v>0.12055335968379446</v>
      </c>
      <c r="F63" s="172">
        <f>F60/F40</f>
        <v>0.21062618595825428</v>
      </c>
      <c r="G63" s="173">
        <f>G60/G40</f>
        <v>0.1435114503816794</v>
      </c>
      <c r="H63" s="166"/>
      <c r="I63" s="171">
        <f>I60/I40</f>
        <v>0.17366412213740459</v>
      </c>
      <c r="J63" s="165">
        <f>J60/J40</f>
        <v>0.1206896551724138</v>
      </c>
      <c r="K63" s="165">
        <f>K60/K40</f>
        <v>0.14563106796116504</v>
      </c>
      <c r="L63" s="165">
        <f>L60/L40</f>
        <v>0.17657992565055763</v>
      </c>
      <c r="M63" s="173">
        <f>M60/M40</f>
        <v>0.15309734513274337</v>
      </c>
      <c r="N63" s="166"/>
      <c r="O63" s="171">
        <f>O60/O40</f>
        <v>0.21634615384615385</v>
      </c>
      <c r="P63" s="165">
        <f>P60/P40</f>
        <v>0.125</v>
      </c>
      <c r="Q63" s="165">
        <f>Q60/Q40</f>
        <v>0.10888888888888888</v>
      </c>
      <c r="R63" s="165">
        <f>R60/R40</f>
        <v>9.9778270509977826E-2</v>
      </c>
      <c r="S63" s="173">
        <f>S60/S40</f>
        <v>0.13602731929425158</v>
      </c>
      <c r="T63" s="166"/>
      <c r="U63" s="171">
        <f>U60/U40</f>
        <v>0.12925170068027211</v>
      </c>
      <c r="V63" s="165">
        <f>V60/V40</f>
        <v>7.7605321507760533E-2</v>
      </c>
      <c r="W63" s="165">
        <f>W60/W40</f>
        <v>0.10169491525423729</v>
      </c>
      <c r="X63" s="165">
        <f>X60/X40</f>
        <v>0.12210526315789473</v>
      </c>
      <c r="Y63" s="173">
        <f>Y60/Y40</f>
        <v>0.10766721044045677</v>
      </c>
      <c r="AA63" s="171">
        <f>AA60/AA40</f>
        <v>8.8636363636363638E-2</v>
      </c>
      <c r="AB63" s="165">
        <f>AB60/AB40</f>
        <v>7.0640176600441501E-2</v>
      </c>
      <c r="AC63" s="165">
        <f>AC60/AC40</f>
        <v>8.9041095890410954E-2</v>
      </c>
      <c r="AD63" s="165">
        <f>AD60/AD40</f>
        <v>0.13447432762836187</v>
      </c>
      <c r="AE63" s="173">
        <f>AE60/AE40</f>
        <v>9.4827586206896547E-2</v>
      </c>
      <c r="AG63" s="171">
        <f>AG60/AG40</f>
        <v>0.17675544794188863</v>
      </c>
      <c r="AH63" s="165">
        <f>AH60/AH40</f>
        <v>8.1339712918660281E-2</v>
      </c>
      <c r="AI63" s="165">
        <f>AI60/AI40</f>
        <v>0.12085308056872038</v>
      </c>
      <c r="AJ63" s="165">
        <f>AJ60/AJ40</f>
        <v>0.15764705882352942</v>
      </c>
      <c r="AK63" s="173">
        <f>AK60/AK40</f>
        <v>0.13408820023837903</v>
      </c>
      <c r="AM63" s="171">
        <f>AM60/AM40</f>
        <v>0.22077922077922077</v>
      </c>
      <c r="AN63" s="165">
        <f>AN60/AN40</f>
        <v>0.14004914004914004</v>
      </c>
      <c r="AO63" s="165">
        <f>AO60/AO40</f>
        <v>0.36224489795918369</v>
      </c>
      <c r="AP63" s="165">
        <f>AP60/AP40</f>
        <v>0.13750000000000001</v>
      </c>
      <c r="AQ63" s="173">
        <f>AQ60/AQ40</f>
        <v>0.21401515151515152</v>
      </c>
      <c r="AS63" s="171">
        <f>AS60/AS40</f>
        <v>0.19428571428571428</v>
      </c>
      <c r="AT63" s="165">
        <f>AT60/AT40</f>
        <v>0.14246575342465753</v>
      </c>
      <c r="AU63" s="165">
        <f>AU60/AU40</f>
        <v>0.3170103092783505</v>
      </c>
      <c r="AV63" s="165">
        <f>AV60/AV40</f>
        <v>0.10796915167095116</v>
      </c>
      <c r="AW63" s="173">
        <f>AW60/AW40</f>
        <v>0.19101876675603216</v>
      </c>
      <c r="AY63" s="171">
        <f>AY60/AY40</f>
        <v>0.16230366492146597</v>
      </c>
      <c r="AZ63" s="165">
        <f>AZ60/AZ40</f>
        <v>0.11688311688311688</v>
      </c>
      <c r="BA63" s="165">
        <f>BA60/BA40</f>
        <v>8.6956521739130432E-2</v>
      </c>
      <c r="BB63" s="165">
        <f>BB60/BB40</f>
        <v>0.12435233160621761</v>
      </c>
      <c r="BC63" s="173">
        <f>BC60/BC40</f>
        <v>0.12240932642487047</v>
      </c>
      <c r="BE63" s="171">
        <f>BE60/BE40</f>
        <v>0.16402116402116401</v>
      </c>
      <c r="BF63" s="165">
        <f>BF60/BF40</f>
        <v>0.10204081632653061</v>
      </c>
      <c r="BG63" s="165">
        <f>BG60/BG40</f>
        <v>8.3109919571045576E-2</v>
      </c>
      <c r="BH63" s="165">
        <f>BH60/BH40</f>
        <v>0.17766497461928935</v>
      </c>
      <c r="BI63" s="173">
        <f>BI60/BI40</f>
        <v>0.13306451612903225</v>
      </c>
      <c r="BK63" s="171">
        <f>BK60/BK40</f>
        <v>0.2087912087912088</v>
      </c>
      <c r="BL63" s="165">
        <f>BL60/BL40</f>
        <v>8.9947089947089942E-2</v>
      </c>
      <c r="BM63" s="165">
        <f>BM60/BM40</f>
        <v>0.11968085106382979</v>
      </c>
      <c r="BN63" s="165">
        <f>BN60/BN40</f>
        <v>0.12244897959183673</v>
      </c>
      <c r="BO63" s="173">
        <f>BO60/BO40</f>
        <v>0.13443708609271524</v>
      </c>
      <c r="BQ63" s="171">
        <v>0.18</v>
      </c>
      <c r="BR63" s="165">
        <v>0.11</v>
      </c>
      <c r="BS63" s="165">
        <v>0.11</v>
      </c>
      <c r="BT63" s="165">
        <v>0.14000000000000001</v>
      </c>
      <c r="BU63" s="173">
        <f>BU60/BU40</f>
        <v>0.13475148385488775</v>
      </c>
      <c r="BW63" s="171">
        <v>0.16500000000000001</v>
      </c>
      <c r="BX63" s="165">
        <v>0.11</v>
      </c>
      <c r="BY63" s="165">
        <v>0.1</v>
      </c>
      <c r="BZ63" s="165">
        <v>0.16</v>
      </c>
      <c r="CA63" s="173">
        <f>CA60/CA40</f>
        <v>0.13357243121401702</v>
      </c>
      <c r="CC63" s="171">
        <v>0.15</v>
      </c>
      <c r="CD63" s="165">
        <v>0.11</v>
      </c>
      <c r="CE63" s="165">
        <v>0.1</v>
      </c>
      <c r="CF63" s="165">
        <v>0.155</v>
      </c>
      <c r="CG63" s="173">
        <f>CG60/CG40</f>
        <v>0.12855149794311563</v>
      </c>
      <c r="CI63" s="171">
        <v>0.14000000000000001</v>
      </c>
      <c r="CJ63" s="165">
        <v>0.1</v>
      </c>
      <c r="CK63" s="165">
        <v>0.11</v>
      </c>
      <c r="CL63" s="165">
        <v>0.14499999999999999</v>
      </c>
      <c r="CM63" s="173">
        <f>CM60/CM40</f>
        <v>0.12357462949152738</v>
      </c>
      <c r="CO63" s="171">
        <v>0.13</v>
      </c>
      <c r="CP63" s="165">
        <v>0.11</v>
      </c>
      <c r="CQ63" s="165">
        <v>0.1</v>
      </c>
      <c r="CR63" s="165">
        <v>0.14000000000000001</v>
      </c>
      <c r="CS63" s="173">
        <f>CS60/CS40</f>
        <v>0.11990010138444178</v>
      </c>
      <c r="CU63" s="171">
        <v>0.13</v>
      </c>
      <c r="CV63" s="165">
        <v>0.11</v>
      </c>
      <c r="CW63" s="165">
        <v>0.1</v>
      </c>
      <c r="CX63" s="165">
        <v>0.14000000000000001</v>
      </c>
      <c r="CY63" s="173">
        <f>CY60/CY40</f>
        <v>0.11989771559320864</v>
      </c>
      <c r="DA63" s="171">
        <v>0.13</v>
      </c>
      <c r="DB63" s="165">
        <v>0.11</v>
      </c>
      <c r="DC63" s="165">
        <v>0.1</v>
      </c>
      <c r="DD63" s="165">
        <v>0.14000000000000001</v>
      </c>
      <c r="DE63" s="173">
        <f>DE60/DE40</f>
        <v>0.11989562548279187</v>
      </c>
      <c r="DG63" s="171">
        <v>0.13</v>
      </c>
      <c r="DH63" s="165">
        <v>0.11</v>
      </c>
      <c r="DI63" s="165">
        <v>0.1</v>
      </c>
      <c r="DJ63" s="165">
        <v>0.14000000000000001</v>
      </c>
      <c r="DK63" s="173">
        <f>DK60/DK40</f>
        <v>0.11989382195942802</v>
      </c>
    </row>
    <row r="64" spans="2:115" ht="15.75" thickBot="1" x14ac:dyDescent="0.35">
      <c r="B64" s="140" t="s">
        <v>40</v>
      </c>
      <c r="C64" s="155" t="s">
        <v>35</v>
      </c>
      <c r="D64" s="106" t="s">
        <v>35</v>
      </c>
      <c r="E64" s="106" t="s">
        <v>35</v>
      </c>
      <c r="F64" s="154" t="s">
        <v>35</v>
      </c>
      <c r="G64" s="108" t="s">
        <v>35</v>
      </c>
      <c r="I64" s="174">
        <f>I63-C63</f>
        <v>9.9673090747270057E-2</v>
      </c>
      <c r="J64" s="175">
        <f>J63-D63</f>
        <v>-3.7746558819355749E-2</v>
      </c>
      <c r="K64" s="175">
        <f>K63-E63</f>
        <v>2.5077708277370575E-2</v>
      </c>
      <c r="L64" s="175">
        <f>L63-F63</f>
        <v>-3.4046260307696641E-2</v>
      </c>
      <c r="M64" s="177">
        <f>M63-G63</f>
        <v>9.5858947510639725E-3</v>
      </c>
      <c r="O64" s="174">
        <f>O63-I63</f>
        <v>4.2682031708749263E-2</v>
      </c>
      <c r="P64" s="175">
        <f>P63-J63</f>
        <v>4.3103448275862016E-3</v>
      </c>
      <c r="Q64" s="175">
        <f>Q63-K63</f>
        <v>-3.6742179072276157E-2</v>
      </c>
      <c r="R64" s="176">
        <f>R63-L63</f>
        <v>-7.6801655140579808E-2</v>
      </c>
      <c r="S64" s="177">
        <f>S63-M63</f>
        <v>-1.7070025838491792E-2</v>
      </c>
      <c r="U64" s="174">
        <f>U63-O63</f>
        <v>-8.7094453165881741E-2</v>
      </c>
      <c r="V64" s="175">
        <f>V63-P63</f>
        <v>-4.7394678492239467E-2</v>
      </c>
      <c r="W64" s="175">
        <f>W63-Q63</f>
        <v>-7.1939736346515876E-3</v>
      </c>
      <c r="X64" s="175">
        <f>X63-R63</f>
        <v>2.2326992647916905E-2</v>
      </c>
      <c r="Y64" s="177">
        <f>Y63-S63</f>
        <v>-2.8360108853794808E-2</v>
      </c>
      <c r="AA64" s="174">
        <f>AA63-U63</f>
        <v>-4.0615337043908475E-2</v>
      </c>
      <c r="AB64" s="175">
        <f>AB63-V63</f>
        <v>-6.9651449073190319E-3</v>
      </c>
      <c r="AC64" s="175">
        <f>AC63-W63</f>
        <v>-1.2653819363826341E-2</v>
      </c>
      <c r="AD64" s="175">
        <f>AD63-X63</f>
        <v>1.2369064470467137E-2</v>
      </c>
      <c r="AE64" s="177">
        <f>AE63-Y63</f>
        <v>-1.2839624233560221E-2</v>
      </c>
      <c r="AG64" s="174">
        <f>AG63-AA63</f>
        <v>8.8119084305524994E-2</v>
      </c>
      <c r="AH64" s="175">
        <f>AH63-AB63</f>
        <v>1.069953631821878E-2</v>
      </c>
      <c r="AI64" s="175">
        <f>AI63-AC63</f>
        <v>3.1811984678309424E-2</v>
      </c>
      <c r="AJ64" s="175">
        <f>AJ63-AD63</f>
        <v>2.3172731195167551E-2</v>
      </c>
      <c r="AK64" s="177">
        <f>AK63-AE63</f>
        <v>3.9260614031482483E-2</v>
      </c>
      <c r="AM64" s="174">
        <f>AM63-AG63</f>
        <v>4.4023772837332137E-2</v>
      </c>
      <c r="AN64" s="175">
        <f>AN63-AH63</f>
        <v>5.870942713047976E-2</v>
      </c>
      <c r="AO64" s="175">
        <f>AO63-AI63</f>
        <v>0.24139181739046331</v>
      </c>
      <c r="AP64" s="175">
        <f>AP63-AJ63</f>
        <v>-2.0147058823529407E-2</v>
      </c>
      <c r="AQ64" s="177">
        <f>AQ63-AK63</f>
        <v>7.992695127677249E-2</v>
      </c>
      <c r="AS64" s="174">
        <f>AS63-AM63</f>
        <v>-2.6493506493506486E-2</v>
      </c>
      <c r="AT64" s="175">
        <f>AT63-AN63</f>
        <v>2.4166133755174901E-3</v>
      </c>
      <c r="AU64" s="175">
        <f>AU63-AO63</f>
        <v>-4.5234588680833188E-2</v>
      </c>
      <c r="AV64" s="175">
        <f>AV63-AP63</f>
        <v>-2.9530848329048856E-2</v>
      </c>
      <c r="AW64" s="177">
        <f>AW63-AQ63</f>
        <v>-2.2996384759119359E-2</v>
      </c>
      <c r="AY64" s="174">
        <f>AY63-AS63</f>
        <v>-3.1982049364248311E-2</v>
      </c>
      <c r="AZ64" s="175">
        <f>AZ63-AT63</f>
        <v>-2.5582636541540651E-2</v>
      </c>
      <c r="BA64" s="175">
        <f>BA63-AU63</f>
        <v>-0.23005378753922007</v>
      </c>
      <c r="BB64" s="175">
        <f>BB63-AV63</f>
        <v>1.6383179935266459E-2</v>
      </c>
      <c r="BC64" s="177">
        <f>BC63-AW63</f>
        <v>-6.8609440331161689E-2</v>
      </c>
      <c r="BE64" s="174">
        <f>BE63-AY63</f>
        <v>1.7174990996980388E-3</v>
      </c>
      <c r="BF64" s="175">
        <f>BF63-AZ63</f>
        <v>-1.4842300556586266E-2</v>
      </c>
      <c r="BG64" s="175">
        <f>BG63-BA63</f>
        <v>-3.8466021680848561E-3</v>
      </c>
      <c r="BH64" s="175">
        <f>BH63-BB63</f>
        <v>5.3312643013071731E-2</v>
      </c>
      <c r="BI64" s="177">
        <f>BI63-BC63</f>
        <v>1.065518970416178E-2</v>
      </c>
      <c r="BK64" s="174">
        <f>BK63-BE63</f>
        <v>4.4770044770044787E-2</v>
      </c>
      <c r="BL64" s="175">
        <f>BL63-BF63</f>
        <v>-1.2093726379440672E-2</v>
      </c>
      <c r="BM64" s="175">
        <f>BM63-BG63</f>
        <v>3.6570931492784217E-2</v>
      </c>
      <c r="BN64" s="175">
        <f>BN63-BH63</f>
        <v>-5.5215995027452613E-2</v>
      </c>
      <c r="BO64" s="177">
        <f>BO63-BI63</f>
        <v>1.3725699636829847E-3</v>
      </c>
      <c r="BQ64" s="174">
        <f>BQ63-BK63</f>
        <v>-2.8791208791208805E-2</v>
      </c>
      <c r="BR64" s="175">
        <f>BR63-BL63</f>
        <v>2.0052910052910058E-2</v>
      </c>
      <c r="BS64" s="175">
        <f>BS63-BM63</f>
        <v>-9.6808510638297929E-3</v>
      </c>
      <c r="BT64" s="176">
        <f>BT63-BN63</f>
        <v>1.7551020408163281E-2</v>
      </c>
      <c r="BU64" s="177">
        <f>BU63-BO63</f>
        <v>3.1439776217251358E-4</v>
      </c>
      <c r="BW64" s="174">
        <f>BW63-BQ63</f>
        <v>-1.4999999999999986E-2</v>
      </c>
      <c r="BX64" s="175">
        <f>BX63-BR63</f>
        <v>0</v>
      </c>
      <c r="BY64" s="175">
        <f>BY63-BS63</f>
        <v>-9.999999999999995E-3</v>
      </c>
      <c r="BZ64" s="176">
        <f>BZ63-BT63</f>
        <v>1.999999999999999E-2</v>
      </c>
      <c r="CA64" s="177">
        <f>CA63-BU63</f>
        <v>-1.1790526408707314E-3</v>
      </c>
      <c r="CC64" s="174">
        <f>CC63-BW63</f>
        <v>-1.5000000000000013E-2</v>
      </c>
      <c r="CD64" s="175">
        <f>CD63-BX63</f>
        <v>0</v>
      </c>
      <c r="CE64" s="175">
        <f>CE63-BY63</f>
        <v>0</v>
      </c>
      <c r="CF64" s="176">
        <f>CF63-BZ63</f>
        <v>-5.0000000000000044E-3</v>
      </c>
      <c r="CG64" s="177">
        <f>CG63-CA63</f>
        <v>-5.0209332709013899E-3</v>
      </c>
      <c r="CI64" s="174">
        <f>CI63-CC63</f>
        <v>-9.9999999999999811E-3</v>
      </c>
      <c r="CJ64" s="175">
        <f>CJ63-CD63</f>
        <v>-9.999999999999995E-3</v>
      </c>
      <c r="CK64" s="175">
        <f>CK63-CE63</f>
        <v>9.999999999999995E-3</v>
      </c>
      <c r="CL64" s="176">
        <f>CL63-CF63</f>
        <v>-1.0000000000000009E-2</v>
      </c>
      <c r="CM64" s="177">
        <f>CM63-CG63</f>
        <v>-4.9768684515882483E-3</v>
      </c>
      <c r="CO64" s="174">
        <f>CO63-CI63</f>
        <v>-1.0000000000000009E-2</v>
      </c>
      <c r="CP64" s="175">
        <f>CP63-CJ63</f>
        <v>9.999999999999995E-3</v>
      </c>
      <c r="CQ64" s="175">
        <f>CQ63-CK63</f>
        <v>-9.999999999999995E-3</v>
      </c>
      <c r="CR64" s="176">
        <f>CR63-CL63</f>
        <v>-4.9999999999999767E-3</v>
      </c>
      <c r="CS64" s="177">
        <f>CS63-CM63</f>
        <v>-3.6745281070856006E-3</v>
      </c>
      <c r="CU64" s="174">
        <f>CU63-CO63</f>
        <v>0</v>
      </c>
      <c r="CV64" s="175">
        <f>CV63-CP63</f>
        <v>0</v>
      </c>
      <c r="CW64" s="175">
        <f>CW63-CQ63</f>
        <v>0</v>
      </c>
      <c r="CX64" s="176">
        <f>CX63-CR63</f>
        <v>0</v>
      </c>
      <c r="CY64" s="177">
        <f>CY63-CS63</f>
        <v>-2.3857912331420872E-6</v>
      </c>
      <c r="DA64" s="174">
        <f>DA63-CU63</f>
        <v>0</v>
      </c>
      <c r="DB64" s="175">
        <f>DB63-CV63</f>
        <v>0</v>
      </c>
      <c r="DC64" s="175">
        <f>DC63-CW63</f>
        <v>0</v>
      </c>
      <c r="DD64" s="176">
        <f>DD63-CX63</f>
        <v>0</v>
      </c>
      <c r="DE64" s="177">
        <f>DE63-CY63</f>
        <v>-2.0901104167692086E-6</v>
      </c>
      <c r="DG64" s="174">
        <f>DG63-DA63</f>
        <v>0</v>
      </c>
      <c r="DH64" s="175">
        <f>DH63-DB63</f>
        <v>0</v>
      </c>
      <c r="DI64" s="175">
        <f>DI63-DC63</f>
        <v>0</v>
      </c>
      <c r="DJ64" s="176">
        <f>DJ63-DD63</f>
        <v>0</v>
      </c>
      <c r="DK64" s="177">
        <f>DK63-DE63</f>
        <v>-1.8035233638469261E-6</v>
      </c>
    </row>
    <row r="65" spans="2:115" ht="15.75" thickBot="1" x14ac:dyDescent="0.35">
      <c r="B65" s="1"/>
      <c r="AA65" s="103"/>
      <c r="AB65" s="103"/>
      <c r="AC65" s="103"/>
      <c r="AD65" s="103"/>
      <c r="AE65" s="103"/>
      <c r="AG65" s="103"/>
      <c r="AH65" s="103"/>
      <c r="AI65" s="103"/>
      <c r="AJ65" s="103"/>
      <c r="AK65" s="103"/>
      <c r="AM65" s="103"/>
      <c r="AN65" s="103"/>
      <c r="AO65" s="103"/>
      <c r="AP65" s="103"/>
      <c r="AQ65" s="103"/>
      <c r="AS65" s="103"/>
      <c r="AT65" s="103"/>
      <c r="AU65" s="103"/>
      <c r="AV65" s="103"/>
      <c r="AW65" s="103"/>
      <c r="AY65" s="103"/>
      <c r="AZ65" s="103"/>
      <c r="BA65" s="103"/>
      <c r="BB65" s="103"/>
      <c r="BC65" s="103"/>
      <c r="BE65" s="103"/>
      <c r="BF65" s="103"/>
      <c r="BG65" s="103"/>
      <c r="BH65" s="103"/>
      <c r="BI65" s="103"/>
      <c r="BK65" s="103"/>
      <c r="BL65" s="103"/>
      <c r="BM65" s="103"/>
      <c r="BN65" s="103"/>
      <c r="BO65" s="103"/>
      <c r="BQ65" s="103"/>
      <c r="BR65" s="103"/>
      <c r="BS65" s="103"/>
      <c r="BT65" s="103"/>
      <c r="BU65" s="103"/>
      <c r="BW65" s="103"/>
      <c r="BX65" s="103"/>
      <c r="BY65" s="103"/>
      <c r="BZ65" s="103"/>
      <c r="CA65" s="103"/>
      <c r="CC65" s="103"/>
      <c r="CD65" s="103"/>
      <c r="CE65" s="103"/>
      <c r="CF65" s="103"/>
      <c r="CG65" s="103"/>
      <c r="CI65" s="103"/>
      <c r="CJ65" s="103"/>
      <c r="CK65" s="103"/>
      <c r="CL65" s="103"/>
      <c r="CM65" s="103"/>
      <c r="CO65" s="103"/>
      <c r="CP65" s="103"/>
      <c r="CQ65" s="103"/>
      <c r="CR65" s="103"/>
      <c r="CS65" s="103"/>
      <c r="CU65" s="103"/>
      <c r="CV65" s="103"/>
      <c r="CW65" s="103"/>
      <c r="CX65" s="103"/>
      <c r="CY65" s="103"/>
      <c r="DA65" s="103"/>
      <c r="DB65" s="103"/>
      <c r="DC65" s="103"/>
      <c r="DD65" s="103"/>
      <c r="DE65" s="103"/>
      <c r="DG65" s="103"/>
      <c r="DH65" s="103"/>
      <c r="DI65" s="103"/>
      <c r="DJ65" s="103"/>
      <c r="DK65" s="103"/>
    </row>
    <row r="66" spans="2:115" ht="15" x14ac:dyDescent="0.3">
      <c r="B66" s="42" t="s">
        <v>38</v>
      </c>
      <c r="C66" s="198">
        <f>C54-C60</f>
        <v>114</v>
      </c>
      <c r="D66" s="199">
        <f>D54-D60</f>
        <v>91</v>
      </c>
      <c r="E66" s="199">
        <f>E54-E60</f>
        <v>116</v>
      </c>
      <c r="F66" s="200">
        <f>F54-F60</f>
        <v>43</v>
      </c>
      <c r="G66" s="167">
        <f>C66+D66+E66+F66</f>
        <v>364</v>
      </c>
      <c r="H66" s="197"/>
      <c r="I66" s="198">
        <f>I54-I60</f>
        <v>93</v>
      </c>
      <c r="J66" s="199">
        <f>J54-J60</f>
        <v>144</v>
      </c>
      <c r="K66" s="199">
        <f>K54-K60</f>
        <v>132</v>
      </c>
      <c r="L66" s="200">
        <f>L54-L60</f>
        <v>70</v>
      </c>
      <c r="M66" s="167">
        <f>I66+J66+K66+L66</f>
        <v>439</v>
      </c>
      <c r="N66" s="197"/>
      <c r="O66" s="198">
        <f>O54-O60</f>
        <v>20</v>
      </c>
      <c r="P66" s="199">
        <f>P54-P60</f>
        <v>115</v>
      </c>
      <c r="Q66" s="199">
        <f>Q54-Q60</f>
        <v>126</v>
      </c>
      <c r="R66" s="200">
        <f>R54-R60</f>
        <v>116</v>
      </c>
      <c r="S66" s="167">
        <f>O66+P66+Q66+R66</f>
        <v>377</v>
      </c>
      <c r="T66" s="197"/>
      <c r="U66" s="198">
        <f>U54-U60</f>
        <v>112</v>
      </c>
      <c r="V66" s="199">
        <f>V54-V60</f>
        <v>141</v>
      </c>
      <c r="W66" s="199">
        <f>W54-W60</f>
        <v>111</v>
      </c>
      <c r="X66" s="199">
        <f>X54-X60</f>
        <v>129</v>
      </c>
      <c r="Y66" s="201">
        <f>U66+V66+W66+X66</f>
        <v>493</v>
      </c>
      <c r="Z66" s="259"/>
      <c r="AA66" s="198">
        <f>AA54-AA60</f>
        <v>105</v>
      </c>
      <c r="AB66" s="199">
        <f>AB54-AB60</f>
        <v>144</v>
      </c>
      <c r="AC66" s="199">
        <f>AC54-AC60</f>
        <v>117</v>
      </c>
      <c r="AD66" s="199">
        <f>AD54-AD60</f>
        <v>98</v>
      </c>
      <c r="AE66" s="201">
        <f>AA66+AB66+AC66+AD66</f>
        <v>464</v>
      </c>
      <c r="AF66" s="259"/>
      <c r="AG66" s="198">
        <f>AG54-AG60</f>
        <v>54</v>
      </c>
      <c r="AH66" s="199">
        <f>AH54-AH60</f>
        <v>105</v>
      </c>
      <c r="AI66" s="199">
        <f>AI54-AI60</f>
        <v>109</v>
      </c>
      <c r="AJ66" s="199">
        <f>AJ54-AJ60</f>
        <v>93</v>
      </c>
      <c r="AK66" s="201">
        <f>AG66+AH66+AI66+AJ66</f>
        <v>361</v>
      </c>
      <c r="AL66" s="259"/>
      <c r="AM66" s="198">
        <f>AM54-AM60</f>
        <v>55</v>
      </c>
      <c r="AN66" s="199">
        <f>AN54-AN60</f>
        <v>90</v>
      </c>
      <c r="AO66" s="199">
        <f>AO54-AO60</f>
        <v>3</v>
      </c>
      <c r="AP66" s="199">
        <f>AP54-AP60</f>
        <v>112</v>
      </c>
      <c r="AQ66" s="201">
        <f>AM66+AN66+AO66+AP66</f>
        <v>260</v>
      </c>
      <c r="AR66" s="259"/>
      <c r="AS66" s="198">
        <f>AS54-AS60</f>
        <v>66</v>
      </c>
      <c r="AT66" s="199">
        <f>AT54-AT60</f>
        <v>89</v>
      </c>
      <c r="AU66" s="199">
        <f>AU54-AU60</f>
        <v>26</v>
      </c>
      <c r="AV66" s="199">
        <f>AV54-AV60</f>
        <v>113</v>
      </c>
      <c r="AW66" s="201">
        <f>AS66+AT66+AU66+AV66</f>
        <v>294</v>
      </c>
      <c r="AX66" s="259"/>
      <c r="AY66" s="198">
        <f>AY54-AY60</f>
        <v>68</v>
      </c>
      <c r="AZ66" s="199">
        <f>AZ54-AZ60</f>
        <v>100</v>
      </c>
      <c r="BA66" s="199">
        <f>BA54-BA60</f>
        <v>130</v>
      </c>
      <c r="BB66" s="199">
        <f>BB54-BB60</f>
        <v>93</v>
      </c>
      <c r="BC66" s="201">
        <f>AY66+AZ66+BA66+BB66</f>
        <v>391</v>
      </c>
      <c r="BD66" s="259"/>
      <c r="BE66" s="198">
        <f>BE54-BE60</f>
        <v>58</v>
      </c>
      <c r="BF66" s="199">
        <f>BF54-BF60</f>
        <v>65</v>
      </c>
      <c r="BG66" s="199">
        <f>BG54-BG60</f>
        <v>94</v>
      </c>
      <c r="BH66" s="199">
        <f>BH54-BH60</f>
        <v>62</v>
      </c>
      <c r="BI66" s="201">
        <f>BE66+BF66+BG66+BH66</f>
        <v>279</v>
      </c>
      <c r="BJ66" s="259"/>
      <c r="BK66" s="198">
        <f>BK54-BK60</f>
        <v>24</v>
      </c>
      <c r="BL66" s="199">
        <f>BL54-BL60</f>
        <v>91</v>
      </c>
      <c r="BM66" s="199">
        <f>BM54-BM60</f>
        <v>43</v>
      </c>
      <c r="BN66" s="199">
        <f>BN54-BN60</f>
        <v>58</v>
      </c>
      <c r="BO66" s="201">
        <f>BK66+BL66+BM66+BN66</f>
        <v>216</v>
      </c>
      <c r="BP66" s="259"/>
      <c r="BQ66" s="198">
        <f>BQ54-BQ60</f>
        <v>22.990668930690504</v>
      </c>
      <c r="BR66" s="199">
        <f>BR54-BR60</f>
        <v>74.079096326173783</v>
      </c>
      <c r="BS66" s="199">
        <f>BS54-BS60</f>
        <v>42.671999139692595</v>
      </c>
      <c r="BT66" s="199">
        <f>BT54-BT60</f>
        <v>47.607635585211291</v>
      </c>
      <c r="BU66" s="201">
        <f>BQ66+BR66+BS66+BT66</f>
        <v>187.34939998176816</v>
      </c>
      <c r="BV66" s="259"/>
      <c r="BW66" s="198">
        <f>BW54-BW60</f>
        <v>25.949276235457269</v>
      </c>
      <c r="BX66" s="199">
        <f>BX54-BX60</f>
        <v>72.88326943036401</v>
      </c>
      <c r="BY66" s="199">
        <f>BY54-BY60</f>
        <v>44.651158593317092</v>
      </c>
      <c r="BZ66" s="199">
        <f>BZ54-BZ60</f>
        <v>36.756119627640267</v>
      </c>
      <c r="CA66" s="201">
        <f>BW66+BX66+BY66+BZ66</f>
        <v>180.23982388677862</v>
      </c>
      <c r="CB66" s="259"/>
      <c r="CC66" s="198">
        <f>CC54-CC60</f>
        <v>30.641424159608285</v>
      </c>
      <c r="CD66" s="199">
        <f>CD54-CD60</f>
        <v>72.672481310255307</v>
      </c>
      <c r="CE66" s="199">
        <f>CE54-CE60</f>
        <v>44.183361640937626</v>
      </c>
      <c r="CF66" s="199">
        <f>CF54-CF60</f>
        <v>37.671497264148641</v>
      </c>
      <c r="CG66" s="201">
        <f>CC66+CD66+CE66+CF66</f>
        <v>185.16876437494983</v>
      </c>
      <c r="CH66" s="259"/>
      <c r="CI66" s="198">
        <f>CI54-CI60</f>
        <v>34.601016463972073</v>
      </c>
      <c r="CJ66" s="199">
        <f>CJ54-CJ60</f>
        <v>77.289710486526133</v>
      </c>
      <c r="CK66" s="199">
        <f>CK54-CK60</f>
        <v>40.760774596190203</v>
      </c>
      <c r="CL66" s="199">
        <f>CL54-CL60</f>
        <v>41.78575266344378</v>
      </c>
      <c r="CM66" s="201">
        <f>CI66+CJ66+CK66+CL66</f>
        <v>194.43725421013218</v>
      </c>
      <c r="CN66" s="259"/>
      <c r="CO66" s="198">
        <f>CO54-CO60</f>
        <v>38.695058592234552</v>
      </c>
      <c r="CP66" s="199">
        <f>CP54-CP60</f>
        <v>74.31397003209986</v>
      </c>
      <c r="CQ66" s="199">
        <f>CQ54-CQ60</f>
        <v>45.024323615729607</v>
      </c>
      <c r="CR66" s="199">
        <f>CR54-CR60</f>
        <v>44.115512097129482</v>
      </c>
      <c r="CS66" s="201">
        <f>CO66+CP66+CQ66+CR66</f>
        <v>202.14886433719349</v>
      </c>
      <c r="CT66" s="259"/>
      <c r="CU66" s="198">
        <f>CU54-CU60</f>
        <v>39.329477544651098</v>
      </c>
      <c r="CV66" s="199">
        <f>CV54-CV60</f>
        <v>75.621340053801049</v>
      </c>
      <c r="CW66" s="199">
        <f>CW54-CW60</f>
        <v>45.745961851948515</v>
      </c>
      <c r="CX66" s="199">
        <f>CX54-CX60</f>
        <v>44.797719454042564</v>
      </c>
      <c r="CY66" s="201">
        <f>CU66+CV66+CW66+CX66</f>
        <v>205.49449890444322</v>
      </c>
      <c r="CZ66" s="259"/>
      <c r="DA66" s="198">
        <f>DA54-DA60</f>
        <v>40.0228832538929</v>
      </c>
      <c r="DB66" s="199">
        <f>DB54-DB60</f>
        <v>77.040893592893298</v>
      </c>
      <c r="DC66" s="199">
        <f>DC54-DC60</f>
        <v>46.536956194737975</v>
      </c>
      <c r="DD66" s="199">
        <f>DD54-DD60</f>
        <v>45.550300100845085</v>
      </c>
      <c r="DE66" s="201">
        <f>DA66+DB66+DC66+DD66</f>
        <v>209.15103314236924</v>
      </c>
      <c r="DF66" s="259"/>
      <c r="DG66" s="198">
        <f>DG54-DG60</f>
        <v>40.77606736702667</v>
      </c>
      <c r="DH66" s="199">
        <f>DH54-DH60</f>
        <v>78.574234289482703</v>
      </c>
      <c r="DI66" s="199">
        <f>DI54-DI60</f>
        <v>47.398167498579376</v>
      </c>
      <c r="DJ66" s="199">
        <f>DJ54-DJ60</f>
        <v>46.374080622344785</v>
      </c>
      <c r="DK66" s="201">
        <f>DG66+DH66+DI66+DJ66</f>
        <v>213.12254977743353</v>
      </c>
    </row>
    <row r="67" spans="2:115" ht="15.75" thickBot="1" x14ac:dyDescent="0.35">
      <c r="B67" s="41" t="s">
        <v>23</v>
      </c>
      <c r="C67" s="155" t="s">
        <v>35</v>
      </c>
      <c r="D67" s="106" t="s">
        <v>35</v>
      </c>
      <c r="E67" s="106" t="s">
        <v>35</v>
      </c>
      <c r="F67" s="106" t="s">
        <v>35</v>
      </c>
      <c r="G67" s="108" t="s">
        <v>35</v>
      </c>
      <c r="I67" s="109">
        <f>I66/C66-1</f>
        <v>-0.18421052631578949</v>
      </c>
      <c r="J67" s="110">
        <f>J66/D66-1</f>
        <v>0.58241758241758235</v>
      </c>
      <c r="K67" s="110">
        <f>K66/E66-1</f>
        <v>0.13793103448275867</v>
      </c>
      <c r="L67" s="120">
        <f>L66/F66-1</f>
        <v>0.62790697674418605</v>
      </c>
      <c r="M67" s="122">
        <f>M66/G66-1</f>
        <v>0.20604395604395598</v>
      </c>
      <c r="O67" s="109">
        <f>O66/I66-1</f>
        <v>-0.78494623655913975</v>
      </c>
      <c r="P67" s="110">
        <f>P66/J66-1</f>
        <v>-0.20138888888888884</v>
      </c>
      <c r="Q67" s="110">
        <f>Q66/K66-1</f>
        <v>-4.5454545454545414E-2</v>
      </c>
      <c r="R67" s="120">
        <f>R66/L66-1</f>
        <v>0.65714285714285725</v>
      </c>
      <c r="S67" s="122">
        <f>S66/M66-1</f>
        <v>-0.14123006833712981</v>
      </c>
      <c r="T67" s="107"/>
      <c r="U67" s="109">
        <f>U66/O66-1</f>
        <v>4.5999999999999996</v>
      </c>
      <c r="V67" s="110">
        <f>V66/P66-1</f>
        <v>0.22608695652173916</v>
      </c>
      <c r="W67" s="110">
        <f>W66/Q66-1</f>
        <v>-0.11904761904761907</v>
      </c>
      <c r="X67" s="120">
        <f>X66/R66-1</f>
        <v>0.11206896551724133</v>
      </c>
      <c r="Y67" s="122">
        <f>Y66/S66-1</f>
        <v>0.30769230769230771</v>
      </c>
      <c r="AA67" s="109">
        <f>AA66/U66-1</f>
        <v>-6.25E-2</v>
      </c>
      <c r="AB67" s="110">
        <f>AB66/V66-1</f>
        <v>2.1276595744680771E-2</v>
      </c>
      <c r="AC67" s="110">
        <f>AC66/W66-1</f>
        <v>5.4054054054053946E-2</v>
      </c>
      <c r="AD67" s="120">
        <f>AD66/X66-1</f>
        <v>-0.24031007751937983</v>
      </c>
      <c r="AE67" s="122">
        <f>AE66/Y66-1</f>
        <v>-5.8823529411764719E-2</v>
      </c>
      <c r="AG67" s="109">
        <f>AG66/AA66-1</f>
        <v>-0.48571428571428577</v>
      </c>
      <c r="AH67" s="110">
        <f>AH66/AB66-1</f>
        <v>-0.27083333333333337</v>
      </c>
      <c r="AI67" s="110">
        <f>AI66/AC66-1</f>
        <v>-6.8376068376068355E-2</v>
      </c>
      <c r="AJ67" s="120">
        <f>AJ66/AD66-1</f>
        <v>-5.1020408163265252E-2</v>
      </c>
      <c r="AK67" s="122">
        <f>AK66/AE66-1</f>
        <v>-0.22198275862068961</v>
      </c>
      <c r="AM67" s="109">
        <f>AM66/AG66-1</f>
        <v>1.8518518518518601E-2</v>
      </c>
      <c r="AN67" s="110">
        <f>AN66/AH66-1</f>
        <v>-0.1428571428571429</v>
      </c>
      <c r="AO67" s="110">
        <f>AO66/AI66-1</f>
        <v>-0.97247706422018343</v>
      </c>
      <c r="AP67" s="120">
        <f>AP66/AJ66-1</f>
        <v>0.20430107526881724</v>
      </c>
      <c r="AQ67" s="122">
        <f>AQ66/AK66-1</f>
        <v>-0.27977839335180055</v>
      </c>
      <c r="AS67" s="109">
        <f>AS66/AM66-1</f>
        <v>0.19999999999999996</v>
      </c>
      <c r="AT67" s="110">
        <f>AT66/AN66-1</f>
        <v>-1.1111111111111072E-2</v>
      </c>
      <c r="AU67" s="110">
        <f>AU66/AO66-1</f>
        <v>7.6666666666666661</v>
      </c>
      <c r="AV67" s="120">
        <f>AV66/AP66-1</f>
        <v>8.9285714285713969E-3</v>
      </c>
      <c r="AW67" s="122">
        <f>AW66/AQ66-1</f>
        <v>0.13076923076923075</v>
      </c>
      <c r="AY67" s="109">
        <f>AY66/AS66-1</f>
        <v>3.0303030303030276E-2</v>
      </c>
      <c r="AZ67" s="110">
        <f>AZ66/AT66-1</f>
        <v>0.12359550561797761</v>
      </c>
      <c r="BA67" s="110">
        <f>BA66/AU66-1</f>
        <v>4</v>
      </c>
      <c r="BB67" s="120">
        <f>BB66/AV66-1</f>
        <v>-0.17699115044247793</v>
      </c>
      <c r="BC67" s="122">
        <f>BC66/AW66-1</f>
        <v>0.32993197278911568</v>
      </c>
      <c r="BE67" s="109">
        <f>BE66/AY66-1</f>
        <v>-0.1470588235294118</v>
      </c>
      <c r="BF67" s="110">
        <f>BF66/AZ66-1</f>
        <v>-0.35</v>
      </c>
      <c r="BG67" s="110">
        <f>BG66/BA66-1</f>
        <v>-0.27692307692307694</v>
      </c>
      <c r="BH67" s="120">
        <f>BH66/BB66-1</f>
        <v>-0.33333333333333337</v>
      </c>
      <c r="BI67" s="122">
        <f>BI66/BC66-1</f>
        <v>-0.28644501278772383</v>
      </c>
      <c r="BK67" s="109">
        <f>BK66/BE66-1</f>
        <v>-0.5862068965517242</v>
      </c>
      <c r="BL67" s="110">
        <f>BL66/BF66-1</f>
        <v>0.39999999999999991</v>
      </c>
      <c r="BM67" s="110">
        <f>BM66/BG66-1</f>
        <v>-0.54255319148936176</v>
      </c>
      <c r="BN67" s="120">
        <f>BN66/BH66-1</f>
        <v>-6.4516129032258118E-2</v>
      </c>
      <c r="BO67" s="122">
        <f>BO66/BI66-1</f>
        <v>-0.22580645161290325</v>
      </c>
      <c r="BQ67" s="109">
        <f>BQ66/BK66-1</f>
        <v>-4.2055461221229051E-2</v>
      </c>
      <c r="BR67" s="110">
        <f>BR66/BL66-1</f>
        <v>-0.18594399641567272</v>
      </c>
      <c r="BS67" s="110">
        <f>BS66/BM66-1</f>
        <v>-7.6279269838931407E-3</v>
      </c>
      <c r="BT67" s="120">
        <f>BT66/BN66-1</f>
        <v>-0.17917869680670184</v>
      </c>
      <c r="BU67" s="122">
        <f>BU66/BO66-1</f>
        <v>-0.13264166675107336</v>
      </c>
      <c r="BW67" s="109">
        <f>BW66/BQ66-1</f>
        <v>0.12868730847658316</v>
      </c>
      <c r="BX67" s="110">
        <f>BX66/BR66-1</f>
        <v>-1.614256862076846E-2</v>
      </c>
      <c r="BY67" s="110">
        <f>BY66/BS66-1</f>
        <v>4.638075303539102E-2</v>
      </c>
      <c r="BZ67" s="120">
        <f>BZ66/BT66-1</f>
        <v>-0.22793646069963425</v>
      </c>
      <c r="CA67" s="122">
        <f>CA66/BU66-1</f>
        <v>-3.7948219186618171E-2</v>
      </c>
      <c r="CC67" s="109">
        <f>CC66/BW66-1</f>
        <v>0.18081999210982347</v>
      </c>
      <c r="CD67" s="110">
        <f>CD66/BX66-1</f>
        <v>-2.8921331569805586E-3</v>
      </c>
      <c r="CE67" s="110">
        <f>CE66/BY66-1</f>
        <v>-1.0476703564182066E-2</v>
      </c>
      <c r="CF67" s="120">
        <f>CF66/BZ66-1</f>
        <v>2.4904087966348243E-2</v>
      </c>
      <c r="CG67" s="122">
        <f>CG66/CA66-1</f>
        <v>2.7346567378291553E-2</v>
      </c>
      <c r="CI67" s="109">
        <f>CI66/CC66-1</f>
        <v>0.12922350748903333</v>
      </c>
      <c r="CJ67" s="110">
        <f>CJ66/CD66-1</f>
        <v>6.3534767122630953E-2</v>
      </c>
      <c r="CK67" s="110">
        <f>CK66/CE66-1</f>
        <v>-7.7463255796640484E-2</v>
      </c>
      <c r="CL67" s="120">
        <f>CL66/CF66-1</f>
        <v>0.10921401319534518</v>
      </c>
      <c r="CM67" s="122">
        <f>CM66/CG66-1</f>
        <v>5.0054283542198874E-2</v>
      </c>
      <c r="CO67" s="109">
        <f>CO66/CI66-1</f>
        <v>0.11832144100521891</v>
      </c>
      <c r="CP67" s="110">
        <f>CP66/CJ66-1</f>
        <v>-3.8501120468616978E-2</v>
      </c>
      <c r="CQ67" s="110">
        <f>CQ66/CK66-1</f>
        <v>0.10459931298601743</v>
      </c>
      <c r="CR67" s="120">
        <f>CR66/CL66-1</f>
        <v>5.5754875410534144E-2</v>
      </c>
      <c r="CS67" s="122">
        <f>CS66/CM66-1</f>
        <v>3.9661175829644346E-2</v>
      </c>
      <c r="CU67" s="109">
        <f>CU66/CO66-1</f>
        <v>1.6395348023684475E-2</v>
      </c>
      <c r="CV67" s="110">
        <f>CV66/CP66-1</f>
        <v>1.7592520237264653E-2</v>
      </c>
      <c r="CW67" s="110">
        <f>CW66/CQ66-1</f>
        <v>1.6027741857443489E-2</v>
      </c>
      <c r="CX67" s="120">
        <f>CX66/CR66-1</f>
        <v>1.5464115103346332E-2</v>
      </c>
      <c r="CY67" s="122">
        <f>CY66/CS66-1</f>
        <v>1.6550350545967207E-2</v>
      </c>
      <c r="DA67" s="109">
        <f>DA66/CU66-1</f>
        <v>1.7630687019795088E-2</v>
      </c>
      <c r="DB67" s="110">
        <f>DB66/CV66-1</f>
        <v>1.877186437164835E-2</v>
      </c>
      <c r="DC67" s="110">
        <f>DC66/CW66-1</f>
        <v>1.7291020032531357E-2</v>
      </c>
      <c r="DD67" s="120">
        <f>DD66/CX66-1</f>
        <v>1.6799530332667567E-2</v>
      </c>
      <c r="DE67" s="122">
        <f>DE66/CY66-1</f>
        <v>1.7793830284607015E-2</v>
      </c>
      <c r="DG67" s="109">
        <f>DG66/DA66-1</f>
        <v>1.8818836922762427E-2</v>
      </c>
      <c r="DH67" s="110">
        <f>DH66/DB66-1</f>
        <v>1.9902945371999881E-2</v>
      </c>
      <c r="DI67" s="110">
        <f>DI66/DC66-1</f>
        <v>1.8505965457594309E-2</v>
      </c>
      <c r="DJ67" s="120">
        <f>DJ66/DD66-1</f>
        <v>1.808507341720933E-2</v>
      </c>
      <c r="DK67" s="122">
        <f>DK66/DE66-1</f>
        <v>1.8988749782368419E-2</v>
      </c>
    </row>
    <row r="68" spans="2:115" ht="15.75" thickBot="1" x14ac:dyDescent="0.35">
      <c r="B68" s="1"/>
      <c r="AA68" s="103"/>
      <c r="AB68" s="103"/>
      <c r="AC68" s="103"/>
      <c r="AD68" s="103"/>
      <c r="AE68" s="103"/>
      <c r="AG68" s="103"/>
      <c r="AH68" s="103"/>
      <c r="AI68" s="103"/>
      <c r="AJ68" s="103"/>
      <c r="AK68" s="103"/>
      <c r="AM68" s="103"/>
      <c r="AN68" s="103"/>
      <c r="AO68" s="103"/>
      <c r="AP68" s="103"/>
      <c r="AQ68" s="103"/>
      <c r="AS68" s="103"/>
      <c r="AT68" s="103"/>
      <c r="AU68" s="103"/>
      <c r="AV68" s="103"/>
      <c r="AW68" s="103"/>
      <c r="AY68" s="103"/>
      <c r="AZ68" s="103"/>
      <c r="BA68" s="103"/>
      <c r="BB68" s="103"/>
      <c r="BC68" s="103"/>
      <c r="BE68" s="103"/>
      <c r="BF68" s="103"/>
      <c r="BG68" s="103"/>
      <c r="BH68" s="103"/>
      <c r="BI68" s="103"/>
      <c r="BK68" s="103"/>
      <c r="BL68" s="103"/>
      <c r="BM68" s="103"/>
      <c r="BN68" s="103"/>
      <c r="BO68" s="103"/>
      <c r="BQ68" s="103"/>
      <c r="BR68" s="103"/>
      <c r="BS68" s="103"/>
      <c r="BT68" s="103"/>
      <c r="BU68" s="103"/>
      <c r="BW68" s="103"/>
      <c r="BX68" s="103"/>
      <c r="BY68" s="103"/>
      <c r="BZ68" s="103"/>
      <c r="CA68" s="103"/>
      <c r="CC68" s="103"/>
      <c r="CD68" s="103"/>
      <c r="CE68" s="103"/>
      <c r="CF68" s="103"/>
      <c r="CG68" s="103"/>
      <c r="CI68" s="103"/>
      <c r="CJ68" s="103"/>
      <c r="CK68" s="103"/>
      <c r="CL68" s="103"/>
      <c r="CM68" s="103"/>
      <c r="CO68" s="103"/>
      <c r="CP68" s="103"/>
      <c r="CQ68" s="103"/>
      <c r="CR68" s="103"/>
      <c r="CS68" s="103"/>
      <c r="CU68" s="103"/>
      <c r="CV68" s="103"/>
      <c r="CW68" s="103"/>
      <c r="CX68" s="103"/>
      <c r="CY68" s="103"/>
      <c r="DA68" s="103"/>
      <c r="DB68" s="103"/>
      <c r="DC68" s="103"/>
      <c r="DD68" s="103"/>
      <c r="DE68" s="103"/>
      <c r="DG68" s="103"/>
      <c r="DH68" s="103"/>
      <c r="DI68" s="103"/>
      <c r="DJ68" s="103"/>
      <c r="DK68" s="103"/>
    </row>
    <row r="69" spans="2:115" ht="15" x14ac:dyDescent="0.3">
      <c r="B69" s="42" t="s">
        <v>104</v>
      </c>
      <c r="C69" s="111">
        <f>C75-C72</f>
        <v>1366.6653000000001</v>
      </c>
      <c r="D69" s="112">
        <f>D75-D72</f>
        <v>1419.6799999999998</v>
      </c>
      <c r="E69" s="112">
        <f>E75-E72</f>
        <v>1531.9558999999999</v>
      </c>
      <c r="F69" s="112">
        <f>F75-F72</f>
        <v>1481.568</v>
      </c>
      <c r="G69" s="113">
        <f>C69+D69+E69+F69</f>
        <v>5799.8692000000001</v>
      </c>
      <c r="I69" s="111">
        <f>I75-I72</f>
        <v>1479.2</v>
      </c>
      <c r="J69" s="112">
        <f>J75-J72</f>
        <v>1460.8</v>
      </c>
      <c r="K69" s="112">
        <f>K75-K72</f>
        <v>1575.22</v>
      </c>
      <c r="L69" s="112">
        <f>L75-L72</f>
        <v>1611.9</v>
      </c>
      <c r="M69" s="113">
        <f>I69+J69+K69+L69</f>
        <v>6127.1200000000008</v>
      </c>
      <c r="O69" s="111">
        <f>O75-O72</f>
        <v>1420.38</v>
      </c>
      <c r="P69" s="112">
        <f>P75-P72</f>
        <v>1398</v>
      </c>
      <c r="Q69" s="112">
        <f>Q75-Q72</f>
        <v>1389.08</v>
      </c>
      <c r="R69" s="112">
        <f>R75-R72</f>
        <v>1325.34</v>
      </c>
      <c r="S69" s="113">
        <f>O69+P69+Q69+R69</f>
        <v>5532.8</v>
      </c>
      <c r="U69" s="111">
        <f>U75-U72</f>
        <v>1245</v>
      </c>
      <c r="V69" s="112">
        <f>V75-V72</f>
        <v>1307.2709163346615</v>
      </c>
      <c r="W69" s="112">
        <f>W75-W72</f>
        <v>1328.8173637693649</v>
      </c>
      <c r="X69" s="112">
        <f>X75-X72</f>
        <v>1282.6077469063555</v>
      </c>
      <c r="Y69" s="113">
        <f>U69+V69+W69+X69</f>
        <v>5163.6960270103818</v>
      </c>
      <c r="AA69" s="111">
        <f>AA75-AA72</f>
        <v>1198.3789052480377</v>
      </c>
      <c r="AB69" s="112">
        <f>AB75-AB72</f>
        <v>1222.9742842319133</v>
      </c>
      <c r="AC69" s="112">
        <f>AC75-AC72</f>
        <v>1244.9632368213352</v>
      </c>
      <c r="AD69" s="112">
        <f>AD75-AD72</f>
        <v>1148.7606593902101</v>
      </c>
      <c r="AE69" s="113">
        <f>AA69+AB69+AC69+AD69</f>
        <v>4815.077085691496</v>
      </c>
      <c r="AG69" s="111">
        <f>AG75-AG72</f>
        <v>1082.033002853248</v>
      </c>
      <c r="AH69" s="112">
        <f>AH75-AH72</f>
        <v>1074.8578433041641</v>
      </c>
      <c r="AI69" s="112">
        <f>AI75-AI72</f>
        <v>1054.051147128662</v>
      </c>
      <c r="AJ69" s="112">
        <f>AJ75-AJ72</f>
        <v>981.96763801977249</v>
      </c>
      <c r="AK69" s="113">
        <f>AG69+AH69+AI69+AJ69</f>
        <v>4192.9096313058462</v>
      </c>
      <c r="AM69" s="111">
        <f>AM75-AM72</f>
        <v>876.83218665868981</v>
      </c>
      <c r="AN69" s="112">
        <f>AN75-AN72</f>
        <v>883.34089115063568</v>
      </c>
      <c r="AO69" s="112">
        <f>AO75-AO72</f>
        <v>806.18442849254563</v>
      </c>
      <c r="AP69" s="112">
        <f>AP75-AP72</f>
        <v>776.03168091358907</v>
      </c>
      <c r="AQ69" s="113">
        <f>AM69+AN69+AO69+AP69</f>
        <v>3342.38918721546</v>
      </c>
      <c r="AS69" s="111">
        <f>AS75-AS72</f>
        <v>717.24253395559094</v>
      </c>
      <c r="AT69" s="112">
        <f>AT75-AT72</f>
        <v>739.10396984882732</v>
      </c>
      <c r="AU69" s="112">
        <f>AU75-AU72</f>
        <v>722.18835848064055</v>
      </c>
      <c r="AV69" s="112">
        <f>AV75-AV72</f>
        <v>694.62813050180694</v>
      </c>
      <c r="AW69" s="113">
        <f>AS69+AT69+AU69+AV69</f>
        <v>2873.1629927868657</v>
      </c>
      <c r="AY69" s="111">
        <f>AY75-AY72</f>
        <v>655.04180002265127</v>
      </c>
      <c r="AZ69" s="112">
        <f>AZ75-AZ72</f>
        <v>668.19507359999989</v>
      </c>
      <c r="BA69" s="112">
        <f>BA75-BA72</f>
        <v>682.18750979999993</v>
      </c>
      <c r="BB69" s="112">
        <f>BB75-BB72</f>
        <v>621.68245200000001</v>
      </c>
      <c r="BC69" s="113">
        <f>AY69+AZ69+BA69+BB69</f>
        <v>2627.1068354226513</v>
      </c>
      <c r="BE69" s="111">
        <f>BE75-BE72</f>
        <v>649.63599439999996</v>
      </c>
      <c r="BF69" s="112">
        <f>BF75-BF72</f>
        <v>519.19282799999996</v>
      </c>
      <c r="BG69" s="112">
        <f>BG75-BG72</f>
        <v>591.28848199999993</v>
      </c>
      <c r="BH69" s="112">
        <f>BH75-BH72</f>
        <v>625.07251919999999</v>
      </c>
      <c r="BI69" s="113">
        <f>BE69+BF69+BG69+BH69</f>
        <v>2385.1898235999997</v>
      </c>
      <c r="BK69" s="111">
        <f>BK75-BK72</f>
        <v>496.93175770000005</v>
      </c>
      <c r="BL69" s="112">
        <f>BL75-BL72</f>
        <v>504.27278200000001</v>
      </c>
      <c r="BM69" s="112">
        <f>BM75-BM72</f>
        <v>496.02658560000003</v>
      </c>
      <c r="BN69" s="112">
        <f>BN75-BN72</f>
        <v>496.33618200000001</v>
      </c>
      <c r="BO69" s="113">
        <f>BK69+BL69+BM69+BN69</f>
        <v>1993.5673073</v>
      </c>
      <c r="BQ69" s="111">
        <f>BQ75-BQ72</f>
        <v>396.4973786788708</v>
      </c>
      <c r="BR69" s="112">
        <f>BR75-BR72</f>
        <v>403.29683571644244</v>
      </c>
      <c r="BS69" s="112">
        <f>BS75-BS72</f>
        <v>413.9020554814561</v>
      </c>
      <c r="BT69" s="112">
        <f>BT75-BT72</f>
        <v>425.07770031649557</v>
      </c>
      <c r="BU69" s="113">
        <f>BQ69+BR69+BS69+BT69</f>
        <v>1638.7739701932649</v>
      </c>
      <c r="BW69" s="111">
        <f>BW75-BW72</f>
        <v>344.67489689289289</v>
      </c>
      <c r="BX69" s="112">
        <f>BX75-BX72</f>
        <v>356.79135933277803</v>
      </c>
      <c r="BY69" s="112">
        <f>BY75-BY72</f>
        <v>370.36775642933446</v>
      </c>
      <c r="BZ69" s="112">
        <f>BZ75-BZ72</f>
        <v>388.0592635106666</v>
      </c>
      <c r="CA69" s="113">
        <f>BW69+BX69+BY69+BZ69</f>
        <v>1459.893276165672</v>
      </c>
      <c r="CC69" s="111">
        <f>CC75-CC72</f>
        <v>317.38227574858593</v>
      </c>
      <c r="CD69" s="112">
        <f>CD75-CD72</f>
        <v>332.14038149952398</v>
      </c>
      <c r="CE69" s="112">
        <f>CE75-CE72</f>
        <v>348.51670724589349</v>
      </c>
      <c r="CF69" s="112">
        <f>CF75-CF72</f>
        <v>368.64568762422982</v>
      </c>
      <c r="CG69" s="113">
        <f>CC69+CD69+CE69+CF69</f>
        <v>1366.6850521182332</v>
      </c>
      <c r="CI69" s="111">
        <f>CI75-CI72</f>
        <v>301.14288512486291</v>
      </c>
      <c r="CJ69" s="112">
        <f>CJ75-CJ72</f>
        <v>315.13899145640528</v>
      </c>
      <c r="CK69" s="112">
        <f>CK75-CK72</f>
        <v>330.6698745236323</v>
      </c>
      <c r="CL69" s="112">
        <f>CL75-CL72</f>
        <v>349.76052959233277</v>
      </c>
      <c r="CM69" s="113">
        <f>CI69+CJ69+CK69+CL69</f>
        <v>1296.7122806972334</v>
      </c>
      <c r="CO69" s="111">
        <f>CO75-CO72</f>
        <v>285.70964518329197</v>
      </c>
      <c r="CP69" s="112">
        <f>CP75-CP72</f>
        <v>298.98206284506261</v>
      </c>
      <c r="CQ69" s="112">
        <f>CQ75-CQ72</f>
        <v>313.71000158195739</v>
      </c>
      <c r="CR69" s="112">
        <f>CR75-CR72</f>
        <v>331.81446604881592</v>
      </c>
      <c r="CS69" s="113">
        <f>CO69+CP69+CQ69+CR69</f>
        <v>1230.2161756591279</v>
      </c>
      <c r="CU69" s="111">
        <f>CU75-CU72</f>
        <v>271.04427964825982</v>
      </c>
      <c r="CV69" s="112">
        <f>CV75-CV72</f>
        <v>283.62946529783778</v>
      </c>
      <c r="CW69" s="112">
        <f>CW75-CW72</f>
        <v>297.59490184499828</v>
      </c>
      <c r="CX69" s="112">
        <f>CX75-CX72</f>
        <v>314.76279222398875</v>
      </c>
      <c r="CY69" s="113">
        <f>CU69+CV69+CW69+CX69</f>
        <v>1167.0314390150847</v>
      </c>
      <c r="DA69" s="111">
        <f>DA75-DA72</f>
        <v>257.11020325477182</v>
      </c>
      <c r="DB69" s="112">
        <f>DB75-DB72</f>
        <v>269.04284403003794</v>
      </c>
      <c r="DC69" s="112">
        <f>DC75-DC72</f>
        <v>282.28425807077929</v>
      </c>
      <c r="DD69" s="112">
        <f>DD75-DD72</f>
        <v>298.56278718036515</v>
      </c>
      <c r="DE69" s="113">
        <f>DA69+DB69+DC69+DD69</f>
        <v>1107.0000925359541</v>
      </c>
      <c r="DG69" s="111">
        <f>DG75-DG72</f>
        <v>243.87245662176849</v>
      </c>
      <c r="DH69" s="112">
        <f>DH75-DH72</f>
        <v>255.18555123930184</v>
      </c>
      <c r="DI69" s="112">
        <f>DI75-DI72</f>
        <v>267.73954990282459</v>
      </c>
      <c r="DJ69" s="112">
        <f>DJ75-DJ72</f>
        <v>283.17363668997007</v>
      </c>
      <c r="DK69" s="113">
        <f>DG69+DH69+DI69+DJ69</f>
        <v>1049.9711944538649</v>
      </c>
    </row>
    <row r="70" spans="2:115" ht="15" x14ac:dyDescent="0.3">
      <c r="B70" s="40" t="s">
        <v>23</v>
      </c>
      <c r="C70" s="144" t="s">
        <v>35</v>
      </c>
      <c r="D70" s="107" t="s">
        <v>35</v>
      </c>
      <c r="E70" s="107" t="s">
        <v>35</v>
      </c>
      <c r="F70" s="107" t="s">
        <v>35</v>
      </c>
      <c r="G70" s="138" t="s">
        <v>35</v>
      </c>
      <c r="I70" s="151">
        <f>I69/C69-1</f>
        <v>8.2342545757179808E-2</v>
      </c>
      <c r="J70" s="133">
        <f>J69/D69-1</f>
        <v>2.8964273639130012E-2</v>
      </c>
      <c r="K70" s="133">
        <f>K69/E69-1</f>
        <v>2.8241087096567252E-2</v>
      </c>
      <c r="L70" s="133">
        <f>L69/F69-1</f>
        <v>8.7968962612583468E-2</v>
      </c>
      <c r="M70" s="153">
        <f>M69/G69-1</f>
        <v>5.6423824178655657E-2</v>
      </c>
      <c r="N70" s="107"/>
      <c r="O70" s="151">
        <f>O69/I69-1</f>
        <v>-3.9764737696051822E-2</v>
      </c>
      <c r="P70" s="133">
        <f>P69/J69-1</f>
        <v>-4.2990142387732688E-2</v>
      </c>
      <c r="Q70" s="133">
        <f>Q69/K69-1</f>
        <v>-0.11816762103071321</v>
      </c>
      <c r="R70" s="152">
        <f>R69/L69-1</f>
        <v>-0.17777777777777792</v>
      </c>
      <c r="S70" s="153">
        <f>S69/M69-1</f>
        <v>-9.6998263458199063E-2</v>
      </c>
      <c r="T70" s="107"/>
      <c r="U70" s="151">
        <f>U69/O69-1</f>
        <v>-0.12347399991551566</v>
      </c>
      <c r="V70" s="133">
        <f>V69/P69-1</f>
        <v>-6.4899201477352286E-2</v>
      </c>
      <c r="W70" s="133">
        <f>W69/Q69-1</f>
        <v>-4.338312856756632E-2</v>
      </c>
      <c r="X70" s="152">
        <f>X69/R69-1</f>
        <v>-3.2242483508869046E-2</v>
      </c>
      <c r="Y70" s="153">
        <f>Y69/S69-1</f>
        <v>-6.6711967356423263E-2</v>
      </c>
      <c r="AA70" s="151">
        <f>AA69/U69-1</f>
        <v>-3.7446662451375401E-2</v>
      </c>
      <c r="AB70" s="133">
        <f>AB69/V69-1</f>
        <v>-6.4482909433264068E-2</v>
      </c>
      <c r="AC70" s="133">
        <f>AC69/W69-1</f>
        <v>-6.3104328129914289E-2</v>
      </c>
      <c r="AD70" s="152">
        <f>AD69/X69-1</f>
        <v>-0.1043554335602479</v>
      </c>
      <c r="AE70" s="153">
        <f>AE69/Y69-1</f>
        <v>-6.7513451507470901E-2</v>
      </c>
      <c r="AG70" s="151">
        <f>AG69/AA69-1</f>
        <v>-9.7086073432432918E-2</v>
      </c>
      <c r="AH70" s="133">
        <f>AH69/AB69-1</f>
        <v>-0.12111165609730989</v>
      </c>
      <c r="AI70" s="133">
        <f>AI69/AC69-1</f>
        <v>-0.15334757207780181</v>
      </c>
      <c r="AJ70" s="152">
        <f>AJ69/AD69-1</f>
        <v>-0.14519388351876128</v>
      </c>
      <c r="AK70" s="153">
        <f>AK69/AE69-1</f>
        <v>-0.12921235596299907</v>
      </c>
      <c r="AM70" s="151">
        <f>AM69/AG69-1</f>
        <v>-0.18964376840027752</v>
      </c>
      <c r="AN70" s="133">
        <f>AN69/AH69-1</f>
        <v>-0.17817886648600545</v>
      </c>
      <c r="AO70" s="133">
        <f>AO69/AI69-1</f>
        <v>-0.23515625338611834</v>
      </c>
      <c r="AP70" s="152">
        <f>AP69/AJ69-1</f>
        <v>-0.20971766189919672</v>
      </c>
      <c r="AQ70" s="153">
        <f>AQ69/AK69-1</f>
        <v>-0.20284731102718734</v>
      </c>
      <c r="AS70" s="151">
        <f>AS69/AM69-1</f>
        <v>-0.18200706489943186</v>
      </c>
      <c r="AT70" s="133">
        <f>AT69/AN69-1</f>
        <v>-0.1632856836435207</v>
      </c>
      <c r="AU70" s="133">
        <f>AU69/AO69-1</f>
        <v>-0.10418964574764389</v>
      </c>
      <c r="AV70" s="152">
        <f>AV69/AP69-1</f>
        <v>-0.10489719996476077</v>
      </c>
      <c r="AW70" s="153">
        <f>AW69/AQ69-1</f>
        <v>-0.14038646254103815</v>
      </c>
      <c r="AY70" s="151">
        <f>AY69/AS69-1</f>
        <v>-8.6722037509268657E-2</v>
      </c>
      <c r="AZ70" s="133">
        <f>AZ69/AT69-1</f>
        <v>-9.5939000656877549E-2</v>
      </c>
      <c r="BA70" s="133">
        <f>BA69/AU69-1</f>
        <v>-5.5388387545868945E-2</v>
      </c>
      <c r="BB70" s="152">
        <f>BB69/AV69-1</f>
        <v>-0.10501400000761585</v>
      </c>
      <c r="BC70" s="153">
        <f>BC69/AW69-1</f>
        <v>-8.5639470500609716E-2</v>
      </c>
      <c r="BE70" s="151">
        <f>BE69/AY69-1</f>
        <v>-8.2526116996874954E-3</v>
      </c>
      <c r="BF70" s="133">
        <f>BF69/AZ69-1</f>
        <v>-0.22299213431375398</v>
      </c>
      <c r="BG70" s="133">
        <f>BG69/BA69-1</f>
        <v>-0.13324639705973107</v>
      </c>
      <c r="BH70" s="152">
        <f>BH69/BB69-1</f>
        <v>5.453052742752984E-3</v>
      </c>
      <c r="BI70" s="153">
        <f>BI69/BC69-1</f>
        <v>-9.2084953897100141E-2</v>
      </c>
      <c r="BK70" s="151">
        <f>BK69/BE69-1</f>
        <v>-0.23506123123771283</v>
      </c>
      <c r="BL70" s="133">
        <f>BL69/BF69-1</f>
        <v>-2.8737003277710782E-2</v>
      </c>
      <c r="BM70" s="133">
        <f>BM69/BG69-1</f>
        <v>-0.16110900059778255</v>
      </c>
      <c r="BN70" s="152">
        <f>BN69/BH69-1</f>
        <v>-0.20595424250095551</v>
      </c>
      <c r="BO70" s="153">
        <f>BO69/BI69-1</f>
        <v>-0.16418924499221554</v>
      </c>
      <c r="BQ70" s="151">
        <f>BQ69/BK69-1</f>
        <v>-0.20210899678857297</v>
      </c>
      <c r="BR70" s="133">
        <f>BR69/BL69-1</f>
        <v>-0.20024072265624993</v>
      </c>
      <c r="BS70" s="133">
        <f>BS69/BM69-1</f>
        <v>-0.16556477516059964</v>
      </c>
      <c r="BT70" s="152">
        <f>BT69/BN69-1</f>
        <v>-0.14356898462724699</v>
      </c>
      <c r="BU70" s="153">
        <f>BU69/BO69-1</f>
        <v>-0.17796907875021872</v>
      </c>
      <c r="BW70" s="151">
        <f>BW69/BQ69-1</f>
        <v>-0.13070069204152224</v>
      </c>
      <c r="BX70" s="133">
        <f>BX69/BR69-1</f>
        <v>-0.11531326870206926</v>
      </c>
      <c r="BY70" s="133">
        <f>BY69/BS69-1</f>
        <v>-0.10518019535197043</v>
      </c>
      <c r="BZ70" s="152">
        <f>BZ69/BT69-1</f>
        <v>-8.7086282762578571E-2</v>
      </c>
      <c r="CA70" s="153">
        <f>CA69/BU69-1</f>
        <v>-0.1091551960680075</v>
      </c>
      <c r="CC70" s="151">
        <f>CC69/BW69-1</f>
        <v>-7.9183663766462464E-2</v>
      </c>
      <c r="CD70" s="133">
        <f>CD69/BX69-1</f>
        <v>-6.9090736612436143E-2</v>
      </c>
      <c r="CE70" s="133">
        <f>CE69/BY69-1</f>
        <v>-5.8998249183741081E-2</v>
      </c>
      <c r="CF70" s="152">
        <f>CF69/BZ69-1</f>
        <v>-5.0027348170502139E-2</v>
      </c>
      <c r="CG70" s="153">
        <f>CG69/CA69-1</f>
        <v>-6.3845916389343893E-2</v>
      </c>
      <c r="CI70" s="151">
        <f>CI69/CC69-1</f>
        <v>-5.1166658835690715E-2</v>
      </c>
      <c r="CJ70" s="133">
        <f>CJ69/CD69-1</f>
        <v>-5.1187362302536177E-2</v>
      </c>
      <c r="CK70" s="133">
        <f>CK69/CE69-1</f>
        <v>-5.1207968947294957E-2</v>
      </c>
      <c r="CL70" s="152">
        <f>CL69/CF69-1</f>
        <v>-5.1228479447580577E-2</v>
      </c>
      <c r="CM70" s="153">
        <f>CM69/CG69-1</f>
        <v>-5.1198900077635723E-2</v>
      </c>
      <c r="CO70" s="151">
        <f>CO69/CI69-1</f>
        <v>-5.124889447470049E-2</v>
      </c>
      <c r="CP70" s="133">
        <f>CP69/CJ69-1</f>
        <v>-5.1269214693725806E-2</v>
      </c>
      <c r="CQ70" s="133">
        <f>CQ69/CK69-1</f>
        <v>-5.1289440763563787E-2</v>
      </c>
      <c r="CR70" s="152">
        <f>CR69/CL69-1</f>
        <v>-5.1309573337031789E-2</v>
      </c>
      <c r="CS70" s="153">
        <f>CS69/CM69-1</f>
        <v>-5.1280539274565218E-2</v>
      </c>
      <c r="CU70" s="151">
        <f>CU69/CO69-1</f>
        <v>-5.1329613060923651E-2</v>
      </c>
      <c r="CV70" s="133">
        <f>CV69/CP69-1</f>
        <v>-5.1349560576083086E-2</v>
      </c>
      <c r="CW70" s="133">
        <f>CW69/CQ69-1</f>
        <v>-5.1369416517467958E-2</v>
      </c>
      <c r="CX70" s="152">
        <f>CX69/CR69-1</f>
        <v>-5.1389181514221671E-2</v>
      </c>
      <c r="CY70" s="153">
        <f>CY69/CS69-1</f>
        <v>-5.1360677817611888E-2</v>
      </c>
      <c r="DA70" s="151">
        <f>DA69/CU69-1</f>
        <v>-5.1408856189736118E-2</v>
      </c>
      <c r="DB70" s="133">
        <f>DB69/CV69-1</f>
        <v>-5.1428441161719629E-2</v>
      </c>
      <c r="DC70" s="133">
        <f>DC69/CW69-1</f>
        <v>-5.1447937042259917E-2</v>
      </c>
      <c r="DD70" s="152">
        <f>DD69/CX69-1</f>
        <v>-5.1467344437888585E-2</v>
      </c>
      <c r="DE70" s="153">
        <f>DE69/CY69-1</f>
        <v>-5.1439356706443173E-2</v>
      </c>
      <c r="DG70" s="151">
        <f>DG69/DA69-1</f>
        <v>-5.1486663949644851E-2</v>
      </c>
      <c r="DH70" s="133">
        <f>DH69/DB69-1</f>
        <v>-5.1505896173135057E-2</v>
      </c>
      <c r="DI70" s="133">
        <f>DI69/DC69-1</f>
        <v>-5.1525041698597951E-2</v>
      </c>
      <c r="DJ70" s="152">
        <f>DJ69/DD69-1</f>
        <v>-5.1544101110961082E-2</v>
      </c>
      <c r="DK70" s="153">
        <f>DK69/DE69-1</f>
        <v>-5.1516615460659443E-2</v>
      </c>
    </row>
    <row r="71" spans="2:115" ht="15" x14ac:dyDescent="0.3">
      <c r="B71" s="40"/>
      <c r="C71" s="144"/>
      <c r="D71" s="107"/>
      <c r="E71" s="107"/>
      <c r="F71" s="107"/>
      <c r="G71" s="138"/>
      <c r="I71" s="144"/>
      <c r="J71" s="107"/>
      <c r="K71" s="107"/>
      <c r="L71" s="107"/>
      <c r="M71" s="138"/>
      <c r="O71" s="144"/>
      <c r="P71" s="107"/>
      <c r="Q71" s="107"/>
      <c r="R71" s="107"/>
      <c r="S71" s="138"/>
      <c r="U71" s="144"/>
      <c r="V71" s="107"/>
      <c r="W71" s="107"/>
      <c r="X71" s="107"/>
      <c r="Y71" s="138"/>
      <c r="AA71" s="144"/>
      <c r="AB71" s="107"/>
      <c r="AC71" s="107"/>
      <c r="AD71" s="107"/>
      <c r="AE71" s="138"/>
      <c r="AG71" s="144"/>
      <c r="AH71" s="107"/>
      <c r="AI71" s="107"/>
      <c r="AJ71" s="107"/>
      <c r="AK71" s="138"/>
      <c r="AM71" s="144"/>
      <c r="AN71" s="107"/>
      <c r="AO71" s="107"/>
      <c r="AP71" s="107"/>
      <c r="AQ71" s="138"/>
      <c r="AS71" s="144"/>
      <c r="AT71" s="107"/>
      <c r="AU71" s="107"/>
      <c r="AV71" s="107"/>
      <c r="AW71" s="138"/>
      <c r="AY71" s="144"/>
      <c r="AZ71" s="107"/>
      <c r="BA71" s="107"/>
      <c r="BB71" s="107"/>
      <c r="BC71" s="138"/>
      <c r="BE71" s="144"/>
      <c r="BF71" s="107"/>
      <c r="BG71" s="107"/>
      <c r="BH71" s="107"/>
      <c r="BI71" s="138"/>
      <c r="BK71" s="144"/>
      <c r="BL71" s="107"/>
      <c r="BM71" s="107"/>
      <c r="BN71" s="107"/>
      <c r="BO71" s="138"/>
      <c r="BQ71" s="144"/>
      <c r="BR71" s="107"/>
      <c r="BS71" s="107"/>
      <c r="BT71" s="107"/>
      <c r="BU71" s="138"/>
      <c r="BW71" s="144"/>
      <c r="BX71" s="107"/>
      <c r="BY71" s="107"/>
      <c r="BZ71" s="107"/>
      <c r="CA71" s="138"/>
      <c r="CC71" s="144"/>
      <c r="CD71" s="107"/>
      <c r="CE71" s="107"/>
      <c r="CF71" s="107"/>
      <c r="CG71" s="138"/>
      <c r="CI71" s="144"/>
      <c r="CJ71" s="107"/>
      <c r="CK71" s="107"/>
      <c r="CL71" s="107"/>
      <c r="CM71" s="138"/>
      <c r="CO71" s="144"/>
      <c r="CP71" s="107"/>
      <c r="CQ71" s="107"/>
      <c r="CR71" s="107"/>
      <c r="CS71" s="138"/>
      <c r="CU71" s="144"/>
      <c r="CV71" s="107"/>
      <c r="CW71" s="107"/>
      <c r="CX71" s="107"/>
      <c r="CY71" s="138"/>
      <c r="DA71" s="144"/>
      <c r="DB71" s="107"/>
      <c r="DC71" s="107"/>
      <c r="DD71" s="107"/>
      <c r="DE71" s="138"/>
      <c r="DG71" s="144"/>
      <c r="DH71" s="107"/>
      <c r="DI71" s="107"/>
      <c r="DJ71" s="107"/>
      <c r="DK71" s="138"/>
    </row>
    <row r="72" spans="2:115" ht="15" x14ac:dyDescent="0.3">
      <c r="B72" s="39" t="s">
        <v>102</v>
      </c>
      <c r="C72" s="116">
        <f>C75*C15</f>
        <v>299.99969999999996</v>
      </c>
      <c r="D72" s="117">
        <f>D75*D15</f>
        <v>354.92</v>
      </c>
      <c r="E72" s="117">
        <f>E75*E15</f>
        <v>313.77410000000003</v>
      </c>
      <c r="F72" s="117">
        <f>F75*F15</f>
        <v>370.39200000000005</v>
      </c>
      <c r="G72" s="118">
        <f>C72+D72+E72+F72</f>
        <v>1339.0858000000001</v>
      </c>
      <c r="I72" s="116">
        <f>I75*I15</f>
        <v>369.8</v>
      </c>
      <c r="J72" s="117">
        <f>J75*J15</f>
        <v>365.20000000000005</v>
      </c>
      <c r="K72" s="117">
        <f>K75*K15</f>
        <v>345.78</v>
      </c>
      <c r="L72" s="117">
        <f>L75*L15</f>
        <v>378.1</v>
      </c>
      <c r="M72" s="118">
        <f>I72+J72+K72+L72</f>
        <v>1458.88</v>
      </c>
      <c r="O72" s="116">
        <f>O75*O15</f>
        <v>400.62</v>
      </c>
      <c r="P72" s="117">
        <f>P75*P15</f>
        <v>466</v>
      </c>
      <c r="Q72" s="117">
        <f>Q75*Q15</f>
        <v>414.92</v>
      </c>
      <c r="R72" s="117">
        <f>R75*R15</f>
        <v>465.66</v>
      </c>
      <c r="S72" s="118">
        <f>O72+P72+Q72+R72</f>
        <v>1747.2</v>
      </c>
      <c r="U72" s="116">
        <f>U75*U15</f>
        <v>415</v>
      </c>
      <c r="V72" s="117">
        <f>V75*V15</f>
        <v>435.75697211155381</v>
      </c>
      <c r="W72" s="117">
        <f>W75*W15</f>
        <v>466.88177645950657</v>
      </c>
      <c r="X72" s="117">
        <f>X75*X15</f>
        <v>498.79190157469384</v>
      </c>
      <c r="Y72" s="118">
        <f>U72+V72+W72+X72</f>
        <v>1816.430650145754</v>
      </c>
      <c r="AA72" s="116">
        <f>AA75*AA15</f>
        <v>443.23603344790439</v>
      </c>
      <c r="AB72" s="117">
        <f>AB75*AB15</f>
        <v>452.33295444194056</v>
      </c>
      <c r="AC72" s="117">
        <f>AC75*AC15</f>
        <v>437.41951563992853</v>
      </c>
      <c r="AD72" s="117">
        <f>AD75*AD15</f>
        <v>469.2121003143111</v>
      </c>
      <c r="AE72" s="118">
        <f>AA72+AB72+AC72+AD72</f>
        <v>1802.2006038440845</v>
      </c>
      <c r="AG72" s="116">
        <f>AG75*AG15</f>
        <v>441.95714201048156</v>
      </c>
      <c r="AH72" s="117">
        <f>AH75*AH15</f>
        <v>482.90714699172594</v>
      </c>
      <c r="AI72" s="117">
        <f>AI75*AI15</f>
        <v>451.73620591228376</v>
      </c>
      <c r="AJ72" s="117">
        <f>AJ75*AJ15</f>
        <v>462.10241789165769</v>
      </c>
      <c r="AK72" s="118">
        <f>AG72+AH72+AI72+AJ72</f>
        <v>1838.702912806149</v>
      </c>
      <c r="AM72" s="116">
        <f>AM75*AM15</f>
        <v>431.87256954830991</v>
      </c>
      <c r="AN72" s="117">
        <f>AN75*AN15</f>
        <v>435.07834937270115</v>
      </c>
      <c r="AO72" s="117">
        <f>AO75*AO15</f>
        <v>434.09930764983221</v>
      </c>
      <c r="AP72" s="117">
        <f>AP75*AP15</f>
        <v>475.63232055994172</v>
      </c>
      <c r="AQ72" s="118">
        <f>AM72+AN72+AO72+AP72</f>
        <v>1776.682547130785</v>
      </c>
      <c r="AS72" s="116">
        <f>AS75*AS15</f>
        <v>421.23767867233119</v>
      </c>
      <c r="AT72" s="117">
        <f>AT75*AT15</f>
        <v>415.74598303996532</v>
      </c>
      <c r="AU72" s="117">
        <f>AU75*AU15</f>
        <v>442.63157455265065</v>
      </c>
      <c r="AV72" s="117">
        <f>AV75*AV15</f>
        <v>425.73982192046225</v>
      </c>
      <c r="AW72" s="118">
        <f>AS72+AT72+AU72+AV72</f>
        <v>1705.3550581854092</v>
      </c>
      <c r="AY72" s="116">
        <f>AY75*AY15</f>
        <v>418.79721640792457</v>
      </c>
      <c r="AZ72" s="117">
        <f>AZ75*AZ15</f>
        <v>427.20668640000002</v>
      </c>
      <c r="BA72" s="117">
        <f>BA75*BA15</f>
        <v>436.15267019999999</v>
      </c>
      <c r="BB72" s="117">
        <f>BB75*BB15</f>
        <v>414.45496800000001</v>
      </c>
      <c r="BC72" s="118">
        <f>AY72+AZ72+BA72+BB72</f>
        <v>1696.6115410079246</v>
      </c>
      <c r="BE72" s="116">
        <f>BE75*BE15</f>
        <v>415.34104560000003</v>
      </c>
      <c r="BF72" s="117">
        <f>BF75*BF15</f>
        <v>442.275372</v>
      </c>
      <c r="BG72" s="117">
        <f>BG75*BG15</f>
        <v>428.174418</v>
      </c>
      <c r="BH72" s="117">
        <f>BH75*BH15</f>
        <v>452.63872079999993</v>
      </c>
      <c r="BI72" s="118">
        <f>BE72+BF72+BG72+BH72</f>
        <v>1738.4295563999999</v>
      </c>
      <c r="BK72" s="116">
        <f>BK75*BK15</f>
        <v>440.67533230000004</v>
      </c>
      <c r="BL72" s="117">
        <f>BL75*BL15</f>
        <v>465.48256800000001</v>
      </c>
      <c r="BM72" s="117">
        <f>BM75*BM15</f>
        <v>457.87069439999999</v>
      </c>
      <c r="BN72" s="117">
        <f>BN75*BN15</f>
        <v>476.87201800000003</v>
      </c>
      <c r="BO72" s="118">
        <f>BK72+BL72+BM72+BN72</f>
        <v>1840.9006127</v>
      </c>
      <c r="BQ72" s="116">
        <f>BQ75*BQ15</f>
        <v>481.26739607802079</v>
      </c>
      <c r="BR72" s="117">
        <f>BR75*BR15</f>
        <v>511.28771188199408</v>
      </c>
      <c r="BS72" s="117">
        <f>BS75*BS15</f>
        <v>500.15577053982946</v>
      </c>
      <c r="BT72" s="117">
        <f>BT75*BT15</f>
        <v>516.51598302586854</v>
      </c>
      <c r="BU72" s="118">
        <f>BQ72+BR72+BS72+BT72</f>
        <v>2009.2268615257128</v>
      </c>
      <c r="BW72" s="116">
        <f>BW75*BW15</f>
        <v>518.09205382161178</v>
      </c>
      <c r="BX72" s="117">
        <f>BX75*BX15</f>
        <v>545.91485897306165</v>
      </c>
      <c r="BY72" s="117">
        <f>BY75*BY15</f>
        <v>534.00767424140543</v>
      </c>
      <c r="BZ72" s="117">
        <f>BZ75*BZ15</f>
        <v>550.1236137561342</v>
      </c>
      <c r="CA72" s="118">
        <f>BW72+BX72+BY72+BZ72</f>
        <v>2148.138200792213</v>
      </c>
      <c r="CC72" s="116">
        <f>CC75*CC15</f>
        <v>550.46264634429861</v>
      </c>
      <c r="CD72" s="117">
        <f>CD75*CD15</f>
        <v>580.00767304444048</v>
      </c>
      <c r="CE72" s="117">
        <f>CE75*CE15</f>
        <v>567.34114433441403</v>
      </c>
      <c r="CF72" s="117">
        <f>CF75*CF15</f>
        <v>583.75798681238143</v>
      </c>
      <c r="CG72" s="118">
        <f>CC72+CD72+CE72+CF72</f>
        <v>2281.5694505355341</v>
      </c>
      <c r="CI72" s="116">
        <f>CI75*CI15</f>
        <v>577.86085573796697</v>
      </c>
      <c r="CJ72" s="117">
        <f>CJ75*CJ15</f>
        <v>608.8631431403262</v>
      </c>
      <c r="CK72" s="117">
        <f>CK75*CK15</f>
        <v>595.55351797673131</v>
      </c>
      <c r="CL72" s="117">
        <f>CL75*CL15</f>
        <v>612.77347967436833</v>
      </c>
      <c r="CM72" s="118">
        <f>CI72+CJ72+CK72+CL72</f>
        <v>2395.0509965293927</v>
      </c>
      <c r="CO72" s="116">
        <f>CO75*CO15</f>
        <v>606.57018164897784</v>
      </c>
      <c r="CP72" s="117">
        <f>CP75*CP15</f>
        <v>639.09903856701135</v>
      </c>
      <c r="CQ72" s="117">
        <f>CQ75*CQ15</f>
        <v>625.11513567949874</v>
      </c>
      <c r="CR72" s="117">
        <f>CR75*CR15</f>
        <v>643.17619918641458</v>
      </c>
      <c r="CS72" s="118">
        <f>CO72+CP72+CQ72+CR72</f>
        <v>2513.9605550819024</v>
      </c>
      <c r="CU72" s="116">
        <f>CU75*CU15</f>
        <v>636.65167626368884</v>
      </c>
      <c r="CV72" s="117">
        <f>CV75*CV15</f>
        <v>670.77962459880689</v>
      </c>
      <c r="CW72" s="117">
        <f>CW75*CW15</f>
        <v>656.08879716972501</v>
      </c>
      <c r="CX72" s="117">
        <f>CX75*CX15</f>
        <v>675.03069869194542</v>
      </c>
      <c r="CY72" s="118">
        <f>CU72+CV72+CW72+CX72</f>
        <v>2638.5507967241665</v>
      </c>
      <c r="DA72" s="116">
        <f>DA75*DA15</f>
        <v>668.16917815693841</v>
      </c>
      <c r="DB72" s="117">
        <f>DB75*DB15</f>
        <v>703.97209905143893</v>
      </c>
      <c r="DC72" s="117">
        <f>DC75*DC15</f>
        <v>688.540167362082</v>
      </c>
      <c r="DD72" s="117">
        <f>DD75*DD15</f>
        <v>708.40447623922034</v>
      </c>
      <c r="DE72" s="118">
        <f>DA72+DB72+DC72+DD72</f>
        <v>2769.0859208096799</v>
      </c>
      <c r="DG72" s="116">
        <f>DG75*DG15</f>
        <v>701.18943751962593</v>
      </c>
      <c r="DH72" s="117">
        <f>DH75*DH15</f>
        <v>738.74672406092338</v>
      </c>
      <c r="DI72" s="117">
        <f>DI75*DI15</f>
        <v>722.53790509435623</v>
      </c>
      <c r="DJ72" s="117">
        <f>DJ75*DJ15</f>
        <v>743.36810687237028</v>
      </c>
      <c r="DK72" s="118">
        <f>DG72+DH72+DI72+DJ72</f>
        <v>2905.8421735472757</v>
      </c>
    </row>
    <row r="73" spans="2:115" ht="15" x14ac:dyDescent="0.3">
      <c r="B73" s="40" t="s">
        <v>23</v>
      </c>
      <c r="C73" s="144" t="s">
        <v>35</v>
      </c>
      <c r="D73" s="107" t="s">
        <v>35</v>
      </c>
      <c r="E73" s="107" t="s">
        <v>35</v>
      </c>
      <c r="F73" s="107" t="s">
        <v>35</v>
      </c>
      <c r="G73" s="138" t="s">
        <v>35</v>
      </c>
      <c r="I73" s="151">
        <f>I72/C72-1</f>
        <v>0.23266789933456611</v>
      </c>
      <c r="J73" s="133">
        <f>J72/D72-1</f>
        <v>2.8964273639130012E-2</v>
      </c>
      <c r="K73" s="133">
        <f>K72/E72-1</f>
        <v>0.10200300152243269</v>
      </c>
      <c r="L73" s="133">
        <f>L72/F72-1</f>
        <v>2.0810384673535021E-2</v>
      </c>
      <c r="M73" s="153">
        <f>M72/G72-1</f>
        <v>8.9459689588225144E-2</v>
      </c>
      <c r="N73" s="107"/>
      <c r="O73" s="151">
        <f>O72/I72-1</f>
        <v>8.3342347214710566E-2</v>
      </c>
      <c r="P73" s="133">
        <f>P72/J72-1</f>
        <v>0.27601314348302286</v>
      </c>
      <c r="Q73" s="133">
        <f>Q72/K72-1</f>
        <v>0.19995372780380594</v>
      </c>
      <c r="R73" s="152">
        <f>R72/L72-1</f>
        <v>0.23157894736842111</v>
      </c>
      <c r="S73" s="153">
        <f>S72/M72-1</f>
        <v>0.1976310594428603</v>
      </c>
      <c r="T73" s="107"/>
      <c r="U73" s="151">
        <f>U72/O72-1</f>
        <v>3.5894363736208801E-2</v>
      </c>
      <c r="V73" s="133">
        <f>V72/P72-1</f>
        <v>-6.4899201477352397E-2</v>
      </c>
      <c r="W73" s="133">
        <f>W72/Q72-1</f>
        <v>0.12523324125013624</v>
      </c>
      <c r="X73" s="152">
        <f>X72/R72-1</f>
        <v>7.1150413552149239E-2</v>
      </c>
      <c r="Y73" s="153">
        <f>Y72/S72-1</f>
        <v>3.9623769543128518E-2</v>
      </c>
      <c r="AA73" s="151">
        <f>AA72/U72-1</f>
        <v>6.803863481422745E-2</v>
      </c>
      <c r="AB73" s="133">
        <f>AB72/V72-1</f>
        <v>3.8039511450761898E-2</v>
      </c>
      <c r="AC73" s="133">
        <f>AC72/W72-1</f>
        <v>-6.31043281299144E-2</v>
      </c>
      <c r="AD73" s="152">
        <f>AD72/X72-1</f>
        <v>-5.9302889976759476E-2</v>
      </c>
      <c r="AE73" s="153">
        <f>AE72/Y72-1</f>
        <v>-7.8340707918178598E-3</v>
      </c>
      <c r="AG73" s="151">
        <f>AG72/AA72-1</f>
        <v>-2.885350785842955E-3</v>
      </c>
      <c r="AH73" s="133">
        <f>AH72/AB72-1</f>
        <v>6.7592228798597942E-2</v>
      </c>
      <c r="AI73" s="133">
        <f>AI72/AC72-1</f>
        <v>3.2729884608395876E-2</v>
      </c>
      <c r="AJ73" s="152">
        <f>AJ72/AD72-1</f>
        <v>-1.5152385068268326E-2</v>
      </c>
      <c r="AK73" s="153">
        <f>AK72/AE72-1</f>
        <v>2.0254298486087174E-2</v>
      </c>
      <c r="AM73" s="151">
        <f>AM72/AG72-1</f>
        <v>-2.2817987319531774E-2</v>
      </c>
      <c r="AN73" s="133">
        <f>AN72/AH72-1</f>
        <v>-9.9043466051340623E-2</v>
      </c>
      <c r="AO73" s="133">
        <f>AO72/AI72-1</f>
        <v>-3.9042472203071998E-2</v>
      </c>
      <c r="AP73" s="152">
        <f>AP72/AJ72-1</f>
        <v>2.9279012929675163E-2</v>
      </c>
      <c r="AQ73" s="153">
        <f>AQ72/AK72-1</f>
        <v>-3.3730498409180854E-2</v>
      </c>
      <c r="AS73" s="151">
        <f>AS72/AM72-1</f>
        <v>-2.4625066804084383E-2</v>
      </c>
      <c r="AT73" s="133">
        <f>AT72/AN72-1</f>
        <v>-4.4434218251975466E-2</v>
      </c>
      <c r="AU73" s="133">
        <f>AU72/AO72-1</f>
        <v>1.9655103688165809E-2</v>
      </c>
      <c r="AV73" s="152">
        <f>AV72/AP72-1</f>
        <v>-0.10489719996476088</v>
      </c>
      <c r="AW73" s="153">
        <f>AW72/AQ72-1</f>
        <v>-4.0146445441570089E-2</v>
      </c>
      <c r="AY73" s="151">
        <f>AY72/AS72-1</f>
        <v>-5.7935516882026139E-3</v>
      </c>
      <c r="AZ73" s="133">
        <f>AZ72/AT72-1</f>
        <v>2.7566600346281556E-2</v>
      </c>
      <c r="BA73" s="133">
        <f>BA72/AU72-1</f>
        <v>-1.4637239467605978E-2</v>
      </c>
      <c r="BB73" s="152">
        <f>BB72/AV72-1</f>
        <v>-2.6506456148634561E-2</v>
      </c>
      <c r="BC73" s="153">
        <f>BC72/AW72-1</f>
        <v>-5.127094874183058E-3</v>
      </c>
      <c r="BE73" s="151">
        <f>BE72/AY72-1</f>
        <v>-8.2526116996873844E-3</v>
      </c>
      <c r="BF73" s="133">
        <f>BF72/AZ72-1</f>
        <v>3.527258837398195E-2</v>
      </c>
      <c r="BG73" s="133">
        <f>BG72/BA72-1</f>
        <v>-1.8292338314337298E-2</v>
      </c>
      <c r="BH73" s="152">
        <f>BH72/BB72-1</f>
        <v>9.2130040048162609E-2</v>
      </c>
      <c r="BI73" s="153">
        <f>BI72/BC72-1</f>
        <v>2.4647961175150224E-2</v>
      </c>
      <c r="BK73" s="151">
        <f>BK72/BE72-1</f>
        <v>6.0996347383394767E-2</v>
      </c>
      <c r="BL73" s="133">
        <f>BL72/BF72-1</f>
        <v>5.247227738468796E-2</v>
      </c>
      <c r="BM73" s="133">
        <f>BM72/BG72-1</f>
        <v>6.9355559677551692E-2</v>
      </c>
      <c r="BN73" s="152">
        <f>BN72/BH72-1</f>
        <v>5.3537835113111498E-2</v>
      </c>
      <c r="BO73" s="153">
        <f>BO72/BI72-1</f>
        <v>5.8944612350126269E-2</v>
      </c>
      <c r="BQ73" s="151">
        <f>BQ72/BK72-1</f>
        <v>9.2113310645640434E-2</v>
      </c>
      <c r="BR73" s="133">
        <f>BR72/BL72-1</f>
        <v>9.8403564453124925E-2</v>
      </c>
      <c r="BS73" s="133">
        <f>BS72/BM72-1</f>
        <v>9.2351567062487927E-2</v>
      </c>
      <c r="BT73" s="152">
        <f>BT72/BN72-1</f>
        <v>8.3133342971422719E-2</v>
      </c>
      <c r="BU73" s="153">
        <f>BU72/BO72-1</f>
        <v>9.1436901951394978E-2</v>
      </c>
      <c r="BW73" s="151">
        <f>BW72/BQ72-1</f>
        <v>7.6516003460207704E-2</v>
      </c>
      <c r="BX73" s="133">
        <f>BX72/BR72-1</f>
        <v>6.7725365359571965E-2</v>
      </c>
      <c r="BY73" s="133">
        <f>BY72/BS72-1</f>
        <v>6.7682721455035511E-2</v>
      </c>
      <c r="BZ73" s="152">
        <f>BZ72/BT72-1</f>
        <v>6.5066003443658316E-2</v>
      </c>
      <c r="CA73" s="153">
        <f>CA72/BU72-1</f>
        <v>6.9136712198351491E-2</v>
      </c>
      <c r="CC73" s="151">
        <f>CC72/BW72-1</f>
        <v>6.2480387961774353E-2</v>
      </c>
      <c r="CD73" s="133">
        <f>CD72/BX72-1</f>
        <v>6.2450789735805978E-2</v>
      </c>
      <c r="CE73" s="133">
        <f>CE72/BY72-1</f>
        <v>6.242133156674412E-2</v>
      </c>
      <c r="CF73" s="152">
        <f>CF72/BZ72-1</f>
        <v>6.1139664277630956E-2</v>
      </c>
      <c r="CG73" s="153">
        <f>CG72/CA72-1</f>
        <v>6.2114834927339935E-2</v>
      </c>
      <c r="CI73" s="151">
        <f>CI72/CC72-1</f>
        <v>4.9773058309448892E-2</v>
      </c>
      <c r="CJ73" s="133">
        <f>CJ72/CD72-1</f>
        <v>4.9750152346130783E-2</v>
      </c>
      <c r="CK73" s="133">
        <f>CK72/CE72-1</f>
        <v>4.972735350512103E-2</v>
      </c>
      <c r="CL73" s="152">
        <f>CL72/CF72-1</f>
        <v>4.9704661036719111E-2</v>
      </c>
      <c r="CM73" s="153">
        <f>CM72/CG72-1</f>
        <v>4.9738370211444671E-2</v>
      </c>
      <c r="CO73" s="151">
        <f>CO72/CI72-1</f>
        <v>4.9682074198203141E-2</v>
      </c>
      <c r="CP73" s="133">
        <f>CP72/CJ72-1</f>
        <v>4.965959225374994E-2</v>
      </c>
      <c r="CQ73" s="133">
        <f>CQ72/CK72-1</f>
        <v>4.9637214474354652E-2</v>
      </c>
      <c r="CR73" s="152">
        <f>CR72/CL72-1</f>
        <v>4.9614940137752805E-2</v>
      </c>
      <c r="CS73" s="153">
        <f>CS72/CM72-1</f>
        <v>4.964802783941491E-2</v>
      </c>
      <c r="CU73" s="151">
        <f>CU72/CO72-1</f>
        <v>4.9592768528340159E-2</v>
      </c>
      <c r="CV73" s="133">
        <f>CV72/CP72-1</f>
        <v>4.957069893710031E-2</v>
      </c>
      <c r="CW73" s="133">
        <f>CW72/CQ72-1</f>
        <v>4.9548730661525209E-2</v>
      </c>
      <c r="CX73" s="152">
        <f>CX72/CR72-1</f>
        <v>4.9526863005542099E-2</v>
      </c>
      <c r="CY73" s="153">
        <f>CY72/CS72-1</f>
        <v>4.955934626357128E-2</v>
      </c>
      <c r="DA73" s="151">
        <f>DA72/CU72-1</f>
        <v>4.9505095279440692E-2</v>
      </c>
      <c r="DB73" s="133">
        <f>DB72/CV72-1</f>
        <v>4.9483426799799446E-2</v>
      </c>
      <c r="DC73" s="133">
        <f>DC72/CW72-1</f>
        <v>4.9461856889414513E-2</v>
      </c>
      <c r="DD73" s="152">
        <f>DD72/CX72-1</f>
        <v>4.9440384877229571E-2</v>
      </c>
      <c r="DE73" s="153">
        <f>DE72/CY72-1</f>
        <v>4.9472280104509103E-2</v>
      </c>
      <c r="DG73" s="151">
        <f>DG72/DA72-1</f>
        <v>4.9419010098265437E-2</v>
      </c>
      <c r="DH73" s="133">
        <f>DH72/DB72-1</f>
        <v>4.9397731893552566E-2</v>
      </c>
      <c r="DI73" s="133">
        <f>DI72/DC72-1</f>
        <v>4.9376549610061993E-2</v>
      </c>
      <c r="DJ73" s="152">
        <f>DJ72/DD72-1</f>
        <v>4.9355462600638722E-2</v>
      </c>
      <c r="DK73" s="153">
        <f>DK72/DE72-1</f>
        <v>4.9386785621158502E-2</v>
      </c>
    </row>
    <row r="74" spans="2:115" ht="15" x14ac:dyDescent="0.3">
      <c r="B74" s="40"/>
      <c r="C74" s="144"/>
      <c r="D74" s="107"/>
      <c r="E74" s="107"/>
      <c r="F74" s="107"/>
      <c r="G74" s="138"/>
      <c r="I74" s="144"/>
      <c r="J74" s="107"/>
      <c r="K74" s="107"/>
      <c r="L74" s="107"/>
      <c r="M74" s="138"/>
      <c r="O74" s="144"/>
      <c r="P74" s="107"/>
      <c r="Q74" s="107"/>
      <c r="R74" s="107"/>
      <c r="S74" s="138"/>
      <c r="U74" s="144"/>
      <c r="V74" s="107"/>
      <c r="W74" s="107"/>
      <c r="X74" s="107"/>
      <c r="Y74" s="138"/>
      <c r="AA74" s="144"/>
      <c r="AB74" s="107"/>
      <c r="AC74" s="107"/>
      <c r="AD74" s="107"/>
      <c r="AE74" s="138"/>
      <c r="AG74" s="144"/>
      <c r="AH74" s="107"/>
      <c r="AI74" s="107"/>
      <c r="AJ74" s="107"/>
      <c r="AK74" s="138"/>
      <c r="AM74" s="144"/>
      <c r="AN74" s="107"/>
      <c r="AO74" s="107"/>
      <c r="AP74" s="107"/>
      <c r="AQ74" s="138"/>
      <c r="AS74" s="144"/>
      <c r="AT74" s="107"/>
      <c r="AU74" s="107"/>
      <c r="AV74" s="107"/>
      <c r="AW74" s="138"/>
      <c r="AY74" s="144"/>
      <c r="AZ74" s="107"/>
      <c r="BA74" s="107"/>
      <c r="BB74" s="107"/>
      <c r="BC74" s="138"/>
      <c r="BE74" s="144"/>
      <c r="BF74" s="107"/>
      <c r="BG74" s="107"/>
      <c r="BH74" s="107"/>
      <c r="BI74" s="138"/>
      <c r="BK74" s="144"/>
      <c r="BL74" s="107"/>
      <c r="BM74" s="107"/>
      <c r="BN74" s="107"/>
      <c r="BO74" s="138"/>
      <c r="BQ74" s="144"/>
      <c r="BR74" s="107"/>
      <c r="BS74" s="107"/>
      <c r="BT74" s="107"/>
      <c r="BU74" s="138"/>
      <c r="BW74" s="144"/>
      <c r="BX74" s="107"/>
      <c r="BY74" s="107"/>
      <c r="BZ74" s="107"/>
      <c r="CA74" s="138"/>
      <c r="CC74" s="144"/>
      <c r="CD74" s="107"/>
      <c r="CE74" s="107"/>
      <c r="CF74" s="107"/>
      <c r="CG74" s="138"/>
      <c r="CI74" s="144"/>
      <c r="CJ74" s="107"/>
      <c r="CK74" s="107"/>
      <c r="CL74" s="107"/>
      <c r="CM74" s="138"/>
      <c r="CO74" s="144"/>
      <c r="CP74" s="107"/>
      <c r="CQ74" s="107"/>
      <c r="CR74" s="107"/>
      <c r="CS74" s="138"/>
      <c r="CU74" s="144"/>
      <c r="CV74" s="107"/>
      <c r="CW74" s="107"/>
      <c r="CX74" s="107"/>
      <c r="CY74" s="138"/>
      <c r="DA74" s="144"/>
      <c r="DB74" s="107"/>
      <c r="DC74" s="107"/>
      <c r="DD74" s="107"/>
      <c r="DE74" s="138"/>
      <c r="DG74" s="144"/>
      <c r="DH74" s="107"/>
      <c r="DI74" s="107"/>
      <c r="DJ74" s="107"/>
      <c r="DK74" s="138"/>
    </row>
    <row r="75" spans="2:115" ht="15.75" thickBot="1" x14ac:dyDescent="0.35">
      <c r="B75" s="76" t="s">
        <v>103</v>
      </c>
      <c r="C75" s="124">
        <f>C25</f>
        <v>1666.665</v>
      </c>
      <c r="D75" s="124">
        <f>D25</f>
        <v>1774.6</v>
      </c>
      <c r="E75" s="124">
        <f>E25</f>
        <v>1845.73</v>
      </c>
      <c r="F75" s="124">
        <f>F25</f>
        <v>1851.96</v>
      </c>
      <c r="G75" s="121">
        <f>G25</f>
        <v>7138.9549999999999</v>
      </c>
      <c r="I75" s="123">
        <f>I25</f>
        <v>1849</v>
      </c>
      <c r="J75" s="124">
        <f>J25</f>
        <v>1826</v>
      </c>
      <c r="K75" s="124">
        <f>K25</f>
        <v>1921</v>
      </c>
      <c r="L75" s="124">
        <f>L25</f>
        <v>1990</v>
      </c>
      <c r="M75" s="121">
        <f>M25</f>
        <v>7586</v>
      </c>
      <c r="O75" s="123">
        <f>O25</f>
        <v>1821</v>
      </c>
      <c r="P75" s="124">
        <f>P25</f>
        <v>1864</v>
      </c>
      <c r="Q75" s="124">
        <f>Q25</f>
        <v>1804</v>
      </c>
      <c r="R75" s="124">
        <f>R25</f>
        <v>1791</v>
      </c>
      <c r="S75" s="121">
        <f>S25</f>
        <v>7280</v>
      </c>
      <c r="U75" s="123">
        <f>U25</f>
        <v>1660</v>
      </c>
      <c r="V75" s="124">
        <f>V25</f>
        <v>1743.0278884462152</v>
      </c>
      <c r="W75" s="124">
        <f>W25</f>
        <v>1795.6991402288713</v>
      </c>
      <c r="X75" s="124">
        <f>X25</f>
        <v>1781.3996484810493</v>
      </c>
      <c r="Y75" s="121">
        <f>Y25</f>
        <v>6980.1266771561359</v>
      </c>
      <c r="AA75" s="123">
        <f>AA25</f>
        <v>1641.6149386959421</v>
      </c>
      <c r="AB75" s="124">
        <f>AB25</f>
        <v>1675.3072386738538</v>
      </c>
      <c r="AC75" s="124">
        <f>AC25</f>
        <v>1682.3827524612636</v>
      </c>
      <c r="AD75" s="124">
        <f>AD25</f>
        <v>1617.9727597045212</v>
      </c>
      <c r="AE75" s="121">
        <f>AE25</f>
        <v>6617.277689535581</v>
      </c>
      <c r="AG75" s="123">
        <f>AG25</f>
        <v>1523.9901448637297</v>
      </c>
      <c r="AH75" s="124">
        <f>AH25</f>
        <v>1557.7649902958901</v>
      </c>
      <c r="AI75" s="124">
        <f>AI25</f>
        <v>1505.7873530409458</v>
      </c>
      <c r="AJ75" s="124">
        <f>AJ25</f>
        <v>1444.0700559114302</v>
      </c>
      <c r="AK75" s="121">
        <f>AK25</f>
        <v>6031.6125441119957</v>
      </c>
      <c r="AM75" s="123">
        <f>AM25</f>
        <v>1308.7047562069997</v>
      </c>
      <c r="AN75" s="124">
        <f>AN25</f>
        <v>1318.4192405233368</v>
      </c>
      <c r="AO75" s="124">
        <f>AO25</f>
        <v>1240.2837361423778</v>
      </c>
      <c r="AP75" s="124">
        <f>AP25</f>
        <v>1251.6640014735308</v>
      </c>
      <c r="AQ75" s="121">
        <f>AQ25</f>
        <v>5119.0717343462456</v>
      </c>
      <c r="AS75" s="123">
        <f>AS25</f>
        <v>1138.4802126279221</v>
      </c>
      <c r="AT75" s="124">
        <f>AT25</f>
        <v>1154.8499528887926</v>
      </c>
      <c r="AU75" s="124">
        <f>AU25</f>
        <v>1164.8199330332911</v>
      </c>
      <c r="AV75" s="124">
        <f>AV25</f>
        <v>1120.3679524222691</v>
      </c>
      <c r="AW75" s="121">
        <f>AW25</f>
        <v>4578.518050972275</v>
      </c>
      <c r="AY75" s="123">
        <f>AY25</f>
        <v>1073.8390164305758</v>
      </c>
      <c r="AZ75" s="124">
        <f>AZ25</f>
        <v>1095.40176</v>
      </c>
      <c r="BA75" s="124">
        <f>BA25</f>
        <v>1118.3401799999999</v>
      </c>
      <c r="BB75" s="124">
        <f>BB25</f>
        <v>1036.13742</v>
      </c>
      <c r="BC75" s="121">
        <f>BC25</f>
        <v>4323.7183764305755</v>
      </c>
      <c r="BE75" s="123">
        <f>BE25</f>
        <v>1064.97704</v>
      </c>
      <c r="BF75" s="124">
        <f>BF25</f>
        <v>961.46820000000002</v>
      </c>
      <c r="BG75" s="124">
        <f>BG25</f>
        <v>1019.4629</v>
      </c>
      <c r="BH75" s="124">
        <f>BH25</f>
        <v>1077.7112399999999</v>
      </c>
      <c r="BI75" s="121">
        <f>BI25</f>
        <v>4123.6193800000001</v>
      </c>
      <c r="BK75" s="123">
        <f>BK25</f>
        <v>937.60709000000008</v>
      </c>
      <c r="BL75" s="124">
        <f>BL25</f>
        <v>969.75535000000002</v>
      </c>
      <c r="BM75" s="124">
        <f>BM25</f>
        <v>953.89728000000002</v>
      </c>
      <c r="BN75" s="124">
        <f>BN25</f>
        <v>973.20820000000003</v>
      </c>
      <c r="BO75" s="121">
        <f>BO25</f>
        <v>3834.46792</v>
      </c>
      <c r="BQ75" s="123">
        <f>BQ25</f>
        <v>877.7647747568916</v>
      </c>
      <c r="BR75" s="124">
        <f>BR25</f>
        <v>914.58454759843653</v>
      </c>
      <c r="BS75" s="124">
        <f>BS25</f>
        <v>914.05782602128556</v>
      </c>
      <c r="BT75" s="124">
        <f>BT25</f>
        <v>941.5936833423641</v>
      </c>
      <c r="BU75" s="121">
        <f>BU25</f>
        <v>3648.0008317189777</v>
      </c>
      <c r="BW75" s="123">
        <f>BW25</f>
        <v>862.76695071450467</v>
      </c>
      <c r="BX75" s="124">
        <f>BX25</f>
        <v>902.70621830583968</v>
      </c>
      <c r="BY75" s="124">
        <f>BY25</f>
        <v>904.37543067073989</v>
      </c>
      <c r="BZ75" s="124">
        <f>BZ25</f>
        <v>938.1828772668008</v>
      </c>
      <c r="CA75" s="121">
        <f>CA25</f>
        <v>3608.0314769578849</v>
      </c>
      <c r="CC75" s="123">
        <f>CC25</f>
        <v>867.84492209288453</v>
      </c>
      <c r="CD75" s="124">
        <f>CD25</f>
        <v>912.14805454396446</v>
      </c>
      <c r="CE75" s="124">
        <f>CE25</f>
        <v>915.85785158030751</v>
      </c>
      <c r="CF75" s="124">
        <f>CF25</f>
        <v>952.40367443661125</v>
      </c>
      <c r="CG75" s="121">
        <f>CG25</f>
        <v>3648.2545026537678</v>
      </c>
      <c r="CI75" s="123">
        <f>CI25</f>
        <v>879.00374086282989</v>
      </c>
      <c r="CJ75" s="124">
        <f>CJ25</f>
        <v>924.00213459673148</v>
      </c>
      <c r="CK75" s="124">
        <f>CK25</f>
        <v>926.22339250036362</v>
      </c>
      <c r="CL75" s="124">
        <f>CL25</f>
        <v>962.5340092667011</v>
      </c>
      <c r="CM75" s="121">
        <f>CM25</f>
        <v>3691.7632772266261</v>
      </c>
      <c r="CO75" s="123">
        <f>CO25</f>
        <v>892.2798268322698</v>
      </c>
      <c r="CP75" s="124">
        <f>CP25</f>
        <v>938.08110141207396</v>
      </c>
      <c r="CQ75" s="124">
        <f>CQ25</f>
        <v>938.82513726145612</v>
      </c>
      <c r="CR75" s="124">
        <f>CR25</f>
        <v>974.99066523523049</v>
      </c>
      <c r="CS75" s="121">
        <f>CS25</f>
        <v>3744.1767307410305</v>
      </c>
      <c r="CU75" s="123">
        <f>CU25</f>
        <v>907.69595591194866</v>
      </c>
      <c r="CV75" s="124">
        <f>CV25</f>
        <v>954.40908989664467</v>
      </c>
      <c r="CW75" s="124">
        <f>CW25</f>
        <v>953.68369901472329</v>
      </c>
      <c r="CX75" s="124">
        <f>CX25</f>
        <v>989.79349091593417</v>
      </c>
      <c r="CY75" s="121">
        <f>CY25</f>
        <v>3805.5822357392508</v>
      </c>
      <c r="DA75" s="123">
        <f>DA25</f>
        <v>925.27938141171023</v>
      </c>
      <c r="DB75" s="124">
        <f>DB25</f>
        <v>973.01494308147687</v>
      </c>
      <c r="DC75" s="124">
        <f>DC25</f>
        <v>970.82442543286129</v>
      </c>
      <c r="DD75" s="124">
        <f>DD25</f>
        <v>1006.9672634195855</v>
      </c>
      <c r="DE75" s="121">
        <f>DE25</f>
        <v>3876.086013345634</v>
      </c>
      <c r="DG75" s="123">
        <f>DG25</f>
        <v>945.06189414139442</v>
      </c>
      <c r="DH75" s="124">
        <f>DH25</f>
        <v>993.93227530022523</v>
      </c>
      <c r="DI75" s="124">
        <f>DI25</f>
        <v>990.27745499718083</v>
      </c>
      <c r="DJ75" s="124">
        <f>DJ25</f>
        <v>1026.5417435623403</v>
      </c>
      <c r="DK75" s="121">
        <f>DK25</f>
        <v>3955.813368001141</v>
      </c>
    </row>
    <row r="79" spans="2:115" ht="15" x14ac:dyDescent="0.3">
      <c r="B79" t="s">
        <v>3</v>
      </c>
      <c r="C79" s="356">
        <f>C54*C23</f>
        <v>571.09499999999991</v>
      </c>
      <c r="D79" s="356">
        <f>D54*D23</f>
        <v>638.4</v>
      </c>
      <c r="E79" s="356">
        <f>E54*E23</f>
        <v>670.83</v>
      </c>
      <c r="F79" s="356">
        <f>F54*F23</f>
        <v>563.64</v>
      </c>
      <c r="G79" s="98">
        <f>C79+D79+E79+F79</f>
        <v>2443.9649999999997</v>
      </c>
      <c r="H79" s="2"/>
      <c r="I79" s="356">
        <f>I54*I23</f>
        <v>665.78473581213314</v>
      </c>
      <c r="J79" s="356">
        <f>J54*J23</f>
        <v>694.0746003552398</v>
      </c>
      <c r="K79" s="356">
        <f>K54*K23</f>
        <v>708.40863787375417</v>
      </c>
      <c r="L79" s="356">
        <f>L54*L23</f>
        <v>631.44230769230774</v>
      </c>
      <c r="M79" s="98">
        <f>I79+J79+K79+L79</f>
        <v>2699.7102817334348</v>
      </c>
      <c r="N79" s="1"/>
      <c r="O79" s="356">
        <f>O54*O23</f>
        <v>495.81683168316835</v>
      </c>
      <c r="P79" s="356">
        <f>P54*P23</f>
        <v>756.27684964200478</v>
      </c>
      <c r="Q79" s="356">
        <f>Q54*Q23</f>
        <v>734.18604651162786</v>
      </c>
      <c r="R79" s="356">
        <f>R54*R23</f>
        <v>670.58372093023263</v>
      </c>
      <c r="S79" s="98">
        <f>O79+P79+Q79+R79</f>
        <v>2656.8634487670333</v>
      </c>
      <c r="U79" s="356">
        <f>U54*U23</f>
        <v>672.75779376498804</v>
      </c>
      <c r="V79" s="356">
        <f>V54*V23</f>
        <v>706.85001927772782</v>
      </c>
      <c r="W79" s="356">
        <f>W54*W23</f>
        <v>637.3128645008718</v>
      </c>
      <c r="X79" s="356">
        <f>X54*X23</f>
        <v>741.91922999099381</v>
      </c>
      <c r="Y79" s="98">
        <f>U79+V79+W79+X79</f>
        <v>2758.8399075345815</v>
      </c>
      <c r="AA79" s="356">
        <f>AA54*AA23</f>
        <v>568.25132493321075</v>
      </c>
      <c r="AB79" s="356">
        <f>AB54*AB23</f>
        <v>697.05454847895578</v>
      </c>
      <c r="AC79" s="356">
        <f>AC54*AC23</f>
        <v>648.02891205915341</v>
      </c>
      <c r="AD79" s="356">
        <f>AD54*AD23</f>
        <v>676.36566184369337</v>
      </c>
      <c r="AE79" s="98">
        <f>AA79+AB79+AC79+AD79</f>
        <v>2589.7004473150132</v>
      </c>
      <c r="AG79" s="356">
        <f>AG54*AG23</f>
        <v>537.6298566602602</v>
      </c>
      <c r="AH79" s="356">
        <f>AH54*AH23</f>
        <v>591.61020123259209</v>
      </c>
      <c r="AI79" s="356">
        <f>AI54*AI23</f>
        <v>661.88455078722893</v>
      </c>
      <c r="AJ79" s="356">
        <f>AJ54*AJ23</f>
        <v>658.26555255221888</v>
      </c>
      <c r="AK79" s="98">
        <f>AG79+AH79+AI79+AJ79</f>
        <v>2449.3901612322998</v>
      </c>
      <c r="AM79" s="356">
        <f>AM54*AM23</f>
        <v>581.64655831422215</v>
      </c>
      <c r="AN79" s="356">
        <f>AN54*AN23</f>
        <v>617.22174635965132</v>
      </c>
      <c r="AO79" s="356">
        <f>AO54*AO23</f>
        <v>615.89432102960541</v>
      </c>
      <c r="AP79" s="356">
        <f>AP54*AP23</f>
        <v>699.0899272444135</v>
      </c>
      <c r="AQ79" s="98">
        <f>AM79+AN79+AO79+AP79</f>
        <v>2513.852552947892</v>
      </c>
      <c r="AS79" s="356">
        <f>AS54*AS23</f>
        <v>560.86892827993222</v>
      </c>
      <c r="AT79" s="356">
        <f>AT54*AT23</f>
        <v>587.84780995422295</v>
      </c>
      <c r="AU79" s="356">
        <f>AU54*AU23</f>
        <v>622.07229398552113</v>
      </c>
      <c r="AV79" s="356">
        <f>AV54*AV23</f>
        <v>652.8459873137283</v>
      </c>
      <c r="AW79" s="98">
        <f>AS79+AT79+AU79+AV79</f>
        <v>2423.6350195334044</v>
      </c>
      <c r="AY79" s="356">
        <f>AY54*AY23</f>
        <v>545.30887553115178</v>
      </c>
      <c r="AZ79" s="356">
        <f>AZ54*AZ23</f>
        <v>592.66139999999996</v>
      </c>
      <c r="BA79" s="356">
        <f>BA54*BA23</f>
        <v>686.92055999999991</v>
      </c>
      <c r="BB79" s="356">
        <f>BB54*BB23</f>
        <v>601.21554000000003</v>
      </c>
      <c r="BC79" s="98">
        <f>AY79+AZ79+BA79+BB79</f>
        <v>2426.106375531152</v>
      </c>
      <c r="BE79" s="356">
        <f>BE54*BE23</f>
        <v>523.75919999999996</v>
      </c>
      <c r="BF79" s="356">
        <f>BF54*BF23</f>
        <v>437.03100000000001</v>
      </c>
      <c r="BG79" s="356">
        <f>BG54*BG23</f>
        <v>542.26750000000004</v>
      </c>
      <c r="BH79" s="356">
        <f>BH54*BH23</f>
        <v>578.28408000000002</v>
      </c>
      <c r="BI79" s="98">
        <f>BE79+BF79+BG79+BH79</f>
        <v>2081.3417799999997</v>
      </c>
      <c r="BK79" s="356">
        <f>BK54*BK23</f>
        <v>432.07700000000006</v>
      </c>
      <c r="BL79" s="356">
        <f>BL54*BL23</f>
        <v>534.00625000000002</v>
      </c>
      <c r="BM79" s="356">
        <f>BM54*BM23</f>
        <v>374.74536000000001</v>
      </c>
      <c r="BN79" s="356">
        <f>BN54*BN23</f>
        <v>448.52204000000006</v>
      </c>
      <c r="BQ79" s="356">
        <f>BQ54*BQ23</f>
        <v>374.32175879974801</v>
      </c>
      <c r="BR79" s="356">
        <f>BR54*BR23</f>
        <v>489.00183236621336</v>
      </c>
      <c r="BS79" s="356">
        <f>BS54*BS23</f>
        <v>354.76837900045433</v>
      </c>
      <c r="BT79" s="356">
        <f>BT54*BT23</f>
        <v>433.73105364769299</v>
      </c>
      <c r="BW79" s="356">
        <f>BW54*BW23</f>
        <v>364.88610196806457</v>
      </c>
      <c r="BX79" s="356">
        <f>BX54*BX23</f>
        <v>485.67565927891758</v>
      </c>
      <c r="BY79" s="356">
        <f>BY54*BY23</f>
        <v>348.19250106526266</v>
      </c>
      <c r="BZ79" s="356">
        <f>BZ54*BZ23</f>
        <v>412.86830211151585</v>
      </c>
    </row>
    <row r="80" spans="2:115" ht="15" x14ac:dyDescent="0.3">
      <c r="B80" s="40" t="s">
        <v>23</v>
      </c>
      <c r="C80" s="144" t="s">
        <v>35</v>
      </c>
      <c r="D80" s="107" t="s">
        <v>35</v>
      </c>
      <c r="E80" s="107" t="s">
        <v>35</v>
      </c>
      <c r="F80" s="107" t="s">
        <v>35</v>
      </c>
      <c r="G80" s="138" t="s">
        <v>35</v>
      </c>
      <c r="I80" s="151">
        <f>I79/C79-1</f>
        <v>0.16580382565445895</v>
      </c>
      <c r="J80" s="133">
        <f>J79/D79-1</f>
        <v>8.7209587022618829E-2</v>
      </c>
      <c r="K80" s="133">
        <f>K79/E79-1</f>
        <v>5.6018123628570837E-2</v>
      </c>
      <c r="L80" s="133">
        <f>L79/F79-1</f>
        <v>0.12029364078544424</v>
      </c>
      <c r="M80" s="153">
        <f>M79/G79-1</f>
        <v>0.10464359421408864</v>
      </c>
      <c r="N80" s="107"/>
      <c r="O80" s="151">
        <f>O79/I79-1</f>
        <v>-0.25528957782673656</v>
      </c>
      <c r="P80" s="133">
        <f>P79/J79-1</f>
        <v>8.9618967838513086E-2</v>
      </c>
      <c r="Q80" s="133">
        <f>Q79/K79-1</f>
        <v>3.6387767257106018E-2</v>
      </c>
      <c r="R80" s="152">
        <f>R79/L79-1</f>
        <v>6.1987315010570976E-2</v>
      </c>
      <c r="S80" s="153">
        <f>S79/M79-1</f>
        <v>-1.5870900391167231E-2</v>
      </c>
      <c r="T80" s="107"/>
      <c r="U80" s="151">
        <f>U79/O79-1</f>
        <v>0.35686759862740325</v>
      </c>
      <c r="V80" s="133">
        <f>V79/P79-1</f>
        <v>-6.5355471858848935E-2</v>
      </c>
      <c r="W80" s="133">
        <f>W79/Q79-1</f>
        <v>-0.13194636764214485</v>
      </c>
      <c r="X80" s="152">
        <f>X79/R79-1</f>
        <v>0.1063782296441742</v>
      </c>
      <c r="Y80" s="153">
        <f>Y79/S79-1</f>
        <v>3.8382273208234396E-2</v>
      </c>
      <c r="AA80" s="151">
        <f>AA79/U79-1</f>
        <v>-0.15534040601287202</v>
      </c>
      <c r="AB80" s="133">
        <f>AB79/V79-1</f>
        <v>-1.3857919688226361E-2</v>
      </c>
      <c r="AC80" s="133">
        <f>AC79/W79-1</f>
        <v>1.6814422170301269E-2</v>
      </c>
      <c r="AD80" s="133">
        <f>AD79/X79-1</f>
        <v>-8.8356744908871243E-2</v>
      </c>
      <c r="AE80" s="153">
        <f>AE79/Y79-1</f>
        <v>-6.1308182384065435E-2</v>
      </c>
      <c r="AG80" s="151">
        <f>AG79/AA79-1</f>
        <v>-5.388719203875092E-2</v>
      </c>
      <c r="AH80" s="133">
        <f>AH79/AB79-1</f>
        <v>-0.15127129932148642</v>
      </c>
      <c r="AI80" s="133">
        <f>AI79/AC79-1</f>
        <v>2.1381204557753941E-2</v>
      </c>
      <c r="AJ80" s="133">
        <f>AJ79/AD79-1</f>
        <v>-2.6760834135393208E-2</v>
      </c>
      <c r="AK80" s="153">
        <f>AK79/AE79-1</f>
        <v>-5.41801219628264E-2</v>
      </c>
      <c r="AM80" s="151">
        <f>AM79/AG79-1</f>
        <v>8.1871758252773263E-2</v>
      </c>
      <c r="AN80" s="133">
        <f>AN79/AH79-1</f>
        <v>4.3291250004984239E-2</v>
      </c>
      <c r="AO80" s="133">
        <f>AO79/AI79-1</f>
        <v>-6.9483763751433503E-2</v>
      </c>
      <c r="AP80" s="152">
        <f>AP79/AJ79-1</f>
        <v>6.2018093661305729E-2</v>
      </c>
      <c r="AQ80" s="153">
        <f>AQ79/AK79-1</f>
        <v>2.6317731138089107E-2</v>
      </c>
      <c r="AS80" s="151">
        <f>AS79/AM79-1</f>
        <v>-3.5722088848096023E-2</v>
      </c>
      <c r="AT80" s="133">
        <f>AT79/AN79-1</f>
        <v>-4.7590572721513236E-2</v>
      </c>
      <c r="AU80" s="133">
        <f>AU79/AO79-1</f>
        <v>1.0030897744905065E-2</v>
      </c>
      <c r="AV80" s="152">
        <f>AV79/AP79-1</f>
        <v>-6.6148771607915879E-2</v>
      </c>
      <c r="AW80" s="153">
        <f>AW79/AQ79-1</f>
        <v>-3.5888156331481458E-2</v>
      </c>
      <c r="AY80" s="151">
        <f>AY79/AS79-1</f>
        <v>-2.7742761212499079E-2</v>
      </c>
      <c r="AZ80" s="133">
        <f>AZ79/AT79-1</f>
        <v>8.1884970297871895E-3</v>
      </c>
      <c r="BA80" s="133">
        <f>BA79/AU79-1</f>
        <v>0.104245546122953</v>
      </c>
      <c r="BB80" s="152">
        <f>BB79/AV79-1</f>
        <v>-7.9085187497548337E-2</v>
      </c>
      <c r="BC80" s="153">
        <f>BC79/AW79-1</f>
        <v>1.0196898368894924E-3</v>
      </c>
      <c r="BE80" s="151">
        <f>BE79/AY79-1</f>
        <v>-3.9518292289230761E-2</v>
      </c>
      <c r="BF80" s="151">
        <f>BF79/AZ79-1</f>
        <v>-0.26259580934408744</v>
      </c>
      <c r="BG80" s="133">
        <f>BG79/BA79-1</f>
        <v>-0.2105819339575451</v>
      </c>
      <c r="BH80" s="133">
        <f>BH79/BB79-1</f>
        <v>-3.8141828469703265E-2</v>
      </c>
      <c r="BI80" s="153">
        <f>BI79/BC79-1</f>
        <v>-0.14210613310625031</v>
      </c>
      <c r="BK80" s="151">
        <f>BK79/BE79-1</f>
        <v>-0.17504647173739363</v>
      </c>
      <c r="BL80" s="151">
        <f>BL79/BF79-1</f>
        <v>0.22189558635428619</v>
      </c>
      <c r="BM80" s="151">
        <f>BM79/BG79-1</f>
        <v>-0.30892896955838223</v>
      </c>
      <c r="BN80" s="151">
        <f>BN79/BH79-1</f>
        <v>-0.22439151359656995</v>
      </c>
      <c r="BQ80" s="151">
        <f>BQ79/BK79-1</f>
        <v>-0.13366886272644007</v>
      </c>
      <c r="BR80" s="151">
        <f>BR79/BL79-1</f>
        <v>-8.4276949256280487E-2</v>
      </c>
      <c r="BS80" s="151">
        <f>BS79/BM79-1</f>
        <v>-5.3308147696733754E-2</v>
      </c>
      <c r="BT80" s="151">
        <f>BT79/BN79-1</f>
        <v>-3.2977167303321564E-2</v>
      </c>
      <c r="BW80" s="151">
        <f>BW79/BQ79-1</f>
        <v>-2.5207342640028774E-2</v>
      </c>
      <c r="BX80" s="151">
        <f>BX79/BR79-1</f>
        <v>-6.8019644654517819E-3</v>
      </c>
      <c r="BY80" s="151">
        <f>BY79/BS79-1</f>
        <v>-1.8535693495905559E-2</v>
      </c>
      <c r="BZ80" s="151">
        <f>BZ79/BT79-1</f>
        <v>-4.8100663673307897E-2</v>
      </c>
    </row>
    <row r="81" spans="6:39" ht="15" x14ac:dyDescent="0.3">
      <c r="G81" s="2"/>
      <c r="H81" s="2"/>
      <c r="I81" s="2"/>
      <c r="J81" s="2"/>
      <c r="K81" s="2"/>
      <c r="L81" s="1"/>
      <c r="M81" s="1"/>
      <c r="N81" s="1"/>
      <c r="O81" s="1"/>
      <c r="P81" s="1"/>
      <c r="Q81" s="1"/>
      <c r="R81" s="1"/>
      <c r="S81" s="1"/>
      <c r="U81" s="1"/>
    </row>
    <row r="82" spans="6:39" ht="15" x14ac:dyDescent="0.3">
      <c r="G82" s="2"/>
      <c r="H82" s="2"/>
      <c r="I82" s="2"/>
      <c r="J82" s="2"/>
      <c r="K82" s="1"/>
      <c r="L82" s="1"/>
      <c r="M82" s="1"/>
      <c r="N82" s="1"/>
      <c r="O82" s="1"/>
      <c r="P82" s="1"/>
      <c r="Q82" s="1"/>
      <c r="R82" s="1"/>
      <c r="S82" s="1"/>
      <c r="U82" s="1"/>
    </row>
    <row r="83" spans="6:39" ht="15" x14ac:dyDescent="0.3">
      <c r="F83" s="246">
        <f>F79+E79+D79+C79</f>
        <v>2443.9649999999997</v>
      </c>
      <c r="G83" s="2"/>
      <c r="H83" s="2"/>
      <c r="I83" s="246">
        <f>I79+F79+E79+D79</f>
        <v>2538.6547358121334</v>
      </c>
      <c r="J83" s="246">
        <f>J79+I79+F79+E79</f>
        <v>2594.3293361673727</v>
      </c>
      <c r="K83" s="246">
        <f>K79+J79+I79+F79</f>
        <v>2631.9079740411271</v>
      </c>
      <c r="L83" s="246">
        <f>L79+K79+J79+I79</f>
        <v>2699.7102817334348</v>
      </c>
      <c r="M83" s="1"/>
      <c r="N83" s="1"/>
      <c r="O83" s="246">
        <f>O79+L79+K79+J79</f>
        <v>2529.7423776044702</v>
      </c>
      <c r="P83" s="246">
        <f>P79+O79+L79+K79</f>
        <v>2591.9446268912352</v>
      </c>
      <c r="Q83" s="246">
        <f>Q79+P79+O79+L79</f>
        <v>2617.7220355291088</v>
      </c>
      <c r="R83" s="246">
        <f>R79+Q79+P79+O79</f>
        <v>2656.8634487670338</v>
      </c>
      <c r="S83" s="97"/>
      <c r="U83" s="246">
        <f>U79+R79+Q79+P79</f>
        <v>2833.8044108488534</v>
      </c>
      <c r="V83" s="246">
        <f>V79+U79+R79+Q79</f>
        <v>2784.3775804845764</v>
      </c>
      <c r="W83" s="246">
        <f>W79+V79+U79+R79</f>
        <v>2687.5043984738204</v>
      </c>
      <c r="X83" s="246">
        <f>X79+W79+V79+U79</f>
        <v>2758.8399075345815</v>
      </c>
      <c r="AA83" s="246">
        <f>AA79+X79+W79+V79</f>
        <v>2654.3334387028044</v>
      </c>
      <c r="AB83" s="246">
        <f>AB79+AA79+X79+W79</f>
        <v>2644.537967904032</v>
      </c>
      <c r="AC83" s="246">
        <f>AC79+AB79+AA79+X79</f>
        <v>2655.2540154623139</v>
      </c>
      <c r="AD83" s="246">
        <f>AD79+AC79+AB79+AA79</f>
        <v>2589.7004473150137</v>
      </c>
      <c r="AG83" s="246">
        <f>AG79+AD79+AC79+AB79</f>
        <v>2559.0789790420627</v>
      </c>
      <c r="AH83" s="246">
        <f>AH79+AG79+AD79+AC79</f>
        <v>2453.6346317956991</v>
      </c>
      <c r="AI83" s="246">
        <f>AI79+AH79+AG79+AD79</f>
        <v>2467.4902705237746</v>
      </c>
      <c r="AJ83" s="246">
        <f>(AG79+AH79+AI79+AJ79)</f>
        <v>2449.3901612322998</v>
      </c>
      <c r="AM83" s="246">
        <f>AM79+AJ79+AI79+AH79</f>
        <v>2493.4068628862624</v>
      </c>
    </row>
    <row r="84" spans="6:39" ht="15" x14ac:dyDescent="0.3">
      <c r="G84" s="2"/>
      <c r="H84" s="2"/>
      <c r="I84" s="2"/>
      <c r="J84" s="2"/>
      <c r="K84" s="2"/>
      <c r="L84" s="1"/>
      <c r="M84" s="1"/>
      <c r="N84" s="1"/>
      <c r="O84" s="1"/>
      <c r="P84" s="1"/>
      <c r="Q84" s="1"/>
      <c r="R84" s="1"/>
      <c r="S84" s="1"/>
      <c r="U84" s="1"/>
      <c r="AA84" s="151">
        <f>AA83/U83-1</f>
        <v>-6.3332166277590529E-2</v>
      </c>
      <c r="AB84" s="133">
        <f>AB83/V83-1</f>
        <v>-5.0222934403963859E-2</v>
      </c>
      <c r="AC84" s="133">
        <f>AC83/W83-1</f>
        <v>-1.2000122876011265E-2</v>
      </c>
      <c r="AD84" s="133">
        <f>AD83/X83-1</f>
        <v>-6.1308182384065213E-2</v>
      </c>
      <c r="AG84" s="151">
        <f>AG83/AA83-1</f>
        <v>-3.5886395534124538E-2</v>
      </c>
      <c r="AH84" s="133">
        <f>AH83/AB83-1</f>
        <v>-7.2187784189627791E-2</v>
      </c>
      <c r="AI84" s="133">
        <f>AI83/AC83-1</f>
        <v>-7.0714042364736662E-2</v>
      </c>
      <c r="AJ84" s="133">
        <f>AJ83/AD83-1</f>
        <v>-5.4180121962826511E-2</v>
      </c>
      <c r="AM84" s="151">
        <f>AM83/AG83-1</f>
        <v>-2.5662403033916203E-2</v>
      </c>
    </row>
    <row r="85" spans="6:39" ht="15" x14ac:dyDescent="0.3">
      <c r="G85" s="2"/>
      <c r="H85" s="2"/>
      <c r="I85" s="2"/>
      <c r="J85" s="2"/>
      <c r="K85" s="1"/>
      <c r="L85" s="1"/>
      <c r="M85" s="1"/>
      <c r="N85" s="1"/>
      <c r="O85" s="1"/>
      <c r="P85" s="1"/>
      <c r="Q85" s="1"/>
      <c r="R85" s="1"/>
      <c r="S85" s="1"/>
      <c r="U85" s="1"/>
    </row>
    <row r="86" spans="6:39" ht="15" x14ac:dyDescent="0.3">
      <c r="G86" s="2"/>
      <c r="H86" s="2"/>
      <c r="I86" s="2"/>
      <c r="J86" s="2"/>
      <c r="K86" s="2"/>
      <c r="L86" s="1"/>
      <c r="M86" s="1"/>
      <c r="N86" s="1"/>
      <c r="O86" s="1"/>
      <c r="P86" s="1"/>
      <c r="Q86" s="97"/>
      <c r="R86" s="97"/>
      <c r="S86" s="1"/>
      <c r="U86" s="97"/>
    </row>
    <row r="88" spans="6:39" x14ac:dyDescent="0.2">
      <c r="Q88" s="245"/>
      <c r="R88" s="245"/>
      <c r="U88" s="245"/>
    </row>
  </sheetData>
  <mergeCells count="19">
    <mergeCell ref="BE2:BI2"/>
    <mergeCell ref="BK2:BO2"/>
    <mergeCell ref="BQ2:BU2"/>
    <mergeCell ref="AA2:AE2"/>
    <mergeCell ref="AG2:AK2"/>
    <mergeCell ref="AM2:AQ2"/>
    <mergeCell ref="AS2:AW2"/>
    <mergeCell ref="C2:G2"/>
    <mergeCell ref="I2:M2"/>
    <mergeCell ref="O2:S2"/>
    <mergeCell ref="U2:Y2"/>
    <mergeCell ref="AY2:BC2"/>
    <mergeCell ref="DA2:DE2"/>
    <mergeCell ref="DG2:DK2"/>
    <mergeCell ref="BW2:CA2"/>
    <mergeCell ref="CC2:CG2"/>
    <mergeCell ref="CI2:CM2"/>
    <mergeCell ref="CO2:CS2"/>
    <mergeCell ref="CU2:CY2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DK80"/>
  <sheetViews>
    <sheetView zoomScale="55" zoomScaleNormal="55" workbookViewId="0">
      <pane xSplit="2" ySplit="8" topLeftCell="C9" activePane="bottomRight" state="frozen"/>
      <selection pane="topRight" activeCell="C1" sqref="C1"/>
      <selection pane="bottomLeft" activeCell="A9" sqref="A9"/>
      <selection pane="bottomRight" sqref="A1:XFD1048576"/>
    </sheetView>
  </sheetViews>
  <sheetFormatPr defaultRowHeight="12.75" x14ac:dyDescent="0.2"/>
  <cols>
    <col min="2" max="2" width="35.5703125" customWidth="1"/>
    <col min="3" max="8" width="9.140625" style="103"/>
    <col min="9" max="9" width="10.85546875" style="103" bestFit="1" customWidth="1"/>
    <col min="10" max="12" width="9.140625" style="103"/>
    <col min="13" max="13" width="10.85546875" style="103" bestFit="1" customWidth="1"/>
    <col min="14" max="20" width="9.140625" style="103"/>
    <col min="21" max="21" width="10.85546875" style="103" bestFit="1" customWidth="1"/>
    <col min="22" max="22" width="11.28515625" style="103" bestFit="1" customWidth="1"/>
    <col min="23" max="23" width="10.42578125" style="103" bestFit="1" customWidth="1"/>
    <col min="24" max="24" width="10.85546875" style="103" bestFit="1" customWidth="1"/>
    <col min="25" max="25" width="10.5703125" style="103" bestFit="1" customWidth="1"/>
    <col min="27" max="27" width="10.5703125" bestFit="1" customWidth="1"/>
    <col min="28" max="30" width="11.28515625" bestFit="1" customWidth="1"/>
    <col min="31" max="31" width="10.140625" bestFit="1" customWidth="1"/>
    <col min="33" max="34" width="10.5703125" bestFit="1" customWidth="1"/>
    <col min="35" max="35" width="11.140625" bestFit="1" customWidth="1"/>
    <col min="36" max="36" width="11.28515625" bestFit="1" customWidth="1"/>
    <col min="37" max="37" width="10.5703125" bestFit="1" customWidth="1"/>
    <col min="39" max="39" width="11.28515625" bestFit="1" customWidth="1"/>
    <col min="40" max="40" width="11.140625" bestFit="1" customWidth="1"/>
    <col min="41" max="41" width="10.85546875" bestFit="1" customWidth="1"/>
    <col min="42" max="42" width="11.140625" bestFit="1" customWidth="1"/>
    <col min="43" max="43" width="10.85546875" bestFit="1" customWidth="1"/>
    <col min="45" max="45" width="10.42578125" bestFit="1" customWidth="1"/>
    <col min="46" max="46" width="10.5703125" bestFit="1" customWidth="1"/>
    <col min="47" max="47" width="11.140625" bestFit="1" customWidth="1"/>
    <col min="48" max="48" width="10.140625" bestFit="1" customWidth="1"/>
    <col min="49" max="49" width="10.85546875" bestFit="1" customWidth="1"/>
    <col min="51" max="51" width="11.140625" bestFit="1" customWidth="1"/>
    <col min="52" max="52" width="10.42578125" bestFit="1" customWidth="1"/>
    <col min="53" max="53" width="11.140625" bestFit="1" customWidth="1"/>
    <col min="54" max="54" width="11.28515625" bestFit="1" customWidth="1"/>
    <col min="55" max="55" width="10.85546875" bestFit="1" customWidth="1"/>
    <col min="57" max="57" width="10.140625" bestFit="1" customWidth="1"/>
    <col min="58" max="58" width="10.5703125" bestFit="1" customWidth="1"/>
    <col min="59" max="59" width="10.85546875" bestFit="1" customWidth="1"/>
    <col min="60" max="60" width="11.28515625" bestFit="1" customWidth="1"/>
    <col min="61" max="61" width="10.85546875" bestFit="1" customWidth="1"/>
    <col min="63" max="63" width="11.28515625" bestFit="1" customWidth="1"/>
    <col min="64" max="64" width="10.5703125" bestFit="1" customWidth="1"/>
    <col min="65" max="65" width="10.140625" bestFit="1" customWidth="1"/>
    <col min="66" max="66" width="10.85546875" bestFit="1" customWidth="1"/>
    <col min="67" max="67" width="11.140625" bestFit="1" customWidth="1"/>
    <col min="69" max="69" width="10.5703125" bestFit="1" customWidth="1"/>
    <col min="70" max="70" width="11.28515625" bestFit="1" customWidth="1"/>
    <col min="71" max="71" width="10.85546875" bestFit="1" customWidth="1"/>
    <col min="72" max="72" width="10.5703125" bestFit="1" customWidth="1"/>
    <col min="73" max="73" width="10.85546875" bestFit="1" customWidth="1"/>
    <col min="75" max="75" width="10.5703125" bestFit="1" customWidth="1"/>
    <col min="76" max="76" width="11.28515625" bestFit="1" customWidth="1"/>
    <col min="77" max="77" width="10.85546875" bestFit="1" customWidth="1"/>
    <col min="78" max="78" width="10.5703125" bestFit="1" customWidth="1"/>
    <col min="79" max="79" width="10.85546875" bestFit="1" customWidth="1"/>
    <col min="81" max="81" width="10.5703125" bestFit="1" customWidth="1"/>
    <col min="82" max="82" width="11.28515625" bestFit="1" customWidth="1"/>
    <col min="83" max="83" width="10.85546875" bestFit="1" customWidth="1"/>
    <col min="84" max="84" width="10.5703125" bestFit="1" customWidth="1"/>
    <col min="85" max="85" width="10.85546875" bestFit="1" customWidth="1"/>
    <col min="87" max="87" width="10.5703125" bestFit="1" customWidth="1"/>
    <col min="88" max="88" width="11.28515625" bestFit="1" customWidth="1"/>
    <col min="89" max="89" width="10.85546875" bestFit="1" customWidth="1"/>
    <col min="90" max="90" width="10.5703125" bestFit="1" customWidth="1"/>
    <col min="91" max="91" width="10.85546875" bestFit="1" customWidth="1"/>
    <col min="93" max="93" width="10.5703125" bestFit="1" customWidth="1"/>
    <col min="94" max="94" width="11.28515625" bestFit="1" customWidth="1"/>
    <col min="95" max="95" width="10.85546875" bestFit="1" customWidth="1"/>
    <col min="96" max="96" width="10.5703125" bestFit="1" customWidth="1"/>
    <col min="97" max="97" width="10.85546875" bestFit="1" customWidth="1"/>
    <col min="99" max="99" width="10.5703125" bestFit="1" customWidth="1"/>
    <col min="100" max="100" width="11.28515625" bestFit="1" customWidth="1"/>
    <col min="101" max="101" width="10.85546875" bestFit="1" customWidth="1"/>
    <col min="102" max="102" width="10.5703125" customWidth="1"/>
    <col min="103" max="103" width="10.85546875" bestFit="1" customWidth="1"/>
    <col min="105" max="116" width="10.7109375" customWidth="1"/>
  </cols>
  <sheetData>
    <row r="1" spans="2:115" ht="13.5" thickBot="1" x14ac:dyDescent="0.25"/>
    <row r="2" spans="2:115" x14ac:dyDescent="0.2">
      <c r="C2" s="712">
        <v>2007</v>
      </c>
      <c r="D2" s="713"/>
      <c r="E2" s="713"/>
      <c r="F2" s="713"/>
      <c r="G2" s="714"/>
      <c r="H2" s="129"/>
      <c r="I2" s="712">
        <v>2008</v>
      </c>
      <c r="J2" s="713"/>
      <c r="K2" s="713"/>
      <c r="L2" s="713"/>
      <c r="M2" s="714"/>
      <c r="N2" s="129"/>
      <c r="O2" s="712">
        <v>2009</v>
      </c>
      <c r="P2" s="713"/>
      <c r="Q2" s="713"/>
      <c r="R2" s="713"/>
      <c r="S2" s="714"/>
      <c r="T2" s="129"/>
      <c r="U2" s="712">
        <v>2010</v>
      </c>
      <c r="V2" s="713"/>
      <c r="W2" s="713"/>
      <c r="X2" s="713"/>
      <c r="Y2" s="714"/>
      <c r="AA2" s="712">
        <v>2011</v>
      </c>
      <c r="AB2" s="713"/>
      <c r="AC2" s="713"/>
      <c r="AD2" s="713"/>
      <c r="AE2" s="714"/>
      <c r="AG2" s="712">
        <v>2012</v>
      </c>
      <c r="AH2" s="713"/>
      <c r="AI2" s="713"/>
      <c r="AJ2" s="713"/>
      <c r="AK2" s="714"/>
      <c r="AM2" s="712">
        <v>2013</v>
      </c>
      <c r="AN2" s="713"/>
      <c r="AO2" s="713"/>
      <c r="AP2" s="713"/>
      <c r="AQ2" s="714"/>
      <c r="AS2" s="712">
        <v>2014</v>
      </c>
      <c r="AT2" s="713"/>
      <c r="AU2" s="713"/>
      <c r="AV2" s="713"/>
      <c r="AW2" s="714"/>
      <c r="AY2" s="712">
        <v>2015</v>
      </c>
      <c r="AZ2" s="713"/>
      <c r="BA2" s="713"/>
      <c r="BB2" s="713"/>
      <c r="BC2" s="714"/>
      <c r="BE2" s="712">
        <v>2016</v>
      </c>
      <c r="BF2" s="713"/>
      <c r="BG2" s="713"/>
      <c r="BH2" s="713"/>
      <c r="BI2" s="714"/>
      <c r="BK2" s="712">
        <v>2017</v>
      </c>
      <c r="BL2" s="713"/>
      <c r="BM2" s="713"/>
      <c r="BN2" s="713"/>
      <c r="BO2" s="714"/>
      <c r="BQ2" s="712">
        <v>2018</v>
      </c>
      <c r="BR2" s="713"/>
      <c r="BS2" s="713"/>
      <c r="BT2" s="713"/>
      <c r="BU2" s="714"/>
      <c r="BW2" s="712">
        <v>2019</v>
      </c>
      <c r="BX2" s="713"/>
      <c r="BY2" s="713"/>
      <c r="BZ2" s="713"/>
      <c r="CA2" s="714"/>
      <c r="CC2" s="712">
        <v>2020</v>
      </c>
      <c r="CD2" s="713"/>
      <c r="CE2" s="713"/>
      <c r="CF2" s="713"/>
      <c r="CG2" s="714"/>
      <c r="CI2" s="712">
        <v>2021</v>
      </c>
      <c r="CJ2" s="713"/>
      <c r="CK2" s="713"/>
      <c r="CL2" s="713"/>
      <c r="CM2" s="714"/>
      <c r="CO2" s="712">
        <v>2022</v>
      </c>
      <c r="CP2" s="713"/>
      <c r="CQ2" s="713"/>
      <c r="CR2" s="713"/>
      <c r="CS2" s="714"/>
      <c r="CU2" s="712">
        <v>2023</v>
      </c>
      <c r="CV2" s="713"/>
      <c r="CW2" s="713"/>
      <c r="CX2" s="713"/>
      <c r="CY2" s="714"/>
      <c r="DA2" s="712">
        <v>2024</v>
      </c>
      <c r="DB2" s="713"/>
      <c r="DC2" s="713"/>
      <c r="DD2" s="713"/>
      <c r="DE2" s="714"/>
      <c r="DG2" s="712">
        <v>2025</v>
      </c>
      <c r="DH2" s="713"/>
      <c r="DI2" s="713"/>
      <c r="DJ2" s="713"/>
      <c r="DK2" s="714"/>
    </row>
    <row r="3" spans="2:115" ht="13.5" thickBot="1" x14ac:dyDescent="0.25">
      <c r="C3" s="130" t="s">
        <v>20</v>
      </c>
      <c r="D3" s="131" t="s">
        <v>19</v>
      </c>
      <c r="E3" s="131" t="s">
        <v>22</v>
      </c>
      <c r="F3" s="131" t="s">
        <v>21</v>
      </c>
      <c r="G3" s="132" t="s">
        <v>39</v>
      </c>
      <c r="H3" s="129"/>
      <c r="I3" s="130" t="s">
        <v>20</v>
      </c>
      <c r="J3" s="131" t="s">
        <v>19</v>
      </c>
      <c r="K3" s="131" t="s">
        <v>22</v>
      </c>
      <c r="L3" s="131" t="s">
        <v>21</v>
      </c>
      <c r="M3" s="132" t="s">
        <v>39</v>
      </c>
      <c r="N3" s="129"/>
      <c r="O3" s="130" t="s">
        <v>20</v>
      </c>
      <c r="P3" s="131" t="s">
        <v>19</v>
      </c>
      <c r="Q3" s="131" t="s">
        <v>22</v>
      </c>
      <c r="R3" s="131" t="s">
        <v>21</v>
      </c>
      <c r="S3" s="132" t="s">
        <v>39</v>
      </c>
      <c r="T3" s="129"/>
      <c r="U3" s="130" t="s">
        <v>20</v>
      </c>
      <c r="V3" s="131" t="s">
        <v>19</v>
      </c>
      <c r="W3" s="131" t="s">
        <v>22</v>
      </c>
      <c r="X3" s="131" t="s">
        <v>21</v>
      </c>
      <c r="Y3" s="132" t="s">
        <v>39</v>
      </c>
      <c r="AA3" s="130" t="s">
        <v>20</v>
      </c>
      <c r="AB3" s="131" t="s">
        <v>19</v>
      </c>
      <c r="AC3" s="131" t="s">
        <v>22</v>
      </c>
      <c r="AD3" s="131" t="s">
        <v>21</v>
      </c>
      <c r="AE3" s="132" t="s">
        <v>39</v>
      </c>
      <c r="AG3" s="130" t="s">
        <v>20</v>
      </c>
      <c r="AH3" s="131" t="s">
        <v>19</v>
      </c>
      <c r="AI3" s="131" t="s">
        <v>22</v>
      </c>
      <c r="AJ3" s="131" t="s">
        <v>21</v>
      </c>
      <c r="AK3" s="132" t="s">
        <v>39</v>
      </c>
      <c r="AM3" s="130" t="s">
        <v>20</v>
      </c>
      <c r="AN3" s="131" t="s">
        <v>19</v>
      </c>
      <c r="AO3" s="131" t="s">
        <v>22</v>
      </c>
      <c r="AP3" s="131" t="s">
        <v>21</v>
      </c>
      <c r="AQ3" s="132" t="s">
        <v>39</v>
      </c>
      <c r="AS3" s="130" t="s">
        <v>20</v>
      </c>
      <c r="AT3" s="131" t="s">
        <v>19</v>
      </c>
      <c r="AU3" s="131" t="s">
        <v>22</v>
      </c>
      <c r="AV3" s="131" t="s">
        <v>21</v>
      </c>
      <c r="AW3" s="132" t="s">
        <v>39</v>
      </c>
      <c r="AY3" s="130" t="s">
        <v>20</v>
      </c>
      <c r="AZ3" s="131" t="s">
        <v>19</v>
      </c>
      <c r="BA3" s="131" t="s">
        <v>22</v>
      </c>
      <c r="BB3" s="131" t="s">
        <v>21</v>
      </c>
      <c r="BC3" s="132" t="s">
        <v>39</v>
      </c>
      <c r="BE3" s="130" t="s">
        <v>20</v>
      </c>
      <c r="BF3" s="131" t="s">
        <v>19</v>
      </c>
      <c r="BG3" s="131" t="s">
        <v>22</v>
      </c>
      <c r="BH3" s="131" t="s">
        <v>21</v>
      </c>
      <c r="BI3" s="132" t="s">
        <v>39</v>
      </c>
      <c r="BK3" s="130" t="s">
        <v>20</v>
      </c>
      <c r="BL3" s="131" t="s">
        <v>19</v>
      </c>
      <c r="BM3" s="131" t="s">
        <v>22</v>
      </c>
      <c r="BN3" s="131" t="s">
        <v>21</v>
      </c>
      <c r="BO3" s="132" t="s">
        <v>39</v>
      </c>
      <c r="BQ3" s="130" t="s">
        <v>20</v>
      </c>
      <c r="BR3" s="131" t="s">
        <v>19</v>
      </c>
      <c r="BS3" s="131" t="s">
        <v>22</v>
      </c>
      <c r="BT3" s="131" t="s">
        <v>21</v>
      </c>
      <c r="BU3" s="132" t="s">
        <v>39</v>
      </c>
      <c r="BW3" s="130" t="s">
        <v>20</v>
      </c>
      <c r="BX3" s="131" t="s">
        <v>19</v>
      </c>
      <c r="BY3" s="131" t="s">
        <v>22</v>
      </c>
      <c r="BZ3" s="131" t="s">
        <v>21</v>
      </c>
      <c r="CA3" s="132" t="s">
        <v>39</v>
      </c>
      <c r="CC3" s="130" t="s">
        <v>20</v>
      </c>
      <c r="CD3" s="131" t="s">
        <v>19</v>
      </c>
      <c r="CE3" s="131" t="s">
        <v>22</v>
      </c>
      <c r="CF3" s="131" t="s">
        <v>21</v>
      </c>
      <c r="CG3" s="132" t="s">
        <v>39</v>
      </c>
      <c r="CI3" s="130" t="s">
        <v>20</v>
      </c>
      <c r="CJ3" s="131" t="s">
        <v>19</v>
      </c>
      <c r="CK3" s="131" t="s">
        <v>22</v>
      </c>
      <c r="CL3" s="131" t="s">
        <v>21</v>
      </c>
      <c r="CM3" s="132" t="s">
        <v>39</v>
      </c>
      <c r="CO3" s="130" t="s">
        <v>20</v>
      </c>
      <c r="CP3" s="131" t="s">
        <v>19</v>
      </c>
      <c r="CQ3" s="131" t="s">
        <v>22</v>
      </c>
      <c r="CR3" s="131" t="s">
        <v>21</v>
      </c>
      <c r="CS3" s="132" t="s">
        <v>39</v>
      </c>
      <c r="CU3" s="130" t="s">
        <v>20</v>
      </c>
      <c r="CV3" s="131" t="s">
        <v>19</v>
      </c>
      <c r="CW3" s="131" t="s">
        <v>22</v>
      </c>
      <c r="CX3" s="131" t="s">
        <v>21</v>
      </c>
      <c r="CY3" s="132" t="s">
        <v>39</v>
      </c>
      <c r="DA3" s="130" t="s">
        <v>20</v>
      </c>
      <c r="DB3" s="131" t="s">
        <v>19</v>
      </c>
      <c r="DC3" s="131" t="s">
        <v>22</v>
      </c>
      <c r="DD3" s="131" t="s">
        <v>21</v>
      </c>
      <c r="DE3" s="132" t="s">
        <v>39</v>
      </c>
      <c r="DG3" s="130" t="s">
        <v>20</v>
      </c>
      <c r="DH3" s="131" t="s">
        <v>19</v>
      </c>
      <c r="DI3" s="131" t="s">
        <v>22</v>
      </c>
      <c r="DJ3" s="131" t="s">
        <v>21</v>
      </c>
      <c r="DK3" s="132" t="s">
        <v>39</v>
      </c>
    </row>
    <row r="4" spans="2:115" ht="15" x14ac:dyDescent="0.3">
      <c r="B4" s="104" t="s">
        <v>25</v>
      </c>
      <c r="C4" s="111">
        <v>3180</v>
      </c>
      <c r="D4" s="112">
        <f>C6</f>
        <v>3139</v>
      </c>
      <c r="E4" s="112">
        <f>D6</f>
        <v>3148</v>
      </c>
      <c r="F4" s="112">
        <f>E6</f>
        <v>3227</v>
      </c>
      <c r="G4" s="113">
        <f>C4</f>
        <v>3180</v>
      </c>
      <c r="H4" s="114"/>
      <c r="I4" s="111">
        <f>G6</f>
        <v>3273</v>
      </c>
      <c r="J4" s="112">
        <f>I6</f>
        <v>3287</v>
      </c>
      <c r="K4" s="112">
        <f>J6</f>
        <v>3298</v>
      </c>
      <c r="L4" s="112">
        <f>K6</f>
        <v>3333</v>
      </c>
      <c r="M4" s="113">
        <f>I4</f>
        <v>3273</v>
      </c>
      <c r="N4" s="114"/>
      <c r="O4" s="111">
        <f>M6</f>
        <v>3402</v>
      </c>
      <c r="P4" s="112">
        <f>O6</f>
        <v>3418</v>
      </c>
      <c r="Q4" s="112">
        <f>P6</f>
        <v>3402</v>
      </c>
      <c r="R4" s="112">
        <f>Q6</f>
        <v>3387</v>
      </c>
      <c r="S4" s="113">
        <f>O4</f>
        <v>3402</v>
      </c>
      <c r="T4" s="114"/>
      <c r="U4" s="111">
        <f>S6</f>
        <v>3446</v>
      </c>
      <c r="V4" s="112">
        <f>U6</f>
        <v>3626</v>
      </c>
      <c r="W4" s="112">
        <f>V6</f>
        <v>3653</v>
      </c>
      <c r="X4" s="112">
        <f>W6</f>
        <v>3683</v>
      </c>
      <c r="Y4" s="113">
        <f>U4</f>
        <v>3446</v>
      </c>
      <c r="AA4" s="111">
        <f>Y6</f>
        <v>3778</v>
      </c>
      <c r="AB4" s="112">
        <f>AA6</f>
        <v>3833</v>
      </c>
      <c r="AC4" s="112">
        <f>AB6</f>
        <v>3878</v>
      </c>
      <c r="AD4" s="112">
        <f>AC6</f>
        <v>3934</v>
      </c>
      <c r="AE4" s="113">
        <f>AA4</f>
        <v>3778</v>
      </c>
      <c r="AG4" s="111">
        <f>AE6</f>
        <v>4060</v>
      </c>
      <c r="AH4" s="112">
        <f>AG6</f>
        <v>4069</v>
      </c>
      <c r="AI4" s="112">
        <f>AH6</f>
        <v>4069</v>
      </c>
      <c r="AJ4" s="112">
        <f>AI6</f>
        <v>4076</v>
      </c>
      <c r="AK4" s="113">
        <f>AG4</f>
        <v>4060</v>
      </c>
      <c r="AM4" s="111">
        <f>AK6</f>
        <v>4104</v>
      </c>
      <c r="AN4" s="112">
        <f>AM6</f>
        <v>4090</v>
      </c>
      <c r="AO4" s="112">
        <f>AN6</f>
        <v>4073</v>
      </c>
      <c r="AP4" s="112">
        <f>AO6</f>
        <v>4044</v>
      </c>
      <c r="AQ4" s="113">
        <f>AM4</f>
        <v>4104</v>
      </c>
      <c r="AS4" s="111">
        <f>AQ6</f>
        <v>4091</v>
      </c>
      <c r="AT4" s="112">
        <f>AS6</f>
        <v>4105</v>
      </c>
      <c r="AU4" s="112">
        <f>AT6</f>
        <v>4118</v>
      </c>
      <c r="AV4" s="112">
        <f>AU6</f>
        <v>4022</v>
      </c>
      <c r="AW4" s="113">
        <f>AS4</f>
        <v>4091</v>
      </c>
      <c r="AY4" s="111">
        <f>AW6</f>
        <v>4020</v>
      </c>
      <c r="AZ4" s="112">
        <f>AY6</f>
        <v>3956</v>
      </c>
      <c r="BA4" s="112">
        <f>AZ6</f>
        <v>3934</v>
      </c>
      <c r="BB4" s="112">
        <f>BA6</f>
        <v>3962</v>
      </c>
      <c r="BC4" s="113">
        <f>AY4</f>
        <v>4020</v>
      </c>
      <c r="BE4" s="111">
        <f>BC6</f>
        <v>4323</v>
      </c>
      <c r="BF4" s="112">
        <f>BE6</f>
        <v>4221</v>
      </c>
      <c r="BG4" s="112">
        <f>BF6</f>
        <v>4275</v>
      </c>
      <c r="BH4" s="112">
        <f>BG6</f>
        <v>4365</v>
      </c>
      <c r="BI4" s="113">
        <f>BE4</f>
        <v>4323</v>
      </c>
      <c r="BK4" s="111">
        <f>BI6</f>
        <v>4594</v>
      </c>
      <c r="BL4" s="112">
        <f>BK6</f>
        <v>4713</v>
      </c>
      <c r="BM4" s="112">
        <f>BL6</f>
        <v>4984</v>
      </c>
      <c r="BN4" s="112">
        <f>BM6</f>
        <v>5201</v>
      </c>
      <c r="BO4" s="113">
        <f>BK4</f>
        <v>4594</v>
      </c>
      <c r="BQ4" s="111">
        <f>BO6</f>
        <v>5702</v>
      </c>
      <c r="BR4" s="112">
        <f>BQ6</f>
        <v>5727</v>
      </c>
      <c r="BS4" s="112">
        <f>BR6</f>
        <v>5752</v>
      </c>
      <c r="BT4" s="112">
        <f>BS6</f>
        <v>5777</v>
      </c>
      <c r="BU4" s="113">
        <f>BQ4</f>
        <v>5702</v>
      </c>
      <c r="BW4" s="111">
        <f>BU6</f>
        <v>5827</v>
      </c>
      <c r="BX4" s="112">
        <f>BW6</f>
        <v>5842</v>
      </c>
      <c r="BY4" s="112">
        <f>BX6</f>
        <v>5857</v>
      </c>
      <c r="BZ4" s="112">
        <f>BY6</f>
        <v>5872</v>
      </c>
      <c r="CA4" s="113">
        <f>BW4</f>
        <v>5827</v>
      </c>
      <c r="CC4" s="111">
        <f>CA6</f>
        <v>5902</v>
      </c>
      <c r="CD4" s="112">
        <f>CC6</f>
        <v>5912</v>
      </c>
      <c r="CE4" s="112">
        <f>CD6</f>
        <v>5922</v>
      </c>
      <c r="CF4" s="112">
        <f>CE6</f>
        <v>5932</v>
      </c>
      <c r="CG4" s="113">
        <f>CC4</f>
        <v>5902</v>
      </c>
      <c r="CI4" s="111">
        <f>CG6</f>
        <v>5952</v>
      </c>
      <c r="CJ4" s="112">
        <f>CI6</f>
        <v>5962</v>
      </c>
      <c r="CK4" s="112">
        <f>CJ6</f>
        <v>5972</v>
      </c>
      <c r="CL4" s="112">
        <f>CK6</f>
        <v>5982</v>
      </c>
      <c r="CM4" s="113">
        <f>CI4</f>
        <v>5952</v>
      </c>
      <c r="CO4" s="111">
        <f>CM6</f>
        <v>6002</v>
      </c>
      <c r="CP4" s="112">
        <f>CO6</f>
        <v>6012</v>
      </c>
      <c r="CQ4" s="112">
        <f>CP6</f>
        <v>6022</v>
      </c>
      <c r="CR4" s="112">
        <f>CQ6</f>
        <v>6032</v>
      </c>
      <c r="CS4" s="113">
        <f>CO4</f>
        <v>6002</v>
      </c>
      <c r="CU4" s="111">
        <f>CS6</f>
        <v>6052</v>
      </c>
      <c r="CV4" s="112">
        <f>CU6</f>
        <v>6062</v>
      </c>
      <c r="CW4" s="112">
        <f>CV6</f>
        <v>6072</v>
      </c>
      <c r="CX4" s="112">
        <f>CW6</f>
        <v>6082</v>
      </c>
      <c r="CY4" s="113">
        <f>CU4</f>
        <v>6052</v>
      </c>
      <c r="DA4" s="111">
        <f>CY6</f>
        <v>6102</v>
      </c>
      <c r="DB4" s="112">
        <f>DA6</f>
        <v>6112</v>
      </c>
      <c r="DC4" s="112">
        <f>DB6</f>
        <v>6122</v>
      </c>
      <c r="DD4" s="112">
        <f>DC6</f>
        <v>6132</v>
      </c>
      <c r="DE4" s="113">
        <f>DA4</f>
        <v>6102</v>
      </c>
      <c r="DG4" s="111">
        <f>DE6</f>
        <v>6152</v>
      </c>
      <c r="DH4" s="112">
        <f>DG6</f>
        <v>6162</v>
      </c>
      <c r="DI4" s="112">
        <f>DH6</f>
        <v>6172</v>
      </c>
      <c r="DJ4" s="112">
        <f>DI6</f>
        <v>6182</v>
      </c>
      <c r="DK4" s="113">
        <f>DG4</f>
        <v>6152</v>
      </c>
    </row>
    <row r="5" spans="2:115" ht="15" x14ac:dyDescent="0.3">
      <c r="B5" s="105" t="s">
        <v>26</v>
      </c>
      <c r="C5" s="116">
        <f>C6-C4</f>
        <v>-41</v>
      </c>
      <c r="D5" s="117">
        <f>D6-D4</f>
        <v>9</v>
      </c>
      <c r="E5" s="117">
        <f>E6-E4</f>
        <v>79</v>
      </c>
      <c r="F5" s="117">
        <f>F6-F4</f>
        <v>46</v>
      </c>
      <c r="G5" s="118">
        <f>C5+D5+E5+F5</f>
        <v>93</v>
      </c>
      <c r="H5" s="114"/>
      <c r="I5" s="116">
        <f>I6-I4</f>
        <v>14</v>
      </c>
      <c r="J5" s="117">
        <f>J6-J4</f>
        <v>11</v>
      </c>
      <c r="K5" s="117">
        <f>K6-K4</f>
        <v>35</v>
      </c>
      <c r="L5" s="117">
        <f>L6-L4</f>
        <v>69</v>
      </c>
      <c r="M5" s="118">
        <f>I5+J5+K5+L5</f>
        <v>129</v>
      </c>
      <c r="N5" s="114"/>
      <c r="O5" s="116">
        <f>O6-O4</f>
        <v>16</v>
      </c>
      <c r="P5" s="117">
        <f>P6-P4</f>
        <v>-16</v>
      </c>
      <c r="Q5" s="117">
        <f>Q6-Q4</f>
        <v>-15</v>
      </c>
      <c r="R5" s="117">
        <f>R6-R4</f>
        <v>59</v>
      </c>
      <c r="S5" s="118">
        <f>O5+P5+Q5+R5</f>
        <v>44</v>
      </c>
      <c r="T5" s="114"/>
      <c r="U5" s="116">
        <f>U6-U4</f>
        <v>180</v>
      </c>
      <c r="V5" s="117">
        <v>27</v>
      </c>
      <c r="W5" s="117">
        <v>30</v>
      </c>
      <c r="X5" s="117">
        <v>95</v>
      </c>
      <c r="Y5" s="118">
        <f>U5+V5+W5+X5</f>
        <v>332</v>
      </c>
      <c r="AA5" s="116">
        <v>55</v>
      </c>
      <c r="AB5" s="117">
        <v>45</v>
      </c>
      <c r="AC5" s="117">
        <v>56</v>
      </c>
      <c r="AD5" s="117">
        <v>126</v>
      </c>
      <c r="AE5" s="118">
        <f>AA5+AB5+AC5+AD5</f>
        <v>282</v>
      </c>
      <c r="AG5" s="116">
        <v>9</v>
      </c>
      <c r="AH5" s="117">
        <v>0</v>
      </c>
      <c r="AI5" s="117">
        <v>7</v>
      </c>
      <c r="AJ5" s="117">
        <v>28</v>
      </c>
      <c r="AK5" s="118">
        <f>AG5+AH5+AI5+AJ5</f>
        <v>44</v>
      </c>
      <c r="AM5" s="116">
        <v>-14</v>
      </c>
      <c r="AN5" s="117">
        <v>-17</v>
      </c>
      <c r="AO5" s="117">
        <v>-29</v>
      </c>
      <c r="AP5" s="117">
        <v>47</v>
      </c>
      <c r="AQ5" s="118">
        <f>AM5+AN5+AO5+AP5</f>
        <v>-13</v>
      </c>
      <c r="AS5" s="116">
        <v>14</v>
      </c>
      <c r="AT5" s="117">
        <v>13</v>
      </c>
      <c r="AU5" s="117">
        <v>-96</v>
      </c>
      <c r="AV5" s="117">
        <v>-2</v>
      </c>
      <c r="AW5" s="118">
        <f>AS5+AT5+AU5+AV5</f>
        <v>-71</v>
      </c>
      <c r="AY5" s="116">
        <v>-64</v>
      </c>
      <c r="AZ5" s="117">
        <v>-22</v>
      </c>
      <c r="BA5" s="117">
        <v>28</v>
      </c>
      <c r="BB5" s="117">
        <v>361</v>
      </c>
      <c r="BC5" s="118">
        <f>AY5+AZ5+BA5+BB5</f>
        <v>303</v>
      </c>
      <c r="BE5" s="116">
        <v>-102</v>
      </c>
      <c r="BF5" s="117">
        <v>54</v>
      </c>
      <c r="BG5" s="117">
        <v>90</v>
      </c>
      <c r="BH5" s="117">
        <v>229</v>
      </c>
      <c r="BI5" s="118">
        <f>BE5+BF5+BG5+BH5</f>
        <v>271</v>
      </c>
      <c r="BK5" s="116">
        <v>119</v>
      </c>
      <c r="BL5" s="117">
        <v>271</v>
      </c>
      <c r="BM5" s="117">
        <v>217</v>
      </c>
      <c r="BN5" s="117">
        <v>501</v>
      </c>
      <c r="BO5" s="118">
        <f>BK5+BL5+BM5+BN5</f>
        <v>1108</v>
      </c>
      <c r="BQ5" s="116">
        <v>25</v>
      </c>
      <c r="BR5" s="117">
        <v>25</v>
      </c>
      <c r="BS5" s="117">
        <v>25</v>
      </c>
      <c r="BT5" s="117">
        <v>50</v>
      </c>
      <c r="BU5" s="118">
        <f>BQ5+BR5+BS5+BT5</f>
        <v>125</v>
      </c>
      <c r="BW5" s="116">
        <v>15</v>
      </c>
      <c r="BX5" s="117">
        <v>15</v>
      </c>
      <c r="BY5" s="117">
        <v>15</v>
      </c>
      <c r="BZ5" s="117">
        <v>30</v>
      </c>
      <c r="CA5" s="118">
        <f>BW5+BX5+BY5+BZ5</f>
        <v>75</v>
      </c>
      <c r="CC5" s="116">
        <v>10</v>
      </c>
      <c r="CD5" s="117">
        <v>10</v>
      </c>
      <c r="CE5" s="117">
        <v>10</v>
      </c>
      <c r="CF5" s="117">
        <v>20</v>
      </c>
      <c r="CG5" s="118">
        <f>CC5+CD5+CE5+CF5</f>
        <v>50</v>
      </c>
      <c r="CI5" s="116">
        <v>10</v>
      </c>
      <c r="CJ5" s="117">
        <v>10</v>
      </c>
      <c r="CK5" s="117">
        <v>10</v>
      </c>
      <c r="CL5" s="117">
        <v>20</v>
      </c>
      <c r="CM5" s="118">
        <f>CI5+CJ5+CK5+CL5</f>
        <v>50</v>
      </c>
      <c r="CO5" s="116">
        <v>10</v>
      </c>
      <c r="CP5" s="117">
        <v>10</v>
      </c>
      <c r="CQ5" s="117">
        <v>10</v>
      </c>
      <c r="CR5" s="117">
        <v>20</v>
      </c>
      <c r="CS5" s="118">
        <f>CO5+CP5+CQ5+CR5</f>
        <v>50</v>
      </c>
      <c r="CU5" s="116">
        <v>10</v>
      </c>
      <c r="CV5" s="117">
        <v>10</v>
      </c>
      <c r="CW5" s="117">
        <v>10</v>
      </c>
      <c r="CX5" s="117">
        <v>20</v>
      </c>
      <c r="CY5" s="118">
        <f>CU5+CV5+CW5+CX5</f>
        <v>50</v>
      </c>
      <c r="DA5" s="116">
        <v>10</v>
      </c>
      <c r="DB5" s="117">
        <v>10</v>
      </c>
      <c r="DC5" s="117">
        <v>10</v>
      </c>
      <c r="DD5" s="117">
        <v>20</v>
      </c>
      <c r="DE5" s="118">
        <f>DA5+DB5+DC5+DD5</f>
        <v>50</v>
      </c>
      <c r="DG5" s="116">
        <v>10</v>
      </c>
      <c r="DH5" s="117">
        <v>10</v>
      </c>
      <c r="DI5" s="117">
        <v>10</v>
      </c>
      <c r="DJ5" s="117">
        <v>20</v>
      </c>
      <c r="DK5" s="118">
        <f>DG5+DH5+DI5+DJ5</f>
        <v>50</v>
      </c>
    </row>
    <row r="6" spans="2:115" ht="15.75" thickBot="1" x14ac:dyDescent="0.35">
      <c r="B6" s="5" t="s">
        <v>27</v>
      </c>
      <c r="C6" s="116">
        <v>3139</v>
      </c>
      <c r="D6" s="117">
        <v>3148</v>
      </c>
      <c r="E6" s="117">
        <v>3227</v>
      </c>
      <c r="F6" s="117">
        <v>3273</v>
      </c>
      <c r="G6" s="118">
        <f>F6</f>
        <v>3273</v>
      </c>
      <c r="H6" s="114"/>
      <c r="I6" s="123">
        <v>3287</v>
      </c>
      <c r="J6" s="124">
        <v>3298</v>
      </c>
      <c r="K6" s="124">
        <v>3333</v>
      </c>
      <c r="L6" s="125">
        <v>3402</v>
      </c>
      <c r="M6" s="121">
        <f>L6</f>
        <v>3402</v>
      </c>
      <c r="N6" s="114"/>
      <c r="O6" s="123">
        <v>3418</v>
      </c>
      <c r="P6" s="124">
        <v>3402</v>
      </c>
      <c r="Q6" s="124">
        <v>3387</v>
      </c>
      <c r="R6" s="125">
        <v>3446</v>
      </c>
      <c r="S6" s="121">
        <f>R6</f>
        <v>3446</v>
      </c>
      <c r="T6" s="114"/>
      <c r="U6" s="123">
        <v>3626</v>
      </c>
      <c r="V6" s="124">
        <f>V4+V5</f>
        <v>3653</v>
      </c>
      <c r="W6" s="124">
        <f>W4+W5</f>
        <v>3683</v>
      </c>
      <c r="X6" s="124">
        <f>X4+X5</f>
        <v>3778</v>
      </c>
      <c r="Y6" s="121">
        <f>X6</f>
        <v>3778</v>
      </c>
      <c r="AA6" s="123">
        <f>AA4+AA5</f>
        <v>3833</v>
      </c>
      <c r="AB6" s="124">
        <f>AB4+AB5</f>
        <v>3878</v>
      </c>
      <c r="AC6" s="124">
        <f>AC4+AC5</f>
        <v>3934</v>
      </c>
      <c r="AD6" s="124">
        <f>AD4+AD5</f>
        <v>4060</v>
      </c>
      <c r="AE6" s="121">
        <f>AD6</f>
        <v>4060</v>
      </c>
      <c r="AG6" s="123">
        <f>AG4+AG5</f>
        <v>4069</v>
      </c>
      <c r="AH6" s="124">
        <f>AH4+AH5</f>
        <v>4069</v>
      </c>
      <c r="AI6" s="124">
        <f>AI4+AI5</f>
        <v>4076</v>
      </c>
      <c r="AJ6" s="124">
        <f>AJ4+AJ5</f>
        <v>4104</v>
      </c>
      <c r="AK6" s="121">
        <f>AJ6</f>
        <v>4104</v>
      </c>
      <c r="AM6" s="123">
        <f>AM4+AM5</f>
        <v>4090</v>
      </c>
      <c r="AN6" s="124">
        <f>AN4+AN5</f>
        <v>4073</v>
      </c>
      <c r="AO6" s="124">
        <f>AO4+AO5</f>
        <v>4044</v>
      </c>
      <c r="AP6" s="124">
        <f>AP4+AP5</f>
        <v>4091</v>
      </c>
      <c r="AQ6" s="121">
        <f>AP6</f>
        <v>4091</v>
      </c>
      <c r="AS6" s="123">
        <f>AS4+AS5</f>
        <v>4105</v>
      </c>
      <c r="AT6" s="124">
        <f>AT4+AT5</f>
        <v>4118</v>
      </c>
      <c r="AU6" s="124">
        <f>AU4+AU5</f>
        <v>4022</v>
      </c>
      <c r="AV6" s="124">
        <f>AV4+AV5</f>
        <v>4020</v>
      </c>
      <c r="AW6" s="121">
        <f>AV6</f>
        <v>4020</v>
      </c>
      <c r="AY6" s="123">
        <f>AY4+AY5</f>
        <v>3956</v>
      </c>
      <c r="AZ6" s="124">
        <f>AZ4+AZ5</f>
        <v>3934</v>
      </c>
      <c r="BA6" s="124">
        <f>BA4+BA5</f>
        <v>3962</v>
      </c>
      <c r="BB6" s="124">
        <f>BB4+BB5</f>
        <v>4323</v>
      </c>
      <c r="BC6" s="121">
        <f>BB6</f>
        <v>4323</v>
      </c>
      <c r="BE6" s="123">
        <f>BE4+BE5</f>
        <v>4221</v>
      </c>
      <c r="BF6" s="124">
        <f>BF4+BF5</f>
        <v>4275</v>
      </c>
      <c r="BG6" s="124">
        <f>BG4+BG5</f>
        <v>4365</v>
      </c>
      <c r="BH6" s="124">
        <f>BH4+BH5</f>
        <v>4594</v>
      </c>
      <c r="BI6" s="121">
        <f>BH6</f>
        <v>4594</v>
      </c>
      <c r="BK6" s="123">
        <f>BK4+BK5</f>
        <v>4713</v>
      </c>
      <c r="BL6" s="124">
        <f>BL4+BL5</f>
        <v>4984</v>
      </c>
      <c r="BM6" s="124">
        <f>BM4+BM5</f>
        <v>5201</v>
      </c>
      <c r="BN6" s="124">
        <f>BN4+BN5</f>
        <v>5702</v>
      </c>
      <c r="BO6" s="121">
        <f>BN6</f>
        <v>5702</v>
      </c>
      <c r="BQ6" s="123">
        <f>BQ4+BQ5</f>
        <v>5727</v>
      </c>
      <c r="BR6" s="124">
        <f>BR4+BR5</f>
        <v>5752</v>
      </c>
      <c r="BS6" s="124">
        <f>BS4+BS5</f>
        <v>5777</v>
      </c>
      <c r="BT6" s="124">
        <f>BT4+BT5</f>
        <v>5827</v>
      </c>
      <c r="BU6" s="121">
        <f>BT6</f>
        <v>5827</v>
      </c>
      <c r="BW6" s="123">
        <f>BW4+BW5</f>
        <v>5842</v>
      </c>
      <c r="BX6" s="124">
        <f>BX4+BX5</f>
        <v>5857</v>
      </c>
      <c r="BY6" s="124">
        <f>BY4+BY5</f>
        <v>5872</v>
      </c>
      <c r="BZ6" s="124">
        <f>BZ4+BZ5</f>
        <v>5902</v>
      </c>
      <c r="CA6" s="121">
        <f>BZ6</f>
        <v>5902</v>
      </c>
      <c r="CC6" s="123">
        <f>CC4+CC5</f>
        <v>5912</v>
      </c>
      <c r="CD6" s="124">
        <f>CD4+CD5</f>
        <v>5922</v>
      </c>
      <c r="CE6" s="124">
        <f>CE4+CE5</f>
        <v>5932</v>
      </c>
      <c r="CF6" s="124">
        <f>CF4+CF5</f>
        <v>5952</v>
      </c>
      <c r="CG6" s="121">
        <f>CF6</f>
        <v>5952</v>
      </c>
      <c r="CI6" s="123">
        <f>CI4+CI5</f>
        <v>5962</v>
      </c>
      <c r="CJ6" s="124">
        <f>CJ4+CJ5</f>
        <v>5972</v>
      </c>
      <c r="CK6" s="124">
        <f>CK4+CK5</f>
        <v>5982</v>
      </c>
      <c r="CL6" s="124">
        <f>CL4+CL5</f>
        <v>6002</v>
      </c>
      <c r="CM6" s="121">
        <f>CL6</f>
        <v>6002</v>
      </c>
      <c r="CO6" s="123">
        <f>CO4+CO5</f>
        <v>6012</v>
      </c>
      <c r="CP6" s="124">
        <f>CP4+CP5</f>
        <v>6022</v>
      </c>
      <c r="CQ6" s="124">
        <f>CQ4+CQ5</f>
        <v>6032</v>
      </c>
      <c r="CR6" s="124">
        <f>CR4+CR5</f>
        <v>6052</v>
      </c>
      <c r="CS6" s="121">
        <f>CR6</f>
        <v>6052</v>
      </c>
      <c r="CU6" s="123">
        <f>CU4+CU5</f>
        <v>6062</v>
      </c>
      <c r="CV6" s="124">
        <f>CV4+CV5</f>
        <v>6072</v>
      </c>
      <c r="CW6" s="124">
        <f>CW4+CW5</f>
        <v>6082</v>
      </c>
      <c r="CX6" s="124">
        <f>CX4+CX5</f>
        <v>6102</v>
      </c>
      <c r="CY6" s="121">
        <f>CX6</f>
        <v>6102</v>
      </c>
      <c r="DA6" s="123">
        <f>DA4+DA5</f>
        <v>6112</v>
      </c>
      <c r="DB6" s="124">
        <f>DB4+DB5</f>
        <v>6122</v>
      </c>
      <c r="DC6" s="124">
        <f>DC4+DC5</f>
        <v>6132</v>
      </c>
      <c r="DD6" s="124">
        <f>DD4+DD5</f>
        <v>6152</v>
      </c>
      <c r="DE6" s="121">
        <f>DD6</f>
        <v>6152</v>
      </c>
      <c r="DG6" s="123">
        <f>DG4+DG5</f>
        <v>6162</v>
      </c>
      <c r="DH6" s="124">
        <f>DH4+DH5</f>
        <v>6172</v>
      </c>
      <c r="DI6" s="124">
        <f>DI4+DI5</f>
        <v>6182</v>
      </c>
      <c r="DJ6" s="124">
        <f>DJ4+DJ5</f>
        <v>6202</v>
      </c>
      <c r="DK6" s="121">
        <f>DJ6</f>
        <v>6202</v>
      </c>
    </row>
    <row r="7" spans="2:115" ht="15" x14ac:dyDescent="0.3">
      <c r="B7" s="38" t="s">
        <v>28</v>
      </c>
      <c r="C7" s="112">
        <f>C6-C5/2</f>
        <v>3159.5</v>
      </c>
      <c r="D7" s="112">
        <f>D6-D5/2</f>
        <v>3143.5</v>
      </c>
      <c r="E7" s="112">
        <f>E6-E5/2</f>
        <v>3187.5</v>
      </c>
      <c r="F7" s="112">
        <f>F6-F5/2</f>
        <v>3250</v>
      </c>
      <c r="G7" s="113">
        <f>(C7+D7+E7+F7)/4</f>
        <v>3185.125</v>
      </c>
      <c r="H7" s="114"/>
      <c r="I7" s="116">
        <f>I6-I5/2</f>
        <v>3280</v>
      </c>
      <c r="J7" s="117">
        <f>J6-J5/2</f>
        <v>3292.5</v>
      </c>
      <c r="K7" s="117">
        <f>K6-K5/2</f>
        <v>3315.5</v>
      </c>
      <c r="L7" s="119">
        <f>L6-L5/2</f>
        <v>3367.5</v>
      </c>
      <c r="M7" s="118">
        <f>(I7+J7+K7+L7)/4</f>
        <v>3313.875</v>
      </c>
      <c r="N7" s="114"/>
      <c r="O7" s="116">
        <f>O6-O5/2</f>
        <v>3410</v>
      </c>
      <c r="P7" s="117">
        <f>P6-P5/2</f>
        <v>3410</v>
      </c>
      <c r="Q7" s="117">
        <f>Q6-Q5/2</f>
        <v>3394.5</v>
      </c>
      <c r="R7" s="119">
        <f>R6-R5/2</f>
        <v>3416.5</v>
      </c>
      <c r="S7" s="118">
        <f>(O7+P7+Q7+R7)/4</f>
        <v>3407.75</v>
      </c>
      <c r="T7" s="114"/>
      <c r="U7" s="116">
        <f>U6-U5/2</f>
        <v>3536</v>
      </c>
      <c r="V7" s="117">
        <f>V6-V5/2</f>
        <v>3639.5</v>
      </c>
      <c r="W7" s="117">
        <f>W6-W5/2</f>
        <v>3668</v>
      </c>
      <c r="X7" s="117">
        <f>X6-X5/2</f>
        <v>3730.5</v>
      </c>
      <c r="Y7" s="118">
        <f>(U7+V7+W7+X7)/4</f>
        <v>3643.5</v>
      </c>
      <c r="AA7" s="116">
        <f>AA6-AA5/2</f>
        <v>3805.5</v>
      </c>
      <c r="AB7" s="117">
        <f>AB6-AB5/2</f>
        <v>3855.5</v>
      </c>
      <c r="AC7" s="117">
        <f>AC6-AC5/2</f>
        <v>3906</v>
      </c>
      <c r="AD7" s="117">
        <f>AD6-AD5/2</f>
        <v>3997</v>
      </c>
      <c r="AE7" s="118">
        <f>(AA7+AB7+AC7+AD7)/4</f>
        <v>3891</v>
      </c>
      <c r="AG7" s="116">
        <f>AG6-AG5/2</f>
        <v>4064.5</v>
      </c>
      <c r="AH7" s="117">
        <f>AH6-AH5/2</f>
        <v>4069</v>
      </c>
      <c r="AI7" s="117">
        <f>AI6-AI5/2</f>
        <v>4072.5</v>
      </c>
      <c r="AJ7" s="117">
        <f>AJ6-AJ5/2</f>
        <v>4090</v>
      </c>
      <c r="AK7" s="118">
        <f>(AG7+AH7+AI7+AJ7)/4</f>
        <v>4074</v>
      </c>
      <c r="AM7" s="116">
        <f>AM6-AM5/2</f>
        <v>4097</v>
      </c>
      <c r="AN7" s="117">
        <f>AN6-AN5/2</f>
        <v>4081.5</v>
      </c>
      <c r="AO7" s="117">
        <f>AO6-AO5/2</f>
        <v>4058.5</v>
      </c>
      <c r="AP7" s="117">
        <f>AP6-AP5/2</f>
        <v>4067.5</v>
      </c>
      <c r="AQ7" s="118">
        <f>(AM7+AN7+AO7+AP7)/4</f>
        <v>4076.125</v>
      </c>
      <c r="AS7" s="116">
        <f>AS6-AS5/2</f>
        <v>4098</v>
      </c>
      <c r="AT7" s="117">
        <f>AT6-AT5/2</f>
        <v>4111.5</v>
      </c>
      <c r="AU7" s="117">
        <f>AU6-AU5/2</f>
        <v>4070</v>
      </c>
      <c r="AV7" s="117">
        <f>AV6-AV5/2</f>
        <v>4021</v>
      </c>
      <c r="AW7" s="118">
        <f>(AS7+AT7+AU7+AV7)/4</f>
        <v>4075.125</v>
      </c>
      <c r="AY7" s="116">
        <f>AY6-AY5/2</f>
        <v>3988</v>
      </c>
      <c r="AZ7" s="117">
        <f>AZ6-AZ5/2</f>
        <v>3945</v>
      </c>
      <c r="BA7" s="117">
        <f>BA6-BA5/2</f>
        <v>3948</v>
      </c>
      <c r="BB7" s="117">
        <f>BB6-BB5/2</f>
        <v>4142.5</v>
      </c>
      <c r="BC7" s="118">
        <f>(AY7+AZ7+BA7+BB7)/4</f>
        <v>4005.875</v>
      </c>
      <c r="BE7" s="116">
        <f>BE6-BE5/2</f>
        <v>4272</v>
      </c>
      <c r="BF7" s="117">
        <f>BF6-BF5/2</f>
        <v>4248</v>
      </c>
      <c r="BG7" s="117">
        <f>BG6-BG5/2</f>
        <v>4320</v>
      </c>
      <c r="BH7" s="117">
        <f>BH6-BH5/2</f>
        <v>4479.5</v>
      </c>
      <c r="BI7" s="118">
        <f>(BE7+BF7+BG7+BH7)/4</f>
        <v>4329.875</v>
      </c>
      <c r="BK7" s="116">
        <f>BK6-BK5/2</f>
        <v>4653.5</v>
      </c>
      <c r="BL7" s="117">
        <f>BL6-BL5/2</f>
        <v>4848.5</v>
      </c>
      <c r="BM7" s="117">
        <f>BM6-BM5/2</f>
        <v>5092.5</v>
      </c>
      <c r="BN7" s="117">
        <f>BN6-BN5/2</f>
        <v>5451.5</v>
      </c>
      <c r="BO7" s="118">
        <f>(BK7+BL7+BM7+BN7)/4</f>
        <v>5011.5</v>
      </c>
      <c r="BQ7" s="116">
        <f>BQ6-BQ5/2</f>
        <v>5714.5</v>
      </c>
      <c r="BR7" s="117">
        <f>BR6-BR5/2</f>
        <v>5739.5</v>
      </c>
      <c r="BS7" s="117">
        <f>BS6-BS5/2</f>
        <v>5764.5</v>
      </c>
      <c r="BT7" s="117">
        <f>BT6-BT5/2</f>
        <v>5802</v>
      </c>
      <c r="BU7" s="118">
        <f>(BQ7+BR7+BS7+BT7)/4</f>
        <v>5755.125</v>
      </c>
      <c r="BW7" s="116">
        <f>BW6-BW5/2</f>
        <v>5834.5</v>
      </c>
      <c r="BX7" s="117">
        <f>BX6-BX5/2</f>
        <v>5849.5</v>
      </c>
      <c r="BY7" s="117">
        <f>BY6-BY5/2</f>
        <v>5864.5</v>
      </c>
      <c r="BZ7" s="117">
        <f>BZ6-BZ5/2</f>
        <v>5887</v>
      </c>
      <c r="CA7" s="118">
        <f>(BW7+BX7+BY7+BZ7)/4</f>
        <v>5858.875</v>
      </c>
      <c r="CC7" s="116">
        <f>CC6-CC5/2</f>
        <v>5907</v>
      </c>
      <c r="CD7" s="117">
        <f>CD6-CD5/2</f>
        <v>5917</v>
      </c>
      <c r="CE7" s="117">
        <f>CE6-CE5/2</f>
        <v>5927</v>
      </c>
      <c r="CF7" s="117">
        <f>CF6-CF5/2</f>
        <v>5942</v>
      </c>
      <c r="CG7" s="118">
        <f>(CC7+CD7+CE7+CF7)/4</f>
        <v>5923.25</v>
      </c>
      <c r="CI7" s="116">
        <f>CI6-CI5/2</f>
        <v>5957</v>
      </c>
      <c r="CJ7" s="117">
        <f>CJ6-CJ5/2</f>
        <v>5967</v>
      </c>
      <c r="CK7" s="117">
        <f>CK6-CK5/2</f>
        <v>5977</v>
      </c>
      <c r="CL7" s="117">
        <f>CL6-CL5/2</f>
        <v>5992</v>
      </c>
      <c r="CM7" s="118">
        <f>(CI7+CJ7+CK7+CL7)/4</f>
        <v>5973.25</v>
      </c>
      <c r="CO7" s="116">
        <f>CO6-CO5/2</f>
        <v>6007</v>
      </c>
      <c r="CP7" s="117">
        <f>CP6-CP5/2</f>
        <v>6017</v>
      </c>
      <c r="CQ7" s="117">
        <f>CQ6-CQ5/2</f>
        <v>6027</v>
      </c>
      <c r="CR7" s="117">
        <f>CR6-CR5/2</f>
        <v>6042</v>
      </c>
      <c r="CS7" s="118">
        <f>(CO7+CP7+CQ7+CR7)/4</f>
        <v>6023.25</v>
      </c>
      <c r="CU7" s="116">
        <f>CU6-CU5/2</f>
        <v>6057</v>
      </c>
      <c r="CV7" s="117">
        <f>CV6-CV5/2</f>
        <v>6067</v>
      </c>
      <c r="CW7" s="117">
        <f>CW6-CW5/2</f>
        <v>6077</v>
      </c>
      <c r="CX7" s="117">
        <f>CX6-CX5/2</f>
        <v>6092</v>
      </c>
      <c r="CY7" s="118">
        <f>(CU7+CV7+CW7+CX7)/4</f>
        <v>6073.25</v>
      </c>
      <c r="DA7" s="116">
        <f>DA6-DA5/2</f>
        <v>6107</v>
      </c>
      <c r="DB7" s="117">
        <f>DB6-DB5/2</f>
        <v>6117</v>
      </c>
      <c r="DC7" s="117">
        <f>DC6-DC5/2</f>
        <v>6127</v>
      </c>
      <c r="DD7" s="117">
        <f>DD6-DD5/2</f>
        <v>6142</v>
      </c>
      <c r="DE7" s="118">
        <f>(DA7+DB7+DC7+DD7)/4</f>
        <v>6123.25</v>
      </c>
      <c r="DG7" s="116">
        <f>DG6-DG5/2</f>
        <v>6157</v>
      </c>
      <c r="DH7" s="117">
        <f>DH6-DH5/2</f>
        <v>6167</v>
      </c>
      <c r="DI7" s="117">
        <f>DI6-DI5/2</f>
        <v>6177</v>
      </c>
      <c r="DJ7" s="117">
        <f>DJ6-DJ5/2</f>
        <v>6192</v>
      </c>
      <c r="DK7" s="118">
        <f>(DG7+DH7+DI7+DJ7)/4</f>
        <v>6173.25</v>
      </c>
    </row>
    <row r="8" spans="2:115" ht="15.75" thickBot="1" x14ac:dyDescent="0.35">
      <c r="B8" s="41" t="s">
        <v>56</v>
      </c>
      <c r="C8" s="106" t="s">
        <v>35</v>
      </c>
      <c r="D8" s="106" t="s">
        <v>35</v>
      </c>
      <c r="E8" s="106" t="s">
        <v>35</v>
      </c>
      <c r="F8" s="106" t="s">
        <v>35</v>
      </c>
      <c r="G8" s="108" t="s">
        <v>35</v>
      </c>
      <c r="I8" s="109">
        <f>I7/C7-1</f>
        <v>3.8138946035765064E-2</v>
      </c>
      <c r="J8" s="110">
        <f>J7/D7-1</f>
        <v>4.7399395578177295E-2</v>
      </c>
      <c r="K8" s="110">
        <f>K7/E7-1</f>
        <v>4.015686274509811E-2</v>
      </c>
      <c r="L8" s="120">
        <f>L7/F7-1</f>
        <v>3.6153846153846203E-2</v>
      </c>
      <c r="M8" s="122">
        <f>M7/G7-1</f>
        <v>4.0422275420901821E-2</v>
      </c>
      <c r="O8" s="109">
        <f>O7/I7-1</f>
        <v>3.9634146341463339E-2</v>
      </c>
      <c r="P8" s="110">
        <f>P7/J7-1</f>
        <v>3.5687167805618758E-2</v>
      </c>
      <c r="Q8" s="110">
        <f>Q7/K7-1</f>
        <v>2.3827477001960418E-2</v>
      </c>
      <c r="R8" s="120">
        <f>R7/L7-1</f>
        <v>1.4550853749071946E-2</v>
      </c>
      <c r="S8" s="122">
        <f>S7/M7-1</f>
        <v>2.8327863905548645E-2</v>
      </c>
      <c r="U8" s="109">
        <f>U7/O7-1</f>
        <v>3.6950146627565905E-2</v>
      </c>
      <c r="V8" s="110">
        <f>V7/P7-1</f>
        <v>6.7302052785923827E-2</v>
      </c>
      <c r="W8" s="110">
        <f>W7/Q7-1</f>
        <v>8.0571512741199003E-2</v>
      </c>
      <c r="X8" s="110">
        <f>X7/R7-1</f>
        <v>9.190692228889219E-2</v>
      </c>
      <c r="Y8" s="122">
        <f>Y7/S7-1</f>
        <v>6.9180544347443362E-2</v>
      </c>
      <c r="AA8" s="109">
        <f>AA7/U7-1</f>
        <v>7.6216063348416352E-2</v>
      </c>
      <c r="AB8" s="110">
        <f>AB7/V7-1</f>
        <v>5.9348811649951871E-2</v>
      </c>
      <c r="AC8" s="110">
        <f>AC7/W7-1</f>
        <v>6.4885496183206159E-2</v>
      </c>
      <c r="AD8" s="110">
        <f>AD7/X7-1</f>
        <v>7.1438145020774613E-2</v>
      </c>
      <c r="AE8" s="122">
        <f>AE7/Y7-1</f>
        <v>6.7929188966652898E-2</v>
      </c>
      <c r="AG8" s="109">
        <f>AG7/AA7-1</f>
        <v>6.8059387728288012E-2</v>
      </c>
      <c r="AH8" s="110">
        <f>AH7/AB7-1</f>
        <v>5.5375437686421947E-2</v>
      </c>
      <c r="AI8" s="110">
        <f>AI7/AC7-1</f>
        <v>4.2626728110598977E-2</v>
      </c>
      <c r="AJ8" s="110">
        <f>AJ7/AD7-1</f>
        <v>2.3267450587940885E-2</v>
      </c>
      <c r="AK8" s="122">
        <f>AK7/AE7-1</f>
        <v>4.703161141094836E-2</v>
      </c>
      <c r="AM8" s="109">
        <f>AM7/AG7-1</f>
        <v>7.9960634764424388E-3</v>
      </c>
      <c r="AN8" s="110">
        <f>AN7/AH7-1</f>
        <v>3.0720078643400317E-3</v>
      </c>
      <c r="AO8" s="110">
        <f>AO7/AI7-1</f>
        <v>-3.4376918354819264E-3</v>
      </c>
      <c r="AP8" s="110">
        <f>AP7/AJ7-1</f>
        <v>-5.5012224938875143E-3</v>
      </c>
      <c r="AQ8" s="122">
        <f>AQ7/AK7-1</f>
        <v>5.216003927344115E-4</v>
      </c>
      <c r="AS8" s="109">
        <f>AS7/AM7-1</f>
        <v>2.4408103490358712E-4</v>
      </c>
      <c r="AT8" s="110">
        <f>AT7/AN7-1</f>
        <v>7.3502388827637599E-3</v>
      </c>
      <c r="AU8" s="110">
        <f>AU7/AO7-1</f>
        <v>2.8335591967476592E-3</v>
      </c>
      <c r="AV8" s="110">
        <f>AV7/AP7-1</f>
        <v>-1.1432083589428377E-2</v>
      </c>
      <c r="AW8" s="122">
        <f>AW7/AQ7-1</f>
        <v>-2.4533104357693514E-4</v>
      </c>
      <c r="AY8" s="109">
        <f>AY7/AS7-1</f>
        <v>-2.6842362127867281E-2</v>
      </c>
      <c r="AZ8" s="110">
        <f>AZ7/AT7-1</f>
        <v>-4.0496169281284189E-2</v>
      </c>
      <c r="BA8" s="110">
        <f>BA7/AU7-1</f>
        <v>-2.9975429975430012E-2</v>
      </c>
      <c r="BB8" s="110">
        <f>BB7/AV7-1</f>
        <v>3.0216364088535119E-2</v>
      </c>
      <c r="BC8" s="122">
        <f>BC7/AW7-1</f>
        <v>-1.699334376246131E-2</v>
      </c>
      <c r="BE8" s="109">
        <f>BE7/AY7-1</f>
        <v>7.1213640922768384E-2</v>
      </c>
      <c r="BF8" s="110">
        <f>BF7/AZ7-1</f>
        <v>7.6806083650190038E-2</v>
      </c>
      <c r="BG8" s="110">
        <f>BG7/BA7-1</f>
        <v>9.4224924012157985E-2</v>
      </c>
      <c r="BH8" s="110">
        <f>BH7/BB7-1</f>
        <v>8.1351840675920384E-2</v>
      </c>
      <c r="BI8" s="122">
        <f>BI7/BC7-1</f>
        <v>8.0881205729085304E-2</v>
      </c>
      <c r="BK8" s="109">
        <f>BK7/BE7-1</f>
        <v>8.930243445692887E-2</v>
      </c>
      <c r="BL8" s="110">
        <f>BL7/BF7-1</f>
        <v>0.14136064030131834</v>
      </c>
      <c r="BM8" s="110">
        <f>BM7/BG7-1</f>
        <v>0.17881944444444442</v>
      </c>
      <c r="BN8" s="110">
        <f>BN7/BH7-1</f>
        <v>0.2169885031811587</v>
      </c>
      <c r="BO8" s="122">
        <f>BO7/BI7-1</f>
        <v>0.15742371315569148</v>
      </c>
      <c r="BQ8" s="109">
        <f>BQ7/BK7-1</f>
        <v>0.22800042978403345</v>
      </c>
      <c r="BR8" s="110">
        <f>BR7/BL7-1</f>
        <v>0.18376817572445092</v>
      </c>
      <c r="BS8" s="110">
        <f>BS7/BM7-1</f>
        <v>0.13195876288659791</v>
      </c>
      <c r="BT8" s="110">
        <f>BT7/BN7-1</f>
        <v>6.4294230945611375E-2</v>
      </c>
      <c r="BU8" s="122">
        <f>BU7/BO7-1</f>
        <v>0.14838371744986523</v>
      </c>
      <c r="BW8" s="109">
        <f>BW7/BQ7-1</f>
        <v>2.0999212529530187E-2</v>
      </c>
      <c r="BX8" s="110">
        <f>BX7/BR7-1</f>
        <v>1.9165432528965853E-2</v>
      </c>
      <c r="BY8" s="110">
        <f>BY7/BS7-1</f>
        <v>1.7347558331164858E-2</v>
      </c>
      <c r="BZ8" s="110">
        <f>BZ7/BT7-1</f>
        <v>1.4650120648052489E-2</v>
      </c>
      <c r="CA8" s="122">
        <f>CA7/BU7-1</f>
        <v>1.8027410351643125E-2</v>
      </c>
      <c r="CC8" s="109">
        <f>CC7/BW7-1</f>
        <v>1.2426086211329235E-2</v>
      </c>
      <c r="CD8" s="110">
        <f>CD7/BX7-1</f>
        <v>1.153944781605265E-2</v>
      </c>
      <c r="CE8" s="110">
        <f>CE7/BY7-1</f>
        <v>1.065734504220317E-2</v>
      </c>
      <c r="CF8" s="110">
        <f>CF7/BZ7-1</f>
        <v>9.3426193307286631E-3</v>
      </c>
      <c r="CG8" s="122">
        <f>CG7/CA7-1</f>
        <v>1.0987604275564777E-2</v>
      </c>
      <c r="CI8" s="109">
        <f>CI7/CC7-1</f>
        <v>8.4645336041984098E-3</v>
      </c>
      <c r="CJ8" s="110">
        <f>CJ7/CD7-1</f>
        <v>8.4502281561602555E-3</v>
      </c>
      <c r="CK8" s="110">
        <f>CK7/CE7-1</f>
        <v>8.4359709802597216E-3</v>
      </c>
      <c r="CL8" s="110">
        <f>CL7/CF7-1</f>
        <v>8.4146751935374464E-3</v>
      </c>
      <c r="CM8" s="122">
        <f>CM7/CG7-1</f>
        <v>8.4413117798505244E-3</v>
      </c>
      <c r="CO8" s="109">
        <f>CO7/CI7-1</f>
        <v>8.3934866543562414E-3</v>
      </c>
      <c r="CP8" s="110">
        <f>CP7/CJ7-1</f>
        <v>8.3794201441260707E-3</v>
      </c>
      <c r="CQ8" s="110">
        <f>CQ7/CK7-1</f>
        <v>8.3654007026936483E-3</v>
      </c>
      <c r="CR8" s="110">
        <f>CR7/CL7-1</f>
        <v>8.3444592790387073E-3</v>
      </c>
      <c r="CS8" s="122">
        <f>CS7/CM7-1</f>
        <v>8.3706524923616854E-3</v>
      </c>
      <c r="CU8" s="109">
        <f>CU7/CO7-1</f>
        <v>8.3236224404861225E-3</v>
      </c>
      <c r="CV8" s="110">
        <f>CV7/CP7-1</f>
        <v>8.3097889313612505E-3</v>
      </c>
      <c r="CW8" s="110">
        <f>CW7/CQ7-1</f>
        <v>8.2960013273603028E-3</v>
      </c>
      <c r="CX8" s="110">
        <f>CX7/CR7-1</f>
        <v>8.2754054948692701E-3</v>
      </c>
      <c r="CY8" s="122">
        <f>CY7/CS7-1</f>
        <v>8.3011663138670144E-3</v>
      </c>
      <c r="DA8" s="109">
        <f>DA7/CU7-1</f>
        <v>8.2549116724450755E-3</v>
      </c>
      <c r="DB8" s="110">
        <f>DB7/CV7-1</f>
        <v>8.2413054227790106E-3</v>
      </c>
      <c r="DC8" s="110">
        <f>DC7/CW7-1</f>
        <v>8.2277439526081686E-3</v>
      </c>
      <c r="DD8" s="110">
        <f>DD7/CX7-1</f>
        <v>8.2074852265265896E-3</v>
      </c>
      <c r="DE8" s="122">
        <f>DE7/CY7-1</f>
        <v>8.2328242703659793E-3</v>
      </c>
      <c r="DG8" s="109">
        <f>DG7/DA7-1</f>
        <v>8.1873260193221498E-3</v>
      </c>
      <c r="DH8" s="110">
        <f>DH7/DB7-1</f>
        <v>8.1739414745789496E-3</v>
      </c>
      <c r="DI8" s="110">
        <f>DI7/DC7-1</f>
        <v>8.160600620205738E-3</v>
      </c>
      <c r="DJ8" s="110">
        <f>DJ7/DD7-1</f>
        <v>8.1406707912732301E-3</v>
      </c>
      <c r="DK8" s="122">
        <f>DK7/DE7-1</f>
        <v>8.1655983342179272E-3</v>
      </c>
    </row>
    <row r="9" spans="2:115" ht="15.75" thickBot="1" x14ac:dyDescent="0.35">
      <c r="B9" s="1"/>
      <c r="AA9" s="103"/>
      <c r="AB9" s="103"/>
      <c r="AC9" s="103"/>
      <c r="AD9" s="103"/>
      <c r="AE9" s="103"/>
      <c r="AG9" s="103"/>
      <c r="AH9" s="103"/>
      <c r="AI9" s="103"/>
      <c r="AJ9" s="103"/>
      <c r="AK9" s="103"/>
      <c r="AM9" s="103"/>
      <c r="AN9" s="103"/>
      <c r="AO9" s="103"/>
      <c r="AP9" s="103"/>
      <c r="AQ9" s="103"/>
      <c r="AS9" s="103"/>
      <c r="AT9" s="103"/>
      <c r="AU9" s="103"/>
      <c r="AV9" s="103"/>
      <c r="AW9" s="103"/>
      <c r="AY9" s="103"/>
      <c r="AZ9" s="103"/>
      <c r="BA9" s="103"/>
      <c r="BB9" s="103"/>
      <c r="BC9" s="103"/>
      <c r="BE9" s="103"/>
      <c r="BF9" s="103"/>
      <c r="BG9" s="103"/>
      <c r="BH9" s="103"/>
      <c r="BI9" s="103"/>
      <c r="BK9" s="103"/>
      <c r="BL9" s="103"/>
      <c r="BM9" s="103"/>
      <c r="BN9" s="103"/>
      <c r="BO9" s="103"/>
      <c r="BQ9" s="103"/>
      <c r="BR9" s="103"/>
      <c r="BS9" s="103"/>
      <c r="BT9" s="103"/>
      <c r="BU9" s="103"/>
      <c r="BW9" s="103"/>
      <c r="BX9" s="103"/>
      <c r="BY9" s="103"/>
      <c r="BZ9" s="103"/>
      <c r="CA9" s="103"/>
      <c r="CC9" s="103"/>
      <c r="CD9" s="103"/>
      <c r="CE9" s="103"/>
      <c r="CF9" s="103"/>
      <c r="CG9" s="103"/>
      <c r="CI9" s="103"/>
      <c r="CJ9" s="103"/>
      <c r="CK9" s="103"/>
      <c r="CL9" s="103"/>
      <c r="CM9" s="103"/>
      <c r="CO9" s="103"/>
      <c r="CP9" s="103"/>
      <c r="CQ9" s="103"/>
      <c r="CR9" s="103"/>
      <c r="CS9" s="103"/>
      <c r="CU9" s="103"/>
      <c r="CV9" s="103"/>
      <c r="CW9" s="103"/>
      <c r="CX9" s="103"/>
      <c r="CY9" s="103"/>
      <c r="DA9" s="103"/>
      <c r="DB9" s="103"/>
      <c r="DC9" s="103"/>
      <c r="DD9" s="103"/>
      <c r="DE9" s="103"/>
      <c r="DG9" s="103"/>
      <c r="DH9" s="103"/>
      <c r="DI9" s="103"/>
      <c r="DJ9" s="103"/>
      <c r="DK9" s="103"/>
    </row>
    <row r="10" spans="2:115" s="135" customFormat="1" ht="15" x14ac:dyDescent="0.3">
      <c r="B10" s="139" t="s">
        <v>46</v>
      </c>
      <c r="C10" s="141">
        <f>C17-C13</f>
        <v>25.744579838582055</v>
      </c>
      <c r="D10" s="142">
        <f>D17-D13</f>
        <v>24.467419542972269</v>
      </c>
      <c r="E10" s="142">
        <f>E17-E13</f>
        <v>23.802352941176469</v>
      </c>
      <c r="F10" s="143">
        <f>F17-F13</f>
        <v>20.64</v>
      </c>
      <c r="G10" s="149">
        <f>G61*1000/(G7*12)</f>
        <v>23.641406014939236</v>
      </c>
      <c r="H10" s="134"/>
      <c r="I10" s="141">
        <f>I17-I13</f>
        <v>20.658536585365852</v>
      </c>
      <c r="J10" s="142">
        <f>J17-J13</f>
        <v>19.741837509491269</v>
      </c>
      <c r="K10" s="142">
        <f>K17-K13</f>
        <v>19.484240687679083</v>
      </c>
      <c r="L10" s="143">
        <f>L17-L13</f>
        <v>19.227913882702303</v>
      </c>
      <c r="M10" s="149">
        <f>M61*1000/(M7*12)</f>
        <v>19.773678850288558</v>
      </c>
      <c r="N10" s="134"/>
      <c r="O10" s="141">
        <f>O17-O13</f>
        <v>18.267839687194524</v>
      </c>
      <c r="P10" s="142">
        <f>P17-P13</f>
        <v>17.482893450635387</v>
      </c>
      <c r="Q10" s="142">
        <f>Q17-Q13</f>
        <v>17.706093189964157</v>
      </c>
      <c r="R10" s="143">
        <f>R17-R13</f>
        <v>16.694472901117127</v>
      </c>
      <c r="S10" s="149">
        <f>S61*1000/(S7*12)</f>
        <v>17.537231310982321</v>
      </c>
      <c r="T10" s="134"/>
      <c r="U10" s="141">
        <f>U17-U13</f>
        <v>15.285633484162897</v>
      </c>
      <c r="V10" s="142">
        <f>V17-V13</f>
        <v>15.298804780876493</v>
      </c>
      <c r="W10" s="142">
        <f>W17-W13</f>
        <v>14.79825517993457</v>
      </c>
      <c r="X10" s="142">
        <f>X17-X13</f>
        <v>13.748827234955099</v>
      </c>
      <c r="Y10" s="149">
        <f>Y61*1000/(Y7*12)</f>
        <v>14.772883216687251</v>
      </c>
      <c r="AA10" s="141">
        <f>AA17-AA13</f>
        <v>12.793763412604564</v>
      </c>
      <c r="AB10" s="142">
        <f>AB17-AB13</f>
        <v>12.454069943370941</v>
      </c>
      <c r="AC10" s="142">
        <f>AC17-AC13</f>
        <v>11.827956989247312</v>
      </c>
      <c r="AD10" s="142">
        <f>AD17-AD13</f>
        <v>10.858143607705779</v>
      </c>
      <c r="AE10" s="149">
        <f>AE61*1000/(AE7*12)</f>
        <v>11.970144778548791</v>
      </c>
      <c r="AG10" s="141">
        <f>AG17-AG13</f>
        <v>10.455570590888588</v>
      </c>
      <c r="AH10" s="142">
        <f>AH17-AH13</f>
        <v>9.7812730400589807</v>
      </c>
      <c r="AI10" s="142">
        <f>AI17-AI13</f>
        <v>9.7065684468999383</v>
      </c>
      <c r="AJ10" s="142">
        <f>AJ17-AJ13</f>
        <v>9.1230643846780772</v>
      </c>
      <c r="AK10" s="149">
        <f>AK61*1000/(AK7*12)</f>
        <v>9.7655866470299468</v>
      </c>
      <c r="AM10" s="141">
        <f>AM17-AM13</f>
        <v>7.5030510129362948</v>
      </c>
      <c r="AN10" s="142">
        <f>AN17-AN13</f>
        <v>7.860672138511168</v>
      </c>
      <c r="AO10" s="142">
        <f>AO17-AO13</f>
        <v>10.052975237156584</v>
      </c>
      <c r="AP10" s="142">
        <f>AP17-AP13</f>
        <v>7.7975824626101202</v>
      </c>
      <c r="AQ10" s="149">
        <f>AQ61*1000/(AQ7*12)</f>
        <v>8.3007758594253112</v>
      </c>
      <c r="AS10" s="141">
        <f>AS17-AS13</f>
        <v>7.9258174719375303</v>
      </c>
      <c r="AT10" s="142">
        <f>AT17-AT13</f>
        <v>8.0878835785804046</v>
      </c>
      <c r="AU10" s="142">
        <f>AU17-AU13</f>
        <v>8.3562653562653573</v>
      </c>
      <c r="AV10" s="142">
        <f>AV17-AV13</f>
        <v>8.3660780900273579</v>
      </c>
      <c r="AW10" s="149">
        <f>AW61*1000/(AW7*12)</f>
        <v>8.1827755794812038</v>
      </c>
      <c r="AY10" s="141">
        <f>AY17-AY13</f>
        <v>8.0508191240387834</v>
      </c>
      <c r="AZ10" s="142">
        <f>AZ17-AZ13</f>
        <v>8.5762568652302491</v>
      </c>
      <c r="BA10" s="142">
        <f>BA17-BA13</f>
        <v>8.5663627152988866</v>
      </c>
      <c r="BB10" s="142">
        <f>BB17-BB13</f>
        <v>8.0659826996580151</v>
      </c>
      <c r="BC10" s="149">
        <f>BC61*1000/(BC7*12)</f>
        <v>8.3111263664825614</v>
      </c>
      <c r="BE10" s="141">
        <f>BE17-BE13</f>
        <v>7.6388888888888893</v>
      </c>
      <c r="BF10" s="142">
        <f>BF17-BF13</f>
        <v>7.7252040175768988</v>
      </c>
      <c r="BG10" s="142">
        <f>BG17-BG13</f>
        <v>7.875</v>
      </c>
      <c r="BH10" s="142">
        <f>BH17-BH13</f>
        <v>7.4740484429065743</v>
      </c>
      <c r="BI10" s="149">
        <f>BI61*1000/(BI7*12)</f>
        <v>7.6763186004214887</v>
      </c>
      <c r="BK10" s="141">
        <f>BK17-BK13</f>
        <v>8.3091579814476564</v>
      </c>
      <c r="BL10" s="142">
        <f>BL17-BL13</f>
        <v>6.7409164346361425</v>
      </c>
      <c r="BM10" s="142">
        <f>BM17-BM13</f>
        <v>6.4146620847651779</v>
      </c>
      <c r="BN10" s="142">
        <f>BN17-BN13</f>
        <v>5.782812070072457</v>
      </c>
      <c r="BO10" s="149">
        <f>BO61*1000/(BO7*12)</f>
        <v>6.7615318101699424</v>
      </c>
      <c r="BQ10" s="141">
        <f>BK10*(1+BQ11)</f>
        <v>6.4811432255291725</v>
      </c>
      <c r="BR10" s="142">
        <f>BL10*(1+BR11)</f>
        <v>5.5275514764016371</v>
      </c>
      <c r="BS10" s="142">
        <f>BM10*(1+BS11)</f>
        <v>5.3883161512027495</v>
      </c>
      <c r="BT10" s="143">
        <f>BN10*(1+BT11)</f>
        <v>5.2045308630652114</v>
      </c>
      <c r="BU10" s="149">
        <f>BU61*1000/(BU7*12)</f>
        <v>5.6479881489197119</v>
      </c>
      <c r="BW10" s="141">
        <f>BQ10*(1+BW11)</f>
        <v>6.1570860642527139</v>
      </c>
      <c r="BX10" s="142">
        <f>BR10*(1+BX11)</f>
        <v>5.2235361451995468</v>
      </c>
      <c r="BY10" s="142">
        <f>BS10*(1+BY11)</f>
        <v>5.0919587628865983</v>
      </c>
      <c r="BZ10" s="143">
        <f>BT10*(1+BZ11)</f>
        <v>4.8922590112812987</v>
      </c>
      <c r="CA10" s="149">
        <f>CA61*1000/(CA7*12)</f>
        <v>5.3398098733796457</v>
      </c>
      <c r="CC10" s="141">
        <f>BW10*(1+CC11)</f>
        <v>5.8184463307188139</v>
      </c>
      <c r="CD10" s="142">
        <f>BX10*(1+CD11)</f>
        <v>4.9362416572135714</v>
      </c>
      <c r="CE10" s="142">
        <f>BY10*(1+CE11)</f>
        <v>4.8119010309278352</v>
      </c>
      <c r="CF10" s="143">
        <f>BZ10*(1+CF11)</f>
        <v>4.6231847656608274</v>
      </c>
      <c r="CG10" s="149">
        <f>CG61*1000/(CG7*12)</f>
        <v>5.0465709555208145</v>
      </c>
      <c r="CI10" s="141">
        <f>CC10*(1+CI11)</f>
        <v>5.4984317825292788</v>
      </c>
      <c r="CJ10" s="142">
        <f>CD10*(1+CJ11)</f>
        <v>4.6647483660668252</v>
      </c>
      <c r="CK10" s="142">
        <f>CE10*(1+CK11)</f>
        <v>4.5472464742268039</v>
      </c>
      <c r="CL10" s="143">
        <f>CF10*(1+CL11)</f>
        <v>4.3689096035494819</v>
      </c>
      <c r="CM10" s="149">
        <f>CM61*1000/(CM7*12)</f>
        <v>4.7690164546005001</v>
      </c>
      <c r="CO10" s="141">
        <f>CI10*(1+CO11)</f>
        <v>5.1960180344901685</v>
      </c>
      <c r="CP10" s="142">
        <f>CJ10*(1+CP11)</f>
        <v>4.4081872059331495</v>
      </c>
      <c r="CQ10" s="142">
        <f>CK10*(1+CQ11)</f>
        <v>4.2971479181443293</v>
      </c>
      <c r="CR10" s="143">
        <f>CL10*(1+CR11)</f>
        <v>4.1286195753542598</v>
      </c>
      <c r="CS10" s="149">
        <f>CS61*1000/(CS7*12)</f>
        <v>4.506726963359835</v>
      </c>
      <c r="CU10" s="141">
        <f>CO10*(1+CU11)</f>
        <v>4.9102370425932094</v>
      </c>
      <c r="CV10" s="142">
        <f>CP10*(1+CV11)</f>
        <v>4.1657369096068262</v>
      </c>
      <c r="CW10" s="142">
        <f>CQ10*(1+CW11)</f>
        <v>4.0608047826463913</v>
      </c>
      <c r="CX10" s="143">
        <f>CR10*(1+CX11)</f>
        <v>3.9015454987097753</v>
      </c>
      <c r="CY10" s="149">
        <f>CY61*1000/(CY7*12)</f>
        <v>4.258862941582092</v>
      </c>
      <c r="DA10" s="141">
        <f>CU10*(1+DA11)</f>
        <v>4.6401740052505822</v>
      </c>
      <c r="DB10" s="142">
        <f>CV10*(1+DB11)</f>
        <v>3.9366213795784506</v>
      </c>
      <c r="DC10" s="142">
        <f>CW10*(1+DC11)</f>
        <v>3.8374605196008398</v>
      </c>
      <c r="DD10" s="143">
        <f>CX10*(1+DD11)</f>
        <v>3.6869604962807374</v>
      </c>
      <c r="DE10" s="149">
        <f>DE61*1000/(DE7*12)</f>
        <v>4.0246310211365426</v>
      </c>
      <c r="DG10" s="141">
        <f>DA10*(1+DG11)</f>
        <v>4.3849644349618</v>
      </c>
      <c r="DH10" s="142">
        <f>DB10*(1+DH11)</f>
        <v>3.7201072037016356</v>
      </c>
      <c r="DI10" s="142">
        <f>DC10*(1+DI11)</f>
        <v>3.6264001910227934</v>
      </c>
      <c r="DJ10" s="143">
        <f>DD10*(1+DJ11)</f>
        <v>3.4841776689852968</v>
      </c>
      <c r="DK10" s="149">
        <f>DK61*1000/(DK7*12)</f>
        <v>3.8032814667149619</v>
      </c>
    </row>
    <row r="11" spans="2:115" ht="15" x14ac:dyDescent="0.3">
      <c r="B11" s="5" t="s">
        <v>23</v>
      </c>
      <c r="C11" s="144" t="s">
        <v>35</v>
      </c>
      <c r="D11" s="107" t="s">
        <v>35</v>
      </c>
      <c r="E11" s="107" t="s">
        <v>35</v>
      </c>
      <c r="F11" s="145" t="s">
        <v>35</v>
      </c>
      <c r="G11" s="138" t="s">
        <v>35</v>
      </c>
      <c r="H11" s="107"/>
      <c r="I11" s="151">
        <f>I10/C10-1</f>
        <v>-0.19755782712732473</v>
      </c>
      <c r="J11" s="133">
        <f>J10/D10-1</f>
        <v>-0.19313773670253354</v>
      </c>
      <c r="K11" s="133">
        <f>K10/E10-1</f>
        <v>-0.18141535268252162</v>
      </c>
      <c r="L11" s="152">
        <f>L10/F10-1</f>
        <v>-6.8415025062872892E-2</v>
      </c>
      <c r="M11" s="153">
        <f>M10/G10-1</f>
        <v>-0.16359970985679206</v>
      </c>
      <c r="N11" s="107"/>
      <c r="O11" s="151">
        <f>O10/I10-1</f>
        <v>-0.11572440711337006</v>
      </c>
      <c r="P11" s="133">
        <f>P10/J10-1</f>
        <v>-0.11442420482743065</v>
      </c>
      <c r="Q11" s="133">
        <f>Q10/K10-1</f>
        <v>-9.1260805397427758E-2</v>
      </c>
      <c r="R11" s="152">
        <f>R10/L10-1</f>
        <v>-0.13175849429325226</v>
      </c>
      <c r="S11" s="153">
        <f>S10/M10-1</f>
        <v>-0.1131022485112122</v>
      </c>
      <c r="T11" s="107"/>
      <c r="U11" s="151">
        <f>U10/O10-1</f>
        <v>-0.16324898039925917</v>
      </c>
      <c r="V11" s="133">
        <f>V10/P10-1</f>
        <v>-0.12492718530407321</v>
      </c>
      <c r="W11" s="133">
        <f>W10/Q10-1</f>
        <v>-0.16422809813729855</v>
      </c>
      <c r="X11" s="133">
        <f>X10/R10-1</f>
        <v>-0.17644436476727077</v>
      </c>
      <c r="Y11" s="153">
        <f>Y10/S10-1</f>
        <v>-0.15762739541240778</v>
      </c>
      <c r="AA11" s="151">
        <f>AA10/U10-1</f>
        <v>-0.16302039913099475</v>
      </c>
      <c r="AB11" s="133">
        <f>AB10/V10-1</f>
        <v>-0.18594490734736813</v>
      </c>
      <c r="AC11" s="133">
        <f>AC10/W10-1</f>
        <v>-0.2007194871672966</v>
      </c>
      <c r="AD11" s="133">
        <f>AD10/X10-1</f>
        <v>-0.21024946912563047</v>
      </c>
      <c r="AE11" s="153">
        <f>AE10/Y10-1</f>
        <v>-0.18972182999270748</v>
      </c>
      <c r="AG11" s="151">
        <f>AG10/AA10-1</f>
        <v>-0.18276036114692895</v>
      </c>
      <c r="AH11" s="133">
        <f>AH10/AB10-1</f>
        <v>-0.2146123247633307</v>
      </c>
      <c r="AI11" s="133">
        <f>AI10/AC10-1</f>
        <v>-0.17935375858027791</v>
      </c>
      <c r="AJ11" s="133">
        <f>AJ10/AD10-1</f>
        <v>-0.15979519941109965</v>
      </c>
      <c r="AK11" s="153">
        <f>AK10/AE10-1</f>
        <v>-0.1841713840812973</v>
      </c>
      <c r="AM11" s="151">
        <f>AM10/AG10-1</f>
        <v>-0.28238722624332324</v>
      </c>
      <c r="AN11" s="133">
        <f>AN10/AH10-1</f>
        <v>-0.1963549012160315</v>
      </c>
      <c r="AO11" s="133">
        <f>AO10/AI10-1</f>
        <v>3.5687873850751117E-2</v>
      </c>
      <c r="AP11" s="133">
        <f>AP10/AJ10-1</f>
        <v>-0.14528911187934457</v>
      </c>
      <c r="AQ11" s="153">
        <f>AQ10/AK10-1</f>
        <v>-0.14999721374139208</v>
      </c>
      <c r="AS11" s="151">
        <f>AS10/AM10-1</f>
        <v>5.6345939574758086E-2</v>
      </c>
      <c r="AT11" s="133">
        <f>AT10/AN10-1</f>
        <v>2.8904836134314493E-2</v>
      </c>
      <c r="AU11" s="133">
        <f>AU10/AO10-1</f>
        <v>-0.16877688851953543</v>
      </c>
      <c r="AV11" s="133">
        <f>AV10/AP10-1</f>
        <v>7.2906651535037836E-2</v>
      </c>
      <c r="AW11" s="153">
        <f>AW10/AQ10-1</f>
        <v>-1.421557236846982E-2</v>
      </c>
      <c r="AY11" s="151">
        <f>AY10/AS10-1</f>
        <v>1.5771452287898224E-2</v>
      </c>
      <c r="AZ11" s="133">
        <f>AZ10/AT10-1</f>
        <v>6.038332301706606E-2</v>
      </c>
      <c r="BA11" s="133">
        <f>BA10/AU10-1</f>
        <v>2.5142494891692513E-2</v>
      </c>
      <c r="BB11" s="133">
        <f>BB10/AV10-1</f>
        <v>-3.587049835538425E-2</v>
      </c>
      <c r="BC11" s="153">
        <f>BC10/AW10-1</f>
        <v>1.5685482970253295E-2</v>
      </c>
      <c r="BE11" s="151">
        <f>BE10/AY10-1</f>
        <v>-5.1166251384274664E-2</v>
      </c>
      <c r="BF11" s="133">
        <f>BF10/AZ10-1</f>
        <v>-9.9233600512092623E-2</v>
      </c>
      <c r="BG11" s="133">
        <f>BG10/BA10-1</f>
        <v>-8.0706682436428312E-2</v>
      </c>
      <c r="BH11" s="133">
        <f>BH10/BB10-1</f>
        <v>-7.3386502152618993E-2</v>
      </c>
      <c r="BI11" s="153">
        <f>BI10/BC10-1</f>
        <v>-7.6380473364134005E-2</v>
      </c>
      <c r="BK11" s="151">
        <f>BK10/BE10-1</f>
        <v>8.77443175713295E-2</v>
      </c>
      <c r="BL11" s="133">
        <f>BL10/BF10-1</f>
        <v>-0.12741250337223964</v>
      </c>
      <c r="BM11" s="133">
        <f>BM10/BG10-1</f>
        <v>-0.18543973526791391</v>
      </c>
      <c r="BN11" s="133">
        <f>BN10/BH10-1</f>
        <v>-0.22628116284678701</v>
      </c>
      <c r="BO11" s="153">
        <f>BO10/BI10-1</f>
        <v>-0.1191699873167481</v>
      </c>
      <c r="BQ11" s="151">
        <v>-0.22</v>
      </c>
      <c r="BR11" s="133">
        <v>-0.18</v>
      </c>
      <c r="BS11" s="133">
        <v>-0.16</v>
      </c>
      <c r="BT11" s="133">
        <v>-0.1</v>
      </c>
      <c r="BU11" s="153">
        <f>BU10/BO10-1</f>
        <v>-0.16468807550019393</v>
      </c>
      <c r="BW11" s="151">
        <v>-0.05</v>
      </c>
      <c r="BX11" s="133">
        <v>-5.5E-2</v>
      </c>
      <c r="BY11" s="133">
        <v>-5.5E-2</v>
      </c>
      <c r="BZ11" s="133">
        <v>-0.06</v>
      </c>
      <c r="CA11" s="153">
        <f>CA10/BU10-1</f>
        <v>-5.4564256760880614E-2</v>
      </c>
      <c r="CC11" s="151">
        <v>-5.5E-2</v>
      </c>
      <c r="CD11" s="133">
        <v>-5.5E-2</v>
      </c>
      <c r="CE11" s="133">
        <v>-5.5E-2</v>
      </c>
      <c r="CF11" s="133">
        <v>-5.5E-2</v>
      </c>
      <c r="CG11" s="153">
        <f>CG10/CA10-1</f>
        <v>-5.4915610258092551E-2</v>
      </c>
      <c r="CI11" s="151">
        <v>-5.5E-2</v>
      </c>
      <c r="CJ11" s="133">
        <v>-5.5E-2</v>
      </c>
      <c r="CK11" s="133">
        <v>-5.5E-2</v>
      </c>
      <c r="CL11" s="133">
        <v>-5.5E-2</v>
      </c>
      <c r="CM11" s="153">
        <f>CM10/CG10-1</f>
        <v>-5.4998632411316306E-2</v>
      </c>
      <c r="CO11" s="151">
        <v>-5.5E-2</v>
      </c>
      <c r="CP11" s="133">
        <v>-5.5E-2</v>
      </c>
      <c r="CQ11" s="133">
        <v>-5.5E-2</v>
      </c>
      <c r="CR11" s="133">
        <v>-5.5E-2</v>
      </c>
      <c r="CS11" s="153">
        <f>CS10/CM10-1</f>
        <v>-5.4998655118424611E-2</v>
      </c>
      <c r="CU11" s="151">
        <v>-5.5E-2</v>
      </c>
      <c r="CV11" s="133">
        <v>-5.5E-2</v>
      </c>
      <c r="CW11" s="133">
        <v>-5.5E-2</v>
      </c>
      <c r="CX11" s="133">
        <v>-5.5E-2</v>
      </c>
      <c r="CY11" s="153">
        <f>CY10/CS10-1</f>
        <v>-5.4998677264654239E-2</v>
      </c>
      <c r="DA11" s="151">
        <v>-5.5E-2</v>
      </c>
      <c r="DB11" s="133">
        <v>-5.5E-2</v>
      </c>
      <c r="DC11" s="133">
        <v>-5.5E-2</v>
      </c>
      <c r="DD11" s="133">
        <v>-5.5E-2</v>
      </c>
      <c r="DE11" s="153">
        <f>DE10/CY10-1</f>
        <v>-5.4998698868326645E-2</v>
      </c>
      <c r="DG11" s="151">
        <v>-5.5E-2</v>
      </c>
      <c r="DH11" s="133">
        <v>-5.5E-2</v>
      </c>
      <c r="DI11" s="133">
        <v>-5.5E-2</v>
      </c>
      <c r="DJ11" s="133">
        <v>-5.5E-2</v>
      </c>
      <c r="DK11" s="153">
        <f>DK10/DE10-1</f>
        <v>-5.4998719947020658E-2</v>
      </c>
    </row>
    <row r="12" spans="2:115" ht="15" x14ac:dyDescent="0.3">
      <c r="B12" s="5"/>
      <c r="C12" s="144"/>
      <c r="D12" s="107"/>
      <c r="E12" s="107"/>
      <c r="F12" s="145"/>
      <c r="G12" s="138"/>
      <c r="I12" s="144"/>
      <c r="J12" s="107"/>
      <c r="K12" s="107"/>
      <c r="L12" s="145"/>
      <c r="M12" s="138"/>
      <c r="O12" s="144"/>
      <c r="P12" s="107"/>
      <c r="Q12" s="107"/>
      <c r="R12" s="145"/>
      <c r="S12" s="138"/>
      <c r="U12" s="144"/>
      <c r="V12" s="107"/>
      <c r="W12" s="107"/>
      <c r="X12" s="145"/>
      <c r="Y12" s="138"/>
      <c r="AA12" s="144"/>
      <c r="AB12" s="107"/>
      <c r="AC12" s="107"/>
      <c r="AD12" s="145"/>
      <c r="AE12" s="138"/>
      <c r="AG12" s="144"/>
      <c r="AH12" s="107"/>
      <c r="AI12" s="107"/>
      <c r="AJ12" s="145"/>
      <c r="AK12" s="138"/>
      <c r="AM12" s="144"/>
      <c r="AN12" s="107"/>
      <c r="AO12" s="107"/>
      <c r="AP12" s="107"/>
      <c r="AQ12" s="138"/>
      <c r="AS12" s="144"/>
      <c r="AT12" s="107"/>
      <c r="AU12" s="107"/>
      <c r="AV12" s="107"/>
      <c r="AW12" s="138"/>
      <c r="AY12" s="144"/>
      <c r="AZ12" s="107"/>
      <c r="BA12" s="107"/>
      <c r="BB12" s="107"/>
      <c r="BC12" s="138"/>
      <c r="BE12" s="144"/>
      <c r="BF12" s="107"/>
      <c r="BG12" s="107"/>
      <c r="BH12" s="107"/>
      <c r="BI12" s="138"/>
      <c r="BK12" s="144"/>
      <c r="BL12" s="107"/>
      <c r="BM12" s="107"/>
      <c r="BN12" s="107"/>
      <c r="BO12" s="138"/>
      <c r="BQ12" s="144"/>
      <c r="BR12" s="107"/>
      <c r="BS12" s="107"/>
      <c r="BT12" s="145"/>
      <c r="BU12" s="138"/>
      <c r="BW12" s="144"/>
      <c r="BX12" s="107"/>
      <c r="BY12" s="107"/>
      <c r="BZ12" s="145"/>
      <c r="CA12" s="138"/>
      <c r="CC12" s="144"/>
      <c r="CD12" s="107"/>
      <c r="CE12" s="107"/>
      <c r="CF12" s="145"/>
      <c r="CG12" s="138"/>
      <c r="CI12" s="144"/>
      <c r="CJ12" s="107"/>
      <c r="CK12" s="107"/>
      <c r="CL12" s="145"/>
      <c r="CM12" s="138"/>
      <c r="CO12" s="144"/>
      <c r="CP12" s="107"/>
      <c r="CQ12" s="107"/>
      <c r="CR12" s="145"/>
      <c r="CS12" s="138"/>
      <c r="CU12" s="144"/>
      <c r="CV12" s="107"/>
      <c r="CW12" s="107"/>
      <c r="CX12" s="145"/>
      <c r="CY12" s="138"/>
      <c r="DA12" s="144"/>
      <c r="DB12" s="107"/>
      <c r="DC12" s="107"/>
      <c r="DD12" s="145"/>
      <c r="DE12" s="138"/>
      <c r="DG12" s="144"/>
      <c r="DH12" s="107"/>
      <c r="DI12" s="107"/>
      <c r="DJ12" s="145"/>
      <c r="DK12" s="138"/>
    </row>
    <row r="13" spans="2:115" ht="15" x14ac:dyDescent="0.3">
      <c r="B13" s="105" t="s">
        <v>47</v>
      </c>
      <c r="C13" s="161">
        <f>C15*C17</f>
        <v>5.2729862319987344</v>
      </c>
      <c r="D13" s="162">
        <f>D15*D17</f>
        <v>5.0113991835003446</v>
      </c>
      <c r="E13" s="162">
        <f>E15*E17</f>
        <v>5.5832679738562092</v>
      </c>
      <c r="F13" s="163">
        <f>F15*F17</f>
        <v>5.8215384615384611</v>
      </c>
      <c r="G13" s="164">
        <f>G17-G10</f>
        <v>5.4260036890231937</v>
      </c>
      <c r="H13" s="134"/>
      <c r="I13" s="161">
        <f>I15*I17</f>
        <v>6.1707317073170733</v>
      </c>
      <c r="J13" s="162">
        <f>J15*J17</f>
        <v>6.5806125031637563</v>
      </c>
      <c r="K13" s="162">
        <f>K15*K17</f>
        <v>6.1529181118986571</v>
      </c>
      <c r="L13" s="163">
        <f>L15*L17</f>
        <v>6.4093046275674341</v>
      </c>
      <c r="M13" s="164">
        <f>M17-M10</f>
        <v>6.3286937497642519</v>
      </c>
      <c r="N13" s="134"/>
      <c r="O13" s="161">
        <f>O15*O17</f>
        <v>6.7565982404692084</v>
      </c>
      <c r="P13" s="162">
        <f>P15*P17</f>
        <v>6.4662756598240474</v>
      </c>
      <c r="Q13" s="162">
        <f>Q15*Q17</f>
        <v>6.5488289880689354</v>
      </c>
      <c r="R13" s="163">
        <f>R15*R17</f>
        <v>6.8188692131323476</v>
      </c>
      <c r="S13" s="164">
        <f>S17-S10</f>
        <v>6.6478370381238818</v>
      </c>
      <c r="U13" s="161">
        <f>U15*U17</f>
        <v>6.8674585218702866</v>
      </c>
      <c r="V13" s="162">
        <f>V15*V17</f>
        <v>5.9495351925630811</v>
      </c>
      <c r="W13" s="162">
        <f>W15*W17</f>
        <v>6.6484914576517635</v>
      </c>
      <c r="X13" s="162">
        <f>X15*X17</f>
        <v>6.1770093374435948</v>
      </c>
      <c r="Y13" s="164">
        <f>Y17-Y10</f>
        <v>6.406385801198482</v>
      </c>
      <c r="Z13" s="260"/>
      <c r="AA13" s="161">
        <f>AA15*AA17</f>
        <v>6.3014058599395621</v>
      </c>
      <c r="AB13" s="162">
        <f>AB15*AB17</f>
        <v>6.1340941512125529</v>
      </c>
      <c r="AC13" s="162">
        <f>AC15*AC17</f>
        <v>6.9465779143198496</v>
      </c>
      <c r="AD13" s="162">
        <f>AD15*AD17</f>
        <v>6.6549912434325744</v>
      </c>
      <c r="AE13" s="164">
        <f>AE17-AE10</f>
        <v>6.5126788314914723</v>
      </c>
      <c r="AF13" s="260"/>
      <c r="AG13" s="161">
        <f>AG15*AG17</f>
        <v>6.6847090663058184</v>
      </c>
      <c r="AH13" s="162">
        <f>AH15*AH17</f>
        <v>6.5208486933726553</v>
      </c>
      <c r="AI13" s="162">
        <f>AI15*AI17</f>
        <v>6.7452424800491091</v>
      </c>
      <c r="AJ13" s="162">
        <f>AJ15*AJ17</f>
        <v>6.6063569682151586</v>
      </c>
      <c r="AK13" s="164">
        <f>AK17-AK10</f>
        <v>6.639257077401405</v>
      </c>
      <c r="AL13" s="260"/>
      <c r="AM13" s="161">
        <f>AM15*AM17</f>
        <v>6.6536490114718081</v>
      </c>
      <c r="AN13" s="162">
        <f>AN15*AN17</f>
        <v>6.4314590224182293</v>
      </c>
      <c r="AO13" s="162">
        <f>AO15*AO17</f>
        <v>6.7019834914377228</v>
      </c>
      <c r="AP13" s="162">
        <f>AP15*AP17</f>
        <v>6.3798401966810081</v>
      </c>
      <c r="AQ13" s="164">
        <f>AQ17-AQ10</f>
        <v>6.5417522769787499</v>
      </c>
      <c r="AR13" s="260"/>
      <c r="AS13" s="161">
        <f>AS15*AS17</f>
        <v>5.7393850658857977</v>
      </c>
      <c r="AT13" s="162">
        <f>AT15*AT17</f>
        <v>5.8567432810409823</v>
      </c>
      <c r="AU13" s="162">
        <f>AU15*AU17</f>
        <v>6.3038493038493035</v>
      </c>
      <c r="AV13" s="162">
        <f>AV15*AV17</f>
        <v>6.0581944789853273</v>
      </c>
      <c r="AW13" s="164">
        <f>AW17-AW10</f>
        <v>5.9885688578059959</v>
      </c>
      <c r="AX13" s="260"/>
      <c r="AY13" s="161">
        <f>AY15*AY17</f>
        <v>6.3256435974590435</v>
      </c>
      <c r="AZ13" s="162">
        <f>AZ15*AZ17</f>
        <v>6.2103929024081115</v>
      </c>
      <c r="BA13" s="162">
        <f>BA15*BA17</f>
        <v>6.4623438027693352</v>
      </c>
      <c r="BB13" s="162">
        <f>BB15*BB17</f>
        <v>6.3375578354455842</v>
      </c>
      <c r="BC13" s="164">
        <f>BC17-BC10</f>
        <v>6.3340302264382533</v>
      </c>
      <c r="BD13" s="260"/>
      <c r="BE13" s="161">
        <f>BE15*BE17</f>
        <v>6.25</v>
      </c>
      <c r="BF13" s="162">
        <f>BF15*BF17</f>
        <v>6.3206214689265545</v>
      </c>
      <c r="BG13" s="162">
        <f>BG15*BG17</f>
        <v>6.7083333333333339</v>
      </c>
      <c r="BH13" s="162">
        <f>BH15*BH17</f>
        <v>6.366782006920416</v>
      </c>
      <c r="BI13" s="164">
        <f>BI17-BI10</f>
        <v>6.4118479170876768</v>
      </c>
      <c r="BJ13" s="260"/>
      <c r="BK13" s="161">
        <f>BK15*BK17</f>
        <v>6.016976469324165</v>
      </c>
      <c r="BL13" s="162">
        <f>BL15*BL17</f>
        <v>5.9777938193943143</v>
      </c>
      <c r="BM13" s="162">
        <f>BM15*BM17</f>
        <v>6.4146620847651779</v>
      </c>
      <c r="BN13" s="162">
        <f>BN15*BN17</f>
        <v>6.1405117857470417</v>
      </c>
      <c r="BO13" s="164">
        <f>BO17-BO10</f>
        <v>6.1421231168312884</v>
      </c>
      <c r="BP13" s="260"/>
      <c r="BQ13" s="161">
        <f>BK13*(1+BQ14)</f>
        <v>5.8364671752444401</v>
      </c>
      <c r="BR13" s="162">
        <f>BL13*(1+BR14)</f>
        <v>5.8582379430064275</v>
      </c>
      <c r="BS13" s="162">
        <f>BM13*(1+BS14)</f>
        <v>6.4146620847651779</v>
      </c>
      <c r="BT13" s="163">
        <f>BN13*(1+BT14)</f>
        <v>6.2940245803907171</v>
      </c>
      <c r="BU13" s="164">
        <f>BU17-BU10</f>
        <v>6.102000327963145</v>
      </c>
      <c r="BV13" s="260"/>
      <c r="BW13" s="161">
        <f>BQ13*(1+BW14)</f>
        <v>6.1282905340066627</v>
      </c>
      <c r="BX13" s="162">
        <f>BR13*(1+BX14)</f>
        <v>6.1804410298717807</v>
      </c>
      <c r="BY13" s="162">
        <f>BS13*(1+BY14)</f>
        <v>6.7674684994272623</v>
      </c>
      <c r="BZ13" s="163">
        <f>BT13*(1+BZ14)</f>
        <v>6.6716660552141605</v>
      </c>
      <c r="CA13" s="164">
        <f>CA17-CA10</f>
        <v>6.4377511897264332</v>
      </c>
      <c r="CB13" s="260"/>
      <c r="CC13" s="161">
        <f>BW13*(1+CC14)</f>
        <v>6.4959879660470632</v>
      </c>
      <c r="CD13" s="162">
        <f>BX13*(1+CD14)</f>
        <v>6.5512674916640883</v>
      </c>
      <c r="CE13" s="162">
        <f>BY13*(1+CE14)</f>
        <v>7.1735166093928981</v>
      </c>
      <c r="CF13" s="163">
        <f>BZ13*(1+CF14)</f>
        <v>7.0719660185270108</v>
      </c>
      <c r="CG13" s="164">
        <f>CG17-CG10</f>
        <v>6.8237329882064595</v>
      </c>
      <c r="CH13" s="260"/>
      <c r="CI13" s="161">
        <f>CC13*(1+CI14)</f>
        <v>6.8207873643494166</v>
      </c>
      <c r="CJ13" s="162">
        <f>CD13*(1+CJ14)</f>
        <v>6.8788308662472932</v>
      </c>
      <c r="CK13" s="162">
        <f>CE13*(1+CK14)</f>
        <v>7.5321924398625431</v>
      </c>
      <c r="CL13" s="163">
        <f>CF13*(1+CL14)</f>
        <v>7.425564319453362</v>
      </c>
      <c r="CM13" s="164">
        <f>CM17-CM10</f>
        <v>7.1649148170405574</v>
      </c>
      <c r="CN13" s="260"/>
      <c r="CO13" s="161">
        <f>CI13*(1+CO14)</f>
        <v>7.0936188589233931</v>
      </c>
      <c r="CP13" s="162">
        <f>CJ13*(1+CP14)</f>
        <v>7.1539841008971852</v>
      </c>
      <c r="CQ13" s="162">
        <f>CK13*(1+CQ14)</f>
        <v>7.8334801374570446</v>
      </c>
      <c r="CR13" s="163">
        <f>CL13*(1+CR14)</f>
        <v>7.7225868922314964</v>
      </c>
      <c r="CS13" s="164">
        <f>CS17-CS10</f>
        <v>7.4515064795570289</v>
      </c>
      <c r="CT13" s="260"/>
      <c r="CU13" s="161">
        <f>CO13*(1+CU14)</f>
        <v>7.3773636132803286</v>
      </c>
      <c r="CV13" s="162">
        <f>CP13*(1+CV14)</f>
        <v>7.4401434649330724</v>
      </c>
      <c r="CW13" s="162">
        <f>CQ13*(1+CW14)</f>
        <v>8.1468193429553271</v>
      </c>
      <c r="CX13" s="163">
        <f>CR13*(1+CX14)</f>
        <v>8.0314903679207568</v>
      </c>
      <c r="CY13" s="164">
        <f>CY17-CY10</f>
        <v>7.7495616957930542</v>
      </c>
      <c r="CZ13" s="260"/>
      <c r="DA13" s="161">
        <f>CU13*(1+DA14)</f>
        <v>7.6724581578115423</v>
      </c>
      <c r="DB13" s="162">
        <f>CV13*(1+DB14)</f>
        <v>7.7377492035303952</v>
      </c>
      <c r="DC13" s="162">
        <f>CW13*(1+DC14)</f>
        <v>8.4726921166735405</v>
      </c>
      <c r="DD13" s="163">
        <f>CX13*(1+DD14)</f>
        <v>8.3527499826375866</v>
      </c>
      <c r="DE13" s="164">
        <f>DE17-DE10</f>
        <v>8.0595390046123114</v>
      </c>
      <c r="DF13" s="260"/>
      <c r="DG13" s="161">
        <f>DA13*(1+DG14)</f>
        <v>7.9026319025458891</v>
      </c>
      <c r="DH13" s="162">
        <f>DB13*(1+DH14)</f>
        <v>7.9698816796363072</v>
      </c>
      <c r="DI13" s="162">
        <f>DC13*(1+DI14)</f>
        <v>8.7268728801737474</v>
      </c>
      <c r="DJ13" s="163">
        <f>DD13*(1+DJ14)</f>
        <v>8.6033324821167145</v>
      </c>
      <c r="DK13" s="164">
        <f>DK17-DK10</f>
        <v>8.3013199470453998</v>
      </c>
    </row>
    <row r="14" spans="2:115" ht="15" x14ac:dyDescent="0.3">
      <c r="B14" s="5" t="s">
        <v>23</v>
      </c>
      <c r="C14" s="144" t="s">
        <v>35</v>
      </c>
      <c r="D14" s="107" t="s">
        <v>35</v>
      </c>
      <c r="E14" s="107" t="s">
        <v>35</v>
      </c>
      <c r="F14" s="145" t="s">
        <v>35</v>
      </c>
      <c r="G14" s="138" t="s">
        <v>35</v>
      </c>
      <c r="H14" s="107"/>
      <c r="I14" s="151">
        <f>I13/C13-1</f>
        <v>0.17025371124059374</v>
      </c>
      <c r="J14" s="133">
        <f>J13/D13-1</f>
        <v>0.31312878144489642</v>
      </c>
      <c r="K14" s="133">
        <f>K13/E13-1</f>
        <v>0.10202808475427805</v>
      </c>
      <c r="L14" s="152">
        <f>L13/F13-1</f>
        <v>0.10096406128933211</v>
      </c>
      <c r="M14" s="153">
        <f>M13/G13-1</f>
        <v>0.16636370199437955</v>
      </c>
      <c r="N14" s="107"/>
      <c r="O14" s="151">
        <f>O13/I13-1</f>
        <v>9.494279786259896E-2</v>
      </c>
      <c r="P14" s="133">
        <f>P13/J13-1</f>
        <v>-1.7374802616738072E-2</v>
      </c>
      <c r="Q14" s="133">
        <f>Q13/K13-1</f>
        <v>6.4345221075615688E-2</v>
      </c>
      <c r="R14" s="152">
        <f>R13/L13-1</f>
        <v>6.3901563330803768E-2</v>
      </c>
      <c r="S14" s="153">
        <f>S13/M13-1</f>
        <v>5.042798735071008E-2</v>
      </c>
      <c r="T14" s="107"/>
      <c r="U14" s="151">
        <f>U13/O13-1</f>
        <v>1.6407706578892123E-2</v>
      </c>
      <c r="V14" s="133">
        <f>V13/P13-1</f>
        <v>-7.9913151626299084E-2</v>
      </c>
      <c r="W14" s="133">
        <f>W13/Q13-1</f>
        <v>1.5218364957215957E-2</v>
      </c>
      <c r="X14" s="133">
        <f>X13/R13-1</f>
        <v>-9.4129958447157991E-2</v>
      </c>
      <c r="Y14" s="153">
        <f>Y13/S13-1</f>
        <v>-3.6320270118044395E-2</v>
      </c>
      <c r="AA14" s="151">
        <f>AA13/U13-1</f>
        <v>-8.2425348493632478E-2</v>
      </c>
      <c r="AB14" s="133">
        <f>AB13/V13-1</f>
        <v>3.1020735683717104E-2</v>
      </c>
      <c r="AC14" s="133">
        <f>AC13/W13-1</f>
        <v>4.4835201875008446E-2</v>
      </c>
      <c r="AD14" s="133">
        <f>AD13/X13-1</f>
        <v>7.7380797061705087E-2</v>
      </c>
      <c r="AE14" s="153">
        <f>AE13/Y13-1</f>
        <v>1.6591731062014059E-2</v>
      </c>
      <c r="AG14" s="151">
        <f>AG13/AA13-1</f>
        <v>6.0828204830141175E-2</v>
      </c>
      <c r="AH14" s="133">
        <f>AH13/AB13-1</f>
        <v>6.3049984663774872E-2</v>
      </c>
      <c r="AI14" s="133">
        <f>AI13/AC13-1</f>
        <v>-2.8983398265166271E-2</v>
      </c>
      <c r="AJ14" s="133">
        <f>AJ13/AD13-1</f>
        <v>-7.3079397760906772E-3</v>
      </c>
      <c r="AK14" s="153">
        <f>AK13/AE13-1</f>
        <v>1.9435665289968762E-2</v>
      </c>
      <c r="AM14" s="151">
        <f>AM13/AG13-1</f>
        <v>-4.646433304116071E-3</v>
      </c>
      <c r="AN14" s="133">
        <f>AN13/AH13-1</f>
        <v>-1.3708287856038615E-2</v>
      </c>
      <c r="AO14" s="133">
        <f>AO13/AI13-1</f>
        <v>-6.4132592326127114E-3</v>
      </c>
      <c r="AP14" s="133">
        <f>AP13/AJ13-1</f>
        <v>-3.4287697837700803E-2</v>
      </c>
      <c r="AQ14" s="153">
        <f>AQ13/AK13-1</f>
        <v>-1.4686101063105417E-2</v>
      </c>
      <c r="AS14" s="151">
        <f>AS13/AM13-1</f>
        <v>-0.13740790113961432</v>
      </c>
      <c r="AT14" s="133">
        <f>AT13/AN13-1</f>
        <v>-8.936008755928504E-2</v>
      </c>
      <c r="AU14" s="133">
        <f>AU13/AO13-1</f>
        <v>-5.9405426482632362E-2</v>
      </c>
      <c r="AV14" s="133">
        <f>AV13/AP13-1</f>
        <v>-5.0415952089679417E-2</v>
      </c>
      <c r="AW14" s="153">
        <f>AW13/AQ13-1</f>
        <v>-8.4561963790569683E-2</v>
      </c>
      <c r="AY14" s="151">
        <f>AY13/AS13-1</f>
        <v>0.102146575781767</v>
      </c>
      <c r="AZ14" s="133">
        <f>AZ13/AT13-1</f>
        <v>6.038332301706606E-2</v>
      </c>
      <c r="BA14" s="133">
        <f>BA13/AU13-1</f>
        <v>2.5142494891692735E-2</v>
      </c>
      <c r="BB14" s="133">
        <f>BB13/AV13-1</f>
        <v>4.6113302804872358E-2</v>
      </c>
      <c r="BC14" s="153">
        <f>BC13/AW13-1</f>
        <v>5.7686799105925779E-2</v>
      </c>
      <c r="BE14" s="151">
        <f>BE13/AY13-1</f>
        <v>-1.195824524312894E-2</v>
      </c>
      <c r="BF14" s="133">
        <f>BF13/AZ13-1</f>
        <v>1.7749048772051301E-2</v>
      </c>
      <c r="BG14" s="133">
        <f>BG13/BA13-1</f>
        <v>3.8065064018813599E-2</v>
      </c>
      <c r="BH14" s="133">
        <f>BH13/BB13-1</f>
        <v>4.611267026453536E-3</v>
      </c>
      <c r="BI14" s="153">
        <f>BI13/BC13-1</f>
        <v>1.2285651925785235E-2</v>
      </c>
      <c r="BK14" s="151">
        <f>BK13/BE13-1</f>
        <v>-3.7283764908133565E-2</v>
      </c>
      <c r="BL14" s="133">
        <f>BL13/BF13-1</f>
        <v>-5.4239547680184574E-2</v>
      </c>
      <c r="BM14" s="133">
        <f>BM13/BG13-1</f>
        <v>-4.3777080531898993E-2</v>
      </c>
      <c r="BN14" s="133">
        <f>BN13/BH13-1</f>
        <v>-3.5539181477774573E-2</v>
      </c>
      <c r="BO14" s="153">
        <f>BO13/BI13-1</f>
        <v>-4.206662474597489E-2</v>
      </c>
      <c r="BQ14" s="151">
        <v>-0.03</v>
      </c>
      <c r="BR14" s="133">
        <v>-0.02</v>
      </c>
      <c r="BS14" s="133">
        <v>0</v>
      </c>
      <c r="BT14" s="133">
        <v>2.5000000000000001E-2</v>
      </c>
      <c r="BU14" s="153">
        <f>BU13/BO13-1</f>
        <v>-6.5323973656917778E-3</v>
      </c>
      <c r="BW14" s="151">
        <v>0.05</v>
      </c>
      <c r="BX14" s="133">
        <v>5.5E-2</v>
      </c>
      <c r="BY14" s="133">
        <v>5.5E-2</v>
      </c>
      <c r="BZ14" s="133">
        <v>0.06</v>
      </c>
      <c r="CA14" s="153">
        <f>CA13/BU13-1</f>
        <v>5.5023081566329957E-2</v>
      </c>
      <c r="CC14" s="151">
        <v>0.06</v>
      </c>
      <c r="CD14" s="133">
        <v>0.06</v>
      </c>
      <c r="CE14" s="133">
        <v>0.06</v>
      </c>
      <c r="CF14" s="133">
        <v>0.06</v>
      </c>
      <c r="CG14" s="153">
        <f>CG13/CA13-1</f>
        <v>5.9955998159106905E-2</v>
      </c>
      <c r="CI14" s="151">
        <v>0.05</v>
      </c>
      <c r="CJ14" s="133">
        <v>0.05</v>
      </c>
      <c r="CK14" s="133">
        <v>0.05</v>
      </c>
      <c r="CL14" s="133">
        <v>0.05</v>
      </c>
      <c r="CM14" s="153">
        <f>CM13/CG13-1</f>
        <v>4.9999293557319247E-2</v>
      </c>
      <c r="CO14" s="151">
        <v>0.04</v>
      </c>
      <c r="CP14" s="133">
        <v>0.04</v>
      </c>
      <c r="CQ14" s="133">
        <v>0.04</v>
      </c>
      <c r="CR14" s="133">
        <v>0.04</v>
      </c>
      <c r="CS14" s="153">
        <f>CS13/CM13-1</f>
        <v>3.9999311901777412E-2</v>
      </c>
      <c r="CU14" s="151">
        <v>0.04</v>
      </c>
      <c r="CV14" s="133">
        <v>0.04</v>
      </c>
      <c r="CW14" s="133">
        <v>0.04</v>
      </c>
      <c r="CX14" s="133">
        <v>0.04</v>
      </c>
      <c r="CY14" s="153">
        <f>CY13/CS13-1</f>
        <v>3.9999323231313166E-2</v>
      </c>
      <c r="DA14" s="151">
        <v>0.04</v>
      </c>
      <c r="DB14" s="133">
        <v>0.04</v>
      </c>
      <c r="DC14" s="133">
        <v>0.04</v>
      </c>
      <c r="DD14" s="133">
        <v>0.04</v>
      </c>
      <c r="DE14" s="153">
        <f>DE13/CY13-1</f>
        <v>3.9999334283322474E-2</v>
      </c>
      <c r="DG14" s="151">
        <v>0.03</v>
      </c>
      <c r="DH14" s="133">
        <v>0.03</v>
      </c>
      <c r="DI14" s="133">
        <v>0.03</v>
      </c>
      <c r="DJ14" s="133">
        <v>0.03</v>
      </c>
      <c r="DK14" s="153">
        <f>DK13/DE13-1</f>
        <v>2.9999351364230931E-2</v>
      </c>
    </row>
    <row r="15" spans="2:115" ht="15.75" thickBot="1" x14ac:dyDescent="0.35">
      <c r="B15" s="140" t="s">
        <v>48</v>
      </c>
      <c r="C15" s="146">
        <v>0.17</v>
      </c>
      <c r="D15" s="147">
        <v>0.17</v>
      </c>
      <c r="E15" s="147">
        <v>0.19</v>
      </c>
      <c r="F15" s="148">
        <v>0.22</v>
      </c>
      <c r="G15" s="150">
        <f>G13/G17</f>
        <v>0.18666966696669668</v>
      </c>
      <c r="I15" s="146">
        <v>0.23</v>
      </c>
      <c r="J15" s="147">
        <v>0.25</v>
      </c>
      <c r="K15" s="147">
        <v>0.24</v>
      </c>
      <c r="L15" s="148">
        <v>0.25</v>
      </c>
      <c r="M15" s="150">
        <f>M13/M17</f>
        <v>0.24245664739884404</v>
      </c>
      <c r="O15" s="146">
        <v>0.27</v>
      </c>
      <c r="P15" s="147">
        <v>0.27</v>
      </c>
      <c r="Q15" s="147">
        <v>0.27</v>
      </c>
      <c r="R15" s="148">
        <v>0.28999999999999998</v>
      </c>
      <c r="S15" s="150">
        <f>S13/S17</f>
        <v>0.27487360970677444</v>
      </c>
      <c r="U15" s="168">
        <v>0.31</v>
      </c>
      <c r="V15" s="169">
        <v>0.28000000000000003</v>
      </c>
      <c r="W15" s="169">
        <v>0.31</v>
      </c>
      <c r="X15" s="170">
        <v>0.31</v>
      </c>
      <c r="Y15" s="150">
        <f>Y13/Y17</f>
        <v>0.30248380129589636</v>
      </c>
      <c r="AA15" s="168">
        <v>0.33</v>
      </c>
      <c r="AB15" s="169">
        <v>0.33</v>
      </c>
      <c r="AC15" s="169">
        <v>0.37</v>
      </c>
      <c r="AD15" s="170">
        <v>0.38</v>
      </c>
      <c r="AE15" s="150">
        <f>AE13/AE17</f>
        <v>0.35236384704519103</v>
      </c>
      <c r="AG15" s="168">
        <v>0.39</v>
      </c>
      <c r="AH15" s="169">
        <v>0.4</v>
      </c>
      <c r="AI15" s="169">
        <v>0.41</v>
      </c>
      <c r="AJ15" s="170">
        <v>0.42</v>
      </c>
      <c r="AK15" s="150">
        <f>AK13/AK17</f>
        <v>0.40471321695760587</v>
      </c>
      <c r="AM15" s="168">
        <v>0.47</v>
      </c>
      <c r="AN15" s="169">
        <v>0.45</v>
      </c>
      <c r="AO15" s="169">
        <v>0.4</v>
      </c>
      <c r="AP15" s="170">
        <v>0.45</v>
      </c>
      <c r="AQ15" s="150">
        <f>AQ13/AQ17</f>
        <v>0.44074380165289267</v>
      </c>
      <c r="AS15" s="168">
        <v>0.42</v>
      </c>
      <c r="AT15" s="169">
        <v>0.42</v>
      </c>
      <c r="AU15" s="169">
        <v>0.43</v>
      </c>
      <c r="AV15" s="170">
        <v>0.42</v>
      </c>
      <c r="AW15" s="150">
        <f>AW13/AW17</f>
        <v>0.42258297258297245</v>
      </c>
      <c r="AY15" s="168">
        <v>0.44</v>
      </c>
      <c r="AZ15" s="169">
        <v>0.42</v>
      </c>
      <c r="BA15" s="169">
        <v>0.43</v>
      </c>
      <c r="BB15" s="170">
        <v>0.44</v>
      </c>
      <c r="BC15" s="150">
        <f>BC13/BC17</f>
        <v>0.43250000000000005</v>
      </c>
      <c r="BE15" s="168">
        <v>0.45</v>
      </c>
      <c r="BF15" s="169">
        <v>0.45</v>
      </c>
      <c r="BG15" s="169">
        <v>0.46</v>
      </c>
      <c r="BH15" s="170">
        <v>0.46</v>
      </c>
      <c r="BI15" s="150">
        <f>BI13/BI17</f>
        <v>0.45512295081967225</v>
      </c>
      <c r="BK15" s="168">
        <v>0.42</v>
      </c>
      <c r="BL15" s="169">
        <v>0.47</v>
      </c>
      <c r="BM15" s="169">
        <v>0.5</v>
      </c>
      <c r="BN15" s="170">
        <v>0.51500000000000001</v>
      </c>
      <c r="BO15" s="150">
        <f>BO13/BO17</f>
        <v>0.47599871134020622</v>
      </c>
      <c r="BQ15" s="168">
        <f>BQ13/BQ17</f>
        <v>0.47383112351709694</v>
      </c>
      <c r="BR15" s="169">
        <f>BR13/BR17</f>
        <v>0.51452189454870412</v>
      </c>
      <c r="BS15" s="169">
        <f>BS13/BS17</f>
        <v>0.54347826086956519</v>
      </c>
      <c r="BT15" s="170">
        <f>BT13/BT17</f>
        <v>0.54737524303305252</v>
      </c>
      <c r="BU15" s="150">
        <f>BU13/BU17</f>
        <v>0.51931968613997648</v>
      </c>
      <c r="BW15" s="168">
        <f>BW13/BW17</f>
        <v>0.49882805667308033</v>
      </c>
      <c r="BX15" s="169">
        <f>BX13/BX17</f>
        <v>0.54195487547817933</v>
      </c>
      <c r="BY15" s="169">
        <f>BY13/BY17</f>
        <v>0.57064041540458665</v>
      </c>
      <c r="BZ15" s="170">
        <f>BZ13/BZ17</f>
        <v>0.5769378491170094</v>
      </c>
      <c r="CA15" s="150">
        <f>CA13/CA17</f>
        <v>0.54661157392705673</v>
      </c>
      <c r="CC15" s="168">
        <f>CC13/CC17</f>
        <v>0.52751005929302774</v>
      </c>
      <c r="CD15" s="169">
        <f>CD13/CD17</f>
        <v>0.57029486608105584</v>
      </c>
      <c r="CE15" s="169">
        <f>CE13/CE17</f>
        <v>0.59852037072618292</v>
      </c>
      <c r="CF15" s="170">
        <f>CF13/CF17</f>
        <v>0.60469216250623303</v>
      </c>
      <c r="CG15" s="150">
        <f>CG13/CG17</f>
        <v>0.57485747800184872</v>
      </c>
      <c r="CI15" s="168">
        <f>CI13/CI17</f>
        <v>0.55367043016501505</v>
      </c>
      <c r="CJ15" s="169">
        <f>CJ13/CJ17</f>
        <v>0.59590103968717745</v>
      </c>
      <c r="CK15" s="169">
        <f>CK13/CK17</f>
        <v>0.62355482679556107</v>
      </c>
      <c r="CL15" s="170">
        <f>CL13/CL17</f>
        <v>0.62957995141870915</v>
      </c>
      <c r="CM15" s="150">
        <f>CM13/CM17</f>
        <v>0.60038177310998508</v>
      </c>
      <c r="CO15" s="168">
        <f>CO13/CO17</f>
        <v>0.57720329090643085</v>
      </c>
      <c r="CP15" s="169">
        <f>CP13/CP17</f>
        <v>0.61874053852419397</v>
      </c>
      <c r="CQ15" s="169">
        <f>CQ13/CQ17</f>
        <v>0.6457604751833026</v>
      </c>
      <c r="CR15" s="170">
        <f>CR13/CR17</f>
        <v>0.65162875301797751</v>
      </c>
      <c r="CS15" s="150">
        <f>CS13/CS17</f>
        <v>0.62312769817775449</v>
      </c>
      <c r="CU15" s="168">
        <f>CU13/CU17</f>
        <v>0.60039089972816706</v>
      </c>
      <c r="CV15" s="169">
        <f>CV13/CV17</f>
        <v>0.64106670281167943</v>
      </c>
      <c r="CW15" s="169">
        <f>CW13/CW17</f>
        <v>0.66735502822943993</v>
      </c>
      <c r="CX15" s="170">
        <f>CX13/CX17</f>
        <v>0.67304669638846615</v>
      </c>
      <c r="CY15" s="150">
        <f>CY13/CY17</f>
        <v>0.64534374239841896</v>
      </c>
      <c r="DA15" s="168">
        <f>DA13/DA17</f>
        <v>0.62313712098286378</v>
      </c>
      <c r="DB15" s="169">
        <f>DB13/DB17</f>
        <v>0.6627979768541713</v>
      </c>
      <c r="DC15" s="169">
        <f>DC13/DC17</f>
        <v>0.68826864840871438</v>
      </c>
      <c r="DD15" s="170">
        <f>DD13/DD17</f>
        <v>0.6937666812888359</v>
      </c>
      <c r="DE15" s="150">
        <f>DE13/DE17</f>
        <v>0.66695014944668185</v>
      </c>
      <c r="DG15" s="168">
        <f>DG13/DG17</f>
        <v>0.64313895781416841</v>
      </c>
      <c r="DH15" s="169">
        <f>DH13/DH17</f>
        <v>0.68176982537562503</v>
      </c>
      <c r="DI15" s="169">
        <f>DI13/DI17</f>
        <v>0.70644215746527339</v>
      </c>
      <c r="DJ15" s="170">
        <f>DJ13/DJ17</f>
        <v>0.71175389923725141</v>
      </c>
      <c r="DK15" s="150">
        <f>DK13/DK17</f>
        <v>0.68579870276509569</v>
      </c>
    </row>
    <row r="16" spans="2:115" ht="15.75" thickBot="1" x14ac:dyDescent="0.35">
      <c r="B16" s="1"/>
      <c r="AA16" s="103"/>
      <c r="AB16" s="103"/>
      <c r="AC16" s="103"/>
      <c r="AD16" s="103"/>
      <c r="AE16" s="103"/>
      <c r="AG16" s="103"/>
      <c r="AH16" s="103"/>
      <c r="AI16" s="103"/>
      <c r="AJ16" s="103"/>
      <c r="AK16" s="103"/>
      <c r="AM16" s="103"/>
      <c r="AN16" s="103"/>
      <c r="AO16" s="103"/>
      <c r="AP16" s="103"/>
      <c r="AQ16" s="103"/>
      <c r="AS16" s="103"/>
      <c r="AT16" s="103"/>
      <c r="AU16" s="103"/>
      <c r="AV16" s="103"/>
      <c r="AW16" s="103"/>
      <c r="AY16" s="103"/>
      <c r="AZ16" s="103"/>
      <c r="BA16" s="103"/>
      <c r="BB16" s="103"/>
      <c r="BC16" s="103"/>
      <c r="BE16" s="103"/>
      <c r="BF16" s="103"/>
      <c r="BG16" s="103"/>
      <c r="BH16" s="103"/>
      <c r="BI16" s="103"/>
      <c r="BK16" s="103"/>
      <c r="BL16" s="103"/>
      <c r="BM16" s="103"/>
      <c r="BN16" s="103"/>
      <c r="BO16" s="103"/>
      <c r="BQ16" s="103"/>
      <c r="BR16" s="103"/>
      <c r="BS16" s="103"/>
      <c r="BT16" s="103"/>
      <c r="BU16" s="103"/>
      <c r="BW16" s="103"/>
      <c r="BX16" s="103"/>
      <c r="BY16" s="103"/>
      <c r="BZ16" s="103"/>
      <c r="CA16" s="103"/>
      <c r="CC16" s="103"/>
      <c r="CD16" s="103"/>
      <c r="CE16" s="103"/>
      <c r="CF16" s="103"/>
      <c r="CG16" s="103"/>
      <c r="CI16" s="103"/>
      <c r="CJ16" s="103"/>
      <c r="CK16" s="103"/>
      <c r="CL16" s="103"/>
      <c r="CM16" s="103"/>
      <c r="CO16" s="103"/>
      <c r="CP16" s="103"/>
      <c r="CQ16" s="103"/>
      <c r="CR16" s="103"/>
      <c r="CS16" s="103"/>
      <c r="CU16" s="103"/>
      <c r="CV16" s="103"/>
      <c r="CW16" s="103"/>
      <c r="CX16" s="103"/>
      <c r="CY16" s="103"/>
      <c r="DA16" s="103"/>
      <c r="DB16" s="103"/>
      <c r="DC16" s="103"/>
      <c r="DD16" s="103"/>
      <c r="DE16" s="103"/>
      <c r="DG16" s="103"/>
      <c r="DH16" s="103"/>
      <c r="DI16" s="103"/>
      <c r="DJ16" s="103"/>
      <c r="DK16" s="103"/>
    </row>
    <row r="17" spans="2:115" s="135" customFormat="1" ht="15" x14ac:dyDescent="0.3">
      <c r="B17" s="42" t="s">
        <v>60</v>
      </c>
      <c r="C17" s="141">
        <f>C20*1000/(C7*3)</f>
        <v>31.017566070580788</v>
      </c>
      <c r="D17" s="142">
        <f>D20*1000/(D7*3)</f>
        <v>29.478818726472614</v>
      </c>
      <c r="E17" s="142">
        <f>E20*1000/(E7*3)</f>
        <v>29.385620915032678</v>
      </c>
      <c r="F17" s="143">
        <f>F20*1000/(F7*3)</f>
        <v>26.46153846153846</v>
      </c>
      <c r="G17" s="149">
        <f>G20*1000/(G7*12)</f>
        <v>29.067409703962429</v>
      </c>
      <c r="H17" s="134"/>
      <c r="I17" s="141">
        <f>I20*1000/(I7*3)</f>
        <v>26.829268292682926</v>
      </c>
      <c r="J17" s="142">
        <f>J20*1000/(J7*3)</f>
        <v>26.322450012655025</v>
      </c>
      <c r="K17" s="142">
        <f>K20*1000/(K7*3)</f>
        <v>25.63715879957774</v>
      </c>
      <c r="L17" s="143">
        <f>L20*1000/(L7*3)</f>
        <v>25.637218510269737</v>
      </c>
      <c r="M17" s="149">
        <f>M20*1000/(M7*12)</f>
        <v>26.10237260005281</v>
      </c>
      <c r="N17" s="134"/>
      <c r="O17" s="141">
        <f>O20*1000/(O7*3)</f>
        <v>25.024437927663733</v>
      </c>
      <c r="P17" s="142">
        <f>P20*1000/(P7*3)</f>
        <v>23.949169110459433</v>
      </c>
      <c r="Q17" s="142">
        <f>Q20*1000/(Q7*3)</f>
        <v>24.254922178033091</v>
      </c>
      <c r="R17" s="143">
        <f>R20*1000/(R7*3)</f>
        <v>23.513342114249475</v>
      </c>
      <c r="S17" s="149">
        <f>S20*1000/(S7*12)</f>
        <v>24.185068349106203</v>
      </c>
      <c r="T17" s="134"/>
      <c r="U17" s="141">
        <f>U20*1000/(U7*3)</f>
        <v>22.153092006033184</v>
      </c>
      <c r="V17" s="142">
        <f>V20*1000/(V7*3)</f>
        <v>21.248339973439574</v>
      </c>
      <c r="W17" s="142">
        <f>W20*1000/(W7*3)</f>
        <v>21.446746637586333</v>
      </c>
      <c r="X17" s="142">
        <f>X20*1000/(X7*3)</f>
        <v>19.925836572398694</v>
      </c>
      <c r="Y17" s="149">
        <f>Y20*1000/(Y7*12)</f>
        <v>21.179269017885733</v>
      </c>
      <c r="AA17" s="141">
        <f>AA20*1000/(AA7*3)</f>
        <v>19.095169272544126</v>
      </c>
      <c r="AB17" s="142">
        <f>AB20*1000/(AB7*3)</f>
        <v>18.588164094583494</v>
      </c>
      <c r="AC17" s="142">
        <f>AC20*1000/(AC7*3)</f>
        <v>18.774534903567162</v>
      </c>
      <c r="AD17" s="142">
        <f>AD20*1000/(AD7*3)</f>
        <v>17.513134851138354</v>
      </c>
      <c r="AE17" s="149">
        <f>AE20*1000/(AE7*12)</f>
        <v>18.482823610040263</v>
      </c>
      <c r="AG17" s="141">
        <f>AG20*1000/(AG7*3)</f>
        <v>17.140279657194405</v>
      </c>
      <c r="AH17" s="142">
        <f>AH20*1000/(AH7*3)</f>
        <v>16.302121733431637</v>
      </c>
      <c r="AI17" s="142">
        <f>AI20*1000/(AI7*3)</f>
        <v>16.451810926949047</v>
      </c>
      <c r="AJ17" s="142">
        <f>AJ20*1000/(AJ7*3)</f>
        <v>15.729421352893235</v>
      </c>
      <c r="AK17" s="149">
        <f>AK20*1000/(AK7*12)</f>
        <v>16.404843724431352</v>
      </c>
      <c r="AM17" s="141">
        <f>AM20*1000/(AM7*3)</f>
        <v>14.156700024408103</v>
      </c>
      <c r="AN17" s="142">
        <f>AN20*1000/(AN7*3)</f>
        <v>14.292131160929397</v>
      </c>
      <c r="AO17" s="142">
        <f>AO20*1000/(AO7*3)</f>
        <v>16.754958728594307</v>
      </c>
      <c r="AP17" s="142">
        <f>AP20*1000/(AP7*3)</f>
        <v>14.177422659291128</v>
      </c>
      <c r="AQ17" s="149">
        <f>AQ20*1000/(AQ7*12)</f>
        <v>14.842528136404061</v>
      </c>
      <c r="AS17" s="141">
        <f>AS20*1000/(AS7*3)</f>
        <v>13.665202537823328</v>
      </c>
      <c r="AT17" s="142">
        <f>AT20*1000/(AT7*3)</f>
        <v>13.944626859621387</v>
      </c>
      <c r="AU17" s="142">
        <f>AU20*1000/(AU7*3)</f>
        <v>14.66011466011466</v>
      </c>
      <c r="AV17" s="142">
        <f>AV20*1000/(AV7*3)</f>
        <v>14.424272569012684</v>
      </c>
      <c r="AW17" s="149">
        <f>AW20*1000/(AW7*12)</f>
        <v>14.1713444372872</v>
      </c>
      <c r="AY17" s="141">
        <f>AY20*1000/(AY7*3)</f>
        <v>14.376462721497827</v>
      </c>
      <c r="AZ17" s="142">
        <f>AZ20*1000/(AZ7*3)</f>
        <v>14.786649767638361</v>
      </c>
      <c r="BA17" s="142">
        <f>BA20*1000/(BA7*3)</f>
        <v>15.028706518068221</v>
      </c>
      <c r="BB17" s="142">
        <f>BB20*1000/(BB7*3)</f>
        <v>14.4035405351036</v>
      </c>
      <c r="BC17" s="149">
        <f>BC20*1000/(BC7*12)</f>
        <v>14.645156592920815</v>
      </c>
      <c r="BE17" s="141">
        <f>BE20*1000/(BE7*3)</f>
        <v>13.888888888888889</v>
      </c>
      <c r="BF17" s="142">
        <f>BF20*1000/(BF7*3)</f>
        <v>14.045825486503453</v>
      </c>
      <c r="BG17" s="142">
        <f>BG20*1000/(BG7*3)</f>
        <v>14.583333333333334</v>
      </c>
      <c r="BH17" s="142">
        <f>BH20*1000/(BH7*3)</f>
        <v>13.84083044982699</v>
      </c>
      <c r="BI17" s="149">
        <f>BI20*1000/(BI7*12)</f>
        <v>14.088166517509165</v>
      </c>
      <c r="BK17" s="141">
        <f>BK20*1000/(BK7*3)</f>
        <v>14.326134450771821</v>
      </c>
      <c r="BL17" s="142">
        <f>BL20*1000/(BL7*3)</f>
        <v>12.718710254030457</v>
      </c>
      <c r="BM17" s="142">
        <f>BM20*1000/(BM7*3)</f>
        <v>12.829324169530356</v>
      </c>
      <c r="BN17" s="142">
        <f>BN20*1000/(BN7*3)</f>
        <v>11.923323855819499</v>
      </c>
      <c r="BO17" s="149">
        <f>BO20*1000/(BO7*12)</f>
        <v>12.903654927001231</v>
      </c>
      <c r="BQ17" s="141">
        <f>BQ10+BQ13</f>
        <v>12.317610400773614</v>
      </c>
      <c r="BR17" s="142">
        <f>BR10+BR13</f>
        <v>11.385789419408065</v>
      </c>
      <c r="BS17" s="142">
        <f>BS10+BS13</f>
        <v>11.802978235967927</v>
      </c>
      <c r="BT17" s="142">
        <f>BT10+BT13</f>
        <v>11.498555443455928</v>
      </c>
      <c r="BU17" s="149">
        <f>BU20*1000/(BU7*12)</f>
        <v>11.749988476882857</v>
      </c>
      <c r="BW17" s="141">
        <f>BW10+BW13</f>
        <v>12.285376598259376</v>
      </c>
      <c r="BX17" s="142">
        <f>BX10+BX13</f>
        <v>11.403977175071327</v>
      </c>
      <c r="BY17" s="142">
        <f>BY10+BY13</f>
        <v>11.859427262313861</v>
      </c>
      <c r="BZ17" s="142">
        <f>BZ10+BZ13</f>
        <v>11.563925066495459</v>
      </c>
      <c r="CA17" s="149">
        <f>CA20*1000/(CA7*12)</f>
        <v>11.777561063106079</v>
      </c>
      <c r="CC17" s="141">
        <f>CC10+CC13</f>
        <v>12.314434296765878</v>
      </c>
      <c r="CD17" s="142">
        <f>CD10+CD13</f>
        <v>11.48750914887766</v>
      </c>
      <c r="CE17" s="142">
        <f>CE10+CE13</f>
        <v>11.985417640320733</v>
      </c>
      <c r="CF17" s="142">
        <f>CF10+CF13</f>
        <v>11.695150784187838</v>
      </c>
      <c r="CG17" s="149">
        <f>CG20*1000/(CG7*12)</f>
        <v>11.870303943727274</v>
      </c>
      <c r="CI17" s="141">
        <f>CI10+CI13</f>
        <v>12.319219146878694</v>
      </c>
      <c r="CJ17" s="142">
        <f>CJ10+CJ13</f>
        <v>11.543579232314119</v>
      </c>
      <c r="CK17" s="142">
        <f>CK10+CK13</f>
        <v>12.079438914089348</v>
      </c>
      <c r="CL17" s="142">
        <f>CL10+CL13</f>
        <v>11.794473923002844</v>
      </c>
      <c r="CM17" s="149">
        <f>CM20*1000/(CM7*12)</f>
        <v>11.933931271641057</v>
      </c>
      <c r="CO17" s="141">
        <f>CO10+CO13</f>
        <v>12.289636893413562</v>
      </c>
      <c r="CP17" s="142">
        <f>CP10+CP13</f>
        <v>11.562171306830335</v>
      </c>
      <c r="CQ17" s="142">
        <f>CQ10+CQ13</f>
        <v>12.130628055601374</v>
      </c>
      <c r="CR17" s="142">
        <f>CR10+CR13</f>
        <v>11.851206467585756</v>
      </c>
      <c r="CS17" s="149">
        <f>CS20*1000/(CS7*12)</f>
        <v>11.958233442916864</v>
      </c>
      <c r="CU17" s="141">
        <f>CU10+CU13</f>
        <v>12.287600655873538</v>
      </c>
      <c r="CV17" s="142">
        <f>CV10+CV13</f>
        <v>11.605880374539899</v>
      </c>
      <c r="CW17" s="142">
        <f>CW10+CW13</f>
        <v>12.207624125601718</v>
      </c>
      <c r="CX17" s="142">
        <f>CX10+CX13</f>
        <v>11.933035866630533</v>
      </c>
      <c r="CY17" s="149">
        <f>CY20*1000/(CY7*12)</f>
        <v>12.008424637375146</v>
      </c>
      <c r="DA17" s="141">
        <f>DA10+DA13</f>
        <v>12.312632163062124</v>
      </c>
      <c r="DB17" s="142">
        <f>DB10+DB13</f>
        <v>11.674370583108846</v>
      </c>
      <c r="DC17" s="142">
        <f>DC10+DC13</f>
        <v>12.310152636274381</v>
      </c>
      <c r="DD17" s="142">
        <f>DD10+DD13</f>
        <v>12.039710478918323</v>
      </c>
      <c r="DE17" s="149">
        <f>DE20*1000/(DE7*12)</f>
        <v>12.084170025748854</v>
      </c>
      <c r="DG17" s="141">
        <f>DG10+DG13</f>
        <v>12.28759633750769</v>
      </c>
      <c r="DH17" s="142">
        <f>DH10+DH13</f>
        <v>11.689988883337943</v>
      </c>
      <c r="DI17" s="142">
        <f>DI10+DI13</f>
        <v>12.35327307119654</v>
      </c>
      <c r="DJ17" s="142">
        <f>DJ10+DJ13</f>
        <v>12.087510151102011</v>
      </c>
      <c r="DK17" s="149">
        <f>DK20*1000/(DK7*12)</f>
        <v>12.104601413760362</v>
      </c>
    </row>
    <row r="18" spans="2:115" ht="15" x14ac:dyDescent="0.3">
      <c r="B18" s="40" t="s">
        <v>23</v>
      </c>
      <c r="C18" s="144" t="s">
        <v>35</v>
      </c>
      <c r="D18" s="107" t="s">
        <v>35</v>
      </c>
      <c r="E18" s="107" t="s">
        <v>35</v>
      </c>
      <c r="F18" s="145" t="s">
        <v>35</v>
      </c>
      <c r="G18" s="138" t="s">
        <v>35</v>
      </c>
      <c r="H18" s="107"/>
      <c r="I18" s="151">
        <f>I17/C17-1</f>
        <v>-0.13502986560477848</v>
      </c>
      <c r="J18" s="133">
        <f>J17/D17-1</f>
        <v>-0.10707242861747035</v>
      </c>
      <c r="K18" s="133">
        <f>K17/E17-1</f>
        <v>-0.12756109956952966</v>
      </c>
      <c r="L18" s="152">
        <f>L17/F17-1</f>
        <v>-3.1151626065387794E-2</v>
      </c>
      <c r="M18" s="153">
        <f>M17/G17-1</f>
        <v>-0.10200554965533892</v>
      </c>
      <c r="N18" s="107"/>
      <c r="O18" s="151">
        <f>O17/I17-1</f>
        <v>-6.7270949968897154E-2</v>
      </c>
      <c r="P18" s="133">
        <f>P17/J17-1</f>
        <v>-9.0161854274757536E-2</v>
      </c>
      <c r="Q18" s="133">
        <f>Q17/K17-1</f>
        <v>-5.3915359043897437E-2</v>
      </c>
      <c r="R18" s="152">
        <f>R17/L17-1</f>
        <v>-8.2843479887238169E-2</v>
      </c>
      <c r="S18" s="153">
        <f>S17/M17-1</f>
        <v>-7.3453255775788318E-2</v>
      </c>
      <c r="T18" s="107"/>
      <c r="U18" s="151">
        <f>U17/O17-1</f>
        <v>-0.1147416749151583</v>
      </c>
      <c r="V18" s="133">
        <f>V17/P17-1</f>
        <v>-0.11277339621107407</v>
      </c>
      <c r="W18" s="133">
        <f>W17/Q17-1</f>
        <v>-0.11577755310177962</v>
      </c>
      <c r="X18" s="133">
        <f>X17/R17-1</f>
        <v>-0.15257318693443811</v>
      </c>
      <c r="Y18" s="153">
        <f>Y17/S17-1</f>
        <v>-0.12428326799959422</v>
      </c>
      <c r="AA18" s="151">
        <f>AA17/U17-1</f>
        <v>-0.13803593343341247</v>
      </c>
      <c r="AB18" s="133">
        <f>AB17/V17-1</f>
        <v>-0.12519452729866432</v>
      </c>
      <c r="AC18" s="133">
        <f>AC17/W17-1</f>
        <v>-0.12459753356418202</v>
      </c>
      <c r="AD18" s="133">
        <f>AD17/X17-1</f>
        <v>-0.12108408660755654</v>
      </c>
      <c r="AE18" s="153">
        <f>AE17/Y17-1</f>
        <v>-0.12731531978598232</v>
      </c>
      <c r="AG18" s="151">
        <f>AG17/AA17-1</f>
        <v>-0.10237613437449578</v>
      </c>
      <c r="AH18" s="133">
        <f>AH17/AB17-1</f>
        <v>-0.12298376265238586</v>
      </c>
      <c r="AI18" s="133">
        <f>AI17/AC17-1</f>
        <v>-0.1237167252636866</v>
      </c>
      <c r="AJ18" s="133">
        <f>AJ17/AD17-1</f>
        <v>-0.10185004074979631</v>
      </c>
      <c r="AK18" s="153">
        <f>AK17/AE17-1</f>
        <v>-0.11242762087931779</v>
      </c>
      <c r="AM18" s="151">
        <f>AM17/AG17-1</f>
        <v>-0.1740683169970324</v>
      </c>
      <c r="AN18" s="133">
        <f>AN17/AH17-1</f>
        <v>-0.12329625587203441</v>
      </c>
      <c r="AO18" s="133">
        <f>AO17/AI17-1</f>
        <v>1.8426409286572021E-2</v>
      </c>
      <c r="AP18" s="133">
        <f>AP17/AJ17-1</f>
        <v>-9.8668517981854165E-2</v>
      </c>
      <c r="AQ18" s="153">
        <f>AQ17/AK17-1</f>
        <v>-9.5235018039249608E-2</v>
      </c>
      <c r="AS18" s="151">
        <f>AS17/AM17-1</f>
        <v>-3.4718365560996944E-2</v>
      </c>
      <c r="AT18" s="133">
        <f>AT17/AN17-1</f>
        <v>-2.4314379527805352E-2</v>
      </c>
      <c r="AU18" s="133">
        <f>AU17/AO17-1</f>
        <v>-0.12502830370477425</v>
      </c>
      <c r="AV18" s="133">
        <f>AV17/AP17-1</f>
        <v>1.7411479903914895E-2</v>
      </c>
      <c r="AW18" s="153">
        <f>AW17/AQ17-1</f>
        <v>-4.5220308356408556E-2</v>
      </c>
      <c r="AY18" s="151">
        <f>AY17/AS17-1</f>
        <v>5.2049004155323209E-2</v>
      </c>
      <c r="AZ18" s="133">
        <f>AZ17/AT17-1</f>
        <v>6.038332301706606E-2</v>
      </c>
      <c r="BA18" s="133">
        <f>BA17/AU17-1</f>
        <v>2.5142494891692513E-2</v>
      </c>
      <c r="BB18" s="133">
        <f>BB17/AV17-1</f>
        <v>-1.437301868076335E-3</v>
      </c>
      <c r="BC18" s="153">
        <f>BC17/AW17-1</f>
        <v>3.3434523995262921E-2</v>
      </c>
      <c r="BE18" s="151">
        <f>BE17/AY17-1</f>
        <v>-3.3914728682170492E-2</v>
      </c>
      <c r="BF18" s="133">
        <f>BF17/AZ17-1</f>
        <v>-5.0100887812752126E-2</v>
      </c>
      <c r="BG18" s="133">
        <f>BG17/BA17-1</f>
        <v>-2.9634831460674138E-2</v>
      </c>
      <c r="BH18" s="133">
        <f>BH17/BB17-1</f>
        <v>-3.9067483713827178E-2</v>
      </c>
      <c r="BI18" s="153">
        <f>BI17/BC17-1</f>
        <v>-3.8032374176243833E-2</v>
      </c>
      <c r="BK18" s="151">
        <f>BK17/BE17-1</f>
        <v>3.1481680455571093E-2</v>
      </c>
      <c r="BL18" s="133">
        <f>BL17/BF17-1</f>
        <v>-9.4484673310814893E-2</v>
      </c>
      <c r="BM18" s="133">
        <f>BM17/BG17-1</f>
        <v>-0.1202749140893471</v>
      </c>
      <c r="BN18" s="133">
        <f>BN17/BH17-1</f>
        <v>-0.13853985141704128</v>
      </c>
      <c r="BO18" s="153">
        <f>BO17/BI17-1</f>
        <v>-8.4078477425418741E-2</v>
      </c>
      <c r="BQ18" s="151">
        <f>BQ17/BK17-1</f>
        <v>-0.14019999999999988</v>
      </c>
      <c r="BR18" s="133">
        <f>BR17/BL17-1</f>
        <v>-0.1048</v>
      </c>
      <c r="BS18" s="133">
        <f>BS17/BM17-1</f>
        <v>-7.999999999999996E-2</v>
      </c>
      <c r="BT18" s="133">
        <f>BT17/BN17-1</f>
        <v>-3.5625000000000129E-2</v>
      </c>
      <c r="BU18" s="153">
        <f>BU17/BO17-1</f>
        <v>-8.940617651703453E-2</v>
      </c>
      <c r="BW18" s="151">
        <f>BW17/BQ17-1</f>
        <v>-2.616887648290378E-3</v>
      </c>
      <c r="BX18" s="133">
        <f>BX17/BR17-1</f>
        <v>1.5974084003573807E-3</v>
      </c>
      <c r="BY18" s="133">
        <f>BY17/BS17-1</f>
        <v>4.7826086956521685E-3</v>
      </c>
      <c r="BZ18" s="133">
        <f>BZ17/BT17-1</f>
        <v>5.6850291639662931E-3</v>
      </c>
      <c r="CA18" s="153">
        <f>CA17/BU17-1</f>
        <v>2.3466053841216805E-3</v>
      </c>
      <c r="CC18" s="151">
        <f>CC17/BW17-1</f>
        <v>2.3652265174043396E-3</v>
      </c>
      <c r="CD18" s="133">
        <f>CD17/BX17-1</f>
        <v>7.3248106799905788E-3</v>
      </c>
      <c r="CE18" s="133">
        <f>CE17/BY17-1</f>
        <v>1.0623647771527356E-2</v>
      </c>
      <c r="CF18" s="133">
        <f>CF17/BZ17-1</f>
        <v>1.1347852648456058E-2</v>
      </c>
      <c r="CG18" s="153">
        <f>CG17/CA17-1</f>
        <v>7.8745404183653278E-3</v>
      </c>
      <c r="CI18" s="151">
        <f>CI17/CC17-1</f>
        <v>3.885562257677222E-4</v>
      </c>
      <c r="CJ18" s="133">
        <f>CJ17/CD17-1</f>
        <v>4.8809609385109809E-3</v>
      </c>
      <c r="CK18" s="133">
        <f>CK17/CE17-1</f>
        <v>7.8446389262492033E-3</v>
      </c>
      <c r="CL18" s="133">
        <f>CL17/CF17-1</f>
        <v>8.4926770631545967E-3</v>
      </c>
      <c r="CM18" s="153">
        <f>CM17/CG17-1</f>
        <v>5.3602105064383121E-3</v>
      </c>
      <c r="CO18" s="151">
        <f>CO17/CI17-1</f>
        <v>-2.4013091343234594E-3</v>
      </c>
      <c r="CP18" s="133">
        <f>CP17/CJ17-1</f>
        <v>1.6105987702816904E-3</v>
      </c>
      <c r="CQ18" s="133">
        <f>CQ17/CK17-1</f>
        <v>4.2377085455782559E-3</v>
      </c>
      <c r="CR18" s="133">
        <f>CR17/CL17-1</f>
        <v>4.8100953847773908E-3</v>
      </c>
      <c r="CS18" s="153">
        <f>CS17/CM17-1</f>
        <v>2.0363927630080436E-3</v>
      </c>
      <c r="CU18" s="151">
        <f>CU17/CO17-1</f>
        <v>-1.6568736388911098E-4</v>
      </c>
      <c r="CV18" s="133">
        <f>CV17/CP17-1</f>
        <v>3.7803511597984674E-3</v>
      </c>
      <c r="CW18" s="133">
        <f>CW17/CQ17-1</f>
        <v>6.3472451424138043E-3</v>
      </c>
      <c r="CX18" s="133">
        <f>CX17/CR17-1</f>
        <v>6.9047315367078976E-3</v>
      </c>
      <c r="CY18" s="153">
        <f>CY17/CS17-1</f>
        <v>4.1972081158869745E-3</v>
      </c>
      <c r="DA18" s="151">
        <f>DA17/CU17-1</f>
        <v>2.037135474175944E-3</v>
      </c>
      <c r="DB18" s="133">
        <f>DB17/CV17-1</f>
        <v>5.9013367671094663E-3</v>
      </c>
      <c r="DC18" s="133">
        <f>DC17/CW17-1</f>
        <v>8.398727681796947E-3</v>
      </c>
      <c r="DD18" s="133">
        <f>DD17/CX17-1</f>
        <v>8.9394361569041791E-3</v>
      </c>
      <c r="DE18" s="153">
        <f>DE17/CY17-1</f>
        <v>6.3076873662475386E-3</v>
      </c>
      <c r="DG18" s="151">
        <f>DG17/DA17-1</f>
        <v>-2.0333447164564422E-3</v>
      </c>
      <c r="DH18" s="133">
        <f>DH17/DB17-1</f>
        <v>1.3378280326046266E-3</v>
      </c>
      <c r="DI18" s="133">
        <f>DI17/DC17-1</f>
        <v>3.5028351147405878E-3</v>
      </c>
      <c r="DJ18" s="133">
        <f>DJ17/DD17-1</f>
        <v>3.970167909551181E-3</v>
      </c>
      <c r="DK18" s="153">
        <f>DK17/DE17-1</f>
        <v>1.690756416698358E-3</v>
      </c>
    </row>
    <row r="19" spans="2:115" ht="15" x14ac:dyDescent="0.3">
      <c r="B19" s="40"/>
      <c r="C19" s="144"/>
      <c r="D19" s="107"/>
      <c r="E19" s="107"/>
      <c r="F19" s="145"/>
      <c r="G19" s="138"/>
      <c r="I19" s="144"/>
      <c r="J19" s="107"/>
      <c r="K19" s="107"/>
      <c r="L19" s="145"/>
      <c r="M19" s="138"/>
      <c r="O19" s="144"/>
      <c r="P19" s="107"/>
      <c r="Q19" s="107"/>
      <c r="R19" s="145"/>
      <c r="S19" s="138"/>
      <c r="U19" s="144"/>
      <c r="V19" s="107"/>
      <c r="W19" s="107"/>
      <c r="X19" s="145"/>
      <c r="Y19" s="138"/>
      <c r="AA19" s="144"/>
      <c r="AB19" s="107"/>
      <c r="AC19" s="107"/>
      <c r="AD19" s="145"/>
      <c r="AE19" s="138"/>
      <c r="AG19" s="144"/>
      <c r="AH19" s="107"/>
      <c r="AI19" s="107"/>
      <c r="AJ19" s="145"/>
      <c r="AK19" s="138"/>
      <c r="AM19" s="144"/>
      <c r="AN19" s="107"/>
      <c r="AO19" s="107"/>
      <c r="AP19" s="145"/>
      <c r="AQ19" s="138"/>
      <c r="AS19" s="144"/>
      <c r="AT19" s="107"/>
      <c r="AU19" s="107"/>
      <c r="AV19" s="145"/>
      <c r="AW19" s="138"/>
      <c r="AY19" s="144"/>
      <c r="AZ19" s="107"/>
      <c r="BA19" s="107"/>
      <c r="BB19" s="145"/>
      <c r="BC19" s="138"/>
      <c r="BE19" s="144"/>
      <c r="BF19" s="107"/>
      <c r="BG19" s="107"/>
      <c r="BH19" s="145"/>
      <c r="BI19" s="138"/>
      <c r="BK19" s="144"/>
      <c r="BL19" s="107"/>
      <c r="BM19" s="107"/>
      <c r="BN19" s="145"/>
      <c r="BO19" s="138"/>
      <c r="BQ19" s="144"/>
      <c r="BR19" s="107"/>
      <c r="BS19" s="107"/>
      <c r="BT19" s="107"/>
      <c r="BU19" s="138"/>
      <c r="BW19" s="144"/>
      <c r="BX19" s="107"/>
      <c r="BY19" s="107"/>
      <c r="BZ19" s="107"/>
      <c r="CA19" s="138"/>
      <c r="CC19" s="144"/>
      <c r="CD19" s="107"/>
      <c r="CE19" s="107"/>
      <c r="CF19" s="107"/>
      <c r="CG19" s="138"/>
      <c r="CI19" s="144"/>
      <c r="CJ19" s="107"/>
      <c r="CK19" s="107"/>
      <c r="CL19" s="107"/>
      <c r="CM19" s="138"/>
      <c r="CO19" s="144"/>
      <c r="CP19" s="107"/>
      <c r="CQ19" s="107"/>
      <c r="CR19" s="107"/>
      <c r="CS19" s="138"/>
      <c r="CU19" s="144"/>
      <c r="CV19" s="107"/>
      <c r="CW19" s="107"/>
      <c r="CX19" s="107"/>
      <c r="CY19" s="138"/>
      <c r="DA19" s="144"/>
      <c r="DB19" s="107"/>
      <c r="DC19" s="107"/>
      <c r="DD19" s="107"/>
      <c r="DE19" s="138"/>
      <c r="DG19" s="144"/>
      <c r="DH19" s="107"/>
      <c r="DI19" s="107"/>
      <c r="DJ19" s="107"/>
      <c r="DK19" s="138"/>
    </row>
    <row r="20" spans="2:115" s="135" customFormat="1" ht="15" x14ac:dyDescent="0.3">
      <c r="B20" s="39" t="s">
        <v>59</v>
      </c>
      <c r="C20" s="156">
        <v>294</v>
      </c>
      <c r="D20" s="157">
        <v>278</v>
      </c>
      <c r="E20" s="157">
        <v>281</v>
      </c>
      <c r="F20" s="158">
        <v>258</v>
      </c>
      <c r="G20" s="159">
        <f>C20+D20+E20+F20</f>
        <v>1111</v>
      </c>
      <c r="H20" s="160"/>
      <c r="I20" s="156">
        <v>264</v>
      </c>
      <c r="J20" s="157">
        <v>260</v>
      </c>
      <c r="K20" s="157">
        <v>255</v>
      </c>
      <c r="L20" s="158">
        <v>259</v>
      </c>
      <c r="M20" s="159">
        <f>I20+J20+K20+L20</f>
        <v>1038</v>
      </c>
      <c r="N20" s="160"/>
      <c r="O20" s="156">
        <v>256</v>
      </c>
      <c r="P20" s="157">
        <v>245</v>
      </c>
      <c r="Q20" s="157">
        <v>247</v>
      </c>
      <c r="R20" s="158">
        <v>241</v>
      </c>
      <c r="S20" s="159">
        <f>O20+P20+Q20+R20</f>
        <v>989</v>
      </c>
      <c r="T20" s="134"/>
      <c r="U20" s="156">
        <v>235</v>
      </c>
      <c r="V20" s="157">
        <v>232</v>
      </c>
      <c r="W20" s="157">
        <v>236</v>
      </c>
      <c r="X20" s="157">
        <v>223</v>
      </c>
      <c r="Y20" s="159">
        <f>U20+V20+W20+X20</f>
        <v>926</v>
      </c>
      <c r="AA20" s="156">
        <v>218</v>
      </c>
      <c r="AB20" s="157">
        <v>215</v>
      </c>
      <c r="AC20" s="157">
        <v>220</v>
      </c>
      <c r="AD20" s="158">
        <v>210</v>
      </c>
      <c r="AE20" s="159">
        <f>AA20+AB20+AC20+AD20</f>
        <v>863</v>
      </c>
      <c r="AG20" s="156">
        <v>209</v>
      </c>
      <c r="AH20" s="157">
        <v>199</v>
      </c>
      <c r="AI20" s="157">
        <v>201</v>
      </c>
      <c r="AJ20" s="158">
        <v>193</v>
      </c>
      <c r="AK20" s="159">
        <f>AG20+AH20+AI20+AJ20</f>
        <v>802</v>
      </c>
      <c r="AM20" s="156">
        <v>174</v>
      </c>
      <c r="AN20" s="157">
        <v>175</v>
      </c>
      <c r="AO20" s="157">
        <v>204</v>
      </c>
      <c r="AP20" s="158">
        <v>173</v>
      </c>
      <c r="AQ20" s="159">
        <f>AM20+AN20+AO20+AP20</f>
        <v>726</v>
      </c>
      <c r="AS20" s="156">
        <v>168</v>
      </c>
      <c r="AT20" s="157">
        <v>172</v>
      </c>
      <c r="AU20" s="157">
        <v>179</v>
      </c>
      <c r="AV20" s="158">
        <v>174</v>
      </c>
      <c r="AW20" s="159">
        <f>AS20+AT20+AU20+AV20</f>
        <v>693</v>
      </c>
      <c r="AY20" s="156">
        <v>172</v>
      </c>
      <c r="AZ20" s="157">
        <v>175</v>
      </c>
      <c r="BA20" s="157">
        <v>178</v>
      </c>
      <c r="BB20" s="158">
        <v>179</v>
      </c>
      <c r="BC20" s="159">
        <f>AY20+AZ20+BA20+BB20</f>
        <v>704</v>
      </c>
      <c r="BE20" s="156">
        <v>178</v>
      </c>
      <c r="BF20" s="157">
        <v>179</v>
      </c>
      <c r="BG20" s="157">
        <v>189</v>
      </c>
      <c r="BH20" s="158">
        <v>186</v>
      </c>
      <c r="BI20" s="159">
        <f>BE20+BF20+BG20+BH20</f>
        <v>732</v>
      </c>
      <c r="BK20" s="156">
        <v>200</v>
      </c>
      <c r="BL20" s="157">
        <v>185</v>
      </c>
      <c r="BM20" s="157">
        <v>196</v>
      </c>
      <c r="BN20" s="158">
        <v>195</v>
      </c>
      <c r="BO20" s="159">
        <f>BK20+BL20+BM20+BN20</f>
        <v>776</v>
      </c>
      <c r="BQ20" s="156">
        <f>BQ17*BQ7*3/1000</f>
        <v>211.16695390566244</v>
      </c>
      <c r="BR20" s="157">
        <f>BR17*BR7*3/1000</f>
        <v>196.04621511807775</v>
      </c>
      <c r="BS20" s="157">
        <f>BS17*BS7*3/1000</f>
        <v>204.11480412371134</v>
      </c>
      <c r="BT20" s="157">
        <f>BT17*BT7*3/1000</f>
        <v>200.14385604879388</v>
      </c>
      <c r="BU20" s="159">
        <f>BQ20+BR20+BS20+BT20</f>
        <v>811.47182919624538</v>
      </c>
      <c r="BW20" s="156">
        <f>BW17*BW7*3/1000</f>
        <v>215.03708928763302</v>
      </c>
      <c r="BX20" s="157">
        <f>BX17*BX7*3/1000</f>
        <v>200.1226934567392</v>
      </c>
      <c r="BY20" s="157">
        <f>BY17*BY7*3/1000</f>
        <v>208.64883353951893</v>
      </c>
      <c r="BZ20" s="157">
        <f>BZ17*BZ7*3/1000</f>
        <v>204.23048059937631</v>
      </c>
      <c r="CA20" s="159">
        <f>BW20+BX20+BY20+BZ20</f>
        <v>828.03909688326746</v>
      </c>
      <c r="CC20" s="156">
        <f>CC17*CC7*3/1000</f>
        <v>218.22409017298813</v>
      </c>
      <c r="CD20" s="157">
        <f>CD17*CD7*3/1000</f>
        <v>203.91477490172733</v>
      </c>
      <c r="CE20" s="157">
        <f>CE17*CE7*3/1000</f>
        <v>213.11271106254299</v>
      </c>
      <c r="CF20" s="157">
        <f>CF17*CF7*3/1000</f>
        <v>208.47775787893241</v>
      </c>
      <c r="CG20" s="159">
        <f>CC20+CD20+CE20+CF20</f>
        <v>843.72933401619082</v>
      </c>
      <c r="CI20" s="156">
        <f>CI17*CI7*3/1000</f>
        <v>220.15676537386915</v>
      </c>
      <c r="CJ20" s="157">
        <f>CJ17*CJ7*3/1000</f>
        <v>206.64161183765503</v>
      </c>
      <c r="CK20" s="157">
        <f>CK17*CK7*3/1000</f>
        <v>216.59641916853607</v>
      </c>
      <c r="CL20" s="157">
        <f>CL17*CL7*3/1000</f>
        <v>212.01746323989912</v>
      </c>
      <c r="CM20" s="159">
        <f>CI20+CJ20+CK20+CL20</f>
        <v>855.4122596199594</v>
      </c>
      <c r="CO20" s="156">
        <f>CO17*CO7*3/1000</f>
        <v>221.47154645620577</v>
      </c>
      <c r="CP20" s="157">
        <f>CP17*CP7*3/1000</f>
        <v>208.70875425959437</v>
      </c>
      <c r="CQ20" s="157">
        <f>CQ17*CQ7*3/1000</f>
        <v>219.33388587332843</v>
      </c>
      <c r="CR20" s="157">
        <f>CR17*CR7*3/1000</f>
        <v>214.81496843145942</v>
      </c>
      <c r="CS20" s="159">
        <f>CO20+CP20+CQ20+CR20</f>
        <v>864.32915502058802</v>
      </c>
      <c r="CU20" s="156">
        <f>CU17*CU7*3/1000</f>
        <v>223.27799151787809</v>
      </c>
      <c r="CV20" s="157">
        <f>CV17*CV7*3/1000</f>
        <v>211.23862869700071</v>
      </c>
      <c r="CW20" s="157">
        <f>CW17*CW7*3/1000</f>
        <v>222.55719543384492</v>
      </c>
      <c r="CX20" s="157">
        <f>CX17*CX7*3/1000</f>
        <v>218.08816349853961</v>
      </c>
      <c r="CY20" s="159">
        <f>CU20+CV20+CW20+CX20</f>
        <v>875.16197914726331</v>
      </c>
      <c r="DA20" s="156">
        <f>DA17*DA7*3/1000</f>
        <v>225.57973385946121</v>
      </c>
      <c r="DB20" s="157">
        <f>DB17*DB7*3/1000</f>
        <v>214.23637457063043</v>
      </c>
      <c r="DC20" s="157">
        <f>DC17*DC7*3/1000</f>
        <v>226.27291560735941</v>
      </c>
      <c r="DD20" s="157">
        <f>DD17*DD7*3/1000</f>
        <v>221.84370528454903</v>
      </c>
      <c r="DE20" s="159">
        <f>DA20+DB20+DC20+DD20</f>
        <v>887.93272932200011</v>
      </c>
      <c r="DG20" s="156">
        <f>DG17*DG7*3/1000</f>
        <v>226.96419195010455</v>
      </c>
      <c r="DH20" s="157">
        <f>DH17*DH7*3/1000</f>
        <v>216.2764843306353</v>
      </c>
      <c r="DI20" s="157">
        <f>DI17*DI7*3/1000</f>
        <v>228.9185032823431</v>
      </c>
      <c r="DJ20" s="157">
        <f>DJ17*DJ7*3/1000</f>
        <v>224.53758856687097</v>
      </c>
      <c r="DK20" s="159">
        <f>DG20+DH20+DI20+DJ20</f>
        <v>896.69676812995385</v>
      </c>
    </row>
    <row r="21" spans="2:115" ht="15.75" thickBot="1" x14ac:dyDescent="0.35">
      <c r="B21" s="41" t="s">
        <v>23</v>
      </c>
      <c r="C21" s="155" t="s">
        <v>35</v>
      </c>
      <c r="D21" s="106" t="s">
        <v>35</v>
      </c>
      <c r="E21" s="106" t="s">
        <v>35</v>
      </c>
      <c r="F21" s="154" t="s">
        <v>35</v>
      </c>
      <c r="G21" s="108" t="s">
        <v>35</v>
      </c>
      <c r="H21" s="107"/>
      <c r="I21" s="109">
        <f>I20/C20-1</f>
        <v>-0.10204081632653061</v>
      </c>
      <c r="J21" s="110">
        <f>J20/D20-1</f>
        <v>-6.4748201438848962E-2</v>
      </c>
      <c r="K21" s="110">
        <f>K20/E20-1</f>
        <v>-9.252669039145911E-2</v>
      </c>
      <c r="L21" s="120">
        <f>L20/F20-1</f>
        <v>3.8759689922480689E-3</v>
      </c>
      <c r="M21" s="122">
        <f>M20/G20-1</f>
        <v>-6.5706570657065755E-2</v>
      </c>
      <c r="N21" s="107"/>
      <c r="O21" s="109">
        <f>O20/I20-1</f>
        <v>-3.0303030303030276E-2</v>
      </c>
      <c r="P21" s="110">
        <f>P20/J20-1</f>
        <v>-5.7692307692307709E-2</v>
      </c>
      <c r="Q21" s="110">
        <f>Q20/K20-1</f>
        <v>-3.1372549019607843E-2</v>
      </c>
      <c r="R21" s="120">
        <f>R20/L20-1</f>
        <v>-6.949806949806947E-2</v>
      </c>
      <c r="S21" s="122">
        <f>S20/M20-1</f>
        <v>-4.7206165703275516E-2</v>
      </c>
      <c r="T21" s="107"/>
      <c r="U21" s="109">
        <f>U20/O20-1</f>
        <v>-8.203125E-2</v>
      </c>
      <c r="V21" s="110">
        <f>V20/P20-1</f>
        <v>-5.3061224489795888E-2</v>
      </c>
      <c r="W21" s="110">
        <f>W20/Q20-1</f>
        <v>-4.4534412955465563E-2</v>
      </c>
      <c r="X21" s="120">
        <f>X20/R20-1</f>
        <v>-7.4688796680497882E-2</v>
      </c>
      <c r="Y21" s="122">
        <f>Y20/S20-1</f>
        <v>-6.3700707785642074E-2</v>
      </c>
      <c r="AA21" s="109">
        <f>AA20/U20-1</f>
        <v>-7.2340425531914887E-2</v>
      </c>
      <c r="AB21" s="110">
        <f>AB20/V20-1</f>
        <v>-7.3275862068965525E-2</v>
      </c>
      <c r="AC21" s="110">
        <f>AC20/W20-1</f>
        <v>-6.7796610169491567E-2</v>
      </c>
      <c r="AD21" s="120">
        <f>AD20/X20-1</f>
        <v>-5.8295964125560484E-2</v>
      </c>
      <c r="AE21" s="122">
        <f>AE20/Y20-1</f>
        <v>-6.8034557235421178E-2</v>
      </c>
      <c r="AG21" s="109">
        <f>AG20/AA20-1</f>
        <v>-4.1284403669724745E-2</v>
      </c>
      <c r="AH21" s="110">
        <f>AH20/AB20-1</f>
        <v>-7.441860465116279E-2</v>
      </c>
      <c r="AI21" s="110">
        <f>AI20/AC20-1</f>
        <v>-8.6363636363636309E-2</v>
      </c>
      <c r="AJ21" s="120">
        <f>AJ20/AD20-1</f>
        <v>-8.0952380952380998E-2</v>
      </c>
      <c r="AK21" s="122">
        <f>AK20/AE20-1</f>
        <v>-7.0683661645422946E-2</v>
      </c>
      <c r="AM21" s="109">
        <f>AM20/AG20-1</f>
        <v>-0.16746411483253587</v>
      </c>
      <c r="AN21" s="110">
        <f>AN20/AH20-1</f>
        <v>-0.12060301507537685</v>
      </c>
      <c r="AO21" s="110">
        <f>AO20/AI20-1</f>
        <v>1.4925373134328401E-2</v>
      </c>
      <c r="AP21" s="120">
        <f>AP20/AJ20-1</f>
        <v>-0.10362694300518138</v>
      </c>
      <c r="AQ21" s="122">
        <f>AQ20/AK20-1</f>
        <v>-9.4763092269326665E-2</v>
      </c>
      <c r="AS21" s="109">
        <f>AS20/AM20-1</f>
        <v>-3.4482758620689613E-2</v>
      </c>
      <c r="AT21" s="110">
        <f>AT20/AN20-1</f>
        <v>-1.7142857142857126E-2</v>
      </c>
      <c r="AU21" s="110">
        <f>AU20/AO20-1</f>
        <v>-0.12254901960784315</v>
      </c>
      <c r="AV21" s="120">
        <f>AV20/AP20-1</f>
        <v>5.7803468208093012E-3</v>
      </c>
      <c r="AW21" s="122">
        <f>AW20/AQ20-1</f>
        <v>-4.5454545454545414E-2</v>
      </c>
      <c r="AY21" s="109">
        <f>AY20/AS20-1</f>
        <v>2.3809523809523725E-2</v>
      </c>
      <c r="AZ21" s="110">
        <f>AZ20/AT20-1</f>
        <v>1.744186046511631E-2</v>
      </c>
      <c r="BA21" s="110">
        <f>BA20/AU20-1</f>
        <v>-5.5865921787709993E-3</v>
      </c>
      <c r="BB21" s="120">
        <f>BB20/AV20-1</f>
        <v>2.8735632183908066E-2</v>
      </c>
      <c r="BC21" s="122">
        <f>BC20/AW20-1</f>
        <v>1.5873015873015817E-2</v>
      </c>
      <c r="BE21" s="109">
        <f>BE20/AY20-1</f>
        <v>3.488372093023262E-2</v>
      </c>
      <c r="BF21" s="110">
        <f>BF20/AZ20-1</f>
        <v>2.2857142857142909E-2</v>
      </c>
      <c r="BG21" s="110">
        <f>BG20/BA20-1</f>
        <v>6.1797752808988804E-2</v>
      </c>
      <c r="BH21" s="120">
        <f>BH20/BB20-1</f>
        <v>3.9106145251396551E-2</v>
      </c>
      <c r="BI21" s="122">
        <f>BI20/BC20-1</f>
        <v>3.9772727272727293E-2</v>
      </c>
      <c r="BK21" s="109">
        <f>BK20/BE20-1</f>
        <v>0.12359550561797761</v>
      </c>
      <c r="BL21" s="110">
        <f>BL20/BF20-1</f>
        <v>3.3519553072625774E-2</v>
      </c>
      <c r="BM21" s="110">
        <f>BM20/BG20-1</f>
        <v>3.7037037037036979E-2</v>
      </c>
      <c r="BN21" s="120">
        <f>BN20/BH20-1</f>
        <v>4.8387096774193505E-2</v>
      </c>
      <c r="BO21" s="122">
        <f>BO20/BI20-1</f>
        <v>6.0109289617486406E-2</v>
      </c>
      <c r="BQ21" s="109">
        <f>BQ20/BK20-1</f>
        <v>5.5834769528312123E-2</v>
      </c>
      <c r="BR21" s="110">
        <f>BR20/BL20-1</f>
        <v>5.9709270908528289E-2</v>
      </c>
      <c r="BS21" s="110">
        <f>BS20/BM20-1</f>
        <v>4.140206185567008E-2</v>
      </c>
      <c r="BT21" s="110">
        <f>BT20/BN20-1</f>
        <v>2.6378748968173715E-2</v>
      </c>
      <c r="BU21" s="122">
        <f>BU20/BO20-1</f>
        <v>4.5711120098254288E-2</v>
      </c>
      <c r="BW21" s="109">
        <f>BW20/BQ20-1</f>
        <v>1.8327372301347511E-2</v>
      </c>
      <c r="BX21" s="110">
        <f>BX20/BR20-1</f>
        <v>2.079345595224158E-2</v>
      </c>
      <c r="BY21" s="110">
        <f>BY20/BS20-1</f>
        <v>2.2213133610140101E-2</v>
      </c>
      <c r="BZ21" s="110">
        <f>BZ20/BT20-1</f>
        <v>2.0418436175158705E-2</v>
      </c>
      <c r="CA21" s="122">
        <f>CA20/BU20-1</f>
        <v>2.0416318953957679E-2</v>
      </c>
      <c r="CC21" s="109">
        <f>CC20/BW20-1</f>
        <v>1.4820703237347965E-2</v>
      </c>
      <c r="CD21" s="110">
        <f>CD20/BX20-1</f>
        <v>1.8948782766647465E-2</v>
      </c>
      <c r="CE21" s="110">
        <f>CE20/BY20-1</f>
        <v>2.1394212693638615E-2</v>
      </c>
      <c r="CF21" s="110">
        <f>CF20/BZ20-1</f>
        <v>2.0796490646700638E-2</v>
      </c>
      <c r="CG21" s="122">
        <f>CG20/CA20-1</f>
        <v>1.8948667027899102E-2</v>
      </c>
      <c r="CI21" s="109">
        <f>CI20/CC20-1</f>
        <v>8.8563787771962499E-3</v>
      </c>
      <c r="CJ21" s="110">
        <f>CJ20/CD20-1</f>
        <v>1.3372434328222882E-2</v>
      </c>
      <c r="CK21" s="110">
        <f>CK20/CE20-1</f>
        <v>1.6346787052841316E-2</v>
      </c>
      <c r="CL21" s="110">
        <f>CL20/CF20-1</f>
        <v>1.6978815375702005E-2</v>
      </c>
      <c r="CM21" s="122">
        <f>CM20/CG20-1</f>
        <v>1.3846769494379574E-2</v>
      </c>
      <c r="CO21" s="109">
        <f>CO20/CI20-1</f>
        <v>5.972022163860613E-3</v>
      </c>
      <c r="CP21" s="110">
        <f>CP20/CJ20-1</f>
        <v>1.0003514798187618E-2</v>
      </c>
      <c r="CQ21" s="110">
        <f>CQ20/CK20-1</f>
        <v>1.2638559378316927E-2</v>
      </c>
      <c r="CR21" s="110">
        <f>CR20/CL20-1</f>
        <v>1.3194692308882594E-2</v>
      </c>
      <c r="CS21" s="122">
        <f>CS20/CM20-1</f>
        <v>1.0424091191526985E-2</v>
      </c>
      <c r="CU21" s="109">
        <f>CU20/CO20-1</f>
        <v>8.1565559575371704E-3</v>
      </c>
      <c r="CV21" s="110">
        <f>CV20/CP20-1</f>
        <v>1.2121554011383928E-2</v>
      </c>
      <c r="CW21" s="110">
        <f>CW20/CQ20-1</f>
        <v>1.4695903223900686E-2</v>
      </c>
      <c r="CX21" s="110">
        <f>CX20/CR20-1</f>
        <v>1.5237276484876716E-2</v>
      </c>
      <c r="CY21" s="122">
        <f>CY20/CS20-1</f>
        <v>1.2533216152378124E-2</v>
      </c>
      <c r="DA21" s="109">
        <f>DA20/CU20-1</f>
        <v>1.0308863520025024E-2</v>
      </c>
      <c r="DB21" s="110">
        <f>DB20/CV20-1</f>
        <v>1.419127690858879E-2</v>
      </c>
      <c r="DC21" s="110">
        <f>DC20/CW20-1</f>
        <v>1.6695574215298548E-2</v>
      </c>
      <c r="DD21" s="110">
        <f>DD20/CX20-1</f>
        <v>1.7220291673621935E-2</v>
      </c>
      <c r="DE21" s="122">
        <f>DE20/CY20-1</f>
        <v>1.4592441718252358E-2</v>
      </c>
      <c r="DG21" s="109">
        <f>DG20/DA20-1</f>
        <v>6.1373336467622774E-3</v>
      </c>
      <c r="DH21" s="110">
        <f>DH20/DB20-1</f>
        <v>9.5227048352253263E-3</v>
      </c>
      <c r="DI21" s="110">
        <f>DI20/DC20-1</f>
        <v>1.1692020973356199E-2</v>
      </c>
      <c r="DJ21" s="110">
        <f>DJ20/DD20-1</f>
        <v>1.2143158530762088E-2</v>
      </c>
      <c r="DK21" s="122">
        <f>DK20/DE20-1</f>
        <v>9.8701607886959586E-3</v>
      </c>
    </row>
    <row r="22" spans="2:115" ht="15.75" thickBot="1" x14ac:dyDescent="0.35">
      <c r="B22" s="1"/>
      <c r="AA22" s="103"/>
      <c r="AB22" s="103"/>
      <c r="AC22" s="103"/>
      <c r="AD22" s="103"/>
      <c r="AE22" s="103"/>
      <c r="AG22" s="103"/>
      <c r="AH22" s="103"/>
      <c r="AI22" s="103"/>
      <c r="AJ22" s="103"/>
      <c r="AK22" s="103"/>
      <c r="AM22" s="103"/>
      <c r="AN22" s="103"/>
      <c r="AO22" s="103"/>
      <c r="AP22" s="103"/>
      <c r="AQ22" s="103"/>
      <c r="AS22" s="103"/>
      <c r="AT22" s="103"/>
      <c r="AU22" s="103"/>
      <c r="AV22" s="103"/>
      <c r="AW22" s="103"/>
      <c r="AY22" s="103"/>
      <c r="AZ22" s="103"/>
      <c r="BA22" s="103"/>
      <c r="BB22" s="103"/>
      <c r="BC22" s="103"/>
      <c r="BE22" s="103"/>
      <c r="BF22" s="103"/>
      <c r="BG22" s="103"/>
      <c r="BH22" s="103"/>
      <c r="BI22" s="103"/>
      <c r="BK22" s="103"/>
      <c r="BL22" s="103"/>
      <c r="BM22" s="103"/>
      <c r="BN22" s="103"/>
      <c r="BO22" s="103"/>
      <c r="BQ22" s="103"/>
      <c r="BR22" s="103"/>
      <c r="BS22" s="103"/>
      <c r="BT22" s="103"/>
      <c r="BU22" s="103"/>
      <c r="BW22" s="103"/>
      <c r="BX22" s="103"/>
      <c r="BY22" s="103"/>
      <c r="BZ22" s="103"/>
      <c r="CA22" s="103"/>
      <c r="CC22" s="103"/>
      <c r="CD22" s="103"/>
      <c r="CE22" s="103"/>
      <c r="CF22" s="103"/>
      <c r="CG22" s="103"/>
      <c r="CI22" s="103"/>
      <c r="CJ22" s="103"/>
      <c r="CK22" s="103"/>
      <c r="CL22" s="103"/>
      <c r="CM22" s="103"/>
      <c r="CO22" s="103"/>
      <c r="CP22" s="103"/>
      <c r="CQ22" s="103"/>
      <c r="CR22" s="103"/>
      <c r="CS22" s="103"/>
      <c r="CU22" s="103"/>
      <c r="CV22" s="103"/>
      <c r="CW22" s="103"/>
      <c r="CX22" s="103"/>
      <c r="CY22" s="103"/>
      <c r="DA22" s="103"/>
      <c r="DB22" s="103"/>
      <c r="DC22" s="103"/>
      <c r="DD22" s="103"/>
      <c r="DE22" s="103"/>
      <c r="DG22" s="103"/>
      <c r="DH22" s="103"/>
      <c r="DI22" s="103"/>
      <c r="DJ22" s="103"/>
      <c r="DK22" s="103"/>
    </row>
    <row r="23" spans="2:115" ht="15" x14ac:dyDescent="0.3">
      <c r="B23" s="38" t="s">
        <v>41</v>
      </c>
      <c r="C23" s="185">
        <v>2.3E-2</v>
      </c>
      <c r="D23" s="186">
        <v>0.02</v>
      </c>
      <c r="E23" s="186">
        <v>1.7000000000000001E-2</v>
      </c>
      <c r="F23" s="187">
        <v>0.02</v>
      </c>
      <c r="G23" s="191">
        <f>G24/G7/12</f>
        <v>1.9993406852164358E-2</v>
      </c>
      <c r="H23" s="136"/>
      <c r="I23" s="185">
        <v>1.9E-2</v>
      </c>
      <c r="J23" s="186">
        <v>1.7000000000000001E-2</v>
      </c>
      <c r="K23" s="186">
        <v>1.7999999999999999E-2</v>
      </c>
      <c r="L23" s="187">
        <v>1.6E-2</v>
      </c>
      <c r="M23" s="191">
        <f>M24/M7/12</f>
        <v>1.7490966014107351E-2</v>
      </c>
      <c r="N23" s="136"/>
      <c r="O23" s="185">
        <v>1.9E-2</v>
      </c>
      <c r="P23" s="186">
        <v>1.7999999999999999E-2</v>
      </c>
      <c r="Q23" s="186">
        <v>1.7999999999999999E-2</v>
      </c>
      <c r="R23" s="187">
        <v>1.9E-2</v>
      </c>
      <c r="S23" s="191">
        <f>S24/S7/12</f>
        <v>1.8500806984080406E-2</v>
      </c>
      <c r="T23" s="227"/>
      <c r="U23" s="185">
        <v>1.7999999999999999E-2</v>
      </c>
      <c r="V23" s="186">
        <v>1.4999999999999999E-2</v>
      </c>
      <c r="W23" s="186">
        <v>1.9E-2</v>
      </c>
      <c r="X23" s="187">
        <v>1.6E-2</v>
      </c>
      <c r="Y23" s="191">
        <f>Y24/Y7/12</f>
        <v>1.6990565390421299E-2</v>
      </c>
      <c r="Z23" s="227"/>
      <c r="AA23" s="248">
        <v>1.6E-2</v>
      </c>
      <c r="AB23" s="249">
        <v>1.4999999999999999E-2</v>
      </c>
      <c r="AC23" s="249">
        <v>1.6E-2</v>
      </c>
      <c r="AD23" s="249">
        <v>1.6E-2</v>
      </c>
      <c r="AE23" s="261">
        <f>AE24/AE7/12</f>
        <v>1.575228090465176E-2</v>
      </c>
      <c r="AG23" s="248">
        <v>1.7999999999999999E-2</v>
      </c>
      <c r="AH23" s="249">
        <v>1.6E-2</v>
      </c>
      <c r="AI23" s="249">
        <v>1.7000000000000001E-2</v>
      </c>
      <c r="AJ23" s="249">
        <v>1.7000000000000001E-2</v>
      </c>
      <c r="AK23" s="261">
        <f>AK24/AK7/12</f>
        <v>1.699972385861561E-2</v>
      </c>
      <c r="AM23" s="248">
        <v>1.7000000000000001E-2</v>
      </c>
      <c r="AN23" s="249">
        <v>1.9E-2</v>
      </c>
      <c r="AO23" s="249">
        <v>2.1999999999999999E-2</v>
      </c>
      <c r="AP23" s="249">
        <v>1.9E-2</v>
      </c>
      <c r="AQ23" s="261">
        <f>AQ24/AQ7/12</f>
        <v>1.9244196387500381E-2</v>
      </c>
      <c r="AS23" s="248">
        <v>1.9E-2</v>
      </c>
      <c r="AT23" s="249">
        <v>1.7000000000000001E-2</v>
      </c>
      <c r="AU23" s="249">
        <v>2.3E-2</v>
      </c>
      <c r="AV23" s="249">
        <v>1.6E-2</v>
      </c>
      <c r="AW23" s="261">
        <f>AW24/AW7/12</f>
        <v>1.875424066746419E-2</v>
      </c>
      <c r="AY23" s="248">
        <v>1.7999999999999999E-2</v>
      </c>
      <c r="AZ23" s="249">
        <v>1.6E-2</v>
      </c>
      <c r="BA23" s="249">
        <v>1.4999999999999999E-2</v>
      </c>
      <c r="BB23" s="249">
        <v>2.5999999999999999E-2</v>
      </c>
      <c r="BC23" s="261">
        <f>BC24/BC7/12</f>
        <v>1.8836646175929103E-2</v>
      </c>
      <c r="BE23" s="248">
        <v>2.7E-2</v>
      </c>
      <c r="BF23" s="249">
        <v>2.7E-2</v>
      </c>
      <c r="BG23" s="249">
        <v>2.8000000000000001E-2</v>
      </c>
      <c r="BH23" s="249">
        <v>2.5000000000000001E-2</v>
      </c>
      <c r="BI23" s="261">
        <f>BI24/BI7/12</f>
        <v>2.6732151621005229E-2</v>
      </c>
      <c r="BK23" s="248">
        <v>2.4E-2</v>
      </c>
      <c r="BL23" s="249">
        <v>2.1999999999999999E-2</v>
      </c>
      <c r="BM23" s="249">
        <v>2.7E-2</v>
      </c>
      <c r="BN23" s="249">
        <v>2.1000000000000001E-2</v>
      </c>
      <c r="BO23" s="261">
        <f>BO24/BO7/12</f>
        <v>2.3462536166816327E-2</v>
      </c>
      <c r="BQ23" s="248">
        <v>0.02</v>
      </c>
      <c r="BR23" s="249">
        <v>0.02</v>
      </c>
      <c r="BS23" s="249">
        <v>0.02</v>
      </c>
      <c r="BT23" s="249">
        <v>0.02</v>
      </c>
      <c r="BU23" s="261">
        <f>BU24/BU7/12</f>
        <v>0.02</v>
      </c>
      <c r="BW23" s="248">
        <v>0.02</v>
      </c>
      <c r="BX23" s="249">
        <v>0.02</v>
      </c>
      <c r="BY23" s="249">
        <v>0.02</v>
      </c>
      <c r="BZ23" s="249">
        <v>0.02</v>
      </c>
      <c r="CA23" s="261">
        <f>CA24/CA7/12</f>
        <v>0.02</v>
      </c>
      <c r="CC23" s="248">
        <v>0.02</v>
      </c>
      <c r="CD23" s="249">
        <v>0.02</v>
      </c>
      <c r="CE23" s="249">
        <v>0.02</v>
      </c>
      <c r="CF23" s="249">
        <v>0.02</v>
      </c>
      <c r="CG23" s="261">
        <f>CG24/CG7/12</f>
        <v>0.02</v>
      </c>
      <c r="CI23" s="248">
        <v>0.02</v>
      </c>
      <c r="CJ23" s="249">
        <v>0.02</v>
      </c>
      <c r="CK23" s="249">
        <v>0.02</v>
      </c>
      <c r="CL23" s="249">
        <v>0.02</v>
      </c>
      <c r="CM23" s="261">
        <f>CM24/CM7/12</f>
        <v>0.02</v>
      </c>
      <c r="CO23" s="248">
        <v>0.02</v>
      </c>
      <c r="CP23" s="249">
        <v>0.02</v>
      </c>
      <c r="CQ23" s="249">
        <v>0.02</v>
      </c>
      <c r="CR23" s="249">
        <v>0.02</v>
      </c>
      <c r="CS23" s="261">
        <f>CS24/CS7/12</f>
        <v>0.02</v>
      </c>
      <c r="CU23" s="248">
        <v>0.02</v>
      </c>
      <c r="CV23" s="249">
        <v>0.02</v>
      </c>
      <c r="CW23" s="249">
        <v>0.02</v>
      </c>
      <c r="CX23" s="249">
        <v>0.02</v>
      </c>
      <c r="CY23" s="261">
        <f>CY24/CY7/12</f>
        <v>0.02</v>
      </c>
      <c r="DA23" s="248">
        <v>0.02</v>
      </c>
      <c r="DB23" s="249">
        <v>0.02</v>
      </c>
      <c r="DC23" s="249">
        <v>0.02</v>
      </c>
      <c r="DD23" s="249">
        <v>0.02</v>
      </c>
      <c r="DE23" s="261">
        <f>DE24/DE7/12</f>
        <v>0.02</v>
      </c>
      <c r="DG23" s="248">
        <v>0.02</v>
      </c>
      <c r="DH23" s="249">
        <v>0.02</v>
      </c>
      <c r="DI23" s="249">
        <v>0.02</v>
      </c>
      <c r="DJ23" s="249">
        <v>0.02</v>
      </c>
      <c r="DK23" s="261">
        <f>DK24/DK7/12</f>
        <v>0.02</v>
      </c>
    </row>
    <row r="24" spans="2:115" ht="15" x14ac:dyDescent="0.3">
      <c r="B24" s="40" t="s">
        <v>45</v>
      </c>
      <c r="C24" s="116">
        <f>C23*3*C7</f>
        <v>218.00550000000001</v>
      </c>
      <c r="D24" s="117">
        <f>D23*3*D7</f>
        <v>188.60999999999999</v>
      </c>
      <c r="E24" s="117">
        <f>E23*3*E7</f>
        <v>162.5625</v>
      </c>
      <c r="F24" s="117">
        <f>F23*3*F7</f>
        <v>195</v>
      </c>
      <c r="G24" s="118">
        <f>C24+D24+E24+F24</f>
        <v>764.178</v>
      </c>
      <c r="I24" s="116">
        <f>I23*3*I7</f>
        <v>186.95999999999998</v>
      </c>
      <c r="J24" s="117">
        <f>J23*3*J7</f>
        <v>167.91750000000002</v>
      </c>
      <c r="K24" s="117">
        <f>K23*3*K7</f>
        <v>179.03699999999998</v>
      </c>
      <c r="L24" s="117">
        <f>L23*3*L7</f>
        <v>161.64000000000001</v>
      </c>
      <c r="M24" s="118">
        <f>I24+J24+K24+L24</f>
        <v>695.55449999999996</v>
      </c>
      <c r="N24" s="114"/>
      <c r="O24" s="116">
        <f>O23*3*O7</f>
        <v>194.36999999999998</v>
      </c>
      <c r="P24" s="117">
        <f>P23*3*P7</f>
        <v>184.14</v>
      </c>
      <c r="Q24" s="117">
        <f>Q23*3*Q7</f>
        <v>183.30299999999997</v>
      </c>
      <c r="R24" s="117">
        <f>R23*3*R7</f>
        <v>194.7405</v>
      </c>
      <c r="S24" s="118">
        <f>O24+P24+Q24+R24</f>
        <v>756.55349999999999</v>
      </c>
      <c r="U24" s="116">
        <f>U23*3*U7</f>
        <v>190.94399999999996</v>
      </c>
      <c r="V24" s="117">
        <f>V23*3*V7</f>
        <v>163.7775</v>
      </c>
      <c r="W24" s="117">
        <f>W23*3*W7</f>
        <v>209.07599999999999</v>
      </c>
      <c r="X24" s="119">
        <f>X23*3*X7</f>
        <v>179.06399999999999</v>
      </c>
      <c r="Y24" s="118">
        <f>U24+V24+W24+X24</f>
        <v>742.86149999999998</v>
      </c>
      <c r="AA24" s="116">
        <f>AA23*3*AA7</f>
        <v>182.66400000000002</v>
      </c>
      <c r="AB24" s="117">
        <f>AB23*3*AB7</f>
        <v>173.4975</v>
      </c>
      <c r="AC24" s="117">
        <f>AC23*3*AC7</f>
        <v>187.488</v>
      </c>
      <c r="AD24" s="117">
        <f>AD23*3*AD7</f>
        <v>191.85599999999999</v>
      </c>
      <c r="AE24" s="118">
        <f>AA24+AB24+AC24+AD24</f>
        <v>735.50549999999998</v>
      </c>
      <c r="AG24" s="116">
        <f>AG23*3*AG7</f>
        <v>219.48299999999998</v>
      </c>
      <c r="AH24" s="117">
        <f>AH23*3*AH7</f>
        <v>195.31200000000001</v>
      </c>
      <c r="AI24" s="117">
        <f>AI23*3*AI7</f>
        <v>207.69750000000002</v>
      </c>
      <c r="AJ24" s="117">
        <f>AJ23*3*AJ7</f>
        <v>208.59</v>
      </c>
      <c r="AK24" s="118">
        <f>AG24+AH24+AI24+AJ24</f>
        <v>831.08249999999998</v>
      </c>
      <c r="AM24" s="116">
        <f>AM23*3*AM7</f>
        <v>208.947</v>
      </c>
      <c r="AN24" s="117">
        <f>AN23*3*AN7</f>
        <v>232.64549999999997</v>
      </c>
      <c r="AO24" s="117">
        <f>AO23*3*AO7</f>
        <v>267.86099999999999</v>
      </c>
      <c r="AP24" s="117">
        <f>AP23*3*AP7</f>
        <v>231.84749999999997</v>
      </c>
      <c r="AQ24" s="118">
        <f>AM24+AN24+AO24+AP24</f>
        <v>941.30099999999993</v>
      </c>
      <c r="AS24" s="116">
        <f>AS23*3*AS7</f>
        <v>233.58599999999998</v>
      </c>
      <c r="AT24" s="117">
        <f>AT23*3*AT7</f>
        <v>209.68650000000002</v>
      </c>
      <c r="AU24" s="117">
        <f>AU23*3*AU7</f>
        <v>280.83000000000004</v>
      </c>
      <c r="AV24" s="117">
        <f>AV23*3*AV7</f>
        <v>193.00800000000001</v>
      </c>
      <c r="AW24" s="118">
        <f>AS24+AT24+AU24+AV24</f>
        <v>917.11050000000012</v>
      </c>
      <c r="AY24" s="116">
        <f>AY23*3*AY7</f>
        <v>215.35199999999998</v>
      </c>
      <c r="AZ24" s="117">
        <f>AZ23*3*AZ7</f>
        <v>189.36</v>
      </c>
      <c r="BA24" s="117">
        <f>BA23*3*BA7</f>
        <v>177.66</v>
      </c>
      <c r="BB24" s="117">
        <f>BB23*3*BB7</f>
        <v>323.11500000000001</v>
      </c>
      <c r="BC24" s="118">
        <f>AY24+AZ24+BA24+BB24</f>
        <v>905.48699999999997</v>
      </c>
      <c r="BE24" s="116">
        <f>BE23*3*BE7</f>
        <v>346.03200000000004</v>
      </c>
      <c r="BF24" s="117">
        <f>BF23*3*BF7</f>
        <v>344.08800000000002</v>
      </c>
      <c r="BG24" s="117">
        <f>BG23*3*BG7</f>
        <v>362.88</v>
      </c>
      <c r="BH24" s="117">
        <f>BH23*3*BH7</f>
        <v>335.96250000000003</v>
      </c>
      <c r="BI24" s="118">
        <f>BE24+BF24+BG24+BH24</f>
        <v>1388.9625000000001</v>
      </c>
      <c r="BK24" s="116">
        <f>BK23*3*BK7</f>
        <v>335.05200000000002</v>
      </c>
      <c r="BL24" s="117">
        <f>BL23*3*BL7</f>
        <v>320.00100000000003</v>
      </c>
      <c r="BM24" s="117">
        <f>BM23*3*BM7</f>
        <v>412.49250000000001</v>
      </c>
      <c r="BN24" s="117">
        <f>BN23*3*BN7</f>
        <v>343.44450000000001</v>
      </c>
      <c r="BO24" s="118">
        <f>BK24+BL24+BM24+BN24</f>
        <v>1410.9900000000002</v>
      </c>
      <c r="BQ24" s="116">
        <f>BQ23*3*BQ7</f>
        <v>342.87</v>
      </c>
      <c r="BR24" s="117">
        <f>BR23*3*BR7</f>
        <v>344.37</v>
      </c>
      <c r="BS24" s="117">
        <f>BS23*3*BS7</f>
        <v>345.87</v>
      </c>
      <c r="BT24" s="117">
        <f>BT23*3*BT7</f>
        <v>348.12</v>
      </c>
      <c r="BU24" s="118">
        <f>BQ24+BR24+BS24+BT24</f>
        <v>1381.23</v>
      </c>
      <c r="BW24" s="116">
        <f>BW23*3*BW7</f>
        <v>350.07</v>
      </c>
      <c r="BX24" s="117">
        <f>BX23*3*BX7</f>
        <v>350.96999999999997</v>
      </c>
      <c r="BY24" s="117">
        <f>BY23*3*BY7</f>
        <v>351.87</v>
      </c>
      <c r="BZ24" s="117">
        <f>BZ23*3*BZ7</f>
        <v>353.21999999999997</v>
      </c>
      <c r="CA24" s="118">
        <f>BW24+BX24+BY24+BZ24</f>
        <v>1406.1299999999999</v>
      </c>
      <c r="CC24" s="116">
        <f>CC23*3*CC7</f>
        <v>354.41999999999996</v>
      </c>
      <c r="CD24" s="117">
        <f>CD23*3*CD7</f>
        <v>355.02</v>
      </c>
      <c r="CE24" s="117">
        <f>CE23*3*CE7</f>
        <v>355.62</v>
      </c>
      <c r="CF24" s="117">
        <f>CF23*3*CF7</f>
        <v>356.52</v>
      </c>
      <c r="CG24" s="118">
        <f>CC24+CD24+CE24+CF24</f>
        <v>1421.58</v>
      </c>
      <c r="CI24" s="116">
        <f>CI23*3*CI7</f>
        <v>357.41999999999996</v>
      </c>
      <c r="CJ24" s="117">
        <f>CJ23*3*CJ7</f>
        <v>358.02</v>
      </c>
      <c r="CK24" s="117">
        <f>CK23*3*CK7</f>
        <v>358.62</v>
      </c>
      <c r="CL24" s="117">
        <f>CL23*3*CL7</f>
        <v>359.52</v>
      </c>
      <c r="CM24" s="118">
        <f>CI24+CJ24+CK24+CL24</f>
        <v>1433.58</v>
      </c>
      <c r="CO24" s="116">
        <f>CO23*3*CO7</f>
        <v>360.41999999999996</v>
      </c>
      <c r="CP24" s="117">
        <f>CP23*3*CP7</f>
        <v>361.02</v>
      </c>
      <c r="CQ24" s="117">
        <f>CQ23*3*CQ7</f>
        <v>361.62</v>
      </c>
      <c r="CR24" s="117">
        <f>CR23*3*CR7</f>
        <v>362.52</v>
      </c>
      <c r="CS24" s="118">
        <f>CO24+CP24+CQ24+CR24</f>
        <v>1445.58</v>
      </c>
      <c r="CU24" s="116">
        <f>CU23*3*CU7</f>
        <v>363.41999999999996</v>
      </c>
      <c r="CV24" s="117">
        <f>CV23*3*CV7</f>
        <v>364.02</v>
      </c>
      <c r="CW24" s="117">
        <f>CW23*3*CW7</f>
        <v>364.62</v>
      </c>
      <c r="CX24" s="117">
        <f>CX23*3*CX7</f>
        <v>365.52</v>
      </c>
      <c r="CY24" s="118">
        <f>CU24+CV24+CW24+CX24</f>
        <v>1457.58</v>
      </c>
      <c r="DA24" s="116">
        <f>DA23*3*DA7</f>
        <v>366.41999999999996</v>
      </c>
      <c r="DB24" s="117">
        <f>DB23*3*DB7</f>
        <v>367.02</v>
      </c>
      <c r="DC24" s="117">
        <f>DC23*3*DC7</f>
        <v>367.62</v>
      </c>
      <c r="DD24" s="117">
        <f>DD23*3*DD7</f>
        <v>368.52</v>
      </c>
      <c r="DE24" s="118">
        <f>DA24+DB24+DC24+DD24</f>
        <v>1469.58</v>
      </c>
      <c r="DG24" s="116">
        <f>DG23*3*DG7</f>
        <v>369.41999999999996</v>
      </c>
      <c r="DH24" s="117">
        <f>DH23*3*DH7</f>
        <v>370.02</v>
      </c>
      <c r="DI24" s="117">
        <f>DI23*3*DI7</f>
        <v>370.62</v>
      </c>
      <c r="DJ24" s="117">
        <f>DJ23*3*DJ7</f>
        <v>371.52</v>
      </c>
      <c r="DK24" s="118">
        <f>DG24+DH24+DI24+DJ24</f>
        <v>1481.58</v>
      </c>
    </row>
    <row r="25" spans="2:115" ht="15" x14ac:dyDescent="0.3">
      <c r="B25" s="40" t="s">
        <v>42</v>
      </c>
      <c r="C25" s="116">
        <f>C24</f>
        <v>218.00550000000001</v>
      </c>
      <c r="D25" s="117">
        <f>D24+D5</f>
        <v>197.60999999999999</v>
      </c>
      <c r="E25" s="117">
        <f>E24+E5</f>
        <v>241.5625</v>
      </c>
      <c r="F25" s="117">
        <f>F24+F5</f>
        <v>241</v>
      </c>
      <c r="G25" s="118">
        <f>C25+D25+E25+F25</f>
        <v>898.178</v>
      </c>
      <c r="I25" s="116">
        <f>I24+I5</f>
        <v>200.95999999999998</v>
      </c>
      <c r="J25" s="117">
        <f>J24+J5</f>
        <v>178.91750000000002</v>
      </c>
      <c r="K25" s="117">
        <f>K24+K5</f>
        <v>214.03699999999998</v>
      </c>
      <c r="L25" s="117">
        <f>L24+L5</f>
        <v>230.64000000000001</v>
      </c>
      <c r="M25" s="118">
        <f>I25+J25+K25+L25</f>
        <v>824.55449999999996</v>
      </c>
      <c r="O25" s="116">
        <f>O24+O5</f>
        <v>210.36999999999998</v>
      </c>
      <c r="P25" s="117">
        <f>P24</f>
        <v>184.14</v>
      </c>
      <c r="Q25" s="117">
        <f>Q24</f>
        <v>183.30299999999997</v>
      </c>
      <c r="R25" s="117">
        <f>R24+R5</f>
        <v>253.7405</v>
      </c>
      <c r="S25" s="118">
        <f>O25+P25+Q25+R25</f>
        <v>831.55349999999999</v>
      </c>
      <c r="U25" s="116">
        <f>U24+U5</f>
        <v>370.94399999999996</v>
      </c>
      <c r="V25" s="117">
        <f>V24+V5</f>
        <v>190.7775</v>
      </c>
      <c r="W25" s="117">
        <f>W24+W5</f>
        <v>239.07599999999999</v>
      </c>
      <c r="X25" s="119">
        <f>X24+X5</f>
        <v>274.06399999999996</v>
      </c>
      <c r="Y25" s="118">
        <f>U25+V25+W25+X25</f>
        <v>1074.8615</v>
      </c>
      <c r="AA25" s="116">
        <f>AA24+AA5</f>
        <v>237.66400000000002</v>
      </c>
      <c r="AB25" s="117">
        <f>AB24+AB5</f>
        <v>218.4975</v>
      </c>
      <c r="AC25" s="117">
        <f>AC24+AC5</f>
        <v>243.488</v>
      </c>
      <c r="AD25" s="117">
        <f>AD24+AD5</f>
        <v>317.85599999999999</v>
      </c>
      <c r="AE25" s="118">
        <f>AA25+AB25+AC25+AD25</f>
        <v>1017.5055</v>
      </c>
      <c r="AG25" s="116">
        <f>AG24+AG5</f>
        <v>228.48299999999998</v>
      </c>
      <c r="AH25" s="117">
        <f>AH24+AH5</f>
        <v>195.31200000000001</v>
      </c>
      <c r="AI25" s="117">
        <f>AI24+AI5</f>
        <v>214.69750000000002</v>
      </c>
      <c r="AJ25" s="117">
        <f>AJ24+AJ5</f>
        <v>236.59</v>
      </c>
      <c r="AK25" s="118">
        <f>AG25+AH25+AI25+AJ25</f>
        <v>875.08249999999998</v>
      </c>
      <c r="AM25" s="116">
        <f>AM24+AM5</f>
        <v>194.947</v>
      </c>
      <c r="AN25" s="117">
        <f>AN24+AN5</f>
        <v>215.64549999999997</v>
      </c>
      <c r="AO25" s="117">
        <f>AO24+AO5</f>
        <v>238.86099999999999</v>
      </c>
      <c r="AP25" s="117">
        <f>AP24+AP5</f>
        <v>278.84749999999997</v>
      </c>
      <c r="AQ25" s="118">
        <f>AM25+AN25+AO25+AP25</f>
        <v>928.30099999999993</v>
      </c>
      <c r="AS25" s="116">
        <f>AS24+AS5</f>
        <v>247.58599999999998</v>
      </c>
      <c r="AT25" s="117">
        <f>AT24+AT5</f>
        <v>222.68650000000002</v>
      </c>
      <c r="AU25" s="117">
        <f>AU24+AU5</f>
        <v>184.83000000000004</v>
      </c>
      <c r="AV25" s="117">
        <f>AV24+AV5</f>
        <v>191.00800000000001</v>
      </c>
      <c r="AW25" s="118">
        <f>AS25+AT25+AU25+AV25</f>
        <v>846.11050000000012</v>
      </c>
      <c r="AY25" s="116">
        <f>AY24+AY5</f>
        <v>151.35199999999998</v>
      </c>
      <c r="AZ25" s="117">
        <f>AZ24+AZ5</f>
        <v>167.36</v>
      </c>
      <c r="BA25" s="117">
        <f>BA24+BA5</f>
        <v>205.66</v>
      </c>
      <c r="BB25" s="117">
        <v>175</v>
      </c>
      <c r="BC25" s="118">
        <f>AY25+AZ25+BA25+BB25</f>
        <v>699.37199999999996</v>
      </c>
      <c r="BE25" s="116">
        <f>BE24+BE5</f>
        <v>244.03200000000004</v>
      </c>
      <c r="BF25" s="117">
        <f>BF24+BF5</f>
        <v>398.08800000000002</v>
      </c>
      <c r="BG25" s="117">
        <f>BG24+BG5</f>
        <v>452.88</v>
      </c>
      <c r="BH25" s="117">
        <f>BH24+BH5</f>
        <v>564.96250000000009</v>
      </c>
      <c r="BI25" s="118">
        <f>BE25+BF25+BG25+BH25</f>
        <v>1659.9625000000001</v>
      </c>
      <c r="BK25" s="116">
        <f>BK24+BK5</f>
        <v>454.05200000000002</v>
      </c>
      <c r="BL25" s="117">
        <f>BL24+BL5</f>
        <v>591.00099999999998</v>
      </c>
      <c r="BM25" s="117">
        <f>BM24+BM5</f>
        <v>629.49250000000006</v>
      </c>
      <c r="BN25" s="117">
        <f>BN24+BN5</f>
        <v>844.44450000000006</v>
      </c>
      <c r="BO25" s="118">
        <f>BK25+BL25+BM25+BN25</f>
        <v>2518.9899999999998</v>
      </c>
      <c r="BQ25" s="116">
        <f>BQ24+BQ5</f>
        <v>367.87</v>
      </c>
      <c r="BR25" s="117">
        <f>BR24+BR5</f>
        <v>369.37</v>
      </c>
      <c r="BS25" s="117">
        <f>BS24+BS5</f>
        <v>370.87</v>
      </c>
      <c r="BT25" s="117">
        <f>BT24+BT5</f>
        <v>398.12</v>
      </c>
      <c r="BU25" s="118">
        <f>BQ25+BR25+BS25+BT25</f>
        <v>1506.23</v>
      </c>
      <c r="BW25" s="116">
        <f>BW24+BW5</f>
        <v>365.07</v>
      </c>
      <c r="BX25" s="117">
        <f>BX24+BX5</f>
        <v>365.96999999999997</v>
      </c>
      <c r="BY25" s="117">
        <f>BY24+BY5</f>
        <v>366.87</v>
      </c>
      <c r="BZ25" s="117">
        <f>BZ24+BZ5</f>
        <v>383.21999999999997</v>
      </c>
      <c r="CA25" s="118">
        <f>BW25+BX25+BY25+BZ25</f>
        <v>1481.1299999999999</v>
      </c>
      <c r="CC25" s="116">
        <f>CC24+CC5</f>
        <v>364.41999999999996</v>
      </c>
      <c r="CD25" s="117">
        <f>CD24+CD5</f>
        <v>365.02</v>
      </c>
      <c r="CE25" s="117">
        <f>CE24+CE5</f>
        <v>365.62</v>
      </c>
      <c r="CF25" s="117">
        <f>CF24+CF5</f>
        <v>376.52</v>
      </c>
      <c r="CG25" s="118">
        <f>CC25+CD25+CE25+CF25</f>
        <v>1471.58</v>
      </c>
      <c r="CI25" s="116">
        <f>CI24+CI5</f>
        <v>367.41999999999996</v>
      </c>
      <c r="CJ25" s="117">
        <f>CJ24+CJ5</f>
        <v>368.02</v>
      </c>
      <c r="CK25" s="117">
        <f>CK24+CK5</f>
        <v>368.62</v>
      </c>
      <c r="CL25" s="117">
        <f>CL24+CL5</f>
        <v>379.52</v>
      </c>
      <c r="CM25" s="118">
        <f>CI25+CJ25+CK25+CL25</f>
        <v>1483.58</v>
      </c>
      <c r="CO25" s="116">
        <f>CO24+CO5</f>
        <v>370.41999999999996</v>
      </c>
      <c r="CP25" s="117">
        <f>CP24+CP5</f>
        <v>371.02</v>
      </c>
      <c r="CQ25" s="117">
        <f>CQ24+CQ5</f>
        <v>371.62</v>
      </c>
      <c r="CR25" s="117">
        <f>CR24+CR5</f>
        <v>382.52</v>
      </c>
      <c r="CS25" s="118">
        <f>CO25+CP25+CQ25+CR25</f>
        <v>1495.58</v>
      </c>
      <c r="CU25" s="116">
        <f>CU24+CU5</f>
        <v>373.41999999999996</v>
      </c>
      <c r="CV25" s="117">
        <f>CV24+CV5</f>
        <v>374.02</v>
      </c>
      <c r="CW25" s="117">
        <f>CW24+CW5</f>
        <v>374.62</v>
      </c>
      <c r="CX25" s="117">
        <f>CX24+CX5</f>
        <v>385.52</v>
      </c>
      <c r="CY25" s="118">
        <f>CU25+CV25+CW25+CX25</f>
        <v>1507.58</v>
      </c>
      <c r="DA25" s="116">
        <f>DA24+DA5</f>
        <v>376.41999999999996</v>
      </c>
      <c r="DB25" s="117">
        <f>DB24+DB5</f>
        <v>377.02</v>
      </c>
      <c r="DC25" s="117">
        <f>DC24+DC5</f>
        <v>377.62</v>
      </c>
      <c r="DD25" s="117">
        <f>DD24+DD5</f>
        <v>388.52</v>
      </c>
      <c r="DE25" s="118">
        <f>DA25+DB25+DC25+DD25</f>
        <v>1519.58</v>
      </c>
      <c r="DG25" s="116">
        <f>DG24+DG5</f>
        <v>379.41999999999996</v>
      </c>
      <c r="DH25" s="117">
        <f>DH24+DH5</f>
        <v>380.02</v>
      </c>
      <c r="DI25" s="117">
        <f>DI24+DI5</f>
        <v>380.62</v>
      </c>
      <c r="DJ25" s="117">
        <f>DJ24+DJ5</f>
        <v>391.52</v>
      </c>
      <c r="DK25" s="118">
        <f>DG25+DH25+DI25+DJ25</f>
        <v>1531.58</v>
      </c>
    </row>
    <row r="26" spans="2:115" s="135" customFormat="1" ht="15" x14ac:dyDescent="0.3">
      <c r="B26" s="39" t="s">
        <v>43</v>
      </c>
      <c r="C26" s="188">
        <f>C29*1000/C25</f>
        <v>73.392643763574767</v>
      </c>
      <c r="D26" s="189">
        <f>D29*1000/D25</f>
        <v>86.028035018470732</v>
      </c>
      <c r="E26" s="189">
        <f>E29*1000/E25</f>
        <v>82.794307891332465</v>
      </c>
      <c r="F26" s="190">
        <f>F29*1000/F25</f>
        <v>74.68879668049793</v>
      </c>
      <c r="G26" s="192">
        <f>G29*1000/G25</f>
        <v>79.048919033866341</v>
      </c>
      <c r="H26" s="134"/>
      <c r="I26" s="188">
        <f>I29*1000/I25</f>
        <v>49.761146496815293</v>
      </c>
      <c r="J26" s="189">
        <f>J29*1000/J25</f>
        <v>55.891681920438188</v>
      </c>
      <c r="K26" s="189">
        <f>K29*1000/K25</f>
        <v>74.753430481645708</v>
      </c>
      <c r="L26" s="190">
        <f>L29*1000/L25</f>
        <v>47.69337495664238</v>
      </c>
      <c r="M26" s="192">
        <f>M29*1000/M25</f>
        <v>57.00047722739977</v>
      </c>
      <c r="N26" s="134"/>
      <c r="O26" s="188">
        <f>O29*1000/O25</f>
        <v>52.28882445215573</v>
      </c>
      <c r="P26" s="189">
        <f>P29*1000/P25</f>
        <v>54.306505919409148</v>
      </c>
      <c r="Q26" s="189">
        <f>Q29*1000/Q25</f>
        <v>70.920825081968118</v>
      </c>
      <c r="R26" s="190">
        <f>R29*1000/R25</f>
        <v>59.115513684256157</v>
      </c>
      <c r="S26" s="192">
        <f>S29*1000/S25</f>
        <v>58.925853838628541</v>
      </c>
      <c r="T26" s="134"/>
      <c r="U26" s="188">
        <f>U29*1000/U25</f>
        <v>35.045721187025542</v>
      </c>
      <c r="V26" s="189">
        <f>V29*1000/V25</f>
        <v>57.658790999986891</v>
      </c>
      <c r="W26" s="189">
        <f>W29*1000/W25</f>
        <v>75.289865984038556</v>
      </c>
      <c r="X26" s="189">
        <f>X29*1000/X25</f>
        <v>54.731741491038598</v>
      </c>
      <c r="Y26" s="192">
        <f>Y29*1000/Y25</f>
        <v>53.030088062508518</v>
      </c>
      <c r="AA26" s="188">
        <f>AA29*1000/AA25</f>
        <v>46.283829271576678</v>
      </c>
      <c r="AB26" s="189">
        <f>AB29*1000/AB25</f>
        <v>54.920536848247693</v>
      </c>
      <c r="AC26" s="189">
        <f>AC29*1000/AC25</f>
        <v>57.497700091996322</v>
      </c>
      <c r="AD26" s="189">
        <f>AD29*1000/AD25</f>
        <v>75.505889459377826</v>
      </c>
      <c r="AE26" s="192">
        <f>AE29*1000/AE25</f>
        <v>59.950535893909176</v>
      </c>
      <c r="AG26" s="188">
        <f>AG29*1000/AG25</f>
        <v>78.780478197502674</v>
      </c>
      <c r="AH26" s="189">
        <f>AH29*1000/AH25</f>
        <v>92.160235930203982</v>
      </c>
      <c r="AI26" s="189">
        <f>AI29*1000/AI25</f>
        <v>83.838889600484393</v>
      </c>
      <c r="AJ26" s="189">
        <f>AJ29*1000/AJ25</f>
        <v>92.9878693097764</v>
      </c>
      <c r="AK26" s="192">
        <f>AK29*1000/AK25</f>
        <v>86.848954241457236</v>
      </c>
      <c r="AM26" s="188">
        <f>AM29*1000/AM25</f>
        <v>148.75838048290049</v>
      </c>
      <c r="AN26" s="189">
        <f>AN29*1000/AN25</f>
        <v>102.01928628234766</v>
      </c>
      <c r="AO26" s="189">
        <f>AO29*1000/AO25</f>
        <v>87.917240570875947</v>
      </c>
      <c r="AP26" s="189">
        <f>AP29*1000/AP25</f>
        <v>107.58568751737062</v>
      </c>
      <c r="AQ26" s="192">
        <f>AQ29*1000/AQ25</f>
        <v>109.87815374539078</v>
      </c>
      <c r="AS26" s="188">
        <f>AS29*1000/AS25</f>
        <v>96.936014152658075</v>
      </c>
      <c r="AT26" s="189">
        <f>AT29*1000/AT25</f>
        <v>130.2279213153918</v>
      </c>
      <c r="AU26" s="189">
        <f>AU29*1000/AU25</f>
        <v>167.72169020180704</v>
      </c>
      <c r="AV26" s="189">
        <f>AV29*1000/AV25</f>
        <v>198.94454682526384</v>
      </c>
      <c r="AW26" s="192">
        <f>AW29*1000/AW25</f>
        <v>144.18920460152663</v>
      </c>
      <c r="AY26" s="188">
        <f>AY29*1000/AY25</f>
        <v>165.17786352344206</v>
      </c>
      <c r="AZ26" s="189">
        <f>AZ29*1000/AZ25</f>
        <v>179.25430210325047</v>
      </c>
      <c r="BA26" s="189">
        <f>BA29*1000/BA25</f>
        <v>141.00943304483127</v>
      </c>
      <c r="BB26" s="189">
        <f>BB29*1000/BB25</f>
        <v>234.28571428571428</v>
      </c>
      <c r="BC26" s="192">
        <f>BC29*1000/BC25</f>
        <v>178.73177650806724</v>
      </c>
      <c r="BE26" s="188">
        <f>BE29*1000/BE25</f>
        <v>122.93469708890635</v>
      </c>
      <c r="BF26" s="189">
        <f>BF29*1000/BF25</f>
        <v>72.848214465143386</v>
      </c>
      <c r="BG26" s="189">
        <f>BG29*1000/BG25</f>
        <v>66.242713301536838</v>
      </c>
      <c r="BH26" s="189">
        <f>BH29*1000/BH25</f>
        <v>60.180985463636958</v>
      </c>
      <c r="BI26" s="192">
        <f>BI29*1000/BI25</f>
        <v>74.098059444113943</v>
      </c>
      <c r="BK26" s="188">
        <f>BK29*1000/BK25</f>
        <v>61.666945636182639</v>
      </c>
      <c r="BL26" s="189">
        <f>BL29*1000/BL25</f>
        <v>50.761335429212473</v>
      </c>
      <c r="BM26" s="189">
        <f>BM29*1000/BM25</f>
        <v>41.303113222159119</v>
      </c>
      <c r="BN26" s="189">
        <f>BN29*1000/BN25</f>
        <v>46.184207487881082</v>
      </c>
      <c r="BO26" s="192">
        <f>BO29*1000/BO25</f>
        <v>48.829094200453362</v>
      </c>
      <c r="BQ26" s="188">
        <f>BK26*(1+BQ27)</f>
        <v>80.16702932703744</v>
      </c>
      <c r="BR26" s="189">
        <f>BL26*(1+BR27)</f>
        <v>83.756203458200574</v>
      </c>
      <c r="BS26" s="189">
        <f>BM26*(1+BS27)</f>
        <v>72.280448138778453</v>
      </c>
      <c r="BT26" s="189">
        <f>BN26*(1+BT27)</f>
        <v>101.60525647333839</v>
      </c>
      <c r="BU26" s="192">
        <f>BU29*1000/BU25</f>
        <v>84.771786817608898</v>
      </c>
      <c r="BW26" s="188">
        <f>BQ26*(1+BW27)</f>
        <v>82.57204020684857</v>
      </c>
      <c r="BX26" s="189">
        <f>BR26*(1+BX27)</f>
        <v>86.268889561946594</v>
      </c>
      <c r="BY26" s="189">
        <f>BS26*(1+BY27)</f>
        <v>74.448861582941802</v>
      </c>
      <c r="BZ26" s="189">
        <f>BT26*(1+BZ27)</f>
        <v>107.7015718617387</v>
      </c>
      <c r="CA26" s="192">
        <f>CA29*1000/CA25</f>
        <v>87.975296192156776</v>
      </c>
      <c r="CC26" s="188">
        <f>BW26*(1+CC27)</f>
        <v>84.223481010985537</v>
      </c>
      <c r="CD26" s="189">
        <f>BX26*(1+CD27)</f>
        <v>87.994267353185521</v>
      </c>
      <c r="CE26" s="189">
        <f>BY26*(1+CE27)</f>
        <v>75.937838814600639</v>
      </c>
      <c r="CF26" s="189">
        <f>BZ26*(1+CF27)</f>
        <v>112.00963473620826</v>
      </c>
      <c r="CG26" s="192">
        <f>CG29*1000/CG25</f>
        <v>90.209603771153837</v>
      </c>
      <c r="CI26" s="188">
        <f>CC26*(1+CI27)</f>
        <v>84.644598416040452</v>
      </c>
      <c r="CJ26" s="189">
        <f>CD26*(1+CJ27)</f>
        <v>88.434238689951442</v>
      </c>
      <c r="CK26" s="189">
        <f>CE26*(1+CK27)</f>
        <v>76.317528008673634</v>
      </c>
      <c r="CL26" s="189">
        <f>CF26*(1+CL27)</f>
        <v>112.56968290988928</v>
      </c>
      <c r="CM26" s="192">
        <f>CM29*1000/CM25</f>
        <v>90.659283695665863</v>
      </c>
      <c r="CO26" s="188">
        <f>CI26*(1+CO27)</f>
        <v>85.067821408120651</v>
      </c>
      <c r="CP26" s="189">
        <f>CJ26*(1+CP27)</f>
        <v>88.876409883401195</v>
      </c>
      <c r="CQ26" s="189">
        <f>CK26*(1+CQ27)</f>
        <v>76.699115648716997</v>
      </c>
      <c r="CR26" s="189">
        <f>CL26*(1+CR27)</f>
        <v>113.13253132443872</v>
      </c>
      <c r="CS26" s="192">
        <f>CS29*1000/CS25</f>
        <v>91.111227243300974</v>
      </c>
      <c r="CU26" s="188">
        <f>CO26*(1+CU27)</f>
        <v>85.49316051516125</v>
      </c>
      <c r="CV26" s="189">
        <f>CP26*(1+CV27)</f>
        <v>89.320791932818196</v>
      </c>
      <c r="CW26" s="189">
        <f>CQ26*(1+CW27)</f>
        <v>77.08261122696058</v>
      </c>
      <c r="CX26" s="189">
        <f>CR26*(1+CX27)</f>
        <v>113.6981939810609</v>
      </c>
      <c r="CY26" s="192">
        <f>CY29*1000/CY25</f>
        <v>91.565445389104895</v>
      </c>
      <c r="DA26" s="188">
        <f>CU26*(1+DA27)</f>
        <v>85.920626317737046</v>
      </c>
      <c r="DB26" s="189">
        <f>CV26*(1+DB27)</f>
        <v>89.767395892482284</v>
      </c>
      <c r="DC26" s="189">
        <f>CW26*(1+DC27)</f>
        <v>77.468024283095374</v>
      </c>
      <c r="DD26" s="189">
        <f>CX26*(1+DD27)</f>
        <v>114.26668495096619</v>
      </c>
      <c r="DE26" s="192">
        <f>DE29*1000/DE25</f>
        <v>92.021949173349299</v>
      </c>
      <c r="DG26" s="188">
        <f>DA26*(1+DG27)</f>
        <v>86.350229449325724</v>
      </c>
      <c r="DH26" s="189">
        <f>DB26*(1+DH27)</f>
        <v>90.216232871944683</v>
      </c>
      <c r="DI26" s="189">
        <f>DC26*(1+DI27)</f>
        <v>77.855364404510837</v>
      </c>
      <c r="DJ26" s="189">
        <f>DD26*(1+DJ27)</f>
        <v>114.83801837572101</v>
      </c>
      <c r="DK26" s="192">
        <f>DK29*1000/DK25</f>
        <v>92.480749701463054</v>
      </c>
    </row>
    <row r="27" spans="2:115" ht="15.75" thickBot="1" x14ac:dyDescent="0.35">
      <c r="B27" s="41" t="s">
        <v>23</v>
      </c>
      <c r="C27" s="155" t="s">
        <v>35</v>
      </c>
      <c r="D27" s="106" t="s">
        <v>35</v>
      </c>
      <c r="E27" s="106" t="s">
        <v>35</v>
      </c>
      <c r="F27" s="154" t="s">
        <v>35</v>
      </c>
      <c r="G27" s="108" t="s">
        <v>35</v>
      </c>
      <c r="I27" s="109">
        <f>I26/C26-1</f>
        <v>-0.32198727358678336</v>
      </c>
      <c r="J27" s="110">
        <f>J26/D26-1</f>
        <v>-0.35030851386483586</v>
      </c>
      <c r="K27" s="110">
        <f>K26/E26-1</f>
        <v>-9.7118722463872875E-2</v>
      </c>
      <c r="L27" s="120">
        <f>L26/F26-1</f>
        <v>-0.36143870196939931</v>
      </c>
      <c r="M27" s="122">
        <f>M26/G26-1</f>
        <v>-0.27892148401195116</v>
      </c>
      <c r="O27" s="109">
        <f>O26/I26-1</f>
        <v>5.0796216190521326E-2</v>
      </c>
      <c r="P27" s="110">
        <f>P26/J26-1</f>
        <v>-2.8361572716411376E-2</v>
      </c>
      <c r="Q27" s="110">
        <f>Q26/K26-1</f>
        <v>-5.1269960120674529E-2</v>
      </c>
      <c r="R27" s="120">
        <f>R26/L26-1</f>
        <v>0.23949109783062195</v>
      </c>
      <c r="S27" s="122">
        <f>S26/M26-1</f>
        <v>3.3778254233689964E-2</v>
      </c>
      <c r="U27" s="109">
        <f>U26/O26-1</f>
        <v>-0.3297665121714034</v>
      </c>
      <c r="V27" s="110">
        <f>V26/P26-1</f>
        <v>6.1728977473758606E-2</v>
      </c>
      <c r="W27" s="110">
        <f>W26/Q26-1</f>
        <v>6.1604484959401296E-2</v>
      </c>
      <c r="X27" s="110">
        <f>X26/R26-1</f>
        <v>-7.415603654620806E-2</v>
      </c>
      <c r="Y27" s="122">
        <f>Y26/S26-1</f>
        <v>-0.10005397278189432</v>
      </c>
      <c r="AA27" s="109">
        <f>AA26/U26-1</f>
        <v>0.32066990502428738</v>
      </c>
      <c r="AB27" s="110">
        <f>AB26/V26-1</f>
        <v>-4.7490661948493162E-2</v>
      </c>
      <c r="AC27" s="110">
        <f>AC26/W26-1</f>
        <v>-0.2363155473781049</v>
      </c>
      <c r="AD27" s="110">
        <f>AD26/X26-1</f>
        <v>0.37956307258632815</v>
      </c>
      <c r="AE27" s="122">
        <f>AE26/Y26-1</f>
        <v>0.13050040239879057</v>
      </c>
      <c r="AG27" s="109">
        <f>AG26/AA26-1</f>
        <v>0.70211668821193429</v>
      </c>
      <c r="AH27" s="110">
        <f>AH26/AB26-1</f>
        <v>0.67806509584664543</v>
      </c>
      <c r="AI27" s="110">
        <f>AI26/AC26-1</f>
        <v>0.45812596793162452</v>
      </c>
      <c r="AJ27" s="110">
        <v>0.2</v>
      </c>
      <c r="AK27" s="122">
        <f>AK26/AE26-1</f>
        <v>0.44867686245788629</v>
      </c>
      <c r="AM27" s="109">
        <f>AM26/AG26-1</f>
        <v>0.88826450265969692</v>
      </c>
      <c r="AN27" s="110">
        <f>AN26/AH26-1</f>
        <v>0.1069772690209938</v>
      </c>
      <c r="AO27" s="110">
        <f>AO26/AI26-1</f>
        <v>4.8645097636980106E-2</v>
      </c>
      <c r="AP27" s="110">
        <f>AP26/AJ26-1</f>
        <v>0.15698626407885063</v>
      </c>
      <c r="AQ27" s="122">
        <f>AQ26/AK26-1</f>
        <v>0.26516380888027524</v>
      </c>
      <c r="AS27" s="109">
        <f>AS26/AM26-1</f>
        <v>-0.34836602927523341</v>
      </c>
      <c r="AT27" s="110">
        <f>AT26/AN26-1</f>
        <v>0.27650296390992346</v>
      </c>
      <c r="AU27" s="110">
        <f>AU26/AO26-1</f>
        <v>0.90772241158542055</v>
      </c>
      <c r="AV27" s="110">
        <f>AV26/AP26-1</f>
        <v>0.84917298402859176</v>
      </c>
      <c r="AW27" s="122">
        <f>AW26/AQ26-1</f>
        <v>0.31226453745884086</v>
      </c>
      <c r="AY27" s="109">
        <f>AY26/AS26-1</f>
        <v>0.70398860492978832</v>
      </c>
      <c r="AZ27" s="110">
        <f>AZ26/AT26-1</f>
        <v>0.37646597052812036</v>
      </c>
      <c r="BA27" s="110">
        <f>BA26/AU26-1</f>
        <v>-0.15926537065560753</v>
      </c>
      <c r="BB27" s="110">
        <f>BB26/AV26-1</f>
        <v>0.17764330827067676</v>
      </c>
      <c r="BC27" s="122">
        <f>BC26/AW26-1</f>
        <v>0.23956420317318883</v>
      </c>
      <c r="BE27" s="109">
        <f>BE26/AY26-1</f>
        <v>-0.25574350904799392</v>
      </c>
      <c r="BF27" s="110">
        <f>BF26/AZ26-1</f>
        <v>-0.59360409423712013</v>
      </c>
      <c r="BG27" s="110">
        <f>BG26/BA26-1</f>
        <v>-0.53022495111744594</v>
      </c>
      <c r="BH27" s="110">
        <f>BH26/BB26-1</f>
        <v>-0.7431299400942325</v>
      </c>
      <c r="BI27" s="122">
        <f>BI26/BC26-1</f>
        <v>-0.58542313576360916</v>
      </c>
      <c r="BK27" s="109">
        <f>BK26/BE26-1</f>
        <v>-0.49837639741703588</v>
      </c>
      <c r="BL27" s="110">
        <f>BL26/BF26-1</f>
        <v>-0.30319039660881608</v>
      </c>
      <c r="BM27" s="110">
        <f>BM26/BG26-1</f>
        <v>-0.37648820279828599</v>
      </c>
      <c r="BN27" s="110">
        <f>BN26/BH26-1</f>
        <v>-0.23257807873905822</v>
      </c>
      <c r="BO27" s="122">
        <f>BO26/BI26-1</f>
        <v>-0.34102060746569052</v>
      </c>
      <c r="BQ27" s="109">
        <v>0.3</v>
      </c>
      <c r="BR27" s="110">
        <v>0.65</v>
      </c>
      <c r="BS27" s="110">
        <v>0.75</v>
      </c>
      <c r="BT27" s="110">
        <v>1.2</v>
      </c>
      <c r="BU27" s="122">
        <f>BU26/BO26-1</f>
        <v>0.73609173394868788</v>
      </c>
      <c r="BW27" s="109">
        <v>0.03</v>
      </c>
      <c r="BX27" s="110">
        <v>0.03</v>
      </c>
      <c r="BY27" s="110">
        <v>0.03</v>
      </c>
      <c r="BZ27" s="110">
        <v>0.06</v>
      </c>
      <c r="CA27" s="122">
        <f>CA26/BU26-1</f>
        <v>3.7789805957970435E-2</v>
      </c>
      <c r="CC27" s="109">
        <v>0.02</v>
      </c>
      <c r="CD27" s="110">
        <v>0.02</v>
      </c>
      <c r="CE27" s="110">
        <v>0.02</v>
      </c>
      <c r="CF27" s="110">
        <v>0.04</v>
      </c>
      <c r="CG27" s="122">
        <f>CG26/CA26-1</f>
        <v>2.5396988424078337E-2</v>
      </c>
      <c r="CI27" s="109">
        <v>5.0000000000000001E-3</v>
      </c>
      <c r="CJ27" s="110">
        <v>5.0000000000000001E-3</v>
      </c>
      <c r="CK27" s="110">
        <v>5.0000000000000001E-3</v>
      </c>
      <c r="CL27" s="110">
        <v>5.0000000000000001E-3</v>
      </c>
      <c r="CM27" s="122">
        <f>CM26/CG26-1</f>
        <v>4.9848342716678484E-3</v>
      </c>
      <c r="CO27" s="109">
        <v>5.0000000000000001E-3</v>
      </c>
      <c r="CP27" s="110">
        <v>5.0000000000000001E-3</v>
      </c>
      <c r="CQ27" s="110">
        <v>5.0000000000000001E-3</v>
      </c>
      <c r="CR27" s="110">
        <v>5.0000000000000001E-3</v>
      </c>
      <c r="CS27" s="122">
        <f>CS26/CM26-1</f>
        <v>4.9850774152622179E-3</v>
      </c>
      <c r="CU27" s="109">
        <v>5.0000000000000001E-3</v>
      </c>
      <c r="CV27" s="110">
        <v>5.0000000000000001E-3</v>
      </c>
      <c r="CW27" s="110">
        <v>5.0000000000000001E-3</v>
      </c>
      <c r="CX27" s="110">
        <v>5.0000000000000001E-3</v>
      </c>
      <c r="CY27" s="122">
        <f>CY26/CS26-1</f>
        <v>4.9853147580922741E-3</v>
      </c>
      <c r="DA27" s="109">
        <v>5.0000000000000001E-3</v>
      </c>
      <c r="DB27" s="110">
        <v>5.0000000000000001E-3</v>
      </c>
      <c r="DC27" s="110">
        <v>5.0000000000000001E-3</v>
      </c>
      <c r="DD27" s="110">
        <v>5.0000000000000001E-3</v>
      </c>
      <c r="DE27" s="122">
        <f>DE26/CY26-1</f>
        <v>4.9855464832231355E-3</v>
      </c>
      <c r="DG27" s="109">
        <v>5.0000000000000001E-3</v>
      </c>
      <c r="DH27" s="110">
        <v>5.0000000000000001E-3</v>
      </c>
      <c r="DI27" s="110">
        <v>5.0000000000000001E-3</v>
      </c>
      <c r="DJ27" s="110">
        <v>5.0000000000000001E-3</v>
      </c>
      <c r="DK27" s="122">
        <f>DK26/DE26-1</f>
        <v>4.9857727665545415E-3</v>
      </c>
    </row>
    <row r="28" spans="2:115" ht="15.75" thickBot="1" x14ac:dyDescent="0.35">
      <c r="B28" s="1"/>
      <c r="AA28" s="103"/>
      <c r="AB28" s="103"/>
      <c r="AC28" s="103"/>
      <c r="AD28" s="103"/>
      <c r="AE28" s="103"/>
      <c r="AG28" s="103"/>
      <c r="AH28" s="103"/>
      <c r="AI28" s="103"/>
      <c r="AJ28" s="103"/>
      <c r="AK28" s="103"/>
      <c r="AM28" s="103"/>
      <c r="AN28" s="103"/>
      <c r="AO28" s="103"/>
      <c r="AP28" s="103"/>
      <c r="AQ28" s="103"/>
      <c r="AS28" s="103"/>
      <c r="AT28" s="103"/>
      <c r="AU28" s="103"/>
      <c r="AV28" s="103"/>
      <c r="AW28" s="103"/>
      <c r="AY28" s="103"/>
      <c r="AZ28" s="103"/>
      <c r="BA28" s="103"/>
      <c r="BB28" s="103"/>
      <c r="BC28" s="103"/>
      <c r="BE28" s="103"/>
      <c r="BF28" s="103"/>
      <c r="BG28" s="103"/>
      <c r="BH28" s="103"/>
      <c r="BI28" s="103"/>
      <c r="BK28" s="103"/>
      <c r="BL28" s="103"/>
      <c r="BM28" s="103"/>
      <c r="BN28" s="103"/>
      <c r="BO28" s="103"/>
      <c r="BQ28" s="103"/>
      <c r="BR28" s="103"/>
      <c r="BS28" s="103"/>
      <c r="BT28" s="103"/>
      <c r="BU28" s="103"/>
      <c r="BW28" s="103"/>
      <c r="BX28" s="103"/>
      <c r="BY28" s="103"/>
      <c r="BZ28" s="103"/>
      <c r="CA28" s="103"/>
      <c r="CC28" s="103"/>
      <c r="CD28" s="103"/>
      <c r="CE28" s="103"/>
      <c r="CF28" s="103"/>
      <c r="CG28" s="103"/>
      <c r="CI28" s="103"/>
      <c r="CJ28" s="103"/>
      <c r="CK28" s="103"/>
      <c r="CL28" s="103"/>
      <c r="CM28" s="103"/>
      <c r="CO28" s="103"/>
      <c r="CP28" s="103"/>
      <c r="CQ28" s="103"/>
      <c r="CR28" s="103"/>
      <c r="CS28" s="103"/>
      <c r="CU28" s="103"/>
      <c r="CV28" s="103"/>
      <c r="CW28" s="103"/>
      <c r="CX28" s="103"/>
      <c r="CY28" s="103"/>
      <c r="DA28" s="103"/>
      <c r="DB28" s="103"/>
      <c r="DC28" s="103"/>
      <c r="DD28" s="103"/>
      <c r="DE28" s="103"/>
      <c r="DG28" s="103"/>
      <c r="DH28" s="103"/>
      <c r="DI28" s="103"/>
      <c r="DJ28" s="103"/>
      <c r="DK28" s="103"/>
    </row>
    <row r="29" spans="2:115" s="135" customFormat="1" ht="15" x14ac:dyDescent="0.3">
      <c r="B29" s="139" t="s">
        <v>34</v>
      </c>
      <c r="C29" s="181">
        <f>C32-C20</f>
        <v>16</v>
      </c>
      <c r="D29" s="182">
        <f>D32-D20</f>
        <v>17</v>
      </c>
      <c r="E29" s="182">
        <f>E32-E20</f>
        <v>20</v>
      </c>
      <c r="F29" s="183">
        <f>F32-F20</f>
        <v>18</v>
      </c>
      <c r="G29" s="184">
        <f>C29+D29+E29+F29</f>
        <v>71</v>
      </c>
      <c r="H29" s="134"/>
      <c r="I29" s="181">
        <f>I32-I20</f>
        <v>10</v>
      </c>
      <c r="J29" s="182">
        <f>J32-J20</f>
        <v>10</v>
      </c>
      <c r="K29" s="182">
        <f>K32-K20</f>
        <v>16</v>
      </c>
      <c r="L29" s="183">
        <f>L32-L20</f>
        <v>11</v>
      </c>
      <c r="M29" s="184">
        <f>I29+J29+K29+L29</f>
        <v>47</v>
      </c>
      <c r="N29" s="134"/>
      <c r="O29" s="181">
        <f>O32-O20</f>
        <v>11</v>
      </c>
      <c r="P29" s="182">
        <f>P32-P20</f>
        <v>10</v>
      </c>
      <c r="Q29" s="182">
        <f>Q32-Q20</f>
        <v>13</v>
      </c>
      <c r="R29" s="183">
        <f>R32-R20</f>
        <v>15</v>
      </c>
      <c r="S29" s="184">
        <f>O29+P29+Q29+R29</f>
        <v>49</v>
      </c>
      <c r="T29" s="134"/>
      <c r="U29" s="181">
        <f>U32-U20</f>
        <v>13</v>
      </c>
      <c r="V29" s="182">
        <f>V32-V20</f>
        <v>11</v>
      </c>
      <c r="W29" s="182">
        <f>W32-W20</f>
        <v>18</v>
      </c>
      <c r="X29" s="182">
        <f>X32-X20</f>
        <v>15</v>
      </c>
      <c r="Y29" s="184">
        <f>U29+V29+W29+X29</f>
        <v>57</v>
      </c>
      <c r="AA29" s="181">
        <f>AA32-AA20</f>
        <v>11</v>
      </c>
      <c r="AB29" s="182">
        <f>AB32-AB20</f>
        <v>12</v>
      </c>
      <c r="AC29" s="182">
        <f>AC32-AC20</f>
        <v>14</v>
      </c>
      <c r="AD29" s="182">
        <f>AD32-AD20</f>
        <v>24</v>
      </c>
      <c r="AE29" s="184">
        <f>AA29+AB29+AC29+AD29</f>
        <v>61</v>
      </c>
      <c r="AG29" s="181">
        <f>AG32-AG20</f>
        <v>18</v>
      </c>
      <c r="AH29" s="182">
        <f>AH32-AH20</f>
        <v>18</v>
      </c>
      <c r="AI29" s="182">
        <f>AI32-AI20</f>
        <v>18</v>
      </c>
      <c r="AJ29" s="182">
        <f>AJ32-AJ20</f>
        <v>22</v>
      </c>
      <c r="AK29" s="184">
        <f>AG29+AH29+AI29+AJ29</f>
        <v>76</v>
      </c>
      <c r="AM29" s="181">
        <f>AM32-AM20</f>
        <v>29</v>
      </c>
      <c r="AN29" s="182">
        <f>AN32-AN20</f>
        <v>22</v>
      </c>
      <c r="AO29" s="182">
        <f>AO32-AO20</f>
        <v>21</v>
      </c>
      <c r="AP29" s="182">
        <f>AP32-AP20</f>
        <v>30</v>
      </c>
      <c r="AQ29" s="184">
        <f>AM29+AN29+AO29+AP29</f>
        <v>102</v>
      </c>
      <c r="AS29" s="181">
        <f>AS32-AS20</f>
        <v>24</v>
      </c>
      <c r="AT29" s="182">
        <f>AT32-AT20</f>
        <v>29</v>
      </c>
      <c r="AU29" s="182">
        <f>AU32-AU20</f>
        <v>31</v>
      </c>
      <c r="AV29" s="182">
        <f>AV32-AV20</f>
        <v>38</v>
      </c>
      <c r="AW29" s="184">
        <f>AS29+AT29+AU29+AV29</f>
        <v>122</v>
      </c>
      <c r="AY29" s="181">
        <f>AY32-AY20</f>
        <v>25</v>
      </c>
      <c r="AZ29" s="182">
        <f>AZ32-AZ20</f>
        <v>30</v>
      </c>
      <c r="BA29" s="182">
        <f>BA32-BA20</f>
        <v>29</v>
      </c>
      <c r="BB29" s="182">
        <f>BB32-BB20</f>
        <v>41</v>
      </c>
      <c r="BC29" s="184">
        <f>AY29+AZ29+BA29+BB29</f>
        <v>125</v>
      </c>
      <c r="BE29" s="181">
        <f>BE32-BE20</f>
        <v>30</v>
      </c>
      <c r="BF29" s="182">
        <f>BF32-BF20</f>
        <v>29</v>
      </c>
      <c r="BG29" s="182">
        <f>BG32-BG20</f>
        <v>30</v>
      </c>
      <c r="BH29" s="182">
        <f>BH32-BH20</f>
        <v>34</v>
      </c>
      <c r="BI29" s="184">
        <f>BE29+BF29+BG29+BH29</f>
        <v>123</v>
      </c>
      <c r="BK29" s="181">
        <f>BK32-BK20</f>
        <v>28</v>
      </c>
      <c r="BL29" s="182">
        <f>BL32-BL20</f>
        <v>30</v>
      </c>
      <c r="BM29" s="182">
        <f>BM32-BM20</f>
        <v>26</v>
      </c>
      <c r="BN29" s="182">
        <f>BN32-BN20</f>
        <v>39</v>
      </c>
      <c r="BO29" s="184">
        <f>BK29+BL29+BM29+BN29</f>
        <v>123</v>
      </c>
      <c r="BQ29" s="181">
        <f>BQ26*BQ25/1000</f>
        <v>29.491045078537262</v>
      </c>
      <c r="BR29" s="182">
        <f>BR26*BR25/1000</f>
        <v>30.937028871355544</v>
      </c>
      <c r="BS29" s="182">
        <f>BS26*BS25/1000</f>
        <v>26.806649801228765</v>
      </c>
      <c r="BT29" s="182">
        <f>BT26*BT25/1000</f>
        <v>40.451084707165478</v>
      </c>
      <c r="BU29" s="184">
        <f>BQ29+BR29+BS29+BT29</f>
        <v>127.68580845828706</v>
      </c>
      <c r="BW29" s="181">
        <f>BW26*BW25/1000</f>
        <v>30.144574718314207</v>
      </c>
      <c r="BX29" s="182">
        <f>BX26*BX25/1000</f>
        <v>31.571825512985594</v>
      </c>
      <c r="BY29" s="182">
        <f>BY26*BY25/1000</f>
        <v>27.313053848933858</v>
      </c>
      <c r="BZ29" s="182">
        <f>BZ26*BZ25/1000</f>
        <v>41.273396368855501</v>
      </c>
      <c r="CA29" s="184">
        <f>BW29+BX29+BY29+BZ29</f>
        <v>130.30285044908916</v>
      </c>
      <c r="CC29" s="181">
        <f>CC26*CC25/1000</f>
        <v>30.692720950023347</v>
      </c>
      <c r="CD29" s="182">
        <f>CD26*CD25/1000</f>
        <v>32.119667469259774</v>
      </c>
      <c r="CE29" s="182">
        <f>CE26*CE25/1000</f>
        <v>27.764392627394287</v>
      </c>
      <c r="CF29" s="182">
        <f>CF26*CF25/1000</f>
        <v>42.173867670877129</v>
      </c>
      <c r="CG29" s="184">
        <f>CC29+CD29+CE29+CF29</f>
        <v>132.75064871755455</v>
      </c>
      <c r="CI29" s="181">
        <f>CI26*CI25/1000</f>
        <v>31.100118350021582</v>
      </c>
      <c r="CJ29" s="182">
        <f>CJ26*CJ25/1000</f>
        <v>32.545568522675929</v>
      </c>
      <c r="CK29" s="182">
        <f>CK26*CK25/1000</f>
        <v>28.132167174557274</v>
      </c>
      <c r="CL29" s="182">
        <f>CL26*CL25/1000</f>
        <v>42.722446057961179</v>
      </c>
      <c r="CM29" s="184">
        <f>CI29+CJ29+CK29+CL29</f>
        <v>134.50030010521596</v>
      </c>
      <c r="CO29" s="181">
        <f>CO26*CO25/1000</f>
        <v>31.510822405996048</v>
      </c>
      <c r="CP29" s="182">
        <f>CP26*CP25/1000</f>
        <v>32.974925594939506</v>
      </c>
      <c r="CQ29" s="182">
        <f>CQ26*CQ25/1000</f>
        <v>28.50292535737621</v>
      </c>
      <c r="CR29" s="182">
        <f>CR26*CR25/1000</f>
        <v>43.2754558822243</v>
      </c>
      <c r="CS29" s="184">
        <f>CO29+CP29+CQ29+CR29</f>
        <v>136.26412924053608</v>
      </c>
      <c r="CU29" s="181">
        <f>CU26*CU25/1000</f>
        <v>31.924855999571513</v>
      </c>
      <c r="CV29" s="182">
        <f>CV26*CV25/1000</f>
        <v>33.407762598712658</v>
      </c>
      <c r="CW29" s="182">
        <f>CW26*CW25/1000</f>
        <v>28.876687817843973</v>
      </c>
      <c r="CX29" s="182">
        <f>CX26*CX25/1000</f>
        <v>43.832927743578594</v>
      </c>
      <c r="CY29" s="184">
        <f>CU29+CV29+CW29+CX29</f>
        <v>138.04223415970674</v>
      </c>
      <c r="DA29" s="181">
        <f>DA26*DA25/1000</f>
        <v>32.342242158522573</v>
      </c>
      <c r="DB29" s="182">
        <f>DB26*DB25/1000</f>
        <v>33.844103599383672</v>
      </c>
      <c r="DC29" s="182">
        <f>DC26*DC25/1000</f>
        <v>29.253475329782475</v>
      </c>
      <c r="DD29" s="182">
        <f>DD26*DD25/1000</f>
        <v>44.394892437149387</v>
      </c>
      <c r="DE29" s="184">
        <f>DA29+DB29+DC29+DD29</f>
        <v>139.83471352483812</v>
      </c>
      <c r="DG29" s="181">
        <f>DG26*DG25/1000</f>
        <v>32.76300405766316</v>
      </c>
      <c r="DH29" s="182">
        <f>DH26*DH25/1000</f>
        <v>34.283972815996414</v>
      </c>
      <c r="DI29" s="182">
        <f>DI26*DI25/1000</f>
        <v>29.633308799644915</v>
      </c>
      <c r="DJ29" s="182">
        <f>DJ26*DJ25/1000</f>
        <v>44.961380954462285</v>
      </c>
      <c r="DK29" s="184">
        <f>DG29+DH29+DI29+DJ29</f>
        <v>141.64166662776677</v>
      </c>
    </row>
    <row r="30" spans="2:115" ht="15" x14ac:dyDescent="0.3">
      <c r="B30" s="5" t="s">
        <v>23</v>
      </c>
      <c r="C30" s="144" t="s">
        <v>35</v>
      </c>
      <c r="D30" s="107" t="s">
        <v>35</v>
      </c>
      <c r="E30" s="107" t="s">
        <v>35</v>
      </c>
      <c r="F30" s="145" t="s">
        <v>35</v>
      </c>
      <c r="G30" s="138" t="s">
        <v>35</v>
      </c>
      <c r="H30" s="107"/>
      <c r="I30" s="151">
        <f>I29/C29-1</f>
        <v>-0.375</v>
      </c>
      <c r="J30" s="133">
        <f>J29/D29-1</f>
        <v>-0.41176470588235292</v>
      </c>
      <c r="K30" s="133">
        <f>K29/E29-1</f>
        <v>-0.19999999999999996</v>
      </c>
      <c r="L30" s="152">
        <f>L29/F29-1</f>
        <v>-0.38888888888888884</v>
      </c>
      <c r="M30" s="153">
        <f>M29/G29-1</f>
        <v>-0.3380281690140845</v>
      </c>
      <c r="N30" s="107"/>
      <c r="O30" s="151">
        <f>O29/I29-1</f>
        <v>0.10000000000000009</v>
      </c>
      <c r="P30" s="133">
        <f>P29/J29-1</f>
        <v>0</v>
      </c>
      <c r="Q30" s="133">
        <f>Q29/K29-1</f>
        <v>-0.1875</v>
      </c>
      <c r="R30" s="152">
        <f>R29/L29-1</f>
        <v>0.36363636363636354</v>
      </c>
      <c r="S30" s="153">
        <f>S29/M29-1</f>
        <v>4.2553191489361764E-2</v>
      </c>
      <c r="T30" s="107"/>
      <c r="U30" s="151">
        <f>U29/O29-1</f>
        <v>0.18181818181818188</v>
      </c>
      <c r="V30" s="133">
        <f>V29/P29-1</f>
        <v>0.10000000000000009</v>
      </c>
      <c r="W30" s="133">
        <f>W29/Q29-1</f>
        <v>0.38461538461538458</v>
      </c>
      <c r="X30" s="133">
        <f>X29/R29-1</f>
        <v>0</v>
      </c>
      <c r="Y30" s="153">
        <f>Y29/S29-1</f>
        <v>0.16326530612244894</v>
      </c>
      <c r="AA30" s="151">
        <f>AA29/U29-1</f>
        <v>-0.15384615384615385</v>
      </c>
      <c r="AB30" s="133">
        <f>AB29/V29-1</f>
        <v>9.0909090909090828E-2</v>
      </c>
      <c r="AC30" s="133">
        <f>AC29/W29-1</f>
        <v>-0.22222222222222221</v>
      </c>
      <c r="AD30" s="133">
        <f>AD29/X29-1</f>
        <v>0.60000000000000009</v>
      </c>
      <c r="AE30" s="153">
        <f>AE29/Y29-1</f>
        <v>7.0175438596491224E-2</v>
      </c>
      <c r="AG30" s="151">
        <f>AG29/AA29-1</f>
        <v>0.63636363636363646</v>
      </c>
      <c r="AH30" s="133">
        <f>AH29/AB29-1</f>
        <v>0.5</v>
      </c>
      <c r="AI30" s="133">
        <f>AI29/AC29-1</f>
        <v>0.28571428571428581</v>
      </c>
      <c r="AJ30" s="133">
        <f>AJ29/AD29-1</f>
        <v>-8.333333333333337E-2</v>
      </c>
      <c r="AK30" s="153">
        <f>AK29/AE29-1</f>
        <v>0.24590163934426235</v>
      </c>
      <c r="AM30" s="151">
        <f>AM29/AG29-1</f>
        <v>0.61111111111111116</v>
      </c>
      <c r="AN30" s="133">
        <f>AN29/AH29-1</f>
        <v>0.22222222222222232</v>
      </c>
      <c r="AO30" s="133">
        <f>AO29/AI29-1</f>
        <v>0.16666666666666674</v>
      </c>
      <c r="AP30" s="133">
        <f>AP29/AJ29-1</f>
        <v>0.36363636363636354</v>
      </c>
      <c r="AQ30" s="153">
        <f>AQ29/AK29-1</f>
        <v>0.34210526315789469</v>
      </c>
      <c r="AS30" s="151">
        <f>AS29/AM29-1</f>
        <v>-0.17241379310344829</v>
      </c>
      <c r="AT30" s="133">
        <f>AT29/AN29-1</f>
        <v>0.31818181818181812</v>
      </c>
      <c r="AU30" s="133">
        <f>AU29/AO29-1</f>
        <v>0.47619047619047628</v>
      </c>
      <c r="AV30" s="152">
        <f>AV29/AP29-1</f>
        <v>0.26666666666666661</v>
      </c>
      <c r="AW30" s="153">
        <f>AW29/AQ29-1</f>
        <v>0.19607843137254899</v>
      </c>
      <c r="AY30" s="151">
        <f>AY29/AS29-1</f>
        <v>4.1666666666666741E-2</v>
      </c>
      <c r="AZ30" s="133">
        <f>AZ29/AT29-1</f>
        <v>3.4482758620689724E-2</v>
      </c>
      <c r="BA30" s="133">
        <f>BA29/AU29-1</f>
        <v>-6.4516129032258118E-2</v>
      </c>
      <c r="BB30" s="133">
        <f>BB29/AV29-1</f>
        <v>7.8947368421052655E-2</v>
      </c>
      <c r="BC30" s="153">
        <f>BC29/AW29-1</f>
        <v>2.4590163934426146E-2</v>
      </c>
      <c r="BE30" s="151">
        <f>BE29/AY29-1</f>
        <v>0.19999999999999996</v>
      </c>
      <c r="BF30" s="133">
        <f>BF29/AZ29-1</f>
        <v>-3.3333333333333326E-2</v>
      </c>
      <c r="BG30" s="133">
        <f>BG29/BA29-1</f>
        <v>3.4482758620689724E-2</v>
      </c>
      <c r="BH30" s="133">
        <f>BH29/BB29-1</f>
        <v>-0.17073170731707321</v>
      </c>
      <c r="BI30" s="153">
        <f>BI29/BC29-1</f>
        <v>-1.6000000000000014E-2</v>
      </c>
      <c r="BK30" s="151">
        <f>BK29/BE29-1</f>
        <v>-6.6666666666666652E-2</v>
      </c>
      <c r="BL30" s="133">
        <f>BL29/BF29-1</f>
        <v>3.4482758620689724E-2</v>
      </c>
      <c r="BM30" s="133">
        <f>BM29/BG29-1</f>
        <v>-0.1333333333333333</v>
      </c>
      <c r="BN30" s="133">
        <f>BN29/BH29-1</f>
        <v>0.14705882352941169</v>
      </c>
      <c r="BO30" s="153">
        <f>BO29/BI29-1</f>
        <v>0</v>
      </c>
      <c r="BQ30" s="151">
        <f>BQ29/BK29-1</f>
        <v>5.3251609947759349E-2</v>
      </c>
      <c r="BR30" s="133">
        <f>BR29/BL29-1</f>
        <v>3.1234295711851434E-2</v>
      </c>
      <c r="BS30" s="133">
        <f>BS29/BM29-1</f>
        <v>3.1024992354952596E-2</v>
      </c>
      <c r="BT30" s="133">
        <f>BT29/BN29-1</f>
        <v>3.7207300183730307E-2</v>
      </c>
      <c r="BU30" s="153">
        <f>BU29/BO29-1</f>
        <v>3.8096003725911043E-2</v>
      </c>
      <c r="BW30" s="151">
        <f>BW29/BQ29-1</f>
        <v>2.2160274009840553E-2</v>
      </c>
      <c r="BX30" s="133">
        <f>BX29/BR29-1</f>
        <v>2.0518991796843356E-2</v>
      </c>
      <c r="BY30" s="133">
        <f>BY29/BS29-1</f>
        <v>1.8890986059805215E-2</v>
      </c>
      <c r="BZ30" s="133">
        <f>BZ29/BT29-1</f>
        <v>2.0328544157540485E-2</v>
      </c>
      <c r="CA30" s="153">
        <f>CA29/BU29-1</f>
        <v>2.049595035189089E-2</v>
      </c>
      <c r="CC30" s="151">
        <f>CC29/BW29-1</f>
        <v>1.81839099350809E-2</v>
      </c>
      <c r="CD30" s="133">
        <f>CD29/BX29-1</f>
        <v>1.7352241987047989E-2</v>
      </c>
      <c r="CE30" s="133">
        <f>CE29/BY29-1</f>
        <v>1.6524654509771919E-2</v>
      </c>
      <c r="CF30" s="133">
        <f>CF29/BZ29-1</f>
        <v>2.1817232921037544E-2</v>
      </c>
      <c r="CG30" s="153">
        <f>CG29/CA29-1</f>
        <v>1.87854545010262E-2</v>
      </c>
      <c r="CI30" s="151">
        <f>CI29/CC29-1</f>
        <v>1.32734207782228E-2</v>
      </c>
      <c r="CJ30" s="133">
        <f>CJ29/CD29-1</f>
        <v>1.3259821379650427E-2</v>
      </c>
      <c r="CK30" s="133">
        <f>CK29/CE29-1</f>
        <v>1.3246266615611679E-2</v>
      </c>
      <c r="CL30" s="133">
        <f>CL29/CF29-1</f>
        <v>1.3007542760012702E-2</v>
      </c>
      <c r="CM30" s="153">
        <f>CM29/CG29-1</f>
        <v>1.3179983710543075E-2</v>
      </c>
      <c r="CO30" s="151">
        <f>CO29/CI29-1</f>
        <v>1.3205867944042105E-2</v>
      </c>
      <c r="CP30" s="133">
        <f>CP29/CJ29-1</f>
        <v>1.3192489538611962E-2</v>
      </c>
      <c r="CQ30" s="133">
        <f>CQ29/CK29-1</f>
        <v>1.3179154685041494E-2</v>
      </c>
      <c r="CR30" s="133">
        <f>CR29/CL29-1</f>
        <v>1.2944245362563223E-2</v>
      </c>
      <c r="CS30" s="153">
        <f>CS29/CM29-1</f>
        <v>1.311394200563365E-2</v>
      </c>
      <c r="CU30" s="151">
        <f>CU29/CO29-1</f>
        <v>1.3139409319151252E-2</v>
      </c>
      <c r="CV30" s="133">
        <f>CV29/CP29-1</f>
        <v>1.3126246563527566E-2</v>
      </c>
      <c r="CW30" s="133">
        <f>CW29/CQ29-1</f>
        <v>1.3113126311823819E-2</v>
      </c>
      <c r="CX30" s="133">
        <f>CX29/CR29-1</f>
        <v>1.2881940813552095E-2</v>
      </c>
      <c r="CY30" s="153">
        <f>CY29/CS29-1</f>
        <v>1.3048958145337908E-2</v>
      </c>
      <c r="DA30" s="151">
        <f>DA29/CU29-1</f>
        <v>1.3074018531412213E-2</v>
      </c>
      <c r="DB30" s="133">
        <f>DB29/CV29-1</f>
        <v>1.3061066253141629E-2</v>
      </c>
      <c r="DC30" s="133">
        <f>DC29/CW29-1</f>
        <v>1.3048155464203681E-2</v>
      </c>
      <c r="DD30" s="133">
        <f>DD29/CX29-1</f>
        <v>1.2820605934841245E-2</v>
      </c>
      <c r="DE30" s="153">
        <f>DE29/CY29-1</f>
        <v>1.298500691504012E-2</v>
      </c>
      <c r="DG30" s="151">
        <f>DG29/DA29-1</f>
        <v>1.3009670049412891E-2</v>
      </c>
      <c r="DH30" s="133">
        <f>DH29/DB29-1</f>
        <v>1.2996923240146119E-2</v>
      </c>
      <c r="DI30" s="133">
        <f>DI29/DC29-1</f>
        <v>1.2984216937661941E-2</v>
      </c>
      <c r="DJ30" s="133">
        <f>DJ29/DD29-1</f>
        <v>1.2760218264181722E-2</v>
      </c>
      <c r="DK30" s="153">
        <f>DK29/DE29-1</f>
        <v>1.2922063895155045E-2</v>
      </c>
    </row>
    <row r="31" spans="2:115" ht="15" x14ac:dyDescent="0.3">
      <c r="B31" s="5"/>
      <c r="C31" s="144"/>
      <c r="D31" s="107"/>
      <c r="E31" s="107"/>
      <c r="F31" s="145"/>
      <c r="G31" s="138"/>
      <c r="I31" s="144"/>
      <c r="J31" s="107"/>
      <c r="K31" s="107"/>
      <c r="L31" s="145"/>
      <c r="M31" s="138"/>
      <c r="O31" s="144"/>
      <c r="P31" s="107"/>
      <c r="Q31" s="107"/>
      <c r="R31" s="145"/>
      <c r="S31" s="138"/>
      <c r="U31" s="144"/>
      <c r="V31" s="107"/>
      <c r="W31" s="107"/>
      <c r="X31" s="107"/>
      <c r="Y31" s="138"/>
      <c r="AA31" s="144"/>
      <c r="AB31" s="107"/>
      <c r="AC31" s="107"/>
      <c r="AD31" s="107"/>
      <c r="AE31" s="138"/>
      <c r="AG31" s="144"/>
      <c r="AH31" s="107"/>
      <c r="AI31" s="107"/>
      <c r="AJ31" s="107"/>
      <c r="AK31" s="138"/>
      <c r="AM31" s="144"/>
      <c r="AN31" s="107"/>
      <c r="AO31" s="107"/>
      <c r="AP31" s="145"/>
      <c r="AQ31" s="138"/>
      <c r="AS31" s="144"/>
      <c r="AT31" s="107"/>
      <c r="AU31" s="107"/>
      <c r="AV31" s="145"/>
      <c r="AW31" s="138"/>
      <c r="AY31" s="144"/>
      <c r="AZ31" s="107"/>
      <c r="BA31" s="107"/>
      <c r="BB31" s="145"/>
      <c r="BC31" s="138"/>
      <c r="BE31" s="144"/>
      <c r="BF31" s="107"/>
      <c r="BG31" s="107"/>
      <c r="BH31" s="145"/>
      <c r="BI31" s="138"/>
      <c r="BK31" s="144"/>
      <c r="BL31" s="107"/>
      <c r="BM31" s="107"/>
      <c r="BN31" s="145"/>
      <c r="BO31" s="138"/>
      <c r="BQ31" s="144"/>
      <c r="BR31" s="107"/>
      <c r="BS31" s="107"/>
      <c r="BT31" s="107"/>
      <c r="BU31" s="138"/>
      <c r="BW31" s="144"/>
      <c r="BX31" s="107"/>
      <c r="BY31" s="107"/>
      <c r="BZ31" s="107"/>
      <c r="CA31" s="138"/>
      <c r="CC31" s="144"/>
      <c r="CD31" s="107"/>
      <c r="CE31" s="107"/>
      <c r="CF31" s="107"/>
      <c r="CG31" s="138"/>
      <c r="CI31" s="144"/>
      <c r="CJ31" s="107"/>
      <c r="CK31" s="107"/>
      <c r="CL31" s="107"/>
      <c r="CM31" s="138"/>
      <c r="CO31" s="144"/>
      <c r="CP31" s="107"/>
      <c r="CQ31" s="107"/>
      <c r="CR31" s="107"/>
      <c r="CS31" s="138"/>
      <c r="CU31" s="144"/>
      <c r="CV31" s="107"/>
      <c r="CW31" s="107"/>
      <c r="CX31" s="107"/>
      <c r="CY31" s="138"/>
      <c r="DA31" s="144"/>
      <c r="DB31" s="107"/>
      <c r="DC31" s="107"/>
      <c r="DD31" s="107"/>
      <c r="DE31" s="138"/>
      <c r="DG31" s="144"/>
      <c r="DH31" s="107"/>
      <c r="DI31" s="107"/>
      <c r="DJ31" s="107"/>
      <c r="DK31" s="138"/>
    </row>
    <row r="32" spans="2:115" s="135" customFormat="1" ht="15" x14ac:dyDescent="0.3">
      <c r="B32" s="105" t="s">
        <v>58</v>
      </c>
      <c r="C32" s="156">
        <v>310</v>
      </c>
      <c r="D32" s="157">
        <v>295</v>
      </c>
      <c r="E32" s="157">
        <v>301</v>
      </c>
      <c r="F32" s="158">
        <v>276</v>
      </c>
      <c r="G32" s="159">
        <f>C32+D32+E32+F32</f>
        <v>1182</v>
      </c>
      <c r="H32" s="160"/>
      <c r="I32" s="156">
        <v>274</v>
      </c>
      <c r="J32" s="157">
        <v>270</v>
      </c>
      <c r="K32" s="157">
        <v>271</v>
      </c>
      <c r="L32" s="158">
        <v>270</v>
      </c>
      <c r="M32" s="159">
        <f>I32+J32+K32+L32</f>
        <v>1085</v>
      </c>
      <c r="N32" s="160"/>
      <c r="O32" s="156">
        <v>267</v>
      </c>
      <c r="P32" s="157">
        <v>255</v>
      </c>
      <c r="Q32" s="157">
        <v>260</v>
      </c>
      <c r="R32" s="158">
        <v>256</v>
      </c>
      <c r="S32" s="159">
        <f>O32+P32+Q32+R32</f>
        <v>1038</v>
      </c>
      <c r="T32" s="160"/>
      <c r="U32" s="156">
        <v>248</v>
      </c>
      <c r="V32" s="157">
        <v>243</v>
      </c>
      <c r="W32" s="157">
        <v>254</v>
      </c>
      <c r="X32" s="157">
        <v>238</v>
      </c>
      <c r="Y32" s="159">
        <f>U32+V32+W32+X32</f>
        <v>983</v>
      </c>
      <c r="AA32" s="156">
        <v>229</v>
      </c>
      <c r="AB32" s="157">
        <v>227</v>
      </c>
      <c r="AC32" s="157">
        <v>234</v>
      </c>
      <c r="AD32" s="157">
        <v>234</v>
      </c>
      <c r="AE32" s="159">
        <f>AA32+AB32+AC32+AD32</f>
        <v>924</v>
      </c>
      <c r="AF32" s="247"/>
      <c r="AG32" s="156">
        <v>227</v>
      </c>
      <c r="AH32" s="157">
        <v>217</v>
      </c>
      <c r="AI32" s="157">
        <v>219</v>
      </c>
      <c r="AJ32" s="157">
        <v>215</v>
      </c>
      <c r="AK32" s="159">
        <f>AG32+AH32+AI32+AJ32</f>
        <v>878</v>
      </c>
      <c r="AM32" s="156">
        <v>203</v>
      </c>
      <c r="AN32" s="157">
        <v>197</v>
      </c>
      <c r="AO32" s="157">
        <v>225</v>
      </c>
      <c r="AP32" s="158">
        <v>203</v>
      </c>
      <c r="AQ32" s="159">
        <f>AM32+AN32+AO32+AP32</f>
        <v>828</v>
      </c>
      <c r="AS32" s="156">
        <v>192</v>
      </c>
      <c r="AT32" s="157">
        <v>201</v>
      </c>
      <c r="AU32" s="157">
        <v>210</v>
      </c>
      <c r="AV32" s="158">
        <v>212</v>
      </c>
      <c r="AW32" s="159">
        <f>AS32+AT32+AU32+AV32</f>
        <v>815</v>
      </c>
      <c r="AY32" s="156">
        <v>197</v>
      </c>
      <c r="AZ32" s="157">
        <v>205</v>
      </c>
      <c r="BA32" s="157">
        <v>207</v>
      </c>
      <c r="BB32" s="158">
        <v>220</v>
      </c>
      <c r="BC32" s="159">
        <f>AY32+AZ32+BA32+BB32</f>
        <v>829</v>
      </c>
      <c r="BE32" s="156">
        <v>208</v>
      </c>
      <c r="BF32" s="157">
        <v>208</v>
      </c>
      <c r="BG32" s="157">
        <v>219</v>
      </c>
      <c r="BH32" s="158">
        <v>220</v>
      </c>
      <c r="BI32" s="159">
        <f>BE32+BF32+BG32+BH32</f>
        <v>855</v>
      </c>
      <c r="BK32" s="156">
        <v>228</v>
      </c>
      <c r="BL32" s="157">
        <v>215</v>
      </c>
      <c r="BM32" s="157">
        <v>222</v>
      </c>
      <c r="BN32" s="158">
        <v>234</v>
      </c>
      <c r="BO32" s="159">
        <f>BK32+BL32+BM32+BN32</f>
        <v>899</v>
      </c>
      <c r="BQ32" s="156">
        <f>BQ20+BQ29</f>
        <v>240.65799898419971</v>
      </c>
      <c r="BR32" s="157">
        <f>BR20+BR29</f>
        <v>226.9832439894333</v>
      </c>
      <c r="BS32" s="157">
        <f>BS20+BS29</f>
        <v>230.9214539249401</v>
      </c>
      <c r="BT32" s="157">
        <f>BT20+BT29</f>
        <v>240.59494075595936</v>
      </c>
      <c r="BU32" s="159">
        <f>BQ32+BR32+BS32+BT32</f>
        <v>939.15763765453244</v>
      </c>
      <c r="BW32" s="156">
        <f>BW20+BW29</f>
        <v>245.18166400594723</v>
      </c>
      <c r="BX32" s="157">
        <f>BX20+BX29</f>
        <v>231.69451896972478</v>
      </c>
      <c r="BY32" s="157">
        <f>BY20+BY29</f>
        <v>235.96188738845279</v>
      </c>
      <c r="BZ32" s="157">
        <f>BZ20+BZ29</f>
        <v>245.50387696823179</v>
      </c>
      <c r="CA32" s="159">
        <f>BW32+BX32+BY32+BZ32</f>
        <v>958.34194733235665</v>
      </c>
      <c r="CC32" s="156">
        <f>CC20+CC29</f>
        <v>248.91681112301148</v>
      </c>
      <c r="CD32" s="157">
        <f>CD20+CD29</f>
        <v>236.03444237098711</v>
      </c>
      <c r="CE32" s="157">
        <f>CE20+CE29</f>
        <v>240.87710368993726</v>
      </c>
      <c r="CF32" s="157">
        <f>CF20+CF29</f>
        <v>250.65162554980952</v>
      </c>
      <c r="CG32" s="159">
        <f>CC32+CD32+CE32+CF32</f>
        <v>976.47998273374537</v>
      </c>
      <c r="CI32" s="156">
        <f>CI20+CI29</f>
        <v>251.25688372389072</v>
      </c>
      <c r="CJ32" s="157">
        <f>CJ20+CJ29</f>
        <v>239.18718036033096</v>
      </c>
      <c r="CK32" s="157">
        <f>CK20+CK29</f>
        <v>244.72858634309335</v>
      </c>
      <c r="CL32" s="157">
        <f>CL20+CL29</f>
        <v>254.73990929786029</v>
      </c>
      <c r="CM32" s="159">
        <f>CI32+CJ32+CK32+CL32</f>
        <v>989.91255972517536</v>
      </c>
      <c r="CO32" s="156">
        <f>CO20+CO29</f>
        <v>252.98236886220181</v>
      </c>
      <c r="CP32" s="157">
        <f>CP20+CP29</f>
        <v>241.68367985453386</v>
      </c>
      <c r="CQ32" s="157">
        <f>CQ20+CQ29</f>
        <v>247.83681123070463</v>
      </c>
      <c r="CR32" s="157">
        <f>CR20+CR29</f>
        <v>258.09042431368374</v>
      </c>
      <c r="CS32" s="159">
        <f>CO32+CP32+CQ32+CR32</f>
        <v>1000.5932842611239</v>
      </c>
      <c r="CU32" s="156">
        <f>CU20+CU29</f>
        <v>255.20284751744961</v>
      </c>
      <c r="CV32" s="157">
        <f>CV20+CV29</f>
        <v>244.64639129571336</v>
      </c>
      <c r="CW32" s="157">
        <f>CW20+CW29</f>
        <v>251.43388325168888</v>
      </c>
      <c r="CX32" s="157">
        <f>CX20+CX29</f>
        <v>261.92109124211822</v>
      </c>
      <c r="CY32" s="159">
        <f>CU32+CV32+CW32+CX32</f>
        <v>1013.20421330697</v>
      </c>
      <c r="DA32" s="156">
        <f>DA20+DA29</f>
        <v>257.92197601798381</v>
      </c>
      <c r="DB32" s="157">
        <f>DB20+DB29</f>
        <v>248.08047817001409</v>
      </c>
      <c r="DC32" s="157">
        <f>DC20+DC29</f>
        <v>255.52639093714188</v>
      </c>
      <c r="DD32" s="157">
        <f>DD20+DD29</f>
        <v>266.2385977216984</v>
      </c>
      <c r="DE32" s="159">
        <f>DA32+DB32+DC32+DD32</f>
        <v>1027.7674428468381</v>
      </c>
      <c r="DG32" s="156">
        <f>DG20+DG29</f>
        <v>259.7271960077677</v>
      </c>
      <c r="DH32" s="157">
        <f>DH20+DH29</f>
        <v>250.56045714663171</v>
      </c>
      <c r="DI32" s="157">
        <f>DI20+DI29</f>
        <v>258.55181208198803</v>
      </c>
      <c r="DJ32" s="157">
        <f>DJ20+DJ29</f>
        <v>269.49896952133327</v>
      </c>
      <c r="DK32" s="159">
        <f>DG32+DH32+DI32+DJ32</f>
        <v>1038.3384347577207</v>
      </c>
    </row>
    <row r="33" spans="2:115" ht="15.75" thickBot="1" x14ac:dyDescent="0.35">
      <c r="B33" s="140" t="s">
        <v>23</v>
      </c>
      <c r="C33" s="155" t="s">
        <v>35</v>
      </c>
      <c r="D33" s="106" t="s">
        <v>35</v>
      </c>
      <c r="E33" s="106" t="s">
        <v>35</v>
      </c>
      <c r="F33" s="154" t="s">
        <v>35</v>
      </c>
      <c r="G33" s="108" t="s">
        <v>35</v>
      </c>
      <c r="I33" s="109">
        <f>I32/C32-1</f>
        <v>-0.11612903225806448</v>
      </c>
      <c r="J33" s="110">
        <f>J32/D32-1</f>
        <v>-8.4745762711864403E-2</v>
      </c>
      <c r="K33" s="110">
        <f>K32/E32-1</f>
        <v>-9.9667774086378724E-2</v>
      </c>
      <c r="L33" s="120">
        <f>L32/F32-1</f>
        <v>-2.1739130434782594E-2</v>
      </c>
      <c r="M33" s="122">
        <f>M32/G32-1</f>
        <v>-8.2064297800338415E-2</v>
      </c>
      <c r="O33" s="109">
        <f>O32/I32-1</f>
        <v>-2.5547445255474477E-2</v>
      </c>
      <c r="P33" s="110">
        <f>P32/J32-1</f>
        <v>-5.555555555555558E-2</v>
      </c>
      <c r="Q33" s="110">
        <f>Q32/K32-1</f>
        <v>-4.0590405904059046E-2</v>
      </c>
      <c r="R33" s="120">
        <f>R32/L32-1</f>
        <v>-5.1851851851851816E-2</v>
      </c>
      <c r="S33" s="122">
        <f>S32/M32-1</f>
        <v>-4.3317972350230383E-2</v>
      </c>
      <c r="U33" s="109">
        <f>U32/O32-1</f>
        <v>-7.1161048689138529E-2</v>
      </c>
      <c r="V33" s="110">
        <f>V32/P32-1</f>
        <v>-4.705882352941182E-2</v>
      </c>
      <c r="W33" s="110">
        <f>W32/Q32-1</f>
        <v>-2.3076923076923106E-2</v>
      </c>
      <c r="X33" s="110">
        <f>X32/R32-1</f>
        <v>-7.03125E-2</v>
      </c>
      <c r="Y33" s="122">
        <f>Y32/S32-1</f>
        <v>-5.2986512524084817E-2</v>
      </c>
      <c r="AA33" s="109">
        <f>AA32/U32-1</f>
        <v>-7.6612903225806495E-2</v>
      </c>
      <c r="AB33" s="110">
        <f>AB32/V32-1</f>
        <v>-6.5843621399176988E-2</v>
      </c>
      <c r="AC33" s="110">
        <f>AC32/W32-1</f>
        <v>-7.8740157480314932E-2</v>
      </c>
      <c r="AD33" s="110">
        <f>AD32/X32-1</f>
        <v>-1.6806722689075682E-2</v>
      </c>
      <c r="AE33" s="122">
        <f>AE32/Y32-1</f>
        <v>-6.0020345879959303E-2</v>
      </c>
      <c r="AG33" s="109">
        <f>AG32/AA32-1</f>
        <v>-8.733624454148492E-3</v>
      </c>
      <c r="AH33" s="110">
        <f>AH32/AB32-1</f>
        <v>-4.4052863436123357E-2</v>
      </c>
      <c r="AI33" s="110">
        <f>AI32/AC32-1</f>
        <v>-6.4102564102564097E-2</v>
      </c>
      <c r="AJ33" s="110">
        <f>AJ32/AD32-1</f>
        <v>-8.1196581196581241E-2</v>
      </c>
      <c r="AK33" s="122">
        <f>AK32/AE32-1</f>
        <v>-4.9783549783549819E-2</v>
      </c>
      <c r="AM33" s="109">
        <f>AM32/AG32-1</f>
        <v>-0.10572687224669608</v>
      </c>
      <c r="AN33" s="110">
        <f>AN32/AH32-1</f>
        <v>-9.2165898617511566E-2</v>
      </c>
      <c r="AO33" s="110">
        <f>AO32/AI32-1</f>
        <v>2.7397260273972712E-2</v>
      </c>
      <c r="AP33" s="120">
        <f>AP32/AJ32-1</f>
        <v>-5.5813953488372148E-2</v>
      </c>
      <c r="AQ33" s="122">
        <f>AQ32/AK32-1</f>
        <v>-5.6947608200455635E-2</v>
      </c>
      <c r="AS33" s="109">
        <f>AS32/AM32-1</f>
        <v>-5.4187192118226646E-2</v>
      </c>
      <c r="AT33" s="110">
        <f>AT32/AN32-1</f>
        <v>2.0304568527918843E-2</v>
      </c>
      <c r="AU33" s="110">
        <f>AU32/AO32-1</f>
        <v>-6.6666666666666652E-2</v>
      </c>
      <c r="AV33" s="120">
        <f>AV32/AP32-1</f>
        <v>4.4334975369458185E-2</v>
      </c>
      <c r="AW33" s="122">
        <f>AW32/AQ32-1</f>
        <v>-1.5700483091787398E-2</v>
      </c>
      <c r="AY33" s="109">
        <f>AY32/AS32-1</f>
        <v>2.6041666666666741E-2</v>
      </c>
      <c r="AZ33" s="110">
        <f>AZ32/AT32-1</f>
        <v>1.990049751243772E-2</v>
      </c>
      <c r="BA33" s="110">
        <f>BA32/AU32-1</f>
        <v>-1.4285714285714235E-2</v>
      </c>
      <c r="BB33" s="120">
        <f>BB32/AV32-1</f>
        <v>3.7735849056603765E-2</v>
      </c>
      <c r="BC33" s="122">
        <f>BC32/AW32-1</f>
        <v>1.7177914110429349E-2</v>
      </c>
      <c r="BE33" s="109">
        <f>BE32/AY32-1</f>
        <v>5.5837563451776706E-2</v>
      </c>
      <c r="BF33" s="110">
        <f>BF32/AZ32-1</f>
        <v>1.4634146341463428E-2</v>
      </c>
      <c r="BG33" s="110">
        <f>BG32/BA32-1</f>
        <v>5.7971014492753659E-2</v>
      </c>
      <c r="BH33" s="120">
        <f>BH32/BB32-1</f>
        <v>0</v>
      </c>
      <c r="BI33" s="122">
        <f>BI32/BC32-1</f>
        <v>3.1363088057901001E-2</v>
      </c>
      <c r="BK33" s="109">
        <f>BK32/BE32-1</f>
        <v>9.6153846153846256E-2</v>
      </c>
      <c r="BL33" s="110">
        <f>BL32/BF32-1</f>
        <v>3.3653846153846256E-2</v>
      </c>
      <c r="BM33" s="110">
        <f>BM32/BG32-1</f>
        <v>1.3698630136986356E-2</v>
      </c>
      <c r="BN33" s="120">
        <f>BN32/BH32-1</f>
        <v>6.3636363636363713E-2</v>
      </c>
      <c r="BO33" s="122">
        <f>BO32/BI32-1</f>
        <v>5.1461988304093653E-2</v>
      </c>
      <c r="BQ33" s="109">
        <f>BQ32/BK32-1</f>
        <v>5.5517539404384753E-2</v>
      </c>
      <c r="BR33" s="110">
        <f>BR32/BL32-1</f>
        <v>5.5736018555503808E-2</v>
      </c>
      <c r="BS33" s="110">
        <f>BS32/BM32-1</f>
        <v>4.0186729391622045E-2</v>
      </c>
      <c r="BT33" s="110">
        <f>BT32/BN32-1</f>
        <v>2.8183507504099925E-2</v>
      </c>
      <c r="BU33" s="122">
        <f>BU32/BO32-1</f>
        <v>4.4669229871560079E-2</v>
      </c>
      <c r="BW33" s="109">
        <f>BW32/BQ32-1</f>
        <v>1.8797069039224068E-2</v>
      </c>
      <c r="BX33" s="110">
        <f>BX32/BR32-1</f>
        <v>2.0756047439831393E-2</v>
      </c>
      <c r="BY33" s="110">
        <f>BY32/BS32-1</f>
        <v>2.1827480200913074E-2</v>
      </c>
      <c r="BZ33" s="110">
        <f>BZ32/BT32-1</f>
        <v>2.0403322683545833E-2</v>
      </c>
      <c r="CA33" s="122">
        <f>CA32/BU32-1</f>
        <v>2.0427145463817409E-2</v>
      </c>
      <c r="CC33" s="109">
        <f>CC32/BW32-1</f>
        <v>1.5234202493110027E-2</v>
      </c>
      <c r="CD33" s="110">
        <f>CD32/BX32-1</f>
        <v>1.8731230331043847E-2</v>
      </c>
      <c r="CE33" s="110">
        <f>CE32/BY32-1</f>
        <v>2.0830551729706936E-2</v>
      </c>
      <c r="CF33" s="110">
        <f>CF32/BZ32-1</f>
        <v>2.0968094863299758E-2</v>
      </c>
      <c r="CG33" s="122">
        <f>CG32/CA32-1</f>
        <v>1.8926475515214314E-2</v>
      </c>
      <c r="CI33" s="109">
        <f>CI32/CC32-1</f>
        <v>9.4010227365592947E-3</v>
      </c>
      <c r="CJ33" s="110">
        <f>CJ32/CD32-1</f>
        <v>1.3357109910207665E-2</v>
      </c>
      <c r="CK33" s="110">
        <f>CK32/CE32-1</f>
        <v>1.5989409512802144E-2</v>
      </c>
      <c r="CL33" s="110">
        <f>CL32/CF32-1</f>
        <v>1.6310621321856678E-2</v>
      </c>
      <c r="CM33" s="122">
        <f>CM32/CG32-1</f>
        <v>1.3756121199560267E-2</v>
      </c>
      <c r="CO33" s="109">
        <f>CO32/CI32-1</f>
        <v>6.8674143877676119E-3</v>
      </c>
      <c r="CP33" s="110">
        <f>CP32/CJ32-1</f>
        <v>1.043743017682619E-2</v>
      </c>
      <c r="CQ33" s="110">
        <f>CQ32/CK32-1</f>
        <v>1.2700702169928579E-2</v>
      </c>
      <c r="CR33" s="110">
        <f>CR32/CL32-1</f>
        <v>1.3152689835913334E-2</v>
      </c>
      <c r="CS33" s="122">
        <f>CS32/CM32-1</f>
        <v>1.078956361450123E-2</v>
      </c>
      <c r="CU33" s="109">
        <f>CU32/CO32-1</f>
        <v>8.7772071438594335E-3</v>
      </c>
      <c r="CV33" s="110">
        <f>CV32/CP32-1</f>
        <v>1.2258632618316279E-2</v>
      </c>
      <c r="CW33" s="110">
        <f>CW32/CQ32-1</f>
        <v>1.4513873072857786E-2</v>
      </c>
      <c r="CX33" s="110">
        <f>CX32/CR32-1</f>
        <v>1.4842344262174789E-2</v>
      </c>
      <c r="CY33" s="122">
        <f>CY32/CS32-1</f>
        <v>1.2603451616366224E-2</v>
      </c>
      <c r="DA33" s="109">
        <f>DA32/CU32-1</f>
        <v>1.0654773357684721E-2</v>
      </c>
      <c r="DB33" s="110">
        <f>DB32/CV32-1</f>
        <v>1.4036940647736085E-2</v>
      </c>
      <c r="DC33" s="110">
        <f>DC32/CW32-1</f>
        <v>1.6276675333198209E-2</v>
      </c>
      <c r="DD33" s="110">
        <f>DD32/CX32-1</f>
        <v>1.6483996989723471E-2</v>
      </c>
      <c r="DE33" s="122">
        <f>DE32/CY32-1</f>
        <v>1.4373439577728853E-2</v>
      </c>
      <c r="DG33" s="109">
        <f>DG32/DA32-1</f>
        <v>6.9990933601487004E-3</v>
      </c>
      <c r="DH33" s="110">
        <f>DH32/DB32-1</f>
        <v>9.9966712210142195E-3</v>
      </c>
      <c r="DI33" s="110">
        <f>DI32/DC32-1</f>
        <v>1.1839955684226799E-2</v>
      </c>
      <c r="DJ33" s="110">
        <f>DJ32/DD32-1</f>
        <v>1.2246052328757306E-2</v>
      </c>
      <c r="DK33" s="122">
        <f>DK32/DE32-1</f>
        <v>1.0285392852688258E-2</v>
      </c>
    </row>
    <row r="34" spans="2:115" ht="15.75" thickBot="1" x14ac:dyDescent="0.35">
      <c r="B34" s="1"/>
      <c r="AA34" s="103"/>
      <c r="AB34" s="103"/>
      <c r="AC34" s="103"/>
      <c r="AD34" s="103"/>
      <c r="AE34" s="103"/>
      <c r="AG34" s="103"/>
      <c r="AH34" s="103"/>
      <c r="AI34" s="103"/>
      <c r="AJ34" s="103"/>
      <c r="AK34" s="103"/>
      <c r="AM34" s="103"/>
      <c r="AN34" s="103"/>
      <c r="AO34" s="103"/>
      <c r="AP34" s="103"/>
      <c r="AQ34" s="103"/>
      <c r="AS34" s="103"/>
      <c r="AT34" s="103"/>
      <c r="AU34" s="103"/>
      <c r="AV34" s="103"/>
      <c r="AW34" s="103"/>
      <c r="AY34" s="103"/>
      <c r="AZ34" s="103"/>
      <c r="BA34" s="103"/>
      <c r="BB34" s="103"/>
      <c r="BC34" s="103"/>
      <c r="BE34" s="103"/>
      <c r="BF34" s="103"/>
      <c r="BG34" s="103"/>
      <c r="BH34" s="103"/>
      <c r="BI34" s="103"/>
      <c r="BK34" s="103"/>
      <c r="BL34" s="103"/>
      <c r="BM34" s="103"/>
      <c r="BN34" s="103"/>
      <c r="BO34" s="103"/>
      <c r="BQ34" s="103"/>
      <c r="BR34" s="103"/>
      <c r="BS34" s="103"/>
      <c r="BT34" s="103"/>
      <c r="BU34" s="103"/>
      <c r="BW34" s="103"/>
      <c r="BX34" s="103"/>
      <c r="BY34" s="103"/>
      <c r="BZ34" s="103"/>
      <c r="CA34" s="103"/>
      <c r="CC34" s="103"/>
      <c r="CD34" s="103"/>
      <c r="CE34" s="103"/>
      <c r="CF34" s="103"/>
      <c r="CG34" s="103"/>
      <c r="CI34" s="103"/>
      <c r="CJ34" s="103"/>
      <c r="CK34" s="103"/>
      <c r="CL34" s="103"/>
      <c r="CM34" s="103"/>
      <c r="CO34" s="103"/>
      <c r="CP34" s="103"/>
      <c r="CQ34" s="103"/>
      <c r="CR34" s="103"/>
      <c r="CS34" s="103"/>
      <c r="CU34" s="103"/>
      <c r="CV34" s="103"/>
      <c r="CW34" s="103"/>
      <c r="CX34" s="103"/>
      <c r="CY34" s="103"/>
      <c r="DA34" s="103"/>
      <c r="DB34" s="103"/>
      <c r="DC34" s="103"/>
      <c r="DD34" s="103"/>
      <c r="DE34" s="103"/>
      <c r="DG34" s="103"/>
      <c r="DH34" s="103"/>
      <c r="DI34" s="103"/>
      <c r="DJ34" s="103"/>
      <c r="DK34" s="103"/>
    </row>
    <row r="35" spans="2:115" s="135" customFormat="1" ht="15" x14ac:dyDescent="0.3">
      <c r="B35" s="42" t="s">
        <v>57</v>
      </c>
      <c r="C35" s="178">
        <v>112</v>
      </c>
      <c r="D35" s="179">
        <v>100</v>
      </c>
      <c r="E35" s="179">
        <v>104</v>
      </c>
      <c r="F35" s="180">
        <v>99</v>
      </c>
      <c r="G35" s="202">
        <f>G37*1000/G25</f>
        <v>103.72010447817694</v>
      </c>
      <c r="H35" s="134"/>
      <c r="I35" s="178">
        <v>92</v>
      </c>
      <c r="J35" s="179">
        <v>87</v>
      </c>
      <c r="K35" s="179">
        <v>84</v>
      </c>
      <c r="L35" s="180">
        <v>72</v>
      </c>
      <c r="M35" s="202">
        <f>M37*1000/M25</f>
        <v>83.244140320621625</v>
      </c>
      <c r="N35" s="134"/>
      <c r="O35" s="178">
        <v>109</v>
      </c>
      <c r="P35" s="179">
        <v>78</v>
      </c>
      <c r="Q35" s="179">
        <v>59</v>
      </c>
      <c r="R35" s="179">
        <v>83</v>
      </c>
      <c r="S35" s="202">
        <f>S37*1000/S25</f>
        <v>83.179961962760061</v>
      </c>
      <c r="T35" s="134"/>
      <c r="U35" s="211">
        <v>100</v>
      </c>
      <c r="V35" s="212">
        <v>82</v>
      </c>
      <c r="W35" s="212">
        <v>68</v>
      </c>
      <c r="X35" s="212">
        <v>69</v>
      </c>
      <c r="Y35" s="202">
        <f>Y37*1000/Y25</f>
        <v>81.783317199471739</v>
      </c>
      <c r="AA35" s="211">
        <v>68</v>
      </c>
      <c r="AB35" s="212">
        <v>66</v>
      </c>
      <c r="AC35" s="212">
        <v>59</v>
      </c>
      <c r="AD35" s="212">
        <v>66</v>
      </c>
      <c r="AE35" s="202">
        <f>AE37*1000/AE25</f>
        <v>64.792057635069298</v>
      </c>
      <c r="AG35" s="211">
        <v>70</v>
      </c>
      <c r="AH35" s="212">
        <v>69</v>
      </c>
      <c r="AI35" s="212">
        <v>48</v>
      </c>
      <c r="AJ35" s="212">
        <v>68</v>
      </c>
      <c r="AK35" s="202">
        <f>AK37*1000/AK25</f>
        <v>63.838481514600055</v>
      </c>
      <c r="AM35" s="211">
        <v>59</v>
      </c>
      <c r="AN35" s="212">
        <v>84</v>
      </c>
      <c r="AO35" s="212">
        <v>69</v>
      </c>
      <c r="AP35" s="212">
        <v>65</v>
      </c>
      <c r="AQ35" s="202">
        <f>AQ37*1000/AQ25</f>
        <v>69.182939046710061</v>
      </c>
      <c r="AS35" s="211">
        <v>54</v>
      </c>
      <c r="AT35" s="212">
        <v>51</v>
      </c>
      <c r="AU35" s="212">
        <v>53</v>
      </c>
      <c r="AV35" s="212">
        <v>74</v>
      </c>
      <c r="AW35" s="202">
        <f>AW37*1000/AW25</f>
        <v>57.506953878955528</v>
      </c>
      <c r="AY35" s="211">
        <v>54</v>
      </c>
      <c r="AZ35" s="212">
        <v>53</v>
      </c>
      <c r="BA35" s="212">
        <v>48</v>
      </c>
      <c r="BB35" s="212">
        <v>22</v>
      </c>
      <c r="BC35" s="202">
        <f>BC37*1000/BC25</f>
        <v>43.989133107988309</v>
      </c>
      <c r="BE35" s="211">
        <v>27</v>
      </c>
      <c r="BF35" s="212">
        <v>24</v>
      </c>
      <c r="BG35" s="212">
        <v>25</v>
      </c>
      <c r="BH35" s="212">
        <v>35</v>
      </c>
      <c r="BI35" s="202">
        <f>BI37*1000/BI25</f>
        <v>28.457669073849566</v>
      </c>
      <c r="BK35" s="211">
        <v>21</v>
      </c>
      <c r="BL35" s="212">
        <v>19</v>
      </c>
      <c r="BM35" s="212">
        <v>17</v>
      </c>
      <c r="BN35" s="212">
        <v>20</v>
      </c>
      <c r="BO35" s="202">
        <f>BO37*1000/BO25</f>
        <v>19.195937062076471</v>
      </c>
      <c r="BQ35" s="211">
        <f>BK35*(1+BQ36)</f>
        <v>26.25</v>
      </c>
      <c r="BR35" s="212">
        <f>BL35*(1+BR36)</f>
        <v>31.349999999999998</v>
      </c>
      <c r="BS35" s="212">
        <f>BM35*(1+BS36)</f>
        <v>29.75</v>
      </c>
      <c r="BT35" s="210">
        <f>BN35*(1+BT36)</f>
        <v>44</v>
      </c>
      <c r="BU35" s="202">
        <f>BU37*1000/BU25</f>
        <v>33.054048518486553</v>
      </c>
      <c r="BW35" s="211">
        <f>BQ35*(1+BW36)</f>
        <v>26.906249999999996</v>
      </c>
      <c r="BX35" s="212">
        <f>BR35*(1+BX36)</f>
        <v>32.133749999999992</v>
      </c>
      <c r="BY35" s="212">
        <f>BS35*(1+BY36)</f>
        <v>30.493749999999999</v>
      </c>
      <c r="BZ35" s="210">
        <f>BT35*(1+BZ36)</f>
        <v>46.2</v>
      </c>
      <c r="CA35" s="202">
        <f>CA37*1000/CA25</f>
        <v>34.078480104717336</v>
      </c>
      <c r="CC35" s="211">
        <f>BW35*(1+CC36)</f>
        <v>27.578906249999996</v>
      </c>
      <c r="CD35" s="212">
        <f>BX35*(1+CD36)</f>
        <v>32.937093749999988</v>
      </c>
      <c r="CE35" s="212">
        <f>BY35*(1+CE36)</f>
        <v>31.256093749999994</v>
      </c>
      <c r="CF35" s="210">
        <f>BZ35*(1+CF36)</f>
        <v>47.354999999999997</v>
      </c>
      <c r="CG35" s="202">
        <f>CG37*1000/CG25</f>
        <v>34.881529086509055</v>
      </c>
      <c r="CI35" s="211">
        <f>CC35*(1+CI36)</f>
        <v>27.578906249999996</v>
      </c>
      <c r="CJ35" s="212">
        <f>CD35*(1+CJ36)</f>
        <v>32.937093749999988</v>
      </c>
      <c r="CK35" s="212">
        <f>CE35*(1+CK36)</f>
        <v>31.256093749999994</v>
      </c>
      <c r="CL35" s="210">
        <f>CF35*(1+CL36)</f>
        <v>47.354999999999997</v>
      </c>
      <c r="CM35" s="202">
        <f>CM37*1000/CM25</f>
        <v>34.8807222086945</v>
      </c>
      <c r="CO35" s="211">
        <f>CI35*(1+CO36)</f>
        <v>27.578906249999996</v>
      </c>
      <c r="CP35" s="212">
        <f>CJ35*(1+CP36)</f>
        <v>32.937093749999988</v>
      </c>
      <c r="CQ35" s="212">
        <f>CK35*(1+CQ36)</f>
        <v>31.256093749999994</v>
      </c>
      <c r="CR35" s="210">
        <f>CL35*(1+CR36)</f>
        <v>47.354999999999997</v>
      </c>
      <c r="CS35" s="202">
        <f>CS37*1000/CS25</f>
        <v>34.87992827907901</v>
      </c>
      <c r="CU35" s="211">
        <f>CO35*(1+CU36)</f>
        <v>27.578906249999996</v>
      </c>
      <c r="CV35" s="212">
        <f>CP35*(1+CV36)</f>
        <v>32.937093749999988</v>
      </c>
      <c r="CW35" s="212">
        <f>CQ35*(1+CW36)</f>
        <v>31.256093749999994</v>
      </c>
      <c r="CX35" s="210">
        <f>CR35*(1+CX36)</f>
        <v>47.354999999999997</v>
      </c>
      <c r="CY35" s="202">
        <f>CY37*1000/CY25</f>
        <v>34.879146988468264</v>
      </c>
      <c r="DA35" s="211">
        <f>CU35*(1+DA36)</f>
        <v>27.578906249999996</v>
      </c>
      <c r="DB35" s="212">
        <f>CV35*(1+DB36)</f>
        <v>32.937093749999988</v>
      </c>
      <c r="DC35" s="212">
        <f>CW35*(1+DC36)</f>
        <v>31.256093749999994</v>
      </c>
      <c r="DD35" s="210">
        <f>CX35*(1+DD36)</f>
        <v>47.354999999999997</v>
      </c>
      <c r="DE35" s="202">
        <f>DE37*1000/DE25</f>
        <v>34.878378037434679</v>
      </c>
      <c r="DG35" s="211">
        <f>DA35*(1+DG36)</f>
        <v>27.578906249999996</v>
      </c>
      <c r="DH35" s="212">
        <f>DB35*(1+DH36)</f>
        <v>32.937093749999988</v>
      </c>
      <c r="DI35" s="212">
        <f>DC35*(1+DI36)</f>
        <v>31.256093749999994</v>
      </c>
      <c r="DJ35" s="210">
        <f>DD35*(1+DJ36)</f>
        <v>47.354999999999997</v>
      </c>
      <c r="DK35" s="202">
        <f>DK37*1000/DK25</f>
        <v>34.877621135934781</v>
      </c>
    </row>
    <row r="36" spans="2:115" ht="15" x14ac:dyDescent="0.3">
      <c r="B36" s="40" t="s">
        <v>23</v>
      </c>
      <c r="C36" s="144" t="s">
        <v>35</v>
      </c>
      <c r="D36" s="107" t="s">
        <v>35</v>
      </c>
      <c r="E36" s="107" t="s">
        <v>35</v>
      </c>
      <c r="F36" s="145" t="s">
        <v>35</v>
      </c>
      <c r="G36" s="138" t="s">
        <v>35</v>
      </c>
      <c r="I36" s="151">
        <f>I35/C35-1</f>
        <v>-0.1785714285714286</v>
      </c>
      <c r="J36" s="133">
        <f>J35/D35-1</f>
        <v>-0.13</v>
      </c>
      <c r="K36" s="133">
        <f>K35/E35-1</f>
        <v>-0.19230769230769229</v>
      </c>
      <c r="L36" s="133">
        <f>L35/F35-1</f>
        <v>-0.27272727272727271</v>
      </c>
      <c r="M36" s="153">
        <f>M35/G35-1</f>
        <v>-0.19741557589602621</v>
      </c>
      <c r="O36" s="151">
        <f>O35/I35-1</f>
        <v>0.18478260869565211</v>
      </c>
      <c r="P36" s="133">
        <f>P35/J35-1</f>
        <v>-0.10344827586206895</v>
      </c>
      <c r="Q36" s="133">
        <f>Q35/K35-1</f>
        <v>-0.29761904761904767</v>
      </c>
      <c r="R36" s="133">
        <f>R35/L35-1</f>
        <v>0.15277777777777768</v>
      </c>
      <c r="S36" s="153">
        <f>S35/M35-1</f>
        <v>-7.7096547113553182E-4</v>
      </c>
      <c r="U36" s="151">
        <f>U35/O35-1</f>
        <v>-8.256880733944949E-2</v>
      </c>
      <c r="V36" s="133">
        <f>V35/P35-1</f>
        <v>5.1282051282051322E-2</v>
      </c>
      <c r="W36" s="133">
        <f>W35/Q35-1</f>
        <v>0.15254237288135597</v>
      </c>
      <c r="X36" s="133">
        <v>0.05</v>
      </c>
      <c r="Y36" s="153">
        <f>Y35/S35-1</f>
        <v>-1.6790639600359536E-2</v>
      </c>
      <c r="AA36" s="151">
        <f>AA35/U35-1</f>
        <v>-0.31999999999999995</v>
      </c>
      <c r="AB36" s="133">
        <f>AB35/V35-1</f>
        <v>-0.19512195121951215</v>
      </c>
      <c r="AC36" s="133">
        <f>AC35/W35-1</f>
        <v>-0.13235294117647056</v>
      </c>
      <c r="AD36" s="133">
        <f>AD35/X35-1</f>
        <v>-4.3478260869565188E-2</v>
      </c>
      <c r="AE36" s="153">
        <f>AE35/Y35-1</f>
        <v>-0.2077594813494823</v>
      </c>
      <c r="AG36" s="151">
        <f>AG35/AA35-1</f>
        <v>2.9411764705882248E-2</v>
      </c>
      <c r="AH36" s="133">
        <f>AH35/AB35-1</f>
        <v>4.5454545454545414E-2</v>
      </c>
      <c r="AI36" s="133">
        <f>AI35/AC35-1</f>
        <v>-0.18644067796610164</v>
      </c>
      <c r="AJ36" s="133">
        <f>AJ35/AD35-1</f>
        <v>3.0303030303030276E-2</v>
      </c>
      <c r="AK36" s="153">
        <f>AK35/AE35-1</f>
        <v>-1.4717484754691812E-2</v>
      </c>
      <c r="AM36" s="151">
        <f>AM35/AG35-1</f>
        <v>-0.15714285714285714</v>
      </c>
      <c r="AN36" s="133">
        <f>AN35/AH35-1</f>
        <v>0.21739130434782616</v>
      </c>
      <c r="AO36" s="133">
        <f>AO35/AI35-1</f>
        <v>0.4375</v>
      </c>
      <c r="AP36" s="133">
        <f>AP35/AJ35-1</f>
        <v>-4.4117647058823484E-2</v>
      </c>
      <c r="AQ36" s="153">
        <f>AQ35/AK35-1</f>
        <v>8.3718431349087075E-2</v>
      </c>
      <c r="AS36" s="151">
        <f>AS35/AM35-1</f>
        <v>-8.4745762711864403E-2</v>
      </c>
      <c r="AT36" s="133">
        <f>AT35/AN35-1</f>
        <v>-0.3928571428571429</v>
      </c>
      <c r="AU36" s="133">
        <f>AU35/AO35-1</f>
        <v>-0.23188405797101452</v>
      </c>
      <c r="AV36" s="133">
        <f>AV35/AP35-1</f>
        <v>0.13846153846153841</v>
      </c>
      <c r="AW36" s="153">
        <f>AW35/AQ35-1</f>
        <v>-0.16876971878675595</v>
      </c>
      <c r="AY36" s="151">
        <f>AY35/AS35-1</f>
        <v>0</v>
      </c>
      <c r="AZ36" s="133">
        <f>AZ35/AT35-1</f>
        <v>3.9215686274509887E-2</v>
      </c>
      <c r="BA36" s="133">
        <f>BA35/AU35-1</f>
        <v>-9.4339622641509413E-2</v>
      </c>
      <c r="BB36" s="133">
        <f>BB35/AV35-1</f>
        <v>-0.70270270270270263</v>
      </c>
      <c r="BC36" s="153">
        <f>BC35/AW35-1</f>
        <v>-0.23506410719337401</v>
      </c>
      <c r="BE36" s="151">
        <f>BE35/AY35-1</f>
        <v>-0.5</v>
      </c>
      <c r="BF36" s="133">
        <f>BF35/AZ35-1</f>
        <v>-0.54716981132075471</v>
      </c>
      <c r="BG36" s="133">
        <f>BG35/BA35-1</f>
        <v>-0.47916666666666663</v>
      </c>
      <c r="BH36" s="133">
        <f>BH35/BB35-1</f>
        <v>0.59090909090909083</v>
      </c>
      <c r="BI36" s="153">
        <f>BI35/BC35-1</f>
        <v>-0.35307501959656196</v>
      </c>
      <c r="BK36" s="151">
        <f>BK35/BE35-1</f>
        <v>-0.22222222222222221</v>
      </c>
      <c r="BL36" s="133">
        <f>BL35/BF35-1</f>
        <v>-0.20833333333333337</v>
      </c>
      <c r="BM36" s="133">
        <f>BM35/BG35-1</f>
        <v>-0.31999999999999995</v>
      </c>
      <c r="BN36" s="133">
        <f>BN35/BH35-1</f>
        <v>-0.4285714285714286</v>
      </c>
      <c r="BO36" s="153">
        <f>BO35/BI35-1</f>
        <v>-0.32545645209866902</v>
      </c>
      <c r="BQ36" s="151">
        <v>0.25</v>
      </c>
      <c r="BR36" s="133">
        <v>0.65</v>
      </c>
      <c r="BS36" s="133">
        <v>0.75</v>
      </c>
      <c r="BT36" s="133">
        <v>1.2</v>
      </c>
      <c r="BU36" s="153">
        <f>BU35/BO35-1</f>
        <v>0.72192940681120454</v>
      </c>
      <c r="BW36" s="151">
        <v>2.5000000000000001E-2</v>
      </c>
      <c r="BX36" s="133">
        <f>BW36</f>
        <v>2.5000000000000001E-2</v>
      </c>
      <c r="BY36" s="133">
        <f>BX36</f>
        <v>2.5000000000000001E-2</v>
      </c>
      <c r="BZ36" s="133">
        <v>0.05</v>
      </c>
      <c r="CA36" s="153">
        <f>CA35/BU35-1</f>
        <v>3.0992620636405066E-2</v>
      </c>
      <c r="CC36" s="151">
        <v>2.5000000000000001E-2</v>
      </c>
      <c r="CD36" s="133">
        <f>CC36</f>
        <v>2.5000000000000001E-2</v>
      </c>
      <c r="CE36" s="133">
        <f>CD36</f>
        <v>2.5000000000000001E-2</v>
      </c>
      <c r="CF36" s="133">
        <f>CE36</f>
        <v>2.5000000000000001E-2</v>
      </c>
      <c r="CG36" s="153">
        <f>CG35/CA35-1</f>
        <v>2.356469476702272E-2</v>
      </c>
      <c r="CI36" s="151">
        <v>0</v>
      </c>
      <c r="CJ36" s="133">
        <v>0</v>
      </c>
      <c r="CK36" s="133">
        <v>0</v>
      </c>
      <c r="CL36" s="152">
        <v>0</v>
      </c>
      <c r="CM36" s="153">
        <f>CM35/CG35-1</f>
        <v>-2.3131950797061762E-5</v>
      </c>
      <c r="CO36" s="151">
        <v>0</v>
      </c>
      <c r="CP36" s="133">
        <v>0</v>
      </c>
      <c r="CQ36" s="133">
        <v>0</v>
      </c>
      <c r="CR36" s="152">
        <v>0</v>
      </c>
      <c r="CS36" s="153">
        <f>CS35/CM35-1</f>
        <v>-2.2761272279292477E-5</v>
      </c>
      <c r="CU36" s="151">
        <v>0</v>
      </c>
      <c r="CV36" s="133">
        <v>0</v>
      </c>
      <c r="CW36" s="133">
        <v>0</v>
      </c>
      <c r="CX36" s="152">
        <v>0</v>
      </c>
      <c r="CY36" s="153">
        <f>CY35/CS35-1</f>
        <v>-2.2399432834108168E-5</v>
      </c>
      <c r="DA36" s="151">
        <v>0</v>
      </c>
      <c r="DB36" s="133">
        <v>0</v>
      </c>
      <c r="DC36" s="133">
        <v>0</v>
      </c>
      <c r="DD36" s="152">
        <v>0</v>
      </c>
      <c r="DE36" s="153">
        <f>DE35/CY35-1</f>
        <v>-2.2046153646981814E-5</v>
      </c>
      <c r="DG36" s="151">
        <v>0</v>
      </c>
      <c r="DH36" s="133">
        <v>0</v>
      </c>
      <c r="DI36" s="133">
        <v>0</v>
      </c>
      <c r="DJ36" s="152">
        <v>0</v>
      </c>
      <c r="DK36" s="153">
        <f>DK35/DE35-1</f>
        <v>-2.170116681132761E-5</v>
      </c>
    </row>
    <row r="37" spans="2:115" ht="15" x14ac:dyDescent="0.3">
      <c r="B37" s="39" t="s">
        <v>55</v>
      </c>
      <c r="C37" s="193">
        <f>C35*C25/1000</f>
        <v>24.416616000000001</v>
      </c>
      <c r="D37" s="194">
        <f>D35*D25/1000</f>
        <v>19.760999999999999</v>
      </c>
      <c r="E37" s="194">
        <f>E35*E25/1000</f>
        <v>25.122499999999999</v>
      </c>
      <c r="F37" s="194">
        <f>F35*F25/1000</f>
        <v>23.859000000000002</v>
      </c>
      <c r="G37" s="196">
        <f>C37+D37+E37+F37</f>
        <v>93.159116000000012</v>
      </c>
      <c r="I37" s="193">
        <f>I35*I25/1000</f>
        <v>18.488319999999998</v>
      </c>
      <c r="J37" s="194">
        <f>J35*J25/1000</f>
        <v>15.565822500000001</v>
      </c>
      <c r="K37" s="194">
        <f>K35*K25/1000</f>
        <v>17.979107999999997</v>
      </c>
      <c r="L37" s="194">
        <f>L35*L25/1000</f>
        <v>16.606080000000002</v>
      </c>
      <c r="M37" s="196">
        <f>I37+J37+K37+L37</f>
        <v>68.6393305</v>
      </c>
      <c r="N37" s="129"/>
      <c r="O37" s="193">
        <f>O35*O25/1000</f>
        <v>22.930329999999998</v>
      </c>
      <c r="P37" s="194">
        <f>P35*P25/1000</f>
        <v>14.362919999999999</v>
      </c>
      <c r="Q37" s="194">
        <f>Q35*Q25/1000</f>
        <v>10.814876999999999</v>
      </c>
      <c r="R37" s="194">
        <f>R35*R25/1000</f>
        <v>21.060461500000002</v>
      </c>
      <c r="S37" s="196">
        <f>O37+P37+Q37+R37</f>
        <v>69.168588499999998</v>
      </c>
      <c r="U37" s="193">
        <f>U35*U25/1000</f>
        <v>37.094399999999993</v>
      </c>
      <c r="V37" s="194">
        <f>V35*V25/1000</f>
        <v>15.643755000000001</v>
      </c>
      <c r="W37" s="194">
        <f>W35*W25/1000</f>
        <v>16.257168</v>
      </c>
      <c r="X37" s="194">
        <f>X35*X25/1000</f>
        <v>18.910415999999998</v>
      </c>
      <c r="Y37" s="196">
        <f>U37+V37+W37+X37</f>
        <v>87.905738999999983</v>
      </c>
      <c r="AA37" s="193">
        <f>AA35*AA25/1000</f>
        <v>16.161152000000001</v>
      </c>
      <c r="AB37" s="194">
        <f>AB35*AB25/1000</f>
        <v>14.420835</v>
      </c>
      <c r="AC37" s="194">
        <f>AC35*AC25/1000</f>
        <v>14.365791999999999</v>
      </c>
      <c r="AD37" s="194">
        <f>AD35*AD25/1000</f>
        <v>20.978496</v>
      </c>
      <c r="AE37" s="196">
        <f>AA37+AB37+AC37+AD37</f>
        <v>65.926275000000004</v>
      </c>
      <c r="AG37" s="193">
        <f>AG35*AG25/1000</f>
        <v>15.993809999999998</v>
      </c>
      <c r="AH37" s="194">
        <f>AH35*AH25/1000</f>
        <v>13.476528</v>
      </c>
      <c r="AI37" s="194">
        <f>AI35*AI25/1000</f>
        <v>10.305480000000001</v>
      </c>
      <c r="AJ37" s="194">
        <f>AJ35*AJ25/1000</f>
        <v>16.08812</v>
      </c>
      <c r="AK37" s="196">
        <f>AG37+AH37+AI37+AJ37</f>
        <v>55.863938000000005</v>
      </c>
      <c r="AM37" s="193">
        <f>AM35*AM25/1000</f>
        <v>11.501873</v>
      </c>
      <c r="AN37" s="194">
        <f>AN35*AN25/1000</f>
        <v>18.114221999999998</v>
      </c>
      <c r="AO37" s="194">
        <f>AO35*AO25/1000</f>
        <v>16.481408999999999</v>
      </c>
      <c r="AP37" s="194">
        <f>AP35*AP25/1000</f>
        <v>18.125087499999999</v>
      </c>
      <c r="AQ37" s="196">
        <f>AM37+AN37+AO37+AP37</f>
        <v>64.222591499999993</v>
      </c>
      <c r="AS37" s="193">
        <f>AS35*AS25/1000</f>
        <v>13.369643999999999</v>
      </c>
      <c r="AT37" s="194">
        <f>AT35*AT25/1000</f>
        <v>11.3570115</v>
      </c>
      <c r="AU37" s="194">
        <f>AU35*AU25/1000</f>
        <v>9.7959900000000015</v>
      </c>
      <c r="AV37" s="194">
        <f>AV35*AV25/1000</f>
        <v>14.134592000000001</v>
      </c>
      <c r="AW37" s="196">
        <f>AS37+AT37+AU37+AV37</f>
        <v>48.657237500000008</v>
      </c>
      <c r="AY37" s="193">
        <f>AY35*AY25/1000</f>
        <v>8.1730079999999994</v>
      </c>
      <c r="AZ37" s="194">
        <f>AZ35*AZ25/1000</f>
        <v>8.8700799999999997</v>
      </c>
      <c r="BA37" s="194">
        <f>BA35*BA25/1000</f>
        <v>9.8716799999999996</v>
      </c>
      <c r="BB37" s="194">
        <f>BB35*BB25/1000</f>
        <v>3.85</v>
      </c>
      <c r="BC37" s="196">
        <f>AY37+AZ37+BA37+BB37</f>
        <v>30.764767999999997</v>
      </c>
      <c r="BE37" s="193">
        <f>BE35*BE25/1000</f>
        <v>6.5888640000000018</v>
      </c>
      <c r="BF37" s="194">
        <f>BF35*BF25/1000</f>
        <v>9.5541120000000017</v>
      </c>
      <c r="BG37" s="194">
        <f>BG35*BG25/1000</f>
        <v>11.321999999999999</v>
      </c>
      <c r="BH37" s="194">
        <f>BH35*BH25/1000</f>
        <v>19.773687500000005</v>
      </c>
      <c r="BI37" s="196">
        <f>BE37+BF37+BG37+BH37</f>
        <v>47.238663500000008</v>
      </c>
      <c r="BK37" s="193">
        <f>BK35*BK25/1000</f>
        <v>9.5350920000000006</v>
      </c>
      <c r="BL37" s="194">
        <f>BL35*BL25/1000</f>
        <v>11.229019000000001</v>
      </c>
      <c r="BM37" s="194">
        <f>BM35*BM25/1000</f>
        <v>10.701372500000002</v>
      </c>
      <c r="BN37" s="194">
        <f>BN35*BN25/1000</f>
        <v>16.88889</v>
      </c>
      <c r="BO37" s="196">
        <f>BK37+BL37+BM37+BN37</f>
        <v>48.354373500000001</v>
      </c>
      <c r="BQ37" s="193">
        <f>BQ35*BQ25/1000</f>
        <v>9.6565874999999988</v>
      </c>
      <c r="BR37" s="194">
        <f>BR35*BR25/1000</f>
        <v>11.5797495</v>
      </c>
      <c r="BS37" s="194">
        <f>BS35*BS25/1000</f>
        <v>11.0333825</v>
      </c>
      <c r="BT37" s="195">
        <f>BT35*BT25/1000</f>
        <v>17.51728</v>
      </c>
      <c r="BU37" s="196">
        <f>BQ37+BR37+BS37+BT37</f>
        <v>49.7869995</v>
      </c>
      <c r="BW37" s="193">
        <f>BW35*BW25/1000</f>
        <v>9.8226646874999979</v>
      </c>
      <c r="BX37" s="194">
        <f>BX35*BX25/1000</f>
        <v>11.759988487499996</v>
      </c>
      <c r="BY37" s="194">
        <f>BY35*BY25/1000</f>
        <v>11.187242062499999</v>
      </c>
      <c r="BZ37" s="195">
        <f>BZ35*BZ25/1000</f>
        <v>17.704764000000001</v>
      </c>
      <c r="CA37" s="196">
        <f>BW37+BX37+BY37+BZ37</f>
        <v>50.474659237499992</v>
      </c>
      <c r="CC37" s="193">
        <f>CC35*CC25/1000</f>
        <v>10.050305015624998</v>
      </c>
      <c r="CD37" s="194">
        <f>CD35*CD25/1000</f>
        <v>12.022697960624996</v>
      </c>
      <c r="CE37" s="194">
        <f>CE35*CE25/1000</f>
        <v>11.427852996874998</v>
      </c>
      <c r="CF37" s="195">
        <f>CF35*CF25/1000</f>
        <v>17.830104599999999</v>
      </c>
      <c r="CG37" s="196">
        <f>CC37+CD37+CE37+CF37</f>
        <v>51.33096057312499</v>
      </c>
      <c r="CI37" s="193">
        <f>CI35*CI25/1000</f>
        <v>10.133041734374999</v>
      </c>
      <c r="CJ37" s="194">
        <f>CJ35*CJ25/1000</f>
        <v>12.121509241874996</v>
      </c>
      <c r="CK37" s="194">
        <f>CK35*CK25/1000</f>
        <v>11.521621278124998</v>
      </c>
      <c r="CL37" s="195">
        <f>CL35*CL25/1000</f>
        <v>17.972169599999997</v>
      </c>
      <c r="CM37" s="196">
        <f>CI37+CJ37+CK37+CL37</f>
        <v>51.748341854374985</v>
      </c>
      <c r="CO37" s="193">
        <f>CO35*CO25/1000</f>
        <v>10.215778453124997</v>
      </c>
      <c r="CP37" s="194">
        <f>CP35*CP25/1000</f>
        <v>12.220320523124995</v>
      </c>
      <c r="CQ37" s="194">
        <f>CQ35*CQ25/1000</f>
        <v>11.615389559374998</v>
      </c>
      <c r="CR37" s="195">
        <f>CR35*CR25/1000</f>
        <v>18.114234599999996</v>
      </c>
      <c r="CS37" s="196">
        <f>CO37+CP37+CQ37+CR37</f>
        <v>52.165723135624987</v>
      </c>
      <c r="CU37" s="193">
        <f>CU35*CU25/1000</f>
        <v>10.298515171874996</v>
      </c>
      <c r="CV37" s="194">
        <f>CV35*CV25/1000</f>
        <v>12.319131804374994</v>
      </c>
      <c r="CW37" s="194">
        <f>CW35*CW25/1000</f>
        <v>11.709157840624997</v>
      </c>
      <c r="CX37" s="195">
        <f>CX35*CX25/1000</f>
        <v>18.256299599999998</v>
      </c>
      <c r="CY37" s="196">
        <f>CU37+CV37+CW37+CX37</f>
        <v>52.583104416874981</v>
      </c>
      <c r="DA37" s="193">
        <f>DA35*DA25/1000</f>
        <v>10.381251890624997</v>
      </c>
      <c r="DB37" s="194">
        <f>DB35*DB25/1000</f>
        <v>12.417943085624994</v>
      </c>
      <c r="DC37" s="194">
        <f>DC35*DC25/1000</f>
        <v>11.802926121874998</v>
      </c>
      <c r="DD37" s="195">
        <f>DD35*DD25/1000</f>
        <v>18.398364599999997</v>
      </c>
      <c r="DE37" s="196">
        <f>DA37+DB37+DC37+DD37</f>
        <v>53.00048569812499</v>
      </c>
      <c r="DG37" s="193">
        <f>DG35*DG25/1000</f>
        <v>10.463988609374997</v>
      </c>
      <c r="DH37" s="194">
        <f>DH35*DH25/1000</f>
        <v>12.516754366874995</v>
      </c>
      <c r="DI37" s="194">
        <f>DI35*DI25/1000</f>
        <v>11.896694403124998</v>
      </c>
      <c r="DJ37" s="195">
        <f>DJ35*DJ25/1000</f>
        <v>18.5404296</v>
      </c>
      <c r="DK37" s="196">
        <f>DG37+DH37+DI37+DJ37</f>
        <v>53.417866979374992</v>
      </c>
    </row>
    <row r="38" spans="2:115" ht="15" x14ac:dyDescent="0.3">
      <c r="B38" s="40" t="s">
        <v>23</v>
      </c>
      <c r="C38" s="144" t="s">
        <v>35</v>
      </c>
      <c r="D38" s="107" t="s">
        <v>35</v>
      </c>
      <c r="E38" s="107" t="s">
        <v>35</v>
      </c>
      <c r="F38" s="145" t="s">
        <v>35</v>
      </c>
      <c r="G38" s="138" t="s">
        <v>35</v>
      </c>
      <c r="I38" s="151">
        <f>I37/C37-1</f>
        <v>-0.24279760962780439</v>
      </c>
      <c r="J38" s="133">
        <f>J37/D37-1</f>
        <v>-0.21229580992864727</v>
      </c>
      <c r="K38" s="133">
        <f>K37/E37-1</f>
        <v>-0.28434240222907758</v>
      </c>
      <c r="L38" s="133">
        <f>L37/F37-1</f>
        <v>-0.30399094681252359</v>
      </c>
      <c r="M38" s="153">
        <f>M37/G37-1</f>
        <v>-0.2632032865146553</v>
      </c>
      <c r="O38" s="151">
        <f>O37/I37-1</f>
        <v>0.24026033733730268</v>
      </c>
      <c r="P38" s="133">
        <f>P37/J37-1</f>
        <v>-7.7278441277356391E-2</v>
      </c>
      <c r="Q38" s="133">
        <f>Q37/K37-1</f>
        <v>-0.39847533036677896</v>
      </c>
      <c r="R38" s="133">
        <f>R37/L37-1</f>
        <v>0.2682379887366555</v>
      </c>
      <c r="S38" s="153">
        <f>S37/M37-1</f>
        <v>7.7107104067688503E-3</v>
      </c>
      <c r="U38" s="151">
        <f>U37/O37-1</f>
        <v>0.61770022498585919</v>
      </c>
      <c r="V38" s="133">
        <f>V37/P37-1</f>
        <v>8.9176504499085318E-2</v>
      </c>
      <c r="W38" s="133">
        <f>W37/Q37-1</f>
        <v>0.50322264414102924</v>
      </c>
      <c r="X38" s="133">
        <f>X37/R37-1</f>
        <v>-0.10208919211005918</v>
      </c>
      <c r="Y38" s="153">
        <f>Y37/S37-1</f>
        <v>0.27089103459151809</v>
      </c>
      <c r="AA38" s="151">
        <f>AA37/U37-1</f>
        <v>-0.56432367149758444</v>
      </c>
      <c r="AB38" s="133">
        <f>AB37/V37-1</f>
        <v>-7.817304732783148E-2</v>
      </c>
      <c r="AC38" s="133">
        <f>AC37/W37-1</f>
        <v>-0.11634105029855146</v>
      </c>
      <c r="AD38" s="133">
        <f>AD37/X37-1</f>
        <v>0.1093619516355433</v>
      </c>
      <c r="AE38" s="153">
        <f>AE37/Y37-1</f>
        <v>-0.25003446020742726</v>
      </c>
      <c r="AG38" s="151">
        <f>AG37/AA37-1</f>
        <v>-1.0354583633642167E-2</v>
      </c>
      <c r="AH38" s="133">
        <f>AH37/AB37-1</f>
        <v>-6.5482130542371508E-2</v>
      </c>
      <c r="AI38" s="133">
        <f>AI37/AC37-1</f>
        <v>-0.28263753227110611</v>
      </c>
      <c r="AJ38" s="133">
        <f>AJ37/AD37-1</f>
        <v>-0.23311375610529939</v>
      </c>
      <c r="AK38" s="153">
        <f>AK37/AE37-1</f>
        <v>-0.15263014632633198</v>
      </c>
      <c r="AM38" s="151">
        <f>AM37/AG37-1</f>
        <v>-0.28085471816909158</v>
      </c>
      <c r="AN38" s="133">
        <f>AN37/AH37-1</f>
        <v>0.34413121836722316</v>
      </c>
      <c r="AO38" s="133">
        <f>AO37/AI37-1</f>
        <v>0.59928591390211783</v>
      </c>
      <c r="AP38" s="133">
        <f>AP37/AJ37-1</f>
        <v>0.12661314684375791</v>
      </c>
      <c r="AQ38" s="153">
        <f>AQ37/AK37-1</f>
        <v>0.14962521081131075</v>
      </c>
      <c r="AS38" s="151">
        <f>AS37/AM37-1</f>
        <v>0.1623884214336222</v>
      </c>
      <c r="AT38" s="133">
        <f>AT37/AN37-1</f>
        <v>-0.3730334374835419</v>
      </c>
      <c r="AU38" s="133">
        <f>AU37/AO37-1</f>
        <v>-0.40563394792277763</v>
      </c>
      <c r="AV38" s="133">
        <f>AV37/AP37-1</f>
        <v>-0.22016420610383247</v>
      </c>
      <c r="AW38" s="153">
        <f>AW37/AQ37-1</f>
        <v>-0.24236571020339448</v>
      </c>
      <c r="AY38" s="151">
        <f>AY37/AS37-1</f>
        <v>-0.38868918274862074</v>
      </c>
      <c r="AZ38" s="133">
        <f>AZ37/AT37-1</f>
        <v>-0.21897763333250131</v>
      </c>
      <c r="BA38" s="133">
        <f>BA37/AU37-1</f>
        <v>7.7266309990107196E-3</v>
      </c>
      <c r="BB38" s="133">
        <f>BB37/AV37-1</f>
        <v>-0.72761859698532505</v>
      </c>
      <c r="BC38" s="153">
        <f>BC37/AW37-1</f>
        <v>-0.36772472954306146</v>
      </c>
      <c r="BE38" s="151">
        <f>BE37/AY37-1</f>
        <v>-0.19382631217294755</v>
      </c>
      <c r="BF38" s="133">
        <f>BF37/AZ37-1</f>
        <v>7.7116779104585476E-2</v>
      </c>
      <c r="BG38" s="133">
        <f>BG37/BA37-1</f>
        <v>0.14691724204998535</v>
      </c>
      <c r="BH38" s="133">
        <f>BH37/BB37-1</f>
        <v>4.1360227272727288</v>
      </c>
      <c r="BI38" s="153">
        <f>BI37/BC37-1</f>
        <v>0.53547926966327242</v>
      </c>
      <c r="BK38" s="151">
        <f>BK37/BE37-1</f>
        <v>0.44715265028994344</v>
      </c>
      <c r="BL38" s="133">
        <f>BL37/BF37-1</f>
        <v>0.17530744877179583</v>
      </c>
      <c r="BM38" s="133">
        <f>BM37/BG37-1</f>
        <v>-5.4816066066065816E-2</v>
      </c>
      <c r="BN38" s="133">
        <f>BN37/BH37-1</f>
        <v>-0.14589071967482059</v>
      </c>
      <c r="BO38" s="153">
        <f>BO37/BI37-1</f>
        <v>2.3618576761808452E-2</v>
      </c>
      <c r="BQ38" s="151">
        <f>BQ37/BK37-1</f>
        <v>1.2741932642076126E-2</v>
      </c>
      <c r="BR38" s="133">
        <f>BR37/BL37-1</f>
        <v>3.1234295711851434E-2</v>
      </c>
      <c r="BS38" s="133">
        <f>BS37/BM37-1</f>
        <v>3.1024992354952374E-2</v>
      </c>
      <c r="BT38" s="152">
        <f>BT37/BN37-1</f>
        <v>3.7207300183730307E-2</v>
      </c>
      <c r="BU38" s="153">
        <f>BU37/BO37-1</f>
        <v>2.962764061041967E-2</v>
      </c>
      <c r="BW38" s="151">
        <f>BW37/BQ37-1</f>
        <v>1.7198330932122641E-2</v>
      </c>
      <c r="BX38" s="133">
        <f>BX37/BR37-1</f>
        <v>1.55650161085088E-2</v>
      </c>
      <c r="BY38" s="133">
        <f>BY37/BS37-1</f>
        <v>1.3944913311942031E-2</v>
      </c>
      <c r="BZ38" s="152">
        <f>BZ37/BT37-1</f>
        <v>1.0702803174922115E-2</v>
      </c>
      <c r="CA38" s="153">
        <f>CA37/BU37-1</f>
        <v>1.3812034153614539E-2</v>
      </c>
      <c r="CC38" s="151">
        <f>CC37/BW37-1</f>
        <v>2.3175007532801883E-2</v>
      </c>
      <c r="CD38" s="133">
        <f>CD37/BX37-1</f>
        <v>2.233926278110232E-2</v>
      </c>
      <c r="CE38" s="133">
        <f>CE37/BY37-1</f>
        <v>2.1507618502466741E-2</v>
      </c>
      <c r="CF38" s="152">
        <f>CF37/BZ37-1</f>
        <v>7.0794843692916221E-3</v>
      </c>
      <c r="CG38" s="153">
        <f>CG37/CA37-1</f>
        <v>1.6964975069882371E-2</v>
      </c>
      <c r="CI38" s="151">
        <f>CI37/CC37-1</f>
        <v>8.2322594808188487E-3</v>
      </c>
      <c r="CJ38" s="133">
        <f>CJ37/CD37-1</f>
        <v>8.218727740945786E-3</v>
      </c>
      <c r="CK38" s="133">
        <f>CK37/CE37-1</f>
        <v>8.2052404135442014E-3</v>
      </c>
      <c r="CL38" s="152">
        <f>CL37/CF37-1</f>
        <v>7.9677042388186514E-3</v>
      </c>
      <c r="CM38" s="153">
        <f>CM37/CG37-1</f>
        <v>8.1311800244883159E-3</v>
      </c>
      <c r="CO38" s="151">
        <f>CO37/CI37-1</f>
        <v>8.165042730390093E-3</v>
      </c>
      <c r="CP38" s="133">
        <f>CP37/CJ37-1</f>
        <v>8.1517308841909664E-3</v>
      </c>
      <c r="CQ38" s="133">
        <f>CQ37/CK37-1</f>
        <v>8.1384623731757255E-3</v>
      </c>
      <c r="CR38" s="152">
        <f>CR37/CL37-1</f>
        <v>7.9047217537941972E-3</v>
      </c>
      <c r="CS38" s="153">
        <f>CS37/CM37-1</f>
        <v>8.0655972016370203E-3</v>
      </c>
      <c r="CU38" s="151">
        <f>CU37/CO37-1</f>
        <v>8.0989147454240129E-3</v>
      </c>
      <c r="CV38" s="133">
        <f>CV37/CP37-1</f>
        <v>8.0858174761466728E-3</v>
      </c>
      <c r="CW38" s="133">
        <f>CW37/CQ37-1</f>
        <v>8.0727624993270908E-3</v>
      </c>
      <c r="CX38" s="152">
        <f>CX37/CR37-1</f>
        <v>7.8427271776639884E-3</v>
      </c>
      <c r="CY38" s="153">
        <f>CY37/CS37-1</f>
        <v>8.0010638434906411E-3</v>
      </c>
      <c r="DA38" s="151">
        <f>DA37/CU37-1</f>
        <v>8.0338492849874044E-3</v>
      </c>
      <c r="DB38" s="133">
        <f>DB37/CV37-1</f>
        <v>8.0209614459121337E-3</v>
      </c>
      <c r="DC38" s="133">
        <f>DC37/CW37-1</f>
        <v>8.008114889755058E-3</v>
      </c>
      <c r="DD38" s="152">
        <f>DD37/CX37-1</f>
        <v>7.7816974476032641E-3</v>
      </c>
      <c r="DE38" s="153">
        <f>DE37/CY37-1</f>
        <v>7.9375549594988826E-3</v>
      </c>
      <c r="DG38" s="151">
        <f>DG37/DA37-1</f>
        <v>7.9698209446894541E-3</v>
      </c>
      <c r="DH38" s="133">
        <f>DH37/DB37-1</f>
        <v>7.9571375523845855E-3</v>
      </c>
      <c r="DI38" s="133">
        <f>DI37/DC37-1</f>
        <v>7.9444944653355165E-3</v>
      </c>
      <c r="DJ38" s="152">
        <f>DJ37/DD37-1</f>
        <v>7.7216102131165698E-3</v>
      </c>
      <c r="DK38" s="153">
        <f>DK37/DE37-1</f>
        <v>7.8750463463161946E-3</v>
      </c>
    </row>
    <row r="39" spans="2:115" ht="15" x14ac:dyDescent="0.3">
      <c r="B39" s="40"/>
      <c r="C39" s="144"/>
      <c r="D39" s="107"/>
      <c r="E39" s="107"/>
      <c r="F39" s="145"/>
      <c r="G39" s="138"/>
      <c r="I39" s="144"/>
      <c r="J39" s="107"/>
      <c r="K39" s="107"/>
      <c r="L39" s="145"/>
      <c r="M39" s="138"/>
      <c r="O39" s="144"/>
      <c r="P39" s="107"/>
      <c r="Q39" s="107"/>
      <c r="R39" s="107"/>
      <c r="S39" s="138"/>
      <c r="U39" s="144"/>
      <c r="V39" s="107"/>
      <c r="W39" s="107"/>
      <c r="X39" s="107"/>
      <c r="Y39" s="138"/>
      <c r="AA39" s="144"/>
      <c r="AB39" s="107"/>
      <c r="AC39" s="107"/>
      <c r="AD39" s="107"/>
      <c r="AE39" s="138"/>
      <c r="AG39" s="144"/>
      <c r="AH39" s="107"/>
      <c r="AI39" s="107"/>
      <c r="AJ39" s="107"/>
      <c r="AK39" s="138"/>
      <c r="AM39" s="144"/>
      <c r="AN39" s="107"/>
      <c r="AO39" s="107"/>
      <c r="AP39" s="107"/>
      <c r="AQ39" s="138"/>
      <c r="AS39" s="144"/>
      <c r="AT39" s="107"/>
      <c r="AU39" s="107"/>
      <c r="AV39" s="107"/>
      <c r="AW39" s="138"/>
      <c r="AY39" s="144"/>
      <c r="AZ39" s="107"/>
      <c r="BA39" s="107"/>
      <c r="BB39" s="107"/>
      <c r="BC39" s="138"/>
      <c r="BE39" s="144"/>
      <c r="BF39" s="107"/>
      <c r="BG39" s="107"/>
      <c r="BH39" s="107"/>
      <c r="BI39" s="138"/>
      <c r="BK39" s="144"/>
      <c r="BL39" s="107"/>
      <c r="BM39" s="107"/>
      <c r="BN39" s="107"/>
      <c r="BO39" s="138"/>
      <c r="BQ39" s="144"/>
      <c r="BR39" s="107"/>
      <c r="BS39" s="107"/>
      <c r="BT39" s="145"/>
      <c r="BU39" s="145"/>
      <c r="BW39" s="144"/>
      <c r="BX39" s="107"/>
      <c r="BY39" s="107"/>
      <c r="BZ39" s="145"/>
      <c r="CA39" s="145"/>
      <c r="CC39" s="144"/>
      <c r="CD39" s="107"/>
      <c r="CE39" s="107"/>
      <c r="CF39" s="145"/>
      <c r="CG39" s="145"/>
      <c r="CI39" s="144"/>
      <c r="CJ39" s="107"/>
      <c r="CK39" s="107"/>
      <c r="CL39" s="145"/>
      <c r="CM39" s="145"/>
      <c r="CO39" s="144"/>
      <c r="CP39" s="107"/>
      <c r="CQ39" s="107"/>
      <c r="CR39" s="145"/>
      <c r="CS39" s="145"/>
      <c r="CU39" s="144"/>
      <c r="CV39" s="107"/>
      <c r="CW39" s="107"/>
      <c r="CX39" s="145"/>
      <c r="CY39" s="145"/>
      <c r="DA39" s="144"/>
      <c r="DB39" s="107"/>
      <c r="DC39" s="107"/>
      <c r="DD39" s="145"/>
      <c r="DE39" s="145"/>
      <c r="DG39" s="144"/>
      <c r="DH39" s="107"/>
      <c r="DI39" s="107"/>
      <c r="DJ39" s="145"/>
      <c r="DK39" s="145"/>
    </row>
    <row r="40" spans="2:115" ht="15" x14ac:dyDescent="0.3">
      <c r="B40" s="39" t="s">
        <v>53</v>
      </c>
      <c r="C40" s="203">
        <f>C32-C37-C46</f>
        <v>173.58338400000002</v>
      </c>
      <c r="D40" s="204">
        <f>D32-D37-D46</f>
        <v>194.23899999999998</v>
      </c>
      <c r="E40" s="204">
        <f>E32-E37-E46</f>
        <v>191.8775</v>
      </c>
      <c r="F40" s="204">
        <f>F32-F37-F46</f>
        <v>193.14099999999999</v>
      </c>
      <c r="G40" s="213">
        <f>C40+D40+E40+F40</f>
        <v>752.84088399999996</v>
      </c>
      <c r="H40" s="197"/>
      <c r="I40" s="203">
        <f>I32-I37-I46</f>
        <v>179.51168000000001</v>
      </c>
      <c r="J40" s="204">
        <f>J32-J37-J46</f>
        <v>189.4341775</v>
      </c>
      <c r="K40" s="204">
        <f>K32-K37-K46</f>
        <v>189.020892</v>
      </c>
      <c r="L40" s="204">
        <f>L32-L37-L46</f>
        <v>173.39392000000001</v>
      </c>
      <c r="M40" s="213">
        <f>I40+J40+K40+L40</f>
        <v>731.36066949999997</v>
      </c>
      <c r="N40" s="197"/>
      <c r="O40" s="203">
        <f>O32-O37-O46</f>
        <v>191.06967</v>
      </c>
      <c r="P40" s="204">
        <f>P32-P37-P46</f>
        <v>170.63708</v>
      </c>
      <c r="Q40" s="204">
        <f>Q32-Q37-Q46</f>
        <v>167.185123</v>
      </c>
      <c r="R40" s="204">
        <f>R32-R37-R46</f>
        <v>156.9395385</v>
      </c>
      <c r="S40" s="213">
        <f>O40+P40+Q40+R40</f>
        <v>685.83141150000006</v>
      </c>
      <c r="T40" s="114"/>
      <c r="U40" s="203">
        <f>U32-U37-U46</f>
        <v>127.90559999999999</v>
      </c>
      <c r="V40" s="204">
        <f>V32-V37-V46</f>
        <v>166.356245</v>
      </c>
      <c r="W40" s="204">
        <f>W32-W37-W46</f>
        <v>168.74283199999999</v>
      </c>
      <c r="X40" s="204">
        <f>X32-X37-X46</f>
        <v>149.089584</v>
      </c>
      <c r="Y40" s="213">
        <f>U40+V40+W40+X40</f>
        <v>612.09426099999996</v>
      </c>
      <c r="AA40" s="203">
        <f>AA32-AA37-AA46</f>
        <v>152.83884799999998</v>
      </c>
      <c r="AB40" s="204">
        <f>AB32-AB37-AB46</f>
        <v>144.57916499999999</v>
      </c>
      <c r="AC40" s="204">
        <f>AC32-AC37-AC46</f>
        <v>150.634208</v>
      </c>
      <c r="AD40" s="204">
        <f>AD32-AD37-AD46</f>
        <v>157.02150399999999</v>
      </c>
      <c r="AE40" s="213">
        <f>AA40+AB40+AC40+AD40</f>
        <v>605.07372499999997</v>
      </c>
      <c r="AG40" s="203">
        <f>AG32-AG37-AG46</f>
        <v>151.00619</v>
      </c>
      <c r="AH40" s="204">
        <f>AH32-AH37-AH46</f>
        <v>150.523472</v>
      </c>
      <c r="AI40" s="204">
        <f>AI32-AI37-AI46</f>
        <v>143.69452000000001</v>
      </c>
      <c r="AJ40" s="204">
        <f>AJ32-AJ37-AJ46</f>
        <v>142.91188</v>
      </c>
      <c r="AK40" s="213">
        <f>AG40+AH40+AI40+AJ40</f>
        <v>588.13606200000004</v>
      </c>
      <c r="AM40" s="203">
        <f>AM32-AM37-AM46</f>
        <v>136.49812700000001</v>
      </c>
      <c r="AN40" s="204">
        <f>AN32-AN37-AN46</f>
        <v>138.88577800000002</v>
      </c>
      <c r="AO40" s="204">
        <f>AO32-AO37-AO46</f>
        <v>146.51859100000001</v>
      </c>
      <c r="AP40" s="204">
        <f>AP32-AP37-AP46</f>
        <v>149.87491249999999</v>
      </c>
      <c r="AQ40" s="213">
        <f>AM40+AN40+AO40+AP40</f>
        <v>571.77740850000009</v>
      </c>
      <c r="AS40" s="203">
        <f>AS32-AS37-AS46</f>
        <v>134.63035600000001</v>
      </c>
      <c r="AT40" s="204">
        <f>AT32-AT37-AT46</f>
        <v>129.6429885</v>
      </c>
      <c r="AU40" s="204">
        <f>AU32-AU37-AU46</f>
        <v>133.20401000000001</v>
      </c>
      <c r="AV40" s="204">
        <f>AV32-AV37-AV46</f>
        <v>157.865408</v>
      </c>
      <c r="AW40" s="213">
        <f>AS40+AT40+AU40+AV40</f>
        <v>555.34276250000005</v>
      </c>
      <c r="AY40" s="203">
        <f>AY32-AY37-AY46</f>
        <v>123.82699199999999</v>
      </c>
      <c r="AZ40" s="204">
        <f>AZ32-AZ37-AZ46</f>
        <v>130.12992</v>
      </c>
      <c r="BA40" s="204">
        <f>BA32-BA37-BA46</f>
        <v>133.12832</v>
      </c>
      <c r="BB40" s="204">
        <f>BB32-BB37-BB46</f>
        <v>152.15</v>
      </c>
      <c r="BC40" s="213">
        <f>AY40+AZ40+BA40+BB40</f>
        <v>539.235232</v>
      </c>
      <c r="BE40" s="203">
        <f>BE32-BE37-BE46</f>
        <v>132.411136</v>
      </c>
      <c r="BF40" s="204">
        <f>BF32-BF37-BF46</f>
        <v>128.445888</v>
      </c>
      <c r="BG40" s="204">
        <f>BG32-BG37-BG46</f>
        <v>129.678</v>
      </c>
      <c r="BH40" s="204">
        <f>BH32-BH37-BH46</f>
        <v>159.22631250000001</v>
      </c>
      <c r="BI40" s="213">
        <f>BE40+BF40+BG40+BH40</f>
        <v>549.76133649999997</v>
      </c>
      <c r="BK40" s="203">
        <f>BK32-BK37-BK46</f>
        <v>129.46490800000001</v>
      </c>
      <c r="BL40" s="204">
        <f>BL32-BL37-BL46</f>
        <v>134.77098100000001</v>
      </c>
      <c r="BM40" s="204">
        <f>BM32-BM37-BM46</f>
        <v>138.29862750000001</v>
      </c>
      <c r="BN40" s="204">
        <f>BN32-BN37-BN46</f>
        <v>182.11111</v>
      </c>
      <c r="BO40" s="213">
        <f>BK40+BL40+BM40+BN40</f>
        <v>584.64562650000005</v>
      </c>
      <c r="BQ40" s="203">
        <f>BQ43*BQ32</f>
        <v>151.09196107042703</v>
      </c>
      <c r="BR40" s="204">
        <f>BR43*BR32</f>
        <v>149.09207621744244</v>
      </c>
      <c r="BS40" s="204">
        <f>BS43*BS32</f>
        <v>147.32021882744937</v>
      </c>
      <c r="BT40" s="205">
        <f>BT43*BT32</f>
        <v>187.24363983526493</v>
      </c>
      <c r="BU40" s="213">
        <f>BQ40+BR40+BS40+BT40</f>
        <v>634.74789595058382</v>
      </c>
      <c r="BW40" s="203">
        <f>BW43*BW32</f>
        <v>155.15795541396935</v>
      </c>
      <c r="BX40" s="204">
        <f>BX43*BX32</f>
        <v>153.34511101916326</v>
      </c>
      <c r="BY40" s="204">
        <f>BY43*BY32</f>
        <v>151.71565742404195</v>
      </c>
      <c r="BZ40" s="205">
        <f>BZ43*BZ32</f>
        <v>192.29155162410663</v>
      </c>
      <c r="CA40" s="213">
        <f>BW40+BX40+BY40+BZ40</f>
        <v>652.51027548128127</v>
      </c>
      <c r="CC40" s="203">
        <f>CC43*CC32</f>
        <v>156.89937109735516</v>
      </c>
      <c r="CD40" s="204">
        <f>CD43*CD32</f>
        <v>155.62736750787525</v>
      </c>
      <c r="CE40" s="204">
        <f>CE43*CE32</f>
        <v>154.27378551499515</v>
      </c>
      <c r="CF40" s="205">
        <f>CF43*CF32</f>
        <v>195.69691005609749</v>
      </c>
      <c r="CG40" s="213">
        <f>CC40+CD40+CE40+CF40</f>
        <v>662.49743417632305</v>
      </c>
      <c r="CI40" s="203">
        <f>CI43*CI32</f>
        <v>157.74624344308353</v>
      </c>
      <c r="CJ40" s="204">
        <f>CJ43*CJ32</f>
        <v>157.10813140981338</v>
      </c>
      <c r="CK40" s="204">
        <f>CK43*CK32</f>
        <v>156.12871078282689</v>
      </c>
      <c r="CL40" s="205">
        <f>CL43*CL32</f>
        <v>198.25199847663529</v>
      </c>
      <c r="CM40" s="213">
        <f>CI40+CJ40+CK40+CL40</f>
        <v>669.23508411235912</v>
      </c>
      <c r="CO40" s="203">
        <f>CO43*CO32</f>
        <v>158.19709634276535</v>
      </c>
      <c r="CP40" s="204">
        <f>CP43*CP32</f>
        <v>158.14372736197865</v>
      </c>
      <c r="CQ40" s="204">
        <f>CQ43*CQ32</f>
        <v>157.49206301057771</v>
      </c>
      <c r="CR40" s="205">
        <f>CR43*CR32</f>
        <v>200.21431946116425</v>
      </c>
      <c r="CS40" s="213">
        <f>CO40+CP40+CQ40+CR40</f>
        <v>674.04720617648593</v>
      </c>
      <c r="CU40" s="203">
        <f>CU43*CU32</f>
        <v>158.94761790812927</v>
      </c>
      <c r="CV40" s="204">
        <f>CV43*CV32</f>
        <v>159.47073723836104</v>
      </c>
      <c r="CW40" s="204">
        <f>CW43*CW32</f>
        <v>159.14929811496657</v>
      </c>
      <c r="CX40" s="205">
        <f>CX43*CX32</f>
        <v>202.53116658871863</v>
      </c>
      <c r="CY40" s="213">
        <f>CU40+CV40+CW40+CX40</f>
        <v>680.09881985017546</v>
      </c>
      <c r="DA40" s="203">
        <f>DA43*DA32</f>
        <v>160.64116875268425</v>
      </c>
      <c r="DB40" s="204">
        <f>DB43*DB32</f>
        <v>161.70921851202661</v>
      </c>
      <c r="DC40" s="204">
        <f>DC43*DC32</f>
        <v>161.73971956989024</v>
      </c>
      <c r="DD40" s="205">
        <f>DD43*DD32</f>
        <v>205.86968972909227</v>
      </c>
      <c r="DE40" s="213">
        <f>DA40+DB40+DC40+DD40</f>
        <v>689.95979656369332</v>
      </c>
      <c r="DG40" s="203">
        <f>DG43*DG32</f>
        <v>161.76551129026768</v>
      </c>
      <c r="DH40" s="204">
        <f>DH43*DH32</f>
        <v>163.32577240289848</v>
      </c>
      <c r="DI40" s="204">
        <f>DI43*DI32</f>
        <v>163.65471068197701</v>
      </c>
      <c r="DJ40" s="205">
        <f>DJ43*DJ32</f>
        <v>208.39078072241975</v>
      </c>
      <c r="DK40" s="213">
        <f>DG40+DH40+DI40+DJ40</f>
        <v>697.13677509756292</v>
      </c>
    </row>
    <row r="41" spans="2:115" ht="15" x14ac:dyDescent="0.3">
      <c r="B41" s="40" t="s">
        <v>23</v>
      </c>
      <c r="C41" s="144" t="s">
        <v>35</v>
      </c>
      <c r="D41" s="107" t="s">
        <v>35</v>
      </c>
      <c r="E41" s="107" t="s">
        <v>35</v>
      </c>
      <c r="F41" s="145" t="s">
        <v>35</v>
      </c>
      <c r="G41" s="138" t="s">
        <v>35</v>
      </c>
      <c r="I41" s="151">
        <f>I40/C40-1</f>
        <v>3.4152439383253297E-2</v>
      </c>
      <c r="J41" s="133">
        <f>J40/D40-1</f>
        <v>-2.4736651753767158E-2</v>
      </c>
      <c r="K41" s="133">
        <f>K40/E40-1</f>
        <v>-1.4887665307292353E-2</v>
      </c>
      <c r="L41" s="133">
        <f>L40/F40-1</f>
        <v>-0.10224178191062483</v>
      </c>
      <c r="M41" s="153">
        <f>M40/G40-1</f>
        <v>-2.8532210399986657E-2</v>
      </c>
      <c r="O41" s="151">
        <f>O40/I40-1</f>
        <v>6.4385726878607441E-2</v>
      </c>
      <c r="P41" s="133">
        <f>P40/J40-1</f>
        <v>-9.9227593183389584E-2</v>
      </c>
      <c r="Q41" s="133">
        <f>Q40/K40-1</f>
        <v>-0.11552039972385697</v>
      </c>
      <c r="R41" s="133">
        <f>R40/L40-1</f>
        <v>-9.4895954252605885E-2</v>
      </c>
      <c r="S41" s="153">
        <f>S40/M40-1</f>
        <v>-6.2252811640973738E-2</v>
      </c>
      <c r="U41" s="151">
        <f>U40/O40-1</f>
        <v>-0.33058135286463841</v>
      </c>
      <c r="V41" s="133">
        <f>V40/P40-1</f>
        <v>-2.5087366708337888E-2</v>
      </c>
      <c r="W41" s="133">
        <f>W40/Q40-1</f>
        <v>9.3172704128703376E-3</v>
      </c>
      <c r="X41" s="133">
        <f>X40/R40-1</f>
        <v>-5.0018972752363444E-2</v>
      </c>
      <c r="Y41" s="153">
        <f>Y40/S40-1</f>
        <v>-0.10751498001342286</v>
      </c>
      <c r="AA41" s="151">
        <f>AA40/U40-1</f>
        <v>0.19493476438873669</v>
      </c>
      <c r="AB41" s="133">
        <f>AB40/V40-1</f>
        <v>-0.13090629690517486</v>
      </c>
      <c r="AC41" s="133">
        <f>AC40/W40-1</f>
        <v>-0.10731492286439759</v>
      </c>
      <c r="AD41" s="133">
        <f>AD40/X40-1</f>
        <v>5.3202375291355075E-2</v>
      </c>
      <c r="AE41" s="153">
        <f>AE40/Y40-1</f>
        <v>-1.1469697475239071E-2</v>
      </c>
      <c r="AG41" s="151">
        <f>AG40/AA40-1</f>
        <v>-1.1990786530921671E-2</v>
      </c>
      <c r="AH41" s="133">
        <f>AH40/AB40-1</f>
        <v>4.1114547867253215E-2</v>
      </c>
      <c r="AI41" s="133">
        <f>AI40/AC40-1</f>
        <v>-4.6069801090599438E-2</v>
      </c>
      <c r="AJ41" s="133">
        <f>AJ40/AD40-1</f>
        <v>-8.9857908888708593E-2</v>
      </c>
      <c r="AK41" s="153">
        <f>AK40/AE40-1</f>
        <v>-2.7992726010371616E-2</v>
      </c>
      <c r="AM41" s="151">
        <f>AM40/AG40-1</f>
        <v>-9.6075948939576494E-2</v>
      </c>
      <c r="AN41" s="133">
        <f>AN40/AH40-1</f>
        <v>-7.7314812403476707E-2</v>
      </c>
      <c r="AO41" s="133">
        <f>AO40/AI40-1</f>
        <v>1.9653296451388691E-2</v>
      </c>
      <c r="AP41" s="133">
        <f>AP40/AJ40-1</f>
        <v>4.8722558964307217E-2</v>
      </c>
      <c r="AQ41" s="153">
        <f>AQ40/AK40-1</f>
        <v>-2.7814403089603368E-2</v>
      </c>
      <c r="AS41" s="151">
        <f>AS40/AM40-1</f>
        <v>-1.368349178886541E-2</v>
      </c>
      <c r="AT41" s="133">
        <f>AT40/AN40-1</f>
        <v>-6.6549575004000827E-2</v>
      </c>
      <c r="AU41" s="133">
        <f>AU40/AO40-1</f>
        <v>-9.08729800711775E-2</v>
      </c>
      <c r="AV41" s="133">
        <f>AV40/AP40-1</f>
        <v>5.3314429791577078E-2</v>
      </c>
      <c r="AW41" s="153">
        <f>AW40/AQ40-1</f>
        <v>-2.8743083856906271E-2</v>
      </c>
      <c r="AY41" s="151">
        <f>AY40/AS40-1</f>
        <v>-8.0244636655346979E-2</v>
      </c>
      <c r="AZ41" s="133">
        <f>AZ40/AT40-1</f>
        <v>3.7559416489383324E-3</v>
      </c>
      <c r="BA41" s="133">
        <f>BA40/AU40-1</f>
        <v>-5.6822613673568334E-4</v>
      </c>
      <c r="BB41" s="133">
        <f>BB40/AV40-1</f>
        <v>-3.620430892624682E-2</v>
      </c>
      <c r="BC41" s="153">
        <f>BC40/AW40-1</f>
        <v>-2.9004664484125753E-2</v>
      </c>
      <c r="BE41" s="151">
        <f>BE40/AY40-1</f>
        <v>6.9323689943142641E-2</v>
      </c>
      <c r="BF41" s="133">
        <f>BF40/AZ40-1</f>
        <v>-1.2941159112370149E-2</v>
      </c>
      <c r="BG41" s="133">
        <f>BG40/BA40-1</f>
        <v>-2.5917250364159927E-2</v>
      </c>
      <c r="BH41" s="133">
        <f>BH40/BB40-1</f>
        <v>4.6508790667104893E-2</v>
      </c>
      <c r="BI41" s="153">
        <f>BI40/BC40-1</f>
        <v>1.9520431669420191E-2</v>
      </c>
      <c r="BK41" s="151">
        <f>BK40/BE40-1</f>
        <v>-2.2250605870491103E-2</v>
      </c>
      <c r="BL41" s="133">
        <f>BL40/BF40-1</f>
        <v>4.9243250200426969E-2</v>
      </c>
      <c r="BM41" s="133">
        <f>BM40/BG40-1</f>
        <v>6.647717808726239E-2</v>
      </c>
      <c r="BN41" s="133">
        <f>BN40/BH40-1</f>
        <v>0.14372497322011402</v>
      </c>
      <c r="BO41" s="153">
        <f>BO40/BI40-1</f>
        <v>6.3453516433307877E-2</v>
      </c>
      <c r="BQ41" s="151">
        <f>BQ40/BK40-1</f>
        <v>0.16704953801401556</v>
      </c>
      <c r="BR41" s="133">
        <f>BR40/BL40-1</f>
        <v>0.1062624543590911</v>
      </c>
      <c r="BS41" s="133">
        <f>BS40/BM40-1</f>
        <v>6.5232688787524973E-2</v>
      </c>
      <c r="BT41" s="152">
        <f>BT40/BN40-1</f>
        <v>2.8183507504099703E-2</v>
      </c>
      <c r="BU41" s="152">
        <f>BU40/BO40-1</f>
        <v>8.569681731910439E-2</v>
      </c>
      <c r="BW41" s="151">
        <f>BW40/BQ40-1</f>
        <v>2.6910725856864604E-2</v>
      </c>
      <c r="BX41" s="133">
        <f>BX40/BR40-1</f>
        <v>2.852622962683804E-2</v>
      </c>
      <c r="BY41" s="133">
        <f>BY40/BS40-1</f>
        <v>2.9835949413982377E-2</v>
      </c>
      <c r="BZ41" s="152">
        <f>BZ40/BT40-1</f>
        <v>2.6959056090144484E-2</v>
      </c>
      <c r="CA41" s="152">
        <f>CA40/BU40-1</f>
        <v>2.7983361022563047E-2</v>
      </c>
      <c r="CC41" s="151">
        <f>CC40/BW40-1</f>
        <v>1.1223502389804185E-2</v>
      </c>
      <c r="CD41" s="133">
        <f>CD40/BX40-1</f>
        <v>1.4883138259470075E-2</v>
      </c>
      <c r="CE41" s="133">
        <f>CE40/BY40-1</f>
        <v>1.6861332141898222E-2</v>
      </c>
      <c r="CF41" s="152">
        <f>CF40/BZ40-1</f>
        <v>1.7709350219648146E-2</v>
      </c>
      <c r="CG41" s="152">
        <f>CG40/CA40-1</f>
        <v>1.5305749304369787E-2</v>
      </c>
      <c r="CI41" s="151">
        <f>CI40/CC40-1</f>
        <v>5.3975509258281651E-3</v>
      </c>
      <c r="CJ41" s="133">
        <f>CJ40/CD40-1</f>
        <v>9.5148040196928463E-3</v>
      </c>
      <c r="CK41" s="133">
        <f>CK40/CE40-1</f>
        <v>1.2023593390410703E-2</v>
      </c>
      <c r="CL41" s="152">
        <f>CL40/CF40-1</f>
        <v>1.3056355462155E-2</v>
      </c>
      <c r="CM41" s="152">
        <f>CM40/CG40-1</f>
        <v>1.0170077027412017E-2</v>
      </c>
      <c r="CO41" s="151">
        <f>CO40/CI40-1</f>
        <v>2.8580896117789134E-3</v>
      </c>
      <c r="CP41" s="133">
        <f>CP40/CJ40-1</f>
        <v>6.5916126865765978E-3</v>
      </c>
      <c r="CQ41" s="133">
        <f>CQ40/CK40-1</f>
        <v>8.7322326618530788E-3</v>
      </c>
      <c r="CR41" s="152">
        <f>CR40/CL40-1</f>
        <v>9.8981145189325215E-3</v>
      </c>
      <c r="CS41" s="152">
        <f>CS40/CM40-1</f>
        <v>7.1904808614589033E-3</v>
      </c>
      <c r="CU41" s="151">
        <f>CU40/CO40-1</f>
        <v>4.7442183372174984E-3</v>
      </c>
      <c r="CV41" s="133">
        <f>CV40/CP40-1</f>
        <v>8.3911635226920911E-3</v>
      </c>
      <c r="CW41" s="133">
        <f>CW40/CQ40-1</f>
        <v>1.0522657921355316E-2</v>
      </c>
      <c r="CX41" s="152">
        <f>CX40/CR40-1</f>
        <v>1.1571835290251409E-2</v>
      </c>
      <c r="CY41" s="152">
        <f>CY40/CS40-1</f>
        <v>8.9780264916712316E-3</v>
      </c>
      <c r="DA41" s="151">
        <f>DA40/CU40-1</f>
        <v>1.0654773357684721E-2</v>
      </c>
      <c r="DB41" s="133">
        <f>DB40/CV40-1</f>
        <v>1.4036940647735863E-2</v>
      </c>
      <c r="DC41" s="133">
        <f>DC40/CW40-1</f>
        <v>1.6276675333198209E-2</v>
      </c>
      <c r="DD41" s="152">
        <f>DD40/CX40-1</f>
        <v>1.6483996989723471E-2</v>
      </c>
      <c r="DE41" s="152">
        <f>DE40/CY40-1</f>
        <v>1.4499329252902093E-2</v>
      </c>
      <c r="DG41" s="151">
        <f>DG40/DA40-1</f>
        <v>6.9990933601487004E-3</v>
      </c>
      <c r="DH41" s="133">
        <f>DH40/DB40-1</f>
        <v>9.9966712210142195E-3</v>
      </c>
      <c r="DI41" s="133">
        <f>DI40/DC40-1</f>
        <v>1.1839955684226799E-2</v>
      </c>
      <c r="DJ41" s="152">
        <f>DJ40/DD40-1</f>
        <v>1.2246052328757306E-2</v>
      </c>
      <c r="DK41" s="152">
        <f>DK40/DE40-1</f>
        <v>1.0402024247810004E-2</v>
      </c>
    </row>
    <row r="42" spans="2:115" ht="15" x14ac:dyDescent="0.3">
      <c r="B42" s="39"/>
      <c r="C42" s="203"/>
      <c r="D42" s="204"/>
      <c r="E42" s="204"/>
      <c r="F42" s="204"/>
      <c r="G42" s="213"/>
      <c r="H42" s="197"/>
      <c r="I42" s="203"/>
      <c r="J42" s="204"/>
      <c r="K42" s="204"/>
      <c r="L42" s="204"/>
      <c r="M42" s="213"/>
      <c r="N42" s="197"/>
      <c r="O42" s="203"/>
      <c r="P42" s="204"/>
      <c r="Q42" s="204"/>
      <c r="R42" s="204"/>
      <c r="S42" s="213"/>
      <c r="T42" s="114"/>
      <c r="U42" s="203"/>
      <c r="V42" s="204"/>
      <c r="W42" s="204"/>
      <c r="X42" s="204"/>
      <c r="Y42" s="213"/>
      <c r="AA42" s="203"/>
      <c r="AB42" s="204"/>
      <c r="AC42" s="204"/>
      <c r="AD42" s="204"/>
      <c r="AE42" s="213"/>
      <c r="AG42" s="203"/>
      <c r="AH42" s="204"/>
      <c r="AI42" s="204"/>
      <c r="AJ42" s="204"/>
      <c r="AK42" s="213"/>
      <c r="AM42" s="203"/>
      <c r="AN42" s="204"/>
      <c r="AO42" s="204"/>
      <c r="AP42" s="204"/>
      <c r="AQ42" s="213"/>
      <c r="AS42" s="203"/>
      <c r="AT42" s="204"/>
      <c r="AU42" s="204"/>
      <c r="AV42" s="204"/>
      <c r="AW42" s="213"/>
      <c r="AY42" s="203"/>
      <c r="AZ42" s="204"/>
      <c r="BA42" s="204"/>
      <c r="BB42" s="204"/>
      <c r="BC42" s="213"/>
      <c r="BE42" s="203"/>
      <c r="BF42" s="204"/>
      <c r="BG42" s="204"/>
      <c r="BH42" s="204"/>
      <c r="BI42" s="213"/>
      <c r="BK42" s="203"/>
      <c r="BL42" s="204"/>
      <c r="BM42" s="204"/>
      <c r="BN42" s="204"/>
      <c r="BO42" s="213"/>
      <c r="BQ42" s="203"/>
      <c r="BR42" s="204"/>
      <c r="BS42" s="204"/>
      <c r="BT42" s="205"/>
      <c r="BU42" s="213"/>
      <c r="BW42" s="203"/>
      <c r="BX42" s="204"/>
      <c r="BY42" s="204"/>
      <c r="BZ42" s="205"/>
      <c r="CA42" s="213"/>
      <c r="CC42" s="203"/>
      <c r="CD42" s="204"/>
      <c r="CE42" s="204"/>
      <c r="CF42" s="205"/>
      <c r="CG42" s="213"/>
      <c r="CI42" s="203"/>
      <c r="CJ42" s="204"/>
      <c r="CK42" s="204"/>
      <c r="CL42" s="205"/>
      <c r="CM42" s="213"/>
      <c r="CO42" s="203"/>
      <c r="CP42" s="204"/>
      <c r="CQ42" s="204"/>
      <c r="CR42" s="205"/>
      <c r="CS42" s="213"/>
      <c r="CU42" s="203"/>
      <c r="CV42" s="204"/>
      <c r="CW42" s="204"/>
      <c r="CX42" s="205"/>
      <c r="CY42" s="213"/>
      <c r="DA42" s="203"/>
      <c r="DB42" s="204"/>
      <c r="DC42" s="204"/>
      <c r="DD42" s="205"/>
      <c r="DE42" s="213"/>
      <c r="DG42" s="203"/>
      <c r="DH42" s="204"/>
      <c r="DI42" s="204"/>
      <c r="DJ42" s="205"/>
      <c r="DK42" s="213"/>
    </row>
    <row r="43" spans="2:115" ht="15" x14ac:dyDescent="0.3">
      <c r="B43" s="40" t="s">
        <v>54</v>
      </c>
      <c r="C43" s="151">
        <f>C40/C32</f>
        <v>0.55994640000000007</v>
      </c>
      <c r="D43" s="133">
        <f>D40/D32</f>
        <v>0.6584372881355931</v>
      </c>
      <c r="E43" s="133">
        <f>E40/E32</f>
        <v>0.63746677740863789</v>
      </c>
      <c r="F43" s="133">
        <f>F40/F32</f>
        <v>0.69978623188405797</v>
      </c>
      <c r="G43" s="153">
        <f>G40/G32</f>
        <v>0.63692122165820642</v>
      </c>
      <c r="I43" s="151">
        <f>I40/I32</f>
        <v>0.65515211678832119</v>
      </c>
      <c r="J43" s="133">
        <f>J40/J32</f>
        <v>0.70160806481481486</v>
      </c>
      <c r="K43" s="133">
        <f>K40/K32</f>
        <v>0.69749406642066425</v>
      </c>
      <c r="L43" s="133">
        <f>L40/L32</f>
        <v>0.64219970370370372</v>
      </c>
      <c r="M43" s="153">
        <f>M40/M32</f>
        <v>0.6740651331797235</v>
      </c>
      <c r="O43" s="151">
        <f>O40/O32</f>
        <v>0.71561674157303368</v>
      </c>
      <c r="P43" s="133">
        <f>P40/P32</f>
        <v>0.66916501960784314</v>
      </c>
      <c r="Q43" s="133">
        <f>Q40/Q32</f>
        <v>0.64301970384615381</v>
      </c>
      <c r="R43" s="133">
        <f>R40/R32</f>
        <v>0.61304507226562499</v>
      </c>
      <c r="S43" s="153">
        <f>S40/S32</f>
        <v>0.66072390317919083</v>
      </c>
      <c r="U43" s="151">
        <f>U40/U32</f>
        <v>0.51574838709677417</v>
      </c>
      <c r="V43" s="133">
        <f>V40/V32</f>
        <v>0.68459360082304532</v>
      </c>
      <c r="W43" s="133">
        <f>W40/W32</f>
        <v>0.66434185826771652</v>
      </c>
      <c r="X43" s="133">
        <f>X40/X32</f>
        <v>0.62642682352941181</v>
      </c>
      <c r="Y43" s="153">
        <f>Y40/Y32</f>
        <v>0.62267981790437432</v>
      </c>
      <c r="AA43" s="151">
        <f>AA40/AA32</f>
        <v>0.66741855021834051</v>
      </c>
      <c r="AB43" s="133">
        <f>AB40/AB32</f>
        <v>0.63691262114537439</v>
      </c>
      <c r="AC43" s="133">
        <f>AC40/AC32</f>
        <v>0.64373593162393161</v>
      </c>
      <c r="AD43" s="133">
        <f>AD40/AD32</f>
        <v>0.67103206837606832</v>
      </c>
      <c r="AE43" s="153">
        <f>AE40/AE32</f>
        <v>0.65484169372294365</v>
      </c>
      <c r="AG43" s="151">
        <f>AG40/AG32</f>
        <v>0.66522550660792956</v>
      </c>
      <c r="AH43" s="133">
        <f>AH40/AH32</f>
        <v>0.69365655299539175</v>
      </c>
      <c r="AI43" s="133">
        <f>AI40/AI32</f>
        <v>0.65613936073059365</v>
      </c>
      <c r="AJ43" s="133">
        <f>AJ40/AJ32</f>
        <v>0.66470641860465118</v>
      </c>
      <c r="AK43" s="153">
        <f>AK40/AK32</f>
        <v>0.66985884054669709</v>
      </c>
      <c r="AM43" s="151">
        <f>AM40/AM32</f>
        <v>0.67240456650246305</v>
      </c>
      <c r="AN43" s="133">
        <f>AN40/AN32</f>
        <v>0.70500394923857879</v>
      </c>
      <c r="AO43" s="133">
        <f>AO40/AO32</f>
        <v>0.65119373777777789</v>
      </c>
      <c r="AP43" s="133">
        <f>AP40/AP32</f>
        <v>0.73830006157635464</v>
      </c>
      <c r="AQ43" s="153">
        <f>AQ40/AQ32</f>
        <v>0.69055242572463782</v>
      </c>
      <c r="AS43" s="151">
        <f>AS40/AS32</f>
        <v>0.7011997708333334</v>
      </c>
      <c r="AT43" s="133">
        <f>AT40/AT32</f>
        <v>0.64498999253731348</v>
      </c>
      <c r="AU43" s="133">
        <f>AU40/AU32</f>
        <v>0.63430480952380952</v>
      </c>
      <c r="AV43" s="133">
        <f>AV40/AV32</f>
        <v>0.7446481509433962</v>
      </c>
      <c r="AW43" s="153">
        <f>AW40/AW32</f>
        <v>0.68140216257668718</v>
      </c>
      <c r="AY43" s="151">
        <f>AY40/AY32</f>
        <v>0.62856341116751269</v>
      </c>
      <c r="AZ43" s="133">
        <f>AZ40/AZ32</f>
        <v>0.63478009756097564</v>
      </c>
      <c r="BA43" s="133">
        <f>BA40/BA32</f>
        <v>0.64313198067632849</v>
      </c>
      <c r="BB43" s="133">
        <f>BB40/BB32</f>
        <v>0.69159090909090915</v>
      </c>
      <c r="BC43" s="153">
        <f>BC40/BC32</f>
        <v>0.65046469481302771</v>
      </c>
      <c r="BE43" s="151">
        <f>BE40/BE32</f>
        <v>0.63659200000000005</v>
      </c>
      <c r="BF43" s="133">
        <f>BF40/BF32</f>
        <v>0.61752830769230771</v>
      </c>
      <c r="BG43" s="133">
        <f>BG40/BG32</f>
        <v>0.59213698630136991</v>
      </c>
      <c r="BH43" s="133">
        <f>BH40/BH32</f>
        <v>0.72375596590909097</v>
      </c>
      <c r="BI43" s="153">
        <f>BI40/BI32</f>
        <v>0.64299571520467835</v>
      </c>
      <c r="BK43" s="151">
        <f>BK40/BK32</f>
        <v>0.5678285438596492</v>
      </c>
      <c r="BL43" s="133">
        <f>BL40/BL32</f>
        <v>0.62684177209302328</v>
      </c>
      <c r="BM43" s="133">
        <f>BM40/BM32</f>
        <v>0.6229667905405406</v>
      </c>
      <c r="BN43" s="133">
        <f>BN40/BN32</f>
        <v>0.77825260683760678</v>
      </c>
      <c r="BO43" s="153">
        <f>BO40/BO32</f>
        <v>0.65032883926585094</v>
      </c>
      <c r="BQ43" s="214">
        <f>BK43+BQ44</f>
        <v>0.62782854385964915</v>
      </c>
      <c r="BR43" s="215">
        <f>BL43+BR44</f>
        <v>0.6568417720930233</v>
      </c>
      <c r="BS43" s="215">
        <f>BM43+BS44</f>
        <v>0.63796679054054062</v>
      </c>
      <c r="BT43" s="255">
        <f>BN43+BT44</f>
        <v>0.77825260683760678</v>
      </c>
      <c r="BU43" s="153">
        <f>BU40/BU32</f>
        <v>0.67586938603386493</v>
      </c>
      <c r="BW43" s="214">
        <f>BQ43+BW44</f>
        <v>0.63282854385964915</v>
      </c>
      <c r="BX43" s="215">
        <f>BR43+BX44</f>
        <v>0.66184177209302331</v>
      </c>
      <c r="BY43" s="215">
        <f>BS43+BY44</f>
        <v>0.64296679054054062</v>
      </c>
      <c r="BZ43" s="255">
        <f>BT43+BZ44</f>
        <v>0.78325260683760678</v>
      </c>
      <c r="CA43" s="153">
        <f>CA40/CA32</f>
        <v>0.68087416740716689</v>
      </c>
      <c r="CC43" s="214">
        <f>BW43+CC44</f>
        <v>0.6303285438596492</v>
      </c>
      <c r="CD43" s="215">
        <f>BX43+CD44</f>
        <v>0.65934177209302336</v>
      </c>
      <c r="CE43" s="215">
        <f>BY43+CE44</f>
        <v>0.64046679054054068</v>
      </c>
      <c r="CF43" s="255">
        <f>BZ43+CF44</f>
        <v>0.78075260683760683</v>
      </c>
      <c r="CG43" s="153">
        <f>CG40/CG32</f>
        <v>0.67845470044516498</v>
      </c>
      <c r="CI43" s="214">
        <f>CC43+CI44</f>
        <v>0.62782854385964926</v>
      </c>
      <c r="CJ43" s="215">
        <f>CD43+CJ44</f>
        <v>0.65684177209302341</v>
      </c>
      <c r="CK43" s="215">
        <f>CE43+CK44</f>
        <v>0.63796679054054073</v>
      </c>
      <c r="CL43" s="255">
        <f>CF43+CL44</f>
        <v>0.77825260683760689</v>
      </c>
      <c r="CM43" s="153">
        <f>CM40/CM32</f>
        <v>0.67605474598499449</v>
      </c>
      <c r="CO43" s="214">
        <f>CI43+CO44</f>
        <v>0.62532854385964931</v>
      </c>
      <c r="CP43" s="215">
        <f>CJ43+CP44</f>
        <v>0.65434177209302347</v>
      </c>
      <c r="CQ43" s="215">
        <f>CK43+CQ44</f>
        <v>0.63546679054054078</v>
      </c>
      <c r="CR43" s="255">
        <f>CL43+CR44</f>
        <v>0.77575260683760694</v>
      </c>
      <c r="CS43" s="153">
        <f>CS40/CS32</f>
        <v>0.673647541692455</v>
      </c>
      <c r="CU43" s="214">
        <f>CO43+CU44</f>
        <v>0.62282854385964936</v>
      </c>
      <c r="CV43" s="215">
        <f>CP43+CV44</f>
        <v>0.65184177209302352</v>
      </c>
      <c r="CW43" s="215">
        <f>CQ43+CW44</f>
        <v>0.63296679054054084</v>
      </c>
      <c r="CX43" s="255">
        <f>CR43+CX44</f>
        <v>0.77325260683760699</v>
      </c>
      <c r="CY43" s="153">
        <f>CY40/CY32</f>
        <v>0.67123568074240358</v>
      </c>
      <c r="DA43" s="214">
        <f>CU43+DA44</f>
        <v>0.62282854385964936</v>
      </c>
      <c r="DB43" s="215">
        <f>CV43+DB44</f>
        <v>0.65184177209302352</v>
      </c>
      <c r="DC43" s="215">
        <f>CW43+DC44</f>
        <v>0.63296679054054084</v>
      </c>
      <c r="DD43" s="255">
        <f>CX43+DD44</f>
        <v>0.77325260683760699</v>
      </c>
      <c r="DE43" s="153">
        <f>DE40/DE32</f>
        <v>0.67131898501528409</v>
      </c>
      <c r="DG43" s="214">
        <f>DA43+DG44</f>
        <v>0.62282854385964936</v>
      </c>
      <c r="DH43" s="215">
        <f>DB43+DH44</f>
        <v>0.65184177209302352</v>
      </c>
      <c r="DI43" s="215">
        <f>DC43+DI44</f>
        <v>0.63296679054054084</v>
      </c>
      <c r="DJ43" s="255">
        <f>DD43+DJ44</f>
        <v>0.77325260683760699</v>
      </c>
      <c r="DK43" s="153">
        <f>DK40/DK32</f>
        <v>0.6713964847696583</v>
      </c>
    </row>
    <row r="44" spans="2:115" ht="15.75" thickBot="1" x14ac:dyDescent="0.35">
      <c r="B44" s="41" t="s">
        <v>23</v>
      </c>
      <c r="C44" s="155" t="s">
        <v>35</v>
      </c>
      <c r="D44" s="106" t="s">
        <v>35</v>
      </c>
      <c r="E44" s="106" t="s">
        <v>35</v>
      </c>
      <c r="F44" s="154" t="s">
        <v>35</v>
      </c>
      <c r="G44" s="108" t="s">
        <v>35</v>
      </c>
      <c r="I44" s="109">
        <f>I43-C43</f>
        <v>9.5205716788321126E-2</v>
      </c>
      <c r="J44" s="110">
        <f>J43-D43</f>
        <v>4.3170776679221756E-2</v>
      </c>
      <c r="K44" s="110">
        <f>K43-E43</f>
        <v>6.0027289012026364E-2</v>
      </c>
      <c r="L44" s="110">
        <f>L43-F43</f>
        <v>-5.7586528180354257E-2</v>
      </c>
      <c r="M44" s="122">
        <f>M43-G43</f>
        <v>3.7143911521517081E-2</v>
      </c>
      <c r="O44" s="109">
        <f>O43-I43</f>
        <v>6.0464624784712484E-2</v>
      </c>
      <c r="P44" s="110">
        <f>P43-J43</f>
        <v>-3.2443045206971721E-2</v>
      </c>
      <c r="Q44" s="110">
        <f>Q43-K43</f>
        <v>-5.4474362574510438E-2</v>
      </c>
      <c r="R44" s="110">
        <f>R43-L43</f>
        <v>-2.9154631438078726E-2</v>
      </c>
      <c r="S44" s="122">
        <f>S43-M43</f>
        <v>-1.3341230000532667E-2</v>
      </c>
      <c r="U44" s="109">
        <f>U43-O43</f>
        <v>-0.1998683544762595</v>
      </c>
      <c r="V44" s="110">
        <f>V43-P43</f>
        <v>1.5428581215202186E-2</v>
      </c>
      <c r="W44" s="110">
        <f>W43-Q43</f>
        <v>2.1322154421562711E-2</v>
      </c>
      <c r="X44" s="110">
        <f>X43-R43</f>
        <v>1.3381751263786823E-2</v>
      </c>
      <c r="Y44" s="122">
        <f>Y40/S40-1</f>
        <v>-0.10751498001342286</v>
      </c>
      <c r="AA44" s="109">
        <f>AA43-U43</f>
        <v>0.15167016312156634</v>
      </c>
      <c r="AB44" s="110">
        <f>AB43-V43</f>
        <v>-4.7680979677670932E-2</v>
      </c>
      <c r="AC44" s="110">
        <f>AC43-W43</f>
        <v>-2.0605926643784911E-2</v>
      </c>
      <c r="AD44" s="110">
        <f>AD43-X43</f>
        <v>4.4605244846656511E-2</v>
      </c>
      <c r="AE44" s="122">
        <f>AE40/Y40-1</f>
        <v>-1.1469697475239071E-2</v>
      </c>
      <c r="AG44" s="109">
        <f>AG43-AA43</f>
        <v>-2.1930436104109496E-3</v>
      </c>
      <c r="AH44" s="110">
        <f>AH43-AB43</f>
        <v>5.674393185001736E-2</v>
      </c>
      <c r="AI44" s="110">
        <f>AI43-AC43</f>
        <v>1.2403429106662034E-2</v>
      </c>
      <c r="AJ44" s="110">
        <f>AJ43-AD43</f>
        <v>-6.3256497714171411E-3</v>
      </c>
      <c r="AK44" s="122">
        <f>AK40/AE40-1</f>
        <v>-2.7992726010371616E-2</v>
      </c>
      <c r="AM44" s="109">
        <f>AM43-AG43</f>
        <v>7.1790598945334905E-3</v>
      </c>
      <c r="AN44" s="110">
        <f>AN43-AH43</f>
        <v>1.1347396243187036E-2</v>
      </c>
      <c r="AO44" s="110">
        <f>AO43-AI43</f>
        <v>-4.9456229528157536E-3</v>
      </c>
      <c r="AP44" s="110">
        <f>AP43-AJ43</f>
        <v>7.3593642971703455E-2</v>
      </c>
      <c r="AQ44" s="122">
        <f>AQ43-AK43</f>
        <v>2.0693585177940732E-2</v>
      </c>
      <c r="AS44" s="109">
        <f>AS43-AM43</f>
        <v>2.879520433087035E-2</v>
      </c>
      <c r="AT44" s="110">
        <f>AT43-AN43</f>
        <v>-6.0013956701265303E-2</v>
      </c>
      <c r="AU44" s="110">
        <f>AU43-AO43</f>
        <v>-1.6888928253968372E-2</v>
      </c>
      <c r="AV44" s="110">
        <f>AV43-AP43</f>
        <v>6.348089367041565E-3</v>
      </c>
      <c r="AW44" s="122">
        <f>AW43-AQ43</f>
        <v>-9.1502631479506435E-3</v>
      </c>
      <c r="AY44" s="109">
        <f>AY43-AS43</f>
        <v>-7.2636359665820716E-2</v>
      </c>
      <c r="AZ44" s="110">
        <f>AZ43-AT43</f>
        <v>-1.0209894976337841E-2</v>
      </c>
      <c r="BA44" s="110">
        <f>BA43-AU43</f>
        <v>8.8271711525189644E-3</v>
      </c>
      <c r="BB44" s="110">
        <f>BB43-AV43</f>
        <v>-5.3057241852487058E-2</v>
      </c>
      <c r="BC44" s="122">
        <f>BC43-AW43</f>
        <v>-3.0937467763659465E-2</v>
      </c>
      <c r="BE44" s="109">
        <f>BE43-AY43</f>
        <v>8.02858883248736E-3</v>
      </c>
      <c r="BF44" s="110">
        <f>BF43-AZ43</f>
        <v>-1.7251789868667933E-2</v>
      </c>
      <c r="BG44" s="110">
        <f>BG43-BA43</f>
        <v>-5.099499437495858E-2</v>
      </c>
      <c r="BH44" s="110">
        <f>BH43-BB43</f>
        <v>3.2165056818181825E-2</v>
      </c>
      <c r="BI44" s="122">
        <f>BI43-BC43</f>
        <v>-7.4689796083493576E-3</v>
      </c>
      <c r="BK44" s="109">
        <f>BK43-BE43</f>
        <v>-6.8763456140350843E-2</v>
      </c>
      <c r="BL44" s="110">
        <f>BL43-BF43</f>
        <v>9.3134644007155654E-3</v>
      </c>
      <c r="BM44" s="110">
        <f>BM43-BG43</f>
        <v>3.0829804239170699E-2</v>
      </c>
      <c r="BN44" s="110">
        <f>BN43-BH43</f>
        <v>5.4496640928515805E-2</v>
      </c>
      <c r="BO44" s="122">
        <f>BO43-BI43</f>
        <v>7.3331240611725912E-3</v>
      </c>
      <c r="BQ44" s="109">
        <v>0.06</v>
      </c>
      <c r="BR44" s="110">
        <v>0.03</v>
      </c>
      <c r="BS44" s="110">
        <v>1.4999999999999999E-2</v>
      </c>
      <c r="BT44" s="110">
        <v>0</v>
      </c>
      <c r="BU44" s="122">
        <f>BU43-BO43</f>
        <v>2.5540546768013983E-2</v>
      </c>
      <c r="BW44" s="109">
        <v>5.0000000000000001E-3</v>
      </c>
      <c r="BX44" s="110">
        <f>BW44</f>
        <v>5.0000000000000001E-3</v>
      </c>
      <c r="BY44" s="110">
        <f>BX44</f>
        <v>5.0000000000000001E-3</v>
      </c>
      <c r="BZ44" s="110">
        <f>BY44</f>
        <v>5.0000000000000001E-3</v>
      </c>
      <c r="CA44" s="122">
        <f>CA43-BU43</f>
        <v>5.0047813733019586E-3</v>
      </c>
      <c r="CC44" s="109">
        <v>-2.5000000000000001E-3</v>
      </c>
      <c r="CD44" s="110">
        <v>-2.5000000000000001E-3</v>
      </c>
      <c r="CE44" s="110">
        <v>-2.5000000000000001E-3</v>
      </c>
      <c r="CF44" s="110">
        <v>-2.5000000000000001E-3</v>
      </c>
      <c r="CG44" s="122">
        <f>CG43-CA43</f>
        <v>-2.4194669620019038E-3</v>
      </c>
      <c r="CI44" s="109">
        <v>-2.5000000000000001E-3</v>
      </c>
      <c r="CJ44" s="110">
        <v>-2.5000000000000001E-3</v>
      </c>
      <c r="CK44" s="110">
        <v>-2.5000000000000001E-3</v>
      </c>
      <c r="CL44" s="110">
        <v>-2.5000000000000001E-3</v>
      </c>
      <c r="CM44" s="122">
        <f>CM43-CG43</f>
        <v>-2.3999544601704947E-3</v>
      </c>
      <c r="CO44" s="109">
        <v>-2.5000000000000001E-3</v>
      </c>
      <c r="CP44" s="110">
        <v>-2.5000000000000001E-3</v>
      </c>
      <c r="CQ44" s="110">
        <v>-2.5000000000000001E-3</v>
      </c>
      <c r="CR44" s="110">
        <v>-2.5000000000000001E-3</v>
      </c>
      <c r="CS44" s="122">
        <f>CS43-CM43</f>
        <v>-2.4072042925394888E-3</v>
      </c>
      <c r="CU44" s="109">
        <v>-2.5000000000000001E-3</v>
      </c>
      <c r="CV44" s="110">
        <v>-2.5000000000000001E-3</v>
      </c>
      <c r="CW44" s="110">
        <v>-2.5000000000000001E-3</v>
      </c>
      <c r="CX44" s="110">
        <v>-2.5000000000000001E-3</v>
      </c>
      <c r="CY44" s="122">
        <f>CY43-CS43</f>
        <v>-2.4118609500514143E-3</v>
      </c>
      <c r="DA44" s="109">
        <v>0</v>
      </c>
      <c r="DB44" s="110">
        <v>0</v>
      </c>
      <c r="DC44" s="110">
        <v>0</v>
      </c>
      <c r="DD44" s="110">
        <v>0</v>
      </c>
      <c r="DE44" s="122">
        <f>DE43-CY43</f>
        <v>8.3304272880502239E-5</v>
      </c>
      <c r="DG44" s="109">
        <v>0</v>
      </c>
      <c r="DH44" s="110">
        <v>0</v>
      </c>
      <c r="DI44" s="110">
        <v>0</v>
      </c>
      <c r="DJ44" s="110">
        <v>0</v>
      </c>
      <c r="DK44" s="122">
        <f>DK43-DE43</f>
        <v>7.7499754374210639E-5</v>
      </c>
    </row>
    <row r="45" spans="2:115" ht="15.75" thickBot="1" x14ac:dyDescent="0.35">
      <c r="B45" s="1"/>
      <c r="AA45" s="103"/>
      <c r="AB45" s="103"/>
      <c r="AC45" s="103"/>
      <c r="AD45" s="103"/>
      <c r="AE45" s="103"/>
      <c r="AG45" s="103"/>
      <c r="AH45" s="103"/>
      <c r="AI45" s="103"/>
      <c r="AJ45" s="103"/>
      <c r="AK45" s="103"/>
      <c r="AM45" s="103"/>
      <c r="AN45" s="103"/>
      <c r="AO45" s="103"/>
      <c r="AP45" s="103"/>
      <c r="AQ45" s="103"/>
      <c r="AS45" s="103"/>
      <c r="AT45" s="103"/>
      <c r="AU45" s="103"/>
      <c r="AV45" s="103"/>
      <c r="AW45" s="103"/>
      <c r="AY45" s="103"/>
      <c r="AZ45" s="103"/>
      <c r="BA45" s="103"/>
      <c r="BB45" s="103"/>
      <c r="BC45" s="103"/>
      <c r="BE45" s="103"/>
      <c r="BF45" s="103"/>
      <c r="BG45" s="103"/>
      <c r="BH45" s="103"/>
      <c r="BI45" s="103"/>
      <c r="BK45" s="103"/>
      <c r="BL45" s="103"/>
      <c r="BM45" s="103"/>
      <c r="BN45" s="103"/>
      <c r="BO45" s="103"/>
      <c r="BQ45" s="103"/>
      <c r="BR45" s="103"/>
      <c r="BS45" s="103"/>
      <c r="BT45" s="103"/>
      <c r="BU45" s="103"/>
      <c r="BW45" s="103"/>
      <c r="BX45" s="103"/>
      <c r="BY45" s="103"/>
      <c r="BZ45" s="103"/>
      <c r="CA45" s="103"/>
      <c r="CC45" s="103"/>
      <c r="CD45" s="103"/>
      <c r="CE45" s="103"/>
      <c r="CF45" s="103"/>
      <c r="CG45" s="103"/>
      <c r="CI45" s="103"/>
      <c r="CJ45" s="103"/>
      <c r="CK45" s="103"/>
      <c r="CL45" s="103"/>
      <c r="CM45" s="103"/>
      <c r="CO45" s="103"/>
      <c r="CP45" s="103"/>
      <c r="CQ45" s="103"/>
      <c r="CR45" s="103"/>
      <c r="CS45" s="103"/>
      <c r="CU45" s="103"/>
      <c r="CV45" s="103"/>
      <c r="CW45" s="103"/>
      <c r="CX45" s="103"/>
      <c r="CY45" s="103"/>
      <c r="DA45" s="103"/>
      <c r="DB45" s="103"/>
      <c r="DC45" s="103"/>
      <c r="DD45" s="103"/>
      <c r="DE45" s="103"/>
      <c r="DG45" s="103"/>
      <c r="DH45" s="103"/>
      <c r="DI45" s="103"/>
      <c r="DJ45" s="103"/>
      <c r="DK45" s="103"/>
    </row>
    <row r="46" spans="2:115" ht="15" x14ac:dyDescent="0.3">
      <c r="B46" s="42" t="s">
        <v>61</v>
      </c>
      <c r="C46" s="198">
        <v>112</v>
      </c>
      <c r="D46" s="199">
        <v>81</v>
      </c>
      <c r="E46" s="199">
        <v>84</v>
      </c>
      <c r="F46" s="200">
        <v>59</v>
      </c>
      <c r="G46" s="201">
        <f>C46+D46+E46+F46</f>
        <v>336</v>
      </c>
      <c r="H46" s="197"/>
      <c r="I46" s="198">
        <v>76</v>
      </c>
      <c r="J46" s="199">
        <v>65</v>
      </c>
      <c r="K46" s="199">
        <v>64</v>
      </c>
      <c r="L46" s="199">
        <v>80</v>
      </c>
      <c r="M46" s="201">
        <f>I46+J46+K46+L46</f>
        <v>285</v>
      </c>
      <c r="N46" s="197"/>
      <c r="O46" s="198">
        <v>53</v>
      </c>
      <c r="P46" s="199">
        <v>70</v>
      </c>
      <c r="Q46" s="199">
        <v>82</v>
      </c>
      <c r="R46" s="199">
        <v>78</v>
      </c>
      <c r="S46" s="201">
        <f>O46+P46+Q46+R46</f>
        <v>283</v>
      </c>
      <c r="T46" s="197"/>
      <c r="U46" s="198">
        <v>83</v>
      </c>
      <c r="V46" s="199">
        <v>61</v>
      </c>
      <c r="W46" s="199">
        <v>69</v>
      </c>
      <c r="X46" s="199">
        <v>70</v>
      </c>
      <c r="Y46" s="201">
        <f>U46+V46+W46+X46</f>
        <v>283</v>
      </c>
      <c r="AA46" s="198">
        <v>60</v>
      </c>
      <c r="AB46" s="199">
        <v>68</v>
      </c>
      <c r="AC46" s="199">
        <v>69</v>
      </c>
      <c r="AD46" s="199">
        <v>56</v>
      </c>
      <c r="AE46" s="201">
        <f>AA46+AB46+AC46+AD46</f>
        <v>253</v>
      </c>
      <c r="AG46" s="198">
        <v>60</v>
      </c>
      <c r="AH46" s="199">
        <v>53</v>
      </c>
      <c r="AI46" s="199">
        <v>65</v>
      </c>
      <c r="AJ46" s="200">
        <v>56</v>
      </c>
      <c r="AK46" s="201">
        <f>AG46+AH46+AI46+AJ46</f>
        <v>234</v>
      </c>
      <c r="AM46" s="198">
        <v>55</v>
      </c>
      <c r="AN46" s="199">
        <v>40</v>
      </c>
      <c r="AO46" s="199">
        <v>62</v>
      </c>
      <c r="AP46" s="200">
        <v>35</v>
      </c>
      <c r="AQ46" s="201">
        <f>AM46+AN46+AO46+AP46</f>
        <v>192</v>
      </c>
      <c r="AS46" s="198">
        <v>44</v>
      </c>
      <c r="AT46" s="199">
        <v>60</v>
      </c>
      <c r="AU46" s="199">
        <v>67</v>
      </c>
      <c r="AV46" s="200">
        <v>40</v>
      </c>
      <c r="AW46" s="201">
        <f>AS46+AT46+AU46+AV46</f>
        <v>211</v>
      </c>
      <c r="AY46" s="198">
        <v>65</v>
      </c>
      <c r="AZ46" s="199">
        <v>66</v>
      </c>
      <c r="BA46" s="199">
        <v>64</v>
      </c>
      <c r="BB46" s="200">
        <v>64</v>
      </c>
      <c r="BC46" s="201">
        <f>AY46+AZ46+BA46+BB46</f>
        <v>259</v>
      </c>
      <c r="BE46" s="198">
        <v>69</v>
      </c>
      <c r="BF46" s="199">
        <v>70</v>
      </c>
      <c r="BG46" s="199">
        <v>78</v>
      </c>
      <c r="BH46" s="200">
        <v>41</v>
      </c>
      <c r="BI46" s="201">
        <f>BE46+BF46+BG46+BH46</f>
        <v>258</v>
      </c>
      <c r="BK46" s="198">
        <v>89</v>
      </c>
      <c r="BL46" s="199">
        <v>69</v>
      </c>
      <c r="BM46" s="199">
        <v>73</v>
      </c>
      <c r="BN46" s="200">
        <v>35</v>
      </c>
      <c r="BO46" s="201">
        <f>BK46+BL46+BM46+BN46</f>
        <v>266</v>
      </c>
      <c r="BQ46" s="198">
        <f>BQ32-BQ40-BQ37</f>
        <v>79.909450413772674</v>
      </c>
      <c r="BR46" s="199">
        <f>BR32-BR40-BR37</f>
        <v>66.31141827199086</v>
      </c>
      <c r="BS46" s="199">
        <f>BS32-BS40-BS37</f>
        <v>72.567852597490727</v>
      </c>
      <c r="BT46" s="199">
        <f>BT32-BT40-BT37</f>
        <v>35.834020920694428</v>
      </c>
      <c r="BU46" s="201">
        <f>BQ46+BR46+BS46+BT46</f>
        <v>254.62274220394872</v>
      </c>
      <c r="BW46" s="198">
        <f>BW32-BW40-BW37</f>
        <v>80.201043904477885</v>
      </c>
      <c r="BX46" s="199">
        <f>BX32-BX40-BX37</f>
        <v>66.589419463061532</v>
      </c>
      <c r="BY46" s="199">
        <f>BY32-BY40-BY37</f>
        <v>73.058987901910839</v>
      </c>
      <c r="BZ46" s="199">
        <f>BZ32-BZ40-BZ37</f>
        <v>35.507561344125165</v>
      </c>
      <c r="CA46" s="201">
        <f>BW46+BX46+BY46+BZ46</f>
        <v>255.35701261357542</v>
      </c>
      <c r="CC46" s="198">
        <f>CC32-CC40-CC37</f>
        <v>81.967135010031328</v>
      </c>
      <c r="CD46" s="199">
        <f>CD32-CD40-CD37</f>
        <v>68.384376902486864</v>
      </c>
      <c r="CE46" s="199">
        <f>CE32-CE40-CE37</f>
        <v>75.1754651780671</v>
      </c>
      <c r="CF46" s="199">
        <f>CF32-CF40-CF37</f>
        <v>37.124610893712031</v>
      </c>
      <c r="CG46" s="201">
        <f>CC46+CD46+CE46+CF46</f>
        <v>262.65158798429729</v>
      </c>
      <c r="CI46" s="198">
        <f>CI32-CI40-CI37</f>
        <v>83.377598546432196</v>
      </c>
      <c r="CJ46" s="199">
        <f>CJ32-CJ40-CJ37</f>
        <v>69.957539708642571</v>
      </c>
      <c r="CK46" s="199">
        <f>CK32-CK40-CK37</f>
        <v>77.078254282141472</v>
      </c>
      <c r="CL46" s="199">
        <f>CL32-CL40-CL37</f>
        <v>38.515741221224999</v>
      </c>
      <c r="CM46" s="201">
        <f>CI46+CJ46+CK46+CL46</f>
        <v>268.92913375844125</v>
      </c>
      <c r="CO46" s="198">
        <f>CO32-CO40-CO37</f>
        <v>84.569494066311464</v>
      </c>
      <c r="CP46" s="199">
        <f>CP32-CP40-CP37</f>
        <v>71.319631969430219</v>
      </c>
      <c r="CQ46" s="199">
        <f>CQ32-CQ40-CQ37</f>
        <v>78.729358660751913</v>
      </c>
      <c r="CR46" s="199">
        <f>CR32-CR40-CR37</f>
        <v>39.761870252519493</v>
      </c>
      <c r="CS46" s="201">
        <f>CO46+CP46+CQ46+CR46</f>
        <v>274.38035494901311</v>
      </c>
      <c r="CU46" s="198">
        <f>CU32-CU40-CU37</f>
        <v>85.956714437445342</v>
      </c>
      <c r="CV46" s="199">
        <f>CV32-CV40-CV37</f>
        <v>72.856522252977328</v>
      </c>
      <c r="CW46" s="199">
        <f>CW32-CW40-CW37</f>
        <v>80.575427296097317</v>
      </c>
      <c r="CX46" s="199">
        <f>CX32-CX40-CX37</f>
        <v>41.133625053399591</v>
      </c>
      <c r="CY46" s="201">
        <f>CU46+CV46+CW46+CX46</f>
        <v>280.5222890399196</v>
      </c>
      <c r="DA46" s="198">
        <f>DA32-DA40-DA37</f>
        <v>86.899555374674563</v>
      </c>
      <c r="DB46" s="199">
        <f>DB32-DB40-DB37</f>
        <v>73.953316572362482</v>
      </c>
      <c r="DC46" s="199">
        <f>DC32-DC40-DC37</f>
        <v>81.983745245376639</v>
      </c>
      <c r="DD46" s="199">
        <f>DD32-DD40-DD37</f>
        <v>41.970543392606132</v>
      </c>
      <c r="DE46" s="201">
        <f>DA46+DB46+DC46+DD46</f>
        <v>284.8071605850198</v>
      </c>
      <c r="DG46" s="198">
        <f>DG32-DG40-DG37</f>
        <v>87.497696108125027</v>
      </c>
      <c r="DH46" s="199">
        <f>DH32-DH40-DH37</f>
        <v>74.717930376858234</v>
      </c>
      <c r="DI46" s="199">
        <f>DI32-DI40-DI37</f>
        <v>83.000406996886028</v>
      </c>
      <c r="DJ46" s="199">
        <f>DJ32-DJ40-DJ37</f>
        <v>42.567759198913521</v>
      </c>
      <c r="DK46" s="201">
        <f>DG46+DH46+DI46+DJ46</f>
        <v>287.78379268078282</v>
      </c>
    </row>
    <row r="47" spans="2:115" ht="15.75" thickBot="1" x14ac:dyDescent="0.35">
      <c r="B47" s="41" t="s">
        <v>23</v>
      </c>
      <c r="C47" s="155" t="s">
        <v>35</v>
      </c>
      <c r="D47" s="106" t="s">
        <v>35</v>
      </c>
      <c r="E47" s="106" t="s">
        <v>35</v>
      </c>
      <c r="F47" s="154" t="s">
        <v>35</v>
      </c>
      <c r="G47" s="108" t="s">
        <v>35</v>
      </c>
      <c r="I47" s="109">
        <f>I46/C46-1</f>
        <v>-0.3214285714285714</v>
      </c>
      <c r="J47" s="110">
        <f>J46/D46-1</f>
        <v>-0.19753086419753085</v>
      </c>
      <c r="K47" s="110">
        <f>K46/E46-1</f>
        <v>-0.23809523809523814</v>
      </c>
      <c r="L47" s="110">
        <f>L46/F46-1</f>
        <v>0.35593220338983045</v>
      </c>
      <c r="M47" s="122">
        <f>M46/G46-1</f>
        <v>-0.1517857142857143</v>
      </c>
      <c r="O47" s="109">
        <f>O46/I46-1</f>
        <v>-0.30263157894736847</v>
      </c>
      <c r="P47" s="110">
        <f>P46/J46-1</f>
        <v>7.6923076923076872E-2</v>
      </c>
      <c r="Q47" s="110">
        <f>Q46/K46-1</f>
        <v>0.28125</v>
      </c>
      <c r="R47" s="110">
        <f>R46/L46-1</f>
        <v>-2.5000000000000022E-2</v>
      </c>
      <c r="S47" s="122">
        <f>S46/M46-1</f>
        <v>-7.0175438596491446E-3</v>
      </c>
      <c r="U47" s="109">
        <f>U46/O46-1</f>
        <v>0.5660377358490567</v>
      </c>
      <c r="V47" s="110">
        <f>V46/P46-1</f>
        <v>-0.12857142857142856</v>
      </c>
      <c r="W47" s="110">
        <f>W46/Q46-1</f>
        <v>-0.15853658536585369</v>
      </c>
      <c r="X47" s="110">
        <f>X46/R46-1</f>
        <v>-0.10256410256410253</v>
      </c>
      <c r="Y47" s="122">
        <f>Y46/S46-1</f>
        <v>0</v>
      </c>
      <c r="AA47" s="109">
        <f>AA46/U46-1</f>
        <v>-0.27710843373493976</v>
      </c>
      <c r="AB47" s="110">
        <f>AB46/V46-1</f>
        <v>0.11475409836065564</v>
      </c>
      <c r="AC47" s="110">
        <f>AC46/W46-1</f>
        <v>0</v>
      </c>
      <c r="AD47" s="110">
        <f>AD46/X46-1</f>
        <v>-0.19999999999999996</v>
      </c>
      <c r="AE47" s="122">
        <f>AE46/Y46-1</f>
        <v>-0.10600706713780916</v>
      </c>
      <c r="AG47" s="109">
        <f>AG46/AA46-1</f>
        <v>0</v>
      </c>
      <c r="AH47" s="110">
        <f>AH46/AB46-1</f>
        <v>-0.22058823529411764</v>
      </c>
      <c r="AI47" s="110">
        <f>AI46/AC46-1</f>
        <v>-5.7971014492753659E-2</v>
      </c>
      <c r="AJ47" s="110">
        <f>AJ46/AD46-1</f>
        <v>0</v>
      </c>
      <c r="AK47" s="122">
        <f>AK46/AE46-1</f>
        <v>-7.5098814229249022E-2</v>
      </c>
      <c r="AM47" s="109">
        <f>AM46/AG46-1</f>
        <v>-8.333333333333337E-2</v>
      </c>
      <c r="AN47" s="110">
        <f>AN46/AH46-1</f>
        <v>-0.24528301886792447</v>
      </c>
      <c r="AO47" s="110">
        <f>AO46/AI46-1</f>
        <v>-4.6153846153846101E-2</v>
      </c>
      <c r="AP47" s="120">
        <f>AP46/AJ46-1</f>
        <v>-0.375</v>
      </c>
      <c r="AQ47" s="122">
        <f>AQ46/AK46-1</f>
        <v>-0.17948717948717952</v>
      </c>
      <c r="AS47" s="109">
        <f>AS46/AM46-1</f>
        <v>-0.19999999999999996</v>
      </c>
      <c r="AT47" s="110">
        <f>AT46/AN46-1</f>
        <v>0.5</v>
      </c>
      <c r="AU47" s="110">
        <f>AU46/AO46-1</f>
        <v>8.0645161290322509E-2</v>
      </c>
      <c r="AV47" s="120">
        <f>AV46/AP46-1</f>
        <v>0.14285714285714279</v>
      </c>
      <c r="AW47" s="122">
        <f>AW46/AQ46-1</f>
        <v>9.8958333333333259E-2</v>
      </c>
      <c r="AY47" s="109">
        <f>AY46/AS46-1</f>
        <v>0.47727272727272729</v>
      </c>
      <c r="AZ47" s="110">
        <f>AZ46/AT46-1</f>
        <v>0.10000000000000009</v>
      </c>
      <c r="BA47" s="110">
        <f>BA46/AU46-1</f>
        <v>-4.4776119402985093E-2</v>
      </c>
      <c r="BB47" s="110">
        <f>BB46/AV46-1</f>
        <v>0.60000000000000009</v>
      </c>
      <c r="BC47" s="122">
        <f>BC46/AW46-1</f>
        <v>0.22748815165876768</v>
      </c>
      <c r="BE47" s="109">
        <f>BE46/AY46-1</f>
        <v>6.1538461538461542E-2</v>
      </c>
      <c r="BF47" s="110">
        <f>BF46/AZ46-1</f>
        <v>6.0606060606060552E-2</v>
      </c>
      <c r="BG47" s="110">
        <f>BG46/BA46-1</f>
        <v>0.21875</v>
      </c>
      <c r="BH47" s="120">
        <f>BH46/BB46-1</f>
        <v>-0.359375</v>
      </c>
      <c r="BI47" s="122">
        <f>BI46/BC46-1</f>
        <v>-3.8610038610038533E-3</v>
      </c>
      <c r="BK47" s="109">
        <f>BK46/BE46-1</f>
        <v>0.28985507246376807</v>
      </c>
      <c r="BL47" s="110">
        <f>BL46/BF46-1</f>
        <v>-1.4285714285714235E-2</v>
      </c>
      <c r="BM47" s="110">
        <f>BM46/BG46-1</f>
        <v>-6.4102564102564097E-2</v>
      </c>
      <c r="BN47" s="110">
        <f>BN46/BH46-1</f>
        <v>-0.14634146341463417</v>
      </c>
      <c r="BO47" s="122">
        <f>BO46/BI46-1</f>
        <v>3.1007751937984551E-2</v>
      </c>
      <c r="BQ47" s="109">
        <f>BQ46/BK46-1</f>
        <v>-0.1021410065868239</v>
      </c>
      <c r="BR47" s="110">
        <f>BR46/BL46-1</f>
        <v>-3.896495257984256E-2</v>
      </c>
      <c r="BS47" s="110">
        <f>BS46/BM46-1</f>
        <v>-5.9198274316338839E-3</v>
      </c>
      <c r="BT47" s="110">
        <f>BT46/BN46-1</f>
        <v>2.382916916269795E-2</v>
      </c>
      <c r="BU47" s="122">
        <f>BU46/BO46-1</f>
        <v>-4.2771645849816853E-2</v>
      </c>
      <c r="BW47" s="109">
        <f>BW46/BQ46-1</f>
        <v>3.6490488821452338E-3</v>
      </c>
      <c r="BX47" s="110">
        <f>BX46/BR46-1</f>
        <v>4.192357791691137E-3</v>
      </c>
      <c r="BY47" s="110">
        <f>BY46/BS46-1</f>
        <v>6.7679459545850751E-3</v>
      </c>
      <c r="BZ47" s="110">
        <f>BZ46/BT46-1</f>
        <v>-9.1103249979053169E-3</v>
      </c>
      <c r="CA47" s="122">
        <f>CA46/BU46-1</f>
        <v>2.8837581563652126E-3</v>
      </c>
      <c r="CC47" s="109">
        <f>CC46/BW46-1</f>
        <v>2.2020799475589214E-2</v>
      </c>
      <c r="CD47" s="110">
        <f>CD46/BX46-1</f>
        <v>2.6955595256706433E-2</v>
      </c>
      <c r="CE47" s="110">
        <f>CE46/BY46-1</f>
        <v>2.8969430551075259E-2</v>
      </c>
      <c r="CF47" s="110">
        <f>CF46/BZ46-1</f>
        <v>4.554099150643065E-2</v>
      </c>
      <c r="CG47" s="122">
        <f>CG46/CA46-1</f>
        <v>2.8566183853977689E-2</v>
      </c>
      <c r="CI47" s="109">
        <f>CI46/CC46-1</f>
        <v>1.7207671540895753E-2</v>
      </c>
      <c r="CJ47" s="110">
        <f>CJ46/CD46-1</f>
        <v>2.3004710687047236E-2</v>
      </c>
      <c r="CK47" s="110">
        <f>CK46/CE46-1</f>
        <v>2.5311304686539193E-2</v>
      </c>
      <c r="CL47" s="110">
        <f>CL46/CF46-1</f>
        <v>3.7471916715727582E-2</v>
      </c>
      <c r="CM47" s="122">
        <f>CM46/CG46-1</f>
        <v>2.3900657986957397E-2</v>
      </c>
      <c r="CO47" s="109">
        <f>CO46/CI46-1</f>
        <v>1.4295152902676911E-2</v>
      </c>
      <c r="CP47" s="110">
        <f>CP46/CJ46-1</f>
        <v>1.9470271059566446E-2</v>
      </c>
      <c r="CQ47" s="110">
        <f>CQ46/CK46-1</f>
        <v>2.1421143926880548E-2</v>
      </c>
      <c r="CR47" s="110">
        <f>CR46/CL46-1</f>
        <v>3.2353759574222707E-2</v>
      </c>
      <c r="CS47" s="122">
        <f>CS46/CM46-1</f>
        <v>2.0270102812543378E-2</v>
      </c>
      <c r="CU47" s="109">
        <f>CU46/CO46-1</f>
        <v>1.6403318790652266E-2</v>
      </c>
      <c r="CV47" s="110">
        <f>CV46/CP46-1</f>
        <v>2.1549329982603727E-2</v>
      </c>
      <c r="CW47" s="110">
        <f>CW46/CQ46-1</f>
        <v>2.3448287484471919E-2</v>
      </c>
      <c r="CX47" s="110">
        <f>CX46/CR46-1</f>
        <v>3.4499252479029963E-2</v>
      </c>
      <c r="CY47" s="122">
        <f>CY46/CS46-1</f>
        <v>2.2384744316144012E-2</v>
      </c>
      <c r="DA47" s="109">
        <f>DA46/CU46-1</f>
        <v>1.0968787527533719E-2</v>
      </c>
      <c r="DB47" s="110">
        <f>DB46/CV46-1</f>
        <v>1.5054167910688809E-2</v>
      </c>
      <c r="DC47" s="110">
        <f>DC46/CW46-1</f>
        <v>1.7478256045780016E-2</v>
      </c>
      <c r="DD47" s="110">
        <f>DD46/CX46-1</f>
        <v>2.0346330723831407E-2</v>
      </c>
      <c r="DE47" s="122">
        <f>DE46/CY46-1</f>
        <v>1.5274620636260616E-2</v>
      </c>
      <c r="DG47" s="109">
        <f>DG46/DA46-1</f>
        <v>6.8831276624090609E-3</v>
      </c>
      <c r="DH47" s="110">
        <f>DH46/DB46-1</f>
        <v>1.0339141500808724E-2</v>
      </c>
      <c r="DI47" s="110">
        <f>DI46/DC46-1</f>
        <v>1.2400772231941026E-2</v>
      </c>
      <c r="DJ47" s="110">
        <f>DJ46/DD46-1</f>
        <v>1.4229403720624756E-2</v>
      </c>
      <c r="DK47" s="122">
        <f>DK46/DE46-1</f>
        <v>1.04513948653846E-2</v>
      </c>
    </row>
    <row r="48" spans="2:115" ht="15.75" thickBot="1" x14ac:dyDescent="0.35">
      <c r="B48" s="1"/>
      <c r="AA48" s="103"/>
      <c r="AB48" s="103"/>
      <c r="AC48" s="103"/>
      <c r="AD48" s="103"/>
      <c r="AE48" s="103"/>
      <c r="AG48" s="103"/>
      <c r="AH48" s="103"/>
      <c r="AI48" s="103"/>
      <c r="AJ48" s="103"/>
      <c r="AK48" s="103"/>
      <c r="AM48" s="103"/>
      <c r="AN48" s="103"/>
      <c r="AO48" s="103"/>
      <c r="AP48" s="103"/>
      <c r="AQ48" s="103"/>
      <c r="AS48" s="103"/>
      <c r="AT48" s="103"/>
      <c r="AU48" s="103"/>
      <c r="AV48" s="103"/>
      <c r="AW48" s="103"/>
      <c r="AY48" s="103"/>
      <c r="AZ48" s="103"/>
      <c r="BA48" s="103"/>
      <c r="BB48" s="103"/>
      <c r="BC48" s="103"/>
      <c r="BE48" s="103"/>
      <c r="BF48" s="103"/>
      <c r="BG48" s="103"/>
      <c r="BH48" s="465" t="s">
        <v>586</v>
      </c>
      <c r="BI48" s="103"/>
      <c r="BK48" s="103"/>
      <c r="BL48" s="103"/>
      <c r="BM48" s="103"/>
      <c r="BN48" s="103"/>
      <c r="BO48" s="103"/>
      <c r="BQ48" s="103"/>
      <c r="BR48" s="103"/>
      <c r="BS48" s="103"/>
      <c r="BT48" s="103"/>
      <c r="BU48" s="103"/>
      <c r="BW48" s="103"/>
      <c r="BX48" s="103"/>
      <c r="BY48" s="103"/>
      <c r="BZ48" s="103"/>
      <c r="CA48" s="103"/>
      <c r="CC48" s="103"/>
      <c r="CD48" s="103"/>
      <c r="CE48" s="103"/>
      <c r="CF48" s="103"/>
      <c r="CG48" s="103"/>
      <c r="CI48" s="103"/>
      <c r="CJ48" s="103"/>
      <c r="CK48" s="103"/>
      <c r="CL48" s="103"/>
      <c r="CM48" s="103"/>
      <c r="CO48" s="103"/>
      <c r="CP48" s="103"/>
      <c r="CQ48" s="103"/>
      <c r="CR48" s="103"/>
      <c r="CS48" s="103"/>
      <c r="CU48" s="103"/>
      <c r="CV48" s="103"/>
      <c r="CW48" s="103"/>
      <c r="CX48" s="103"/>
      <c r="CY48" s="103"/>
      <c r="DA48" s="103"/>
      <c r="DB48" s="103"/>
      <c r="DC48" s="103"/>
      <c r="DD48" s="103"/>
      <c r="DE48" s="103"/>
      <c r="DG48" s="103"/>
      <c r="DH48" s="103"/>
      <c r="DI48" s="103"/>
      <c r="DJ48" s="103"/>
      <c r="DK48" s="103"/>
    </row>
    <row r="49" spans="2:115" ht="15" x14ac:dyDescent="0.3">
      <c r="B49" s="42" t="s">
        <v>36</v>
      </c>
      <c r="C49" s="209">
        <f>C46/C32</f>
        <v>0.36129032258064514</v>
      </c>
      <c r="D49" s="206">
        <f>D46/D32</f>
        <v>0.27457627118644068</v>
      </c>
      <c r="E49" s="206">
        <f>E46/E32</f>
        <v>0.27906976744186046</v>
      </c>
      <c r="F49" s="206">
        <f>F46/F32</f>
        <v>0.21376811594202899</v>
      </c>
      <c r="G49" s="208">
        <f>G46/G32</f>
        <v>0.28426395939086296</v>
      </c>
      <c r="H49" s="129"/>
      <c r="I49" s="209">
        <f>I46/I32</f>
        <v>0.27737226277372262</v>
      </c>
      <c r="J49" s="206">
        <f>J46/J32</f>
        <v>0.24074074074074073</v>
      </c>
      <c r="K49" s="206">
        <f>K46/K32</f>
        <v>0.23616236162361623</v>
      </c>
      <c r="L49" s="206">
        <f>L46/L32</f>
        <v>0.29629629629629628</v>
      </c>
      <c r="M49" s="207">
        <f>M46/M32</f>
        <v>0.26267281105990781</v>
      </c>
      <c r="N49" s="129"/>
      <c r="O49" s="209">
        <f>O46/O32</f>
        <v>0.19850187265917604</v>
      </c>
      <c r="P49" s="206">
        <f>P46/P32</f>
        <v>0.27450980392156865</v>
      </c>
      <c r="Q49" s="206">
        <f>Q46/Q32</f>
        <v>0.31538461538461537</v>
      </c>
      <c r="R49" s="206">
        <f>R46/R32</f>
        <v>0.3046875</v>
      </c>
      <c r="S49" s="207">
        <f>S46/S32</f>
        <v>0.27263969171483621</v>
      </c>
      <c r="U49" s="209">
        <f>U46/U32</f>
        <v>0.33467741935483869</v>
      </c>
      <c r="V49" s="206">
        <f>V46/V32</f>
        <v>0.25102880658436216</v>
      </c>
      <c r="W49" s="206">
        <f>W46/W32</f>
        <v>0.27165354330708663</v>
      </c>
      <c r="X49" s="206">
        <f>X46/X32</f>
        <v>0.29411764705882354</v>
      </c>
      <c r="Y49" s="208">
        <f>Y46/Y32</f>
        <v>0.28789420142421157</v>
      </c>
      <c r="AA49" s="209">
        <f>AA46/AA32</f>
        <v>0.26200873362445415</v>
      </c>
      <c r="AB49" s="206">
        <f>AB46/AB32</f>
        <v>0.29955947136563876</v>
      </c>
      <c r="AC49" s="206">
        <f>AC46/AC32</f>
        <v>0.29487179487179488</v>
      </c>
      <c r="AD49" s="206">
        <f>AD46/AD32</f>
        <v>0.23931623931623933</v>
      </c>
      <c r="AE49" s="208">
        <f>AE46/AE32</f>
        <v>0.27380952380952384</v>
      </c>
      <c r="AG49" s="209">
        <f>AG46/AG32</f>
        <v>0.26431718061674009</v>
      </c>
      <c r="AH49" s="206">
        <f>AH46/AH32</f>
        <v>0.24423963133640553</v>
      </c>
      <c r="AI49" s="206">
        <f>AI46/AI32</f>
        <v>0.29680365296803651</v>
      </c>
      <c r="AJ49" s="206">
        <f>AJ46/AJ32</f>
        <v>0.26046511627906976</v>
      </c>
      <c r="AK49" s="208">
        <f>AK46/AK32</f>
        <v>0.26651480637813213</v>
      </c>
      <c r="AM49" s="209">
        <f>AM46/AM32</f>
        <v>0.27093596059113301</v>
      </c>
      <c r="AN49" s="206">
        <f>AN46/AN32</f>
        <v>0.20304568527918782</v>
      </c>
      <c r="AO49" s="206">
        <f>AO46/AO32</f>
        <v>0.27555555555555555</v>
      </c>
      <c r="AP49" s="206">
        <f>AP46/AP32</f>
        <v>0.17241379310344829</v>
      </c>
      <c r="AQ49" s="208">
        <f>AQ46/AQ32</f>
        <v>0.2318840579710145</v>
      </c>
      <c r="AS49" s="209">
        <f>AS46/AS32</f>
        <v>0.22916666666666666</v>
      </c>
      <c r="AT49" s="206">
        <f>AT46/AT32</f>
        <v>0.29850746268656714</v>
      </c>
      <c r="AU49" s="206">
        <f>AU46/AU32</f>
        <v>0.31904761904761902</v>
      </c>
      <c r="AV49" s="206">
        <f>AV46/AV32</f>
        <v>0.18867924528301888</v>
      </c>
      <c r="AW49" s="208">
        <f>AW46/AW32</f>
        <v>0.2588957055214724</v>
      </c>
      <c r="AY49" s="209">
        <f>AY46/AY32</f>
        <v>0.32994923857868019</v>
      </c>
      <c r="AZ49" s="206">
        <f>AZ46/AZ32</f>
        <v>0.32195121951219513</v>
      </c>
      <c r="BA49" s="206">
        <f>BA46/BA32</f>
        <v>0.30917874396135264</v>
      </c>
      <c r="BB49" s="206">
        <f>BB46/BB32</f>
        <v>0.29090909090909089</v>
      </c>
      <c r="BC49" s="208">
        <f>BC46/BC32</f>
        <v>0.31242460796139926</v>
      </c>
      <c r="BE49" s="209">
        <f>BE46/BE32</f>
        <v>0.33173076923076922</v>
      </c>
      <c r="BF49" s="206">
        <f>BF46/BF32</f>
        <v>0.33653846153846156</v>
      </c>
      <c r="BG49" s="206">
        <f>BG46/BG32</f>
        <v>0.35616438356164382</v>
      </c>
      <c r="BH49" s="206">
        <f>BH46/BH32</f>
        <v>0.18636363636363637</v>
      </c>
      <c r="BI49" s="208">
        <f>BI46/BI32</f>
        <v>0.30175438596491228</v>
      </c>
      <c r="BK49" s="209">
        <f>BK46/BK32</f>
        <v>0.39035087719298245</v>
      </c>
      <c r="BL49" s="206">
        <f>BL46/BL32</f>
        <v>0.32093023255813952</v>
      </c>
      <c r="BM49" s="206">
        <f>BM46/BM32</f>
        <v>0.32882882882882886</v>
      </c>
      <c r="BN49" s="206">
        <f>BN46/BN32</f>
        <v>0.14957264957264957</v>
      </c>
      <c r="BO49" s="208">
        <f>BO46/BO32</f>
        <v>0.29588431590656283</v>
      </c>
      <c r="BQ49" s="209">
        <f>BQ46/BQ32</f>
        <v>0.33204568620642066</v>
      </c>
      <c r="BR49" s="206">
        <f>BR46/BR32</f>
        <v>0.29214234983388393</v>
      </c>
      <c r="BS49" s="206">
        <f>BS46/BS32</f>
        <v>0.31425340246246047</v>
      </c>
      <c r="BT49" s="206">
        <f>BT46/BT32</f>
        <v>0.14893921213846989</v>
      </c>
      <c r="BU49" s="208">
        <f>BU46/BU32</f>
        <v>0.27111821487162441</v>
      </c>
      <c r="BW49" s="209">
        <f>BW46/BW32</f>
        <v>0.32710865320879989</v>
      </c>
      <c r="BX49" s="206">
        <f>BX46/BX32</f>
        <v>0.28740178990493376</v>
      </c>
      <c r="BY49" s="206">
        <f>BY46/BY32</f>
        <v>0.30962198476416369</v>
      </c>
      <c r="BZ49" s="206">
        <f>BZ46/BZ32</f>
        <v>0.14463136705869556</v>
      </c>
      <c r="CA49" s="208">
        <f>CA46/CA32</f>
        <v>0.26645709636772963</v>
      </c>
      <c r="CC49" s="209">
        <f>CC46/CC32</f>
        <v>0.32929529604781987</v>
      </c>
      <c r="CD49" s="206">
        <f>CD46/CD32</f>
        <v>0.28972202622447674</v>
      </c>
      <c r="CE49" s="206">
        <f>CE46/CE32</f>
        <v>0.31209053922715191</v>
      </c>
      <c r="CF49" s="206">
        <f>CF46/CF32</f>
        <v>0.14811238830898635</v>
      </c>
      <c r="CG49" s="208">
        <f>CG46/CG32</f>
        <v>0.26897795410918723</v>
      </c>
      <c r="CI49" s="209">
        <f>CI46/CI32</f>
        <v>0.33184204671604883</v>
      </c>
      <c r="CJ49" s="206">
        <f>CJ46/CJ32</f>
        <v>0.29248030602331138</v>
      </c>
      <c r="CK49" s="206">
        <f>CK46/CK32</f>
        <v>0.31495402900780395</v>
      </c>
      <c r="CL49" s="206">
        <f>CL46/CL32</f>
        <v>0.15119633718715669</v>
      </c>
      <c r="CM49" s="208">
        <f>CM46/CM32</f>
        <v>0.2716695844662308</v>
      </c>
      <c r="CO49" s="209">
        <f>CO46/CO32</f>
        <v>0.33429007106964054</v>
      </c>
      <c r="CP49" s="206">
        <f>CP46/CP32</f>
        <v>0.29509494398776343</v>
      </c>
      <c r="CQ49" s="206">
        <f>CQ46/CQ32</f>
        <v>0.31766612179118486</v>
      </c>
      <c r="CR49" s="206">
        <f>CR46/CR32</f>
        <v>0.15406178031693582</v>
      </c>
      <c r="CS49" s="208">
        <f>CS46/CS32</f>
        <v>0.27421766592369845</v>
      </c>
      <c r="CU49" s="209">
        <f>CU46/CU32</f>
        <v>0.33681722313685397</v>
      </c>
      <c r="CV49" s="206">
        <f>CV46/CV32</f>
        <v>0.29780338008302315</v>
      </c>
      <c r="CW49" s="206">
        <f>CW46/CW32</f>
        <v>0.32046367917501467</v>
      </c>
      <c r="CX49" s="206">
        <f>CX46/CX32</f>
        <v>0.15704586773951673</v>
      </c>
      <c r="CY49" s="208">
        <f>CY46/CY32</f>
        <v>0.27686648491554378</v>
      </c>
      <c r="DA49" s="209">
        <f>DA46/DA32</f>
        <v>0.33692187349175484</v>
      </c>
      <c r="DB49" s="206">
        <f>DB46/DB32</f>
        <v>0.29810212040014256</v>
      </c>
      <c r="DC49" s="206">
        <f>DC46/DC32</f>
        <v>0.32084257498687951</v>
      </c>
      <c r="DD49" s="206">
        <f>DD46/DD32</f>
        <v>0.15764259484448728</v>
      </c>
      <c r="DE49" s="208">
        <f>DE46/DE32</f>
        <v>0.27711245629276354</v>
      </c>
      <c r="DG49" s="209">
        <f>DG46/DG32</f>
        <v>0.33688307367515036</v>
      </c>
      <c r="DH49" s="206">
        <f>DH46/DH32</f>
        <v>0.29820320104673259</v>
      </c>
      <c r="DI49" s="206">
        <f>DI46/DI32</f>
        <v>0.32102040333241288</v>
      </c>
      <c r="DJ49" s="206">
        <f>DJ46/DJ32</f>
        <v>0.15795147296674134</v>
      </c>
      <c r="DK49" s="208">
        <f>DK46/DK32</f>
        <v>0.2771579891944696</v>
      </c>
    </row>
    <row r="50" spans="2:115" ht="15.75" thickBot="1" x14ac:dyDescent="0.35">
      <c r="B50" s="41" t="s">
        <v>37</v>
      </c>
      <c r="C50" s="155" t="s">
        <v>35</v>
      </c>
      <c r="D50" s="106" t="s">
        <v>35</v>
      </c>
      <c r="E50" s="106" t="s">
        <v>35</v>
      </c>
      <c r="F50" s="106" t="s">
        <v>35</v>
      </c>
      <c r="G50" s="108" t="s">
        <v>35</v>
      </c>
      <c r="I50" s="174">
        <f>I49-C49</f>
        <v>-8.3918059806922518E-2</v>
      </c>
      <c r="J50" s="175">
        <f>J49-D49</f>
        <v>-3.3835530445699952E-2</v>
      </c>
      <c r="K50" s="175">
        <f>K49-E49</f>
        <v>-4.2907405818244232E-2</v>
      </c>
      <c r="L50" s="175">
        <f>L49-F49</f>
        <v>8.2528180354267289E-2</v>
      </c>
      <c r="M50" s="176">
        <f>M49-G49</f>
        <v>-2.1591148330955157E-2</v>
      </c>
      <c r="O50" s="174">
        <f>O49-I49</f>
        <v>-7.8870390114546579E-2</v>
      </c>
      <c r="P50" s="175">
        <f>P49-J49</f>
        <v>3.3769063180827924E-2</v>
      </c>
      <c r="Q50" s="175">
        <f>Q49-K49</f>
        <v>7.9222253760999145E-2</v>
      </c>
      <c r="R50" s="175">
        <f>R49-L49</f>
        <v>8.3912037037037202E-3</v>
      </c>
      <c r="S50" s="176">
        <f>S49-M49</f>
        <v>9.9668806549284006E-3</v>
      </c>
      <c r="U50" s="174">
        <f>U49-O49</f>
        <v>0.13617554669566265</v>
      </c>
      <c r="V50" s="175">
        <f>V49-P49</f>
        <v>-2.3480997337206488E-2</v>
      </c>
      <c r="W50" s="175">
        <f>W49-Q49</f>
        <v>-4.3731072077528743E-2</v>
      </c>
      <c r="X50" s="175">
        <f>X49-R49</f>
        <v>-1.0569852941176461E-2</v>
      </c>
      <c r="Y50" s="177">
        <f>Y49-S49</f>
        <v>1.5254509709375363E-2</v>
      </c>
      <c r="AA50" s="174">
        <f>AA49-U49</f>
        <v>-7.2668685730384541E-2</v>
      </c>
      <c r="AB50" s="175">
        <f>AB49-V49</f>
        <v>4.85306647812766E-2</v>
      </c>
      <c r="AC50" s="175">
        <f>AC49-W49</f>
        <v>2.3218251564708248E-2</v>
      </c>
      <c r="AD50" s="175">
        <f>AD49-X49</f>
        <v>-5.4801407742584213E-2</v>
      </c>
      <c r="AE50" s="177">
        <f>AE49-Y49</f>
        <v>-1.4084677614687735E-2</v>
      </c>
      <c r="AG50" s="174">
        <f>AG49-AA49</f>
        <v>2.3084469922859396E-3</v>
      </c>
      <c r="AH50" s="175">
        <f>AH49-AB49</f>
        <v>-5.5319840029233236E-2</v>
      </c>
      <c r="AI50" s="175">
        <f>AI49-AC49</f>
        <v>1.9318580962416343E-3</v>
      </c>
      <c r="AJ50" s="175">
        <f>AJ49-AD49</f>
        <v>2.1148876962830437E-2</v>
      </c>
      <c r="AK50" s="177">
        <f>AK49-AE49</f>
        <v>-7.2947174313917063E-3</v>
      </c>
      <c r="AM50" s="174">
        <f>AM49-AG49</f>
        <v>6.6187799743929188E-3</v>
      </c>
      <c r="AN50" s="175">
        <f>AN49-AH49</f>
        <v>-4.1193946057217712E-2</v>
      </c>
      <c r="AO50" s="175">
        <f>AO49-AI49</f>
        <v>-2.124809741248096E-2</v>
      </c>
      <c r="AP50" s="175">
        <f>AP49-AJ49</f>
        <v>-8.8051323175621476E-2</v>
      </c>
      <c r="AQ50" s="177">
        <f>AQ49-AK49</f>
        <v>-3.4630748407117634E-2</v>
      </c>
      <c r="AS50" s="174">
        <f>AS49-AM49</f>
        <v>-4.176929392446635E-2</v>
      </c>
      <c r="AT50" s="175">
        <f>AT49-AN49</f>
        <v>9.5461777407379322E-2</v>
      </c>
      <c r="AU50" s="175">
        <f>AU49-AO49</f>
        <v>4.3492063492063471E-2</v>
      </c>
      <c r="AV50" s="175">
        <f>AV49-AP49</f>
        <v>1.6265452179570594E-2</v>
      </c>
      <c r="AW50" s="177">
        <f>AW49-AQ49</f>
        <v>2.7011647550457901E-2</v>
      </c>
      <c r="AY50" s="174">
        <f>AY49-AS49</f>
        <v>0.10078257191201354</v>
      </c>
      <c r="AZ50" s="175">
        <f>AZ49-AT49</f>
        <v>2.3443756825627993E-2</v>
      </c>
      <c r="BA50" s="175">
        <f>BA49-AU49</f>
        <v>-9.8688750862663821E-3</v>
      </c>
      <c r="BB50" s="175">
        <f>BB49-AV49</f>
        <v>0.10222984562607201</v>
      </c>
      <c r="BC50" s="177">
        <f>BC49-AW49</f>
        <v>5.3528902439926862E-2</v>
      </c>
      <c r="BE50" s="174">
        <f>BE49-AY49</f>
        <v>1.7815306520890251E-3</v>
      </c>
      <c r="BF50" s="175">
        <f>BF49-AZ49</f>
        <v>1.4587242026266434E-2</v>
      </c>
      <c r="BG50" s="175">
        <f>BG49-BA49</f>
        <v>4.6985639600291174E-2</v>
      </c>
      <c r="BH50" s="175">
        <f>BH49-BB49</f>
        <v>-0.10454545454545452</v>
      </c>
      <c r="BI50" s="177">
        <f>BI49-BC49</f>
        <v>-1.0670221996486984E-2</v>
      </c>
      <c r="BK50" s="174">
        <f>BK49-BE49</f>
        <v>5.862010796221323E-2</v>
      </c>
      <c r="BL50" s="175">
        <f>BL49-BF49</f>
        <v>-1.5608228980322048E-2</v>
      </c>
      <c r="BM50" s="175">
        <f>BM49-BG49</f>
        <v>-2.733555473281496E-2</v>
      </c>
      <c r="BN50" s="175">
        <f>BN49-BH49</f>
        <v>-3.6790986790986802E-2</v>
      </c>
      <c r="BO50" s="177">
        <f>BO49-BI49</f>
        <v>-5.8700700583494414E-3</v>
      </c>
      <c r="BQ50" s="174">
        <f>BQ49-BK49</f>
        <v>-5.8305190986561783E-2</v>
      </c>
      <c r="BR50" s="175">
        <f>BR49-BL49</f>
        <v>-2.8787882724255587E-2</v>
      </c>
      <c r="BS50" s="175">
        <f>BS49-BM49</f>
        <v>-1.4575426366368383E-2</v>
      </c>
      <c r="BT50" s="175">
        <f>BT49-BN49</f>
        <v>-6.334374341796789E-4</v>
      </c>
      <c r="BU50" s="177">
        <f>BU49-BO49</f>
        <v>-2.4766101034938426E-2</v>
      </c>
      <c r="BW50" s="174">
        <f>BW49-BQ49</f>
        <v>-4.9370329976207716E-3</v>
      </c>
      <c r="BX50" s="175">
        <f>BX49-BR49</f>
        <v>-4.7405599289501721E-3</v>
      </c>
      <c r="BY50" s="175">
        <f>BY49-BS49</f>
        <v>-4.6314176982967803E-3</v>
      </c>
      <c r="BZ50" s="175">
        <f>BZ49-BT49</f>
        <v>-4.3078450797743306E-3</v>
      </c>
      <c r="CA50" s="177">
        <f>CA49-BU49</f>
        <v>-4.6611185038947789E-3</v>
      </c>
      <c r="CC50" s="174">
        <f>CC49-BW49</f>
        <v>2.186642839019981E-3</v>
      </c>
      <c r="CD50" s="175">
        <f>CD49-BX49</f>
        <v>2.3202363195429787E-3</v>
      </c>
      <c r="CE50" s="175">
        <f>CE49-BY49</f>
        <v>2.468554462988215E-3</v>
      </c>
      <c r="CF50" s="175">
        <f>CF49-BZ49</f>
        <v>3.4810212502907889E-3</v>
      </c>
      <c r="CG50" s="177">
        <f>CG49-CA49</f>
        <v>2.520857741457605E-3</v>
      </c>
      <c r="CI50" s="174">
        <f>CI49-CC49</f>
        <v>2.5467506682289587E-3</v>
      </c>
      <c r="CJ50" s="175">
        <f>CJ49-CD49</f>
        <v>2.7582797988346397E-3</v>
      </c>
      <c r="CK50" s="175">
        <f>CK49-CE49</f>
        <v>2.8634897806520399E-3</v>
      </c>
      <c r="CL50" s="175">
        <f>CL49-CF49</f>
        <v>3.083948878170345E-3</v>
      </c>
      <c r="CM50" s="177">
        <f>CM49-CG49</f>
        <v>2.6916303570435618E-3</v>
      </c>
      <c r="CO50" s="174">
        <f>CO49-CI49</f>
        <v>2.4480243535917046E-3</v>
      </c>
      <c r="CP50" s="175">
        <f>CP49-CJ49</f>
        <v>2.614637964452049E-3</v>
      </c>
      <c r="CQ50" s="175">
        <f>CQ49-CK49</f>
        <v>2.712092783380915E-3</v>
      </c>
      <c r="CR50" s="175">
        <f>CR49-CL49</f>
        <v>2.8654431297791272E-3</v>
      </c>
      <c r="CS50" s="177">
        <f>CS49-CM49</f>
        <v>2.5480814574676547E-3</v>
      </c>
      <c r="CU50" s="174">
        <f>CU49-CO49</f>
        <v>2.527152067213434E-3</v>
      </c>
      <c r="CV50" s="175">
        <f>CV49-CP49</f>
        <v>2.7084360952597253E-3</v>
      </c>
      <c r="CW50" s="175">
        <f>CW49-CQ49</f>
        <v>2.7975573838298073E-3</v>
      </c>
      <c r="CX50" s="175">
        <f>CX49-CR49</f>
        <v>2.9840874225809111E-3</v>
      </c>
      <c r="CY50" s="177">
        <f>CY49-CS49</f>
        <v>2.6488189918453253E-3</v>
      </c>
      <c r="DA50" s="174">
        <f>DA49-CU49</f>
        <v>1.0465035490087038E-4</v>
      </c>
      <c r="DB50" s="175">
        <f>DB49-CV49</f>
        <v>2.9874031711940585E-4</v>
      </c>
      <c r="DC50" s="175">
        <f>DC49-CW49</f>
        <v>3.7889581186484333E-4</v>
      </c>
      <c r="DD50" s="175">
        <f>DD49-CX49</f>
        <v>5.9672710497055137E-4</v>
      </c>
      <c r="DE50" s="177">
        <f>DE49-CY49</f>
        <v>2.4597137721976692E-4</v>
      </c>
      <c r="DG50" s="174">
        <f>DG49-DA49</f>
        <v>-3.8799816604484505E-5</v>
      </c>
      <c r="DH50" s="175">
        <f>DH49-DB49</f>
        <v>1.0108064659003491E-4</v>
      </c>
      <c r="DI50" s="175">
        <f>DI49-DC49</f>
        <v>1.7782834553337068E-4</v>
      </c>
      <c r="DJ50" s="175">
        <f>DJ49-DD49</f>
        <v>3.0887812225405264E-4</v>
      </c>
      <c r="DK50" s="177">
        <f>DK49-DE49</f>
        <v>4.5532901706057949E-5</v>
      </c>
    </row>
    <row r="51" spans="2:115" ht="15.75" thickBot="1" x14ac:dyDescent="0.35">
      <c r="B51" s="1"/>
      <c r="AA51" s="103"/>
      <c r="AB51" s="103"/>
      <c r="AC51" s="103"/>
      <c r="AD51" s="103"/>
      <c r="AE51" s="103"/>
      <c r="AG51" s="103"/>
      <c r="AH51" s="103"/>
      <c r="AI51" s="103"/>
      <c r="AJ51" s="103"/>
      <c r="AK51" s="103"/>
      <c r="AM51" s="103"/>
      <c r="AN51" s="103"/>
      <c r="AO51" s="103"/>
      <c r="AP51" s="103"/>
      <c r="AQ51" s="103"/>
      <c r="AS51" s="103"/>
      <c r="AT51" s="103"/>
      <c r="AU51" s="103"/>
      <c r="AV51" s="103"/>
      <c r="AW51" s="103"/>
      <c r="AY51" s="103"/>
      <c r="AZ51" s="103"/>
      <c r="BA51" s="103"/>
      <c r="BB51" s="103"/>
      <c r="BC51" s="103"/>
      <c r="BE51" s="103"/>
      <c r="BF51" s="103"/>
      <c r="BG51" s="103"/>
      <c r="BH51" s="103"/>
      <c r="BI51" s="103"/>
      <c r="BK51" s="103"/>
      <c r="BL51" s="103"/>
      <c r="BM51" s="103"/>
      <c r="BN51" s="103"/>
      <c r="BO51" s="103"/>
      <c r="BQ51" s="103"/>
      <c r="BR51" s="103"/>
      <c r="BS51" s="103"/>
      <c r="BT51" s="103"/>
      <c r="BU51" s="103"/>
      <c r="BW51" s="103"/>
      <c r="BX51" s="103"/>
      <c r="BY51" s="103"/>
      <c r="BZ51" s="103"/>
      <c r="CA51" s="103"/>
      <c r="CC51" s="103"/>
      <c r="CD51" s="103"/>
      <c r="CE51" s="103"/>
      <c r="CF51" s="103"/>
      <c r="CG51" s="103"/>
      <c r="CI51" s="103"/>
      <c r="CJ51" s="103"/>
      <c r="CK51" s="103"/>
      <c r="CL51" s="103"/>
      <c r="CM51" s="103"/>
      <c r="CO51" s="103"/>
      <c r="CP51" s="103"/>
      <c r="CQ51" s="103"/>
      <c r="CR51" s="103"/>
      <c r="CS51" s="103"/>
      <c r="CU51" s="103"/>
      <c r="CV51" s="103"/>
      <c r="CW51" s="103"/>
      <c r="CX51" s="103"/>
      <c r="CY51" s="103"/>
      <c r="DA51" s="103"/>
      <c r="DB51" s="103"/>
      <c r="DC51" s="103"/>
      <c r="DD51" s="103"/>
      <c r="DE51" s="103"/>
      <c r="DG51" s="103"/>
      <c r="DH51" s="103"/>
      <c r="DI51" s="103"/>
      <c r="DJ51" s="103"/>
      <c r="DK51" s="103"/>
    </row>
    <row r="52" spans="2:115" ht="15" x14ac:dyDescent="0.3">
      <c r="B52" s="139" t="s">
        <v>62</v>
      </c>
      <c r="C52" s="126">
        <v>55</v>
      </c>
      <c r="D52" s="127">
        <v>46</v>
      </c>
      <c r="E52" s="127">
        <v>31</v>
      </c>
      <c r="F52" s="128">
        <v>41</v>
      </c>
      <c r="G52" s="201">
        <f>C52+D52+E52+F52</f>
        <v>173</v>
      </c>
      <c r="H52" s="129"/>
      <c r="I52" s="126">
        <v>26</v>
      </c>
      <c r="J52" s="127">
        <v>26</v>
      </c>
      <c r="K52" s="127">
        <v>24</v>
      </c>
      <c r="L52" s="127">
        <v>71</v>
      </c>
      <c r="M52" s="201">
        <f>I52+J52+K52+L52</f>
        <v>147</v>
      </c>
      <c r="N52" s="129"/>
      <c r="O52" s="126">
        <v>45</v>
      </c>
      <c r="P52" s="127">
        <v>22</v>
      </c>
      <c r="Q52" s="127">
        <v>20</v>
      </c>
      <c r="R52" s="128">
        <v>8</v>
      </c>
      <c r="S52" s="201">
        <f>O52+P52+Q52+R52</f>
        <v>95</v>
      </c>
      <c r="T52" s="129"/>
      <c r="U52" s="126">
        <v>27</v>
      </c>
      <c r="V52" s="252">
        <v>13</v>
      </c>
      <c r="W52" s="252">
        <v>14</v>
      </c>
      <c r="X52" s="252">
        <v>62</v>
      </c>
      <c r="Y52" s="253">
        <f>U52+V52+W52+X52</f>
        <v>116</v>
      </c>
      <c r="Z52" s="254"/>
      <c r="AA52" s="251">
        <v>24</v>
      </c>
      <c r="AB52" s="252">
        <v>20</v>
      </c>
      <c r="AC52" s="252">
        <v>17</v>
      </c>
      <c r="AD52" s="252">
        <v>41</v>
      </c>
      <c r="AE52" s="253">
        <f>AA52+AB52+AC52+AD52</f>
        <v>102</v>
      </c>
      <c r="AF52" s="254"/>
      <c r="AG52" s="251">
        <v>27</v>
      </c>
      <c r="AH52" s="252">
        <v>16</v>
      </c>
      <c r="AI52" s="252">
        <v>24</v>
      </c>
      <c r="AJ52" s="252">
        <v>30</v>
      </c>
      <c r="AK52" s="253">
        <f>AG52+AH52+AI52+AJ52</f>
        <v>97</v>
      </c>
      <c r="AL52" s="254"/>
      <c r="AM52" s="251">
        <v>37</v>
      </c>
      <c r="AN52" s="252">
        <v>19</v>
      </c>
      <c r="AO52" s="252">
        <v>13</v>
      </c>
      <c r="AP52" s="252">
        <v>668</v>
      </c>
      <c r="AQ52" s="253">
        <f>AM52+AN52+AO52+AP52</f>
        <v>737</v>
      </c>
      <c r="AR52" s="254"/>
      <c r="AS52" s="251">
        <v>26</v>
      </c>
      <c r="AT52" s="252">
        <v>18</v>
      </c>
      <c r="AU52" s="252">
        <v>17</v>
      </c>
      <c r="AV52" s="252">
        <v>33</v>
      </c>
      <c r="AW52" s="253">
        <f>AS52+AT52+AU52+AV52</f>
        <v>94</v>
      </c>
      <c r="AX52" s="254"/>
      <c r="AY52" s="251">
        <v>30</v>
      </c>
      <c r="AZ52" s="252">
        <v>27</v>
      </c>
      <c r="BA52" s="252">
        <v>33</v>
      </c>
      <c r="BB52" s="252">
        <v>39</v>
      </c>
      <c r="BC52" s="253">
        <f>AY52+AZ52+BA52+BB52</f>
        <v>129</v>
      </c>
      <c r="BD52" s="254"/>
      <c r="BE52" s="251">
        <v>40</v>
      </c>
      <c r="BF52" s="252">
        <v>24</v>
      </c>
      <c r="BG52" s="252">
        <v>32</v>
      </c>
      <c r="BH52" s="252">
        <v>43</v>
      </c>
      <c r="BI52" s="253">
        <f>BE52+BF52+BG52+BH52</f>
        <v>139</v>
      </c>
      <c r="BJ52" s="254"/>
      <c r="BK52" s="251">
        <v>45</v>
      </c>
      <c r="BL52" s="252">
        <v>30</v>
      </c>
      <c r="BM52" s="252">
        <v>34</v>
      </c>
      <c r="BN52" s="252">
        <v>48</v>
      </c>
      <c r="BO52" s="253">
        <f>BK52+BL52+BM52+BN52</f>
        <v>157</v>
      </c>
      <c r="BP52" s="254"/>
      <c r="BQ52" s="251">
        <f>BQ55*BQ32</f>
        <v>45.725019806997942</v>
      </c>
      <c r="BR52" s="252">
        <f>BR55*BR32</f>
        <v>30.642737938573497</v>
      </c>
      <c r="BS52" s="252">
        <f>BS55*BS32</f>
        <v>34.638218088741013</v>
      </c>
      <c r="BT52" s="252">
        <f>BT55*BT32</f>
        <v>46.916013447412077</v>
      </c>
      <c r="BU52" s="253">
        <f>BQ52+BR52+BS52+BT52</f>
        <v>157.92198928172454</v>
      </c>
      <c r="BV52" s="254"/>
      <c r="BW52" s="251">
        <f>BW55*BW32</f>
        <v>44.132699521070499</v>
      </c>
      <c r="BX52" s="252">
        <f>BX55*BX32</f>
        <v>30.120287466064223</v>
      </c>
      <c r="BY52" s="252">
        <f>BY55*BY32</f>
        <v>33.034664234383392</v>
      </c>
      <c r="BZ52" s="252">
        <f>BZ55*BZ32</f>
        <v>45.418217239122882</v>
      </c>
      <c r="CA52" s="253">
        <f>BW52+BX52+BY52+BZ52</f>
        <v>152.705868460641</v>
      </c>
      <c r="CB52" s="254"/>
      <c r="CC52" s="251">
        <f>CC55*CC32</f>
        <v>42.315857890911957</v>
      </c>
      <c r="CD52" s="252">
        <f>CD55*CD32</f>
        <v>28.324133084518451</v>
      </c>
      <c r="CE52" s="252">
        <f>CE55*CE32</f>
        <v>31.314023479691844</v>
      </c>
      <c r="CF52" s="252">
        <f>CF55*CF32</f>
        <v>42.61077634346762</v>
      </c>
      <c r="CG52" s="253">
        <f>CC52+CD52+CE52+CF52</f>
        <v>144.56479079858985</v>
      </c>
      <c r="CH52" s="254"/>
      <c r="CI52" s="251">
        <f>CI55*CI32</f>
        <v>37.68853255858361</v>
      </c>
      <c r="CJ52" s="252">
        <f>CJ55*CJ32</f>
        <v>26.310589839636407</v>
      </c>
      <c r="CK52" s="252">
        <f>CK55*CK32</f>
        <v>29.367430361171202</v>
      </c>
      <c r="CL52" s="252">
        <f>CL55*CL32</f>
        <v>40.758385487657648</v>
      </c>
      <c r="CM52" s="253">
        <f>CI52+CJ52+CK52+CL52</f>
        <v>134.12493824704887</v>
      </c>
      <c r="CN52" s="254"/>
      <c r="CO52" s="251">
        <f>CO55*CO32</f>
        <v>35.417531640708255</v>
      </c>
      <c r="CP52" s="252">
        <f>CP55*CP32</f>
        <v>25.376786384726056</v>
      </c>
      <c r="CQ52" s="252">
        <f>CQ55*CQ32</f>
        <v>27.262049235377511</v>
      </c>
      <c r="CR52" s="252">
        <f>CR55*CR32</f>
        <v>38.71356364705256</v>
      </c>
      <c r="CS52" s="253">
        <f>CO52+CP52+CQ52+CR52</f>
        <v>126.76993090786436</v>
      </c>
      <c r="CT52" s="254"/>
      <c r="CU52" s="251">
        <f>CU55*CU32</f>
        <v>30.624341702093954</v>
      </c>
      <c r="CV52" s="252">
        <f>CV55*CV32</f>
        <v>25.687871086049903</v>
      </c>
      <c r="CW52" s="252">
        <f>CW55*CW32</f>
        <v>27.657727157685777</v>
      </c>
      <c r="CX52" s="252">
        <f>CX55*CX32</f>
        <v>37.97855823010714</v>
      </c>
      <c r="CY52" s="253">
        <f>CU52+CV52+CW52+CX52</f>
        <v>121.94849817593676</v>
      </c>
      <c r="CZ52" s="254"/>
      <c r="DA52" s="251">
        <f>DA55*DA32</f>
        <v>30.950637122158057</v>
      </c>
      <c r="DB52" s="252">
        <f>DB55*DB32</f>
        <v>26.048450207851477</v>
      </c>
      <c r="DC52" s="252">
        <f>DC55*DC32</f>
        <v>28.107903003085607</v>
      </c>
      <c r="DD52" s="252">
        <f>DD55*DD32</f>
        <v>38.604596669646263</v>
      </c>
      <c r="DE52" s="253">
        <f>DA52+DB52+DC52+DD52</f>
        <v>123.7115870027414</v>
      </c>
      <c r="DF52" s="254"/>
      <c r="DG52" s="251">
        <f>DG55*DG32</f>
        <v>31.167263520932124</v>
      </c>
      <c r="DH52" s="252">
        <f>DH55*DH32</f>
        <v>26.308848000396328</v>
      </c>
      <c r="DI52" s="252">
        <f>DI55*DI32</f>
        <v>28.440699329018685</v>
      </c>
      <c r="DJ52" s="252">
        <f>DJ55*DJ32</f>
        <v>39.077350580593318</v>
      </c>
      <c r="DK52" s="253">
        <f>DG52+DH52+DI52+DJ52</f>
        <v>124.99416143094045</v>
      </c>
    </row>
    <row r="53" spans="2:115" ht="15" x14ac:dyDescent="0.3">
      <c r="B53" s="5" t="s">
        <v>40</v>
      </c>
      <c r="C53" s="144" t="s">
        <v>35</v>
      </c>
      <c r="D53" s="107" t="s">
        <v>35</v>
      </c>
      <c r="E53" s="107" t="s">
        <v>35</v>
      </c>
      <c r="F53" s="145" t="s">
        <v>35</v>
      </c>
      <c r="G53" s="138" t="s">
        <v>35</v>
      </c>
      <c r="H53" s="107"/>
      <c r="I53" s="151">
        <f>I52/C52-1</f>
        <v>-0.52727272727272734</v>
      </c>
      <c r="J53" s="133">
        <f>J52/D52-1</f>
        <v>-0.43478260869565222</v>
      </c>
      <c r="K53" s="133">
        <f>K52/E52-1</f>
        <v>-0.22580645161290325</v>
      </c>
      <c r="L53" s="152">
        <f>L52/F52-1</f>
        <v>0.73170731707317072</v>
      </c>
      <c r="M53" s="153">
        <f>M52/G52-1</f>
        <v>-0.1502890173410405</v>
      </c>
      <c r="N53" s="107"/>
      <c r="O53" s="151">
        <f>O52/I52-1</f>
        <v>0.73076923076923084</v>
      </c>
      <c r="P53" s="133">
        <f>P52/J52-1</f>
        <v>-0.15384615384615385</v>
      </c>
      <c r="Q53" s="133">
        <f>Q52/K52-1</f>
        <v>-0.16666666666666663</v>
      </c>
      <c r="R53" s="152">
        <f>R52/L52-1</f>
        <v>-0.88732394366197187</v>
      </c>
      <c r="S53" s="153">
        <f>S52/M52-1</f>
        <v>-0.3537414965986394</v>
      </c>
      <c r="T53" s="107"/>
      <c r="U53" s="151">
        <f>U52/O52-1</f>
        <v>-0.4</v>
      </c>
      <c r="V53" s="133">
        <f>V52/P52-1</f>
        <v>-0.40909090909090906</v>
      </c>
      <c r="W53" s="133">
        <f>W52/Q52-1</f>
        <v>-0.30000000000000004</v>
      </c>
      <c r="X53" s="152">
        <f>X52/R52-1</f>
        <v>6.75</v>
      </c>
      <c r="Y53" s="153">
        <f>Y52/S52-1</f>
        <v>0.22105263157894739</v>
      </c>
      <c r="AA53" s="151">
        <f>AA52/U52-1</f>
        <v>-0.11111111111111116</v>
      </c>
      <c r="AB53" s="133">
        <f>AB52/V52-1</f>
        <v>0.53846153846153855</v>
      </c>
      <c r="AC53" s="133">
        <f>AC52/W52-1</f>
        <v>0.21428571428571419</v>
      </c>
      <c r="AD53" s="133">
        <f>AD52/X52-1</f>
        <v>-0.33870967741935487</v>
      </c>
      <c r="AE53" s="153">
        <f>AE52/Y52-1</f>
        <v>-0.12068965517241381</v>
      </c>
      <c r="AG53" s="151">
        <f>AG52/AA52-1</f>
        <v>0.125</v>
      </c>
      <c r="AH53" s="133">
        <f>AH52/AB52-1</f>
        <v>-0.19999999999999996</v>
      </c>
      <c r="AI53" s="133">
        <f>AI52/AC52-1</f>
        <v>0.41176470588235303</v>
      </c>
      <c r="AJ53" s="152">
        <f>AJ52/AD52-1</f>
        <v>-0.26829268292682928</v>
      </c>
      <c r="AK53" s="153">
        <f>AK52/AE52-1</f>
        <v>-4.9019607843137303E-2</v>
      </c>
      <c r="AM53" s="151">
        <f>AM52/AG52-1</f>
        <v>0.37037037037037046</v>
      </c>
      <c r="AN53" s="133">
        <f>AN52/AH52-1</f>
        <v>0.1875</v>
      </c>
      <c r="AO53" s="133">
        <f>AO52/AI52-1</f>
        <v>-0.45833333333333337</v>
      </c>
      <c r="AP53" s="152">
        <f>AP52/AJ52-1</f>
        <v>21.266666666666666</v>
      </c>
      <c r="AQ53" s="153">
        <f>AQ52/AK52-1</f>
        <v>6.5979381443298966</v>
      </c>
      <c r="AS53" s="151">
        <f>AS52/AM52-1</f>
        <v>-0.29729729729729726</v>
      </c>
      <c r="AT53" s="133">
        <f>AT52/AN52-1</f>
        <v>-5.2631578947368474E-2</v>
      </c>
      <c r="AU53" s="133">
        <f>AU52/AO52-1</f>
        <v>0.30769230769230771</v>
      </c>
      <c r="AV53" s="133">
        <f>AV52/AP52-1</f>
        <v>-0.95059880239520955</v>
      </c>
      <c r="AW53" s="153">
        <f>AW52/AQ52-1</f>
        <v>-0.8724559023066486</v>
      </c>
      <c r="AY53" s="151">
        <f>AY52/AS52-1</f>
        <v>0.15384615384615374</v>
      </c>
      <c r="AZ53" s="133">
        <f>AZ52/AT52-1</f>
        <v>0.5</v>
      </c>
      <c r="BA53" s="133">
        <f>BA52/AU52-1</f>
        <v>0.94117647058823528</v>
      </c>
      <c r="BB53" s="133">
        <f>BB52/AV52-1</f>
        <v>0.18181818181818188</v>
      </c>
      <c r="BC53" s="153">
        <f>BC52/AW52-1</f>
        <v>0.37234042553191493</v>
      </c>
      <c r="BE53" s="151">
        <f>BE52/AY52-1</f>
        <v>0.33333333333333326</v>
      </c>
      <c r="BF53" s="133">
        <f>BF52/AZ52-1</f>
        <v>-0.11111111111111116</v>
      </c>
      <c r="BG53" s="133">
        <f>BG52/BA52-1</f>
        <v>-3.0303030303030276E-2</v>
      </c>
      <c r="BH53" s="133">
        <f>BH52/BB52-1</f>
        <v>0.10256410256410264</v>
      </c>
      <c r="BI53" s="153">
        <f>BI52/BC52-1</f>
        <v>7.7519379844961156E-2</v>
      </c>
      <c r="BK53" s="151">
        <f>BK52/BE52-1</f>
        <v>0.125</v>
      </c>
      <c r="BL53" s="133">
        <f>BL52/BF52-1</f>
        <v>0.25</v>
      </c>
      <c r="BM53" s="133">
        <f>BM52/BG52-1</f>
        <v>6.25E-2</v>
      </c>
      <c r="BN53" s="133">
        <f>BN52/BH52-1</f>
        <v>0.11627906976744184</v>
      </c>
      <c r="BO53" s="153">
        <f>BO52/BI52-1</f>
        <v>0.12949640287769792</v>
      </c>
      <c r="BQ53" s="151">
        <f>BQ52/BK52-1</f>
        <v>1.6111551266621005E-2</v>
      </c>
      <c r="BR53" s="133">
        <f>BR52/BL52-1</f>
        <v>2.1424597952449886E-2</v>
      </c>
      <c r="BS53" s="133">
        <f>BS52/BM52-1</f>
        <v>1.8771120257088603E-2</v>
      </c>
      <c r="BT53" s="152">
        <f>BT52/BN52-1</f>
        <v>-2.2583053178915069E-2</v>
      </c>
      <c r="BU53" s="153">
        <f>BU52/BO52-1</f>
        <v>5.8725431956976326E-3</v>
      </c>
      <c r="BW53" s="151">
        <f>BW52/BQ52-1</f>
        <v>-3.482382933126138E-2</v>
      </c>
      <c r="BX53" s="133">
        <f>BX52/BR52-1</f>
        <v>-1.7049732094977288E-2</v>
      </c>
      <c r="BY53" s="133">
        <f>BY52/BS52-1</f>
        <v>-4.6294351812480983E-2</v>
      </c>
      <c r="BZ53" s="152">
        <f>BZ52/BT52-1</f>
        <v>-3.1925052838687296E-2</v>
      </c>
      <c r="CA53" s="153">
        <f>CA52/BU52-1</f>
        <v>-3.3029730975451699E-2</v>
      </c>
      <c r="CC53" s="151">
        <f>CC52/BW52-1</f>
        <v>-4.1167697645395962E-2</v>
      </c>
      <c r="CD53" s="133">
        <f>CD52/BX52-1</f>
        <v>-5.9632710463651928E-2</v>
      </c>
      <c r="CE53" s="133">
        <f>CE52/BY52-1</f>
        <v>-5.2085916250986353E-2</v>
      </c>
      <c r="CF53" s="152">
        <f>CF52/BZ52-1</f>
        <v>-6.1813102017508448E-2</v>
      </c>
      <c r="CG53" s="153">
        <f>CG52/CA52-1</f>
        <v>-5.3312146704757812E-2</v>
      </c>
      <c r="CI53" s="151">
        <f>CI52/CC52-1</f>
        <v>-0.10935203876185962</v>
      </c>
      <c r="CJ53" s="133">
        <f>CJ52/CD52-1</f>
        <v>-7.1089315915642826E-2</v>
      </c>
      <c r="CK53" s="133">
        <f>CK52/CE52-1</f>
        <v>-6.2163621988182705E-2</v>
      </c>
      <c r="CL53" s="152">
        <f>CL52/CF52-1</f>
        <v>-4.3472356402958323E-2</v>
      </c>
      <c r="CM53" s="153">
        <f>CM52/CG52-1</f>
        <v>-7.2215734508176088E-2</v>
      </c>
      <c r="CO53" s="151">
        <f>CO52/CI52-1</f>
        <v>-6.0257079904750266E-2</v>
      </c>
      <c r="CP53" s="133">
        <f>CP52/CJ52-1</f>
        <v>-3.5491543922120394E-2</v>
      </c>
      <c r="CQ53" s="133">
        <f>CQ52/CK52-1</f>
        <v>-7.1691023010898802E-2</v>
      </c>
      <c r="CR53" s="152">
        <f>CR52/CL52-1</f>
        <v>-5.0169353278831319E-2</v>
      </c>
      <c r="CS53" s="153">
        <f>CS52/CM52-1</f>
        <v>-5.4836985838063179E-2</v>
      </c>
      <c r="CU53" s="151">
        <f>CU52/CO52-1</f>
        <v>-0.13533382244812053</v>
      </c>
      <c r="CV53" s="133">
        <f>CV52/CP52-1</f>
        <v>1.2258632618316279E-2</v>
      </c>
      <c r="CW53" s="133">
        <f>CW52/CQ52-1</f>
        <v>1.4513873072857786E-2</v>
      </c>
      <c r="CX53" s="152">
        <f>CX52/CR52-1</f>
        <v>-1.8985733879897659E-2</v>
      </c>
      <c r="CY53" s="153">
        <f>CY52/CS52-1</f>
        <v>-3.8032936496840031E-2</v>
      </c>
      <c r="DA53" s="151">
        <f>DA52/CU52-1</f>
        <v>1.0654773357684721E-2</v>
      </c>
      <c r="DB53" s="133">
        <f>DB52/CV52-1</f>
        <v>1.4036940647735863E-2</v>
      </c>
      <c r="DC53" s="133">
        <f>DC52/CW52-1</f>
        <v>1.6276675333198209E-2</v>
      </c>
      <c r="DD53" s="152">
        <f>DD52/CX52-1</f>
        <v>1.6483996989723471E-2</v>
      </c>
      <c r="DE53" s="153">
        <f>DE52/CY52-1</f>
        <v>1.4457651001662963E-2</v>
      </c>
      <c r="DG53" s="151">
        <f>DG52/DA52-1</f>
        <v>6.9990933601487004E-3</v>
      </c>
      <c r="DH53" s="133">
        <f>DH52/DB52-1</f>
        <v>9.9966712210142195E-3</v>
      </c>
      <c r="DI53" s="133">
        <f>DI52/DC52-1</f>
        <v>1.1839955684226799E-2</v>
      </c>
      <c r="DJ53" s="152">
        <f>DJ52/DD52-1</f>
        <v>1.2246052328757306E-2</v>
      </c>
      <c r="DK53" s="153">
        <f>DK52/DE52-1</f>
        <v>1.0367455945502035E-2</v>
      </c>
    </row>
    <row r="54" spans="2:115" ht="15" x14ac:dyDescent="0.3">
      <c r="B54" s="105"/>
      <c r="C54" s="144"/>
      <c r="D54" s="107"/>
      <c r="E54" s="107"/>
      <c r="F54" s="145"/>
      <c r="G54" s="138"/>
      <c r="H54" s="107"/>
      <c r="I54" s="144"/>
      <c r="J54" s="107"/>
      <c r="K54" s="107"/>
      <c r="L54" s="145"/>
      <c r="M54" s="138"/>
      <c r="N54" s="107"/>
      <c r="O54" s="144"/>
      <c r="P54" s="107"/>
      <c r="Q54" s="107"/>
      <c r="R54" s="145"/>
      <c r="S54" s="138"/>
      <c r="T54" s="107"/>
      <c r="U54" s="144"/>
      <c r="V54" s="107"/>
      <c r="W54" s="107"/>
      <c r="X54" s="145"/>
      <c r="Y54" s="138"/>
      <c r="AA54" s="144"/>
      <c r="AB54" s="107"/>
      <c r="AC54" s="107"/>
      <c r="AD54" s="145"/>
      <c r="AE54" s="138"/>
      <c r="AG54" s="144"/>
      <c r="AH54" s="107"/>
      <c r="AI54" s="107"/>
      <c r="AJ54" s="145"/>
      <c r="AK54" s="138"/>
      <c r="AM54" s="144"/>
      <c r="AN54" s="107"/>
      <c r="AO54" s="107"/>
      <c r="AP54" s="145"/>
      <c r="AQ54" s="138"/>
      <c r="AS54" s="144"/>
      <c r="AT54" s="107"/>
      <c r="AU54" s="107"/>
      <c r="AV54" s="107"/>
      <c r="AW54" s="138"/>
      <c r="AY54" s="144"/>
      <c r="AZ54" s="107"/>
      <c r="BA54" s="107"/>
      <c r="BB54" s="107"/>
      <c r="BC54" s="138"/>
      <c r="BE54" s="144"/>
      <c r="BF54" s="107"/>
      <c r="BG54" s="107"/>
      <c r="BH54" s="107"/>
      <c r="BI54" s="138"/>
      <c r="BK54" s="144"/>
      <c r="BL54" s="107"/>
      <c r="BM54" s="107"/>
      <c r="BN54" s="107"/>
      <c r="BO54" s="138"/>
      <c r="BQ54" s="144"/>
      <c r="BR54" s="107"/>
      <c r="BS54" s="107"/>
      <c r="BT54" s="145"/>
      <c r="BU54" s="138"/>
      <c r="BW54" s="144"/>
      <c r="BX54" s="107"/>
      <c r="BY54" s="107"/>
      <c r="BZ54" s="145"/>
      <c r="CA54" s="138"/>
      <c r="CC54" s="144"/>
      <c r="CD54" s="107"/>
      <c r="CE54" s="107"/>
      <c r="CF54" s="145"/>
      <c r="CG54" s="138"/>
      <c r="CI54" s="144"/>
      <c r="CJ54" s="107"/>
      <c r="CK54" s="107"/>
      <c r="CL54" s="145"/>
      <c r="CM54" s="138"/>
      <c r="CO54" s="144"/>
      <c r="CP54" s="107"/>
      <c r="CQ54" s="107"/>
      <c r="CR54" s="145"/>
      <c r="CS54" s="138"/>
      <c r="CU54" s="144"/>
      <c r="CV54" s="107"/>
      <c r="CW54" s="107"/>
      <c r="CX54" s="145"/>
      <c r="CY54" s="138"/>
      <c r="DA54" s="144"/>
      <c r="DB54" s="107"/>
      <c r="DC54" s="107"/>
      <c r="DD54" s="145"/>
      <c r="DE54" s="138"/>
      <c r="DG54" s="144"/>
      <c r="DH54" s="107"/>
      <c r="DI54" s="107"/>
      <c r="DJ54" s="145"/>
      <c r="DK54" s="138"/>
    </row>
    <row r="55" spans="2:115" ht="15" x14ac:dyDescent="0.3">
      <c r="B55" s="105" t="s">
        <v>24</v>
      </c>
      <c r="C55" s="171">
        <f>C52/C32</f>
        <v>0.17741935483870969</v>
      </c>
      <c r="D55" s="165">
        <f>D52/D32</f>
        <v>0.15593220338983052</v>
      </c>
      <c r="E55" s="165">
        <f>E52/E32</f>
        <v>0.10299003322259136</v>
      </c>
      <c r="F55" s="172">
        <f>F52/F32</f>
        <v>0.14855072463768115</v>
      </c>
      <c r="G55" s="173">
        <f>G52/G32</f>
        <v>0.1463620981387479</v>
      </c>
      <c r="H55" s="166"/>
      <c r="I55" s="171">
        <f>I52/I32</f>
        <v>9.4890510948905105E-2</v>
      </c>
      <c r="J55" s="165">
        <f>J52/J32</f>
        <v>9.6296296296296297E-2</v>
      </c>
      <c r="K55" s="165">
        <f>K52/K32</f>
        <v>8.8560885608856083E-2</v>
      </c>
      <c r="L55" s="172">
        <f>L52/L32</f>
        <v>0.26296296296296295</v>
      </c>
      <c r="M55" s="173">
        <f>M52/M32</f>
        <v>0.13548387096774195</v>
      </c>
      <c r="N55" s="166"/>
      <c r="O55" s="171">
        <f>O52/O32</f>
        <v>0.16853932584269662</v>
      </c>
      <c r="P55" s="165">
        <f>P52/P32</f>
        <v>8.6274509803921567E-2</v>
      </c>
      <c r="Q55" s="165">
        <f>Q52/Q32</f>
        <v>7.6923076923076927E-2</v>
      </c>
      <c r="R55" s="172">
        <f>R52/R32</f>
        <v>3.125E-2</v>
      </c>
      <c r="S55" s="173">
        <f>S52/S32</f>
        <v>9.1522157996146436E-2</v>
      </c>
      <c r="T55" s="166"/>
      <c r="U55" s="171">
        <f>U52/U32</f>
        <v>0.10887096774193548</v>
      </c>
      <c r="V55" s="165">
        <f>V52/V32</f>
        <v>5.3497942386831275E-2</v>
      </c>
      <c r="W55" s="165">
        <f>W52/W32</f>
        <v>5.5118110236220472E-2</v>
      </c>
      <c r="X55" s="165">
        <f>X52/X32</f>
        <v>0.26050420168067229</v>
      </c>
      <c r="Y55" s="173">
        <f>Y52/Y32</f>
        <v>0.11800610376398779</v>
      </c>
      <c r="AA55" s="171">
        <f>AA52/AA32</f>
        <v>0.10480349344978165</v>
      </c>
      <c r="AB55" s="165">
        <f>AB52/AB32</f>
        <v>8.8105726872246701E-2</v>
      </c>
      <c r="AC55" s="165">
        <f>AC52/AC32</f>
        <v>7.2649572649572655E-2</v>
      </c>
      <c r="AD55" s="165">
        <f>AD52/AD32</f>
        <v>0.1752136752136752</v>
      </c>
      <c r="AE55" s="173">
        <f>AE52/AE32</f>
        <v>0.11038961038961038</v>
      </c>
      <c r="AG55" s="171">
        <f>AG52/AG32</f>
        <v>0.11894273127753303</v>
      </c>
      <c r="AH55" s="165">
        <f>AH52/AH32</f>
        <v>7.3732718894009217E-2</v>
      </c>
      <c r="AI55" s="165">
        <f>AI52/AI32</f>
        <v>0.1095890410958904</v>
      </c>
      <c r="AJ55" s="165">
        <f>AJ52/AJ32</f>
        <v>0.13953488372093023</v>
      </c>
      <c r="AK55" s="173">
        <f>AK52/AK32</f>
        <v>0.11047835990888383</v>
      </c>
      <c r="AM55" s="171">
        <f>AM52/AM32</f>
        <v>0.18226600985221675</v>
      </c>
      <c r="AN55" s="165">
        <f>AN52/AN32</f>
        <v>9.6446700507614211E-2</v>
      </c>
      <c r="AO55" s="165">
        <f>AO52/AO32</f>
        <v>5.7777777777777775E-2</v>
      </c>
      <c r="AP55" s="165">
        <f>AP52/AP32</f>
        <v>3.2906403940886699</v>
      </c>
      <c r="AQ55" s="173">
        <f>AQ52/AQ32</f>
        <v>0.89009661835748788</v>
      </c>
      <c r="AS55" s="171">
        <f>AS52/AS32</f>
        <v>0.13541666666666666</v>
      </c>
      <c r="AT55" s="165">
        <f>AT52/AT32</f>
        <v>8.9552238805970144E-2</v>
      </c>
      <c r="AU55" s="165">
        <f>AU52/AU32</f>
        <v>8.0952380952380956E-2</v>
      </c>
      <c r="AV55" s="165">
        <f>AV52/AV32</f>
        <v>0.15566037735849056</v>
      </c>
      <c r="AW55" s="173">
        <f>AW52/AW32</f>
        <v>0.11533742331288344</v>
      </c>
      <c r="AY55" s="171">
        <f>AY52/AY32</f>
        <v>0.15228426395939088</v>
      </c>
      <c r="AZ55" s="165">
        <f>AZ52/AZ32</f>
        <v>0.13170731707317074</v>
      </c>
      <c r="BA55" s="165">
        <f>BA52/BA32</f>
        <v>0.15942028985507245</v>
      </c>
      <c r="BB55" s="165">
        <f>BB52/BB32</f>
        <v>0.17727272727272728</v>
      </c>
      <c r="BC55" s="173">
        <f>BC52/BC32</f>
        <v>0.15560916767189384</v>
      </c>
      <c r="BE55" s="171">
        <f>BE52/BE32</f>
        <v>0.19230769230769232</v>
      </c>
      <c r="BF55" s="165">
        <f>BF52/BF32</f>
        <v>0.11538461538461539</v>
      </c>
      <c r="BG55" s="165">
        <f>BG52/BG32</f>
        <v>0.14611872146118721</v>
      </c>
      <c r="BH55" s="165">
        <f>BH52/BH32</f>
        <v>0.19545454545454546</v>
      </c>
      <c r="BI55" s="173">
        <f>BI52/BI32</f>
        <v>0.16257309941520467</v>
      </c>
      <c r="BK55" s="171">
        <f>BK52/BK32</f>
        <v>0.19736842105263158</v>
      </c>
      <c r="BL55" s="165">
        <f>BL52/BL32</f>
        <v>0.13953488372093023</v>
      </c>
      <c r="BM55" s="165">
        <f>BM52/BM32</f>
        <v>0.15315315315315314</v>
      </c>
      <c r="BN55" s="165">
        <f>BN52/BN32</f>
        <v>0.20512820512820512</v>
      </c>
      <c r="BO55" s="173">
        <f>BO52/BO32</f>
        <v>0.1746384872080089</v>
      </c>
      <c r="BQ55" s="171">
        <v>0.19</v>
      </c>
      <c r="BR55" s="165">
        <v>0.13500000000000001</v>
      </c>
      <c r="BS55" s="165">
        <v>0.15</v>
      </c>
      <c r="BT55" s="165">
        <v>0.19500000000000001</v>
      </c>
      <c r="BU55" s="173">
        <f>BU52/BU32</f>
        <v>0.16815280305457717</v>
      </c>
      <c r="BW55" s="171">
        <v>0.18</v>
      </c>
      <c r="BX55" s="165">
        <v>0.13</v>
      </c>
      <c r="BY55" s="165">
        <v>0.14000000000000001</v>
      </c>
      <c r="BZ55" s="165">
        <v>0.185</v>
      </c>
      <c r="CA55" s="173">
        <f>CA52/CA32</f>
        <v>0.15934382178064257</v>
      </c>
      <c r="CC55" s="171">
        <v>0.17</v>
      </c>
      <c r="CD55" s="165">
        <v>0.12</v>
      </c>
      <c r="CE55" s="165">
        <v>0.13</v>
      </c>
      <c r="CF55" s="165">
        <v>0.17</v>
      </c>
      <c r="CG55" s="173">
        <f>CG52/CG32</f>
        <v>0.14804685539366352</v>
      </c>
      <c r="CI55" s="171">
        <v>0.15</v>
      </c>
      <c r="CJ55" s="165">
        <v>0.11</v>
      </c>
      <c r="CK55" s="165">
        <v>0.12</v>
      </c>
      <c r="CL55" s="165">
        <v>0.16</v>
      </c>
      <c r="CM55" s="173">
        <f>CM52/CM32</f>
        <v>0.13549170270582822</v>
      </c>
      <c r="CO55" s="171">
        <v>0.14000000000000001</v>
      </c>
      <c r="CP55" s="165">
        <v>0.105</v>
      </c>
      <c r="CQ55" s="165">
        <v>0.11</v>
      </c>
      <c r="CR55" s="165">
        <v>0.15</v>
      </c>
      <c r="CS55" s="173">
        <f>CS52/CS32</f>
        <v>0.12669476489788364</v>
      </c>
      <c r="CU55" s="171">
        <v>0.12</v>
      </c>
      <c r="CV55" s="165">
        <v>0.105</v>
      </c>
      <c r="CW55" s="165">
        <v>0.11</v>
      </c>
      <c r="CX55" s="165">
        <v>0.14499999999999999</v>
      </c>
      <c r="CY55" s="173">
        <f>CY52/CY32</f>
        <v>0.12035924897895196</v>
      </c>
      <c r="DA55" s="171">
        <v>0.12</v>
      </c>
      <c r="DB55" s="165">
        <v>0.105</v>
      </c>
      <c r="DC55" s="165">
        <v>0.11</v>
      </c>
      <c r="DD55" s="165">
        <v>0.14499999999999999</v>
      </c>
      <c r="DE55" s="173">
        <f>DE52/DE32</f>
        <v>0.12036924098322248</v>
      </c>
      <c r="DG55" s="171">
        <v>0.12</v>
      </c>
      <c r="DH55" s="165">
        <v>0.105</v>
      </c>
      <c r="DI55" s="165">
        <v>0.11</v>
      </c>
      <c r="DJ55" s="165">
        <v>0.14499999999999999</v>
      </c>
      <c r="DK55" s="173">
        <f>DK52/DK32</f>
        <v>0.12037901829195584</v>
      </c>
    </row>
    <row r="56" spans="2:115" ht="15.75" thickBot="1" x14ac:dyDescent="0.35">
      <c r="B56" s="140" t="s">
        <v>40</v>
      </c>
      <c r="C56" s="155" t="s">
        <v>35</v>
      </c>
      <c r="D56" s="106" t="s">
        <v>35</v>
      </c>
      <c r="E56" s="106" t="s">
        <v>35</v>
      </c>
      <c r="F56" s="154" t="s">
        <v>35</v>
      </c>
      <c r="G56" s="108" t="s">
        <v>35</v>
      </c>
      <c r="I56" s="174">
        <f>I55-C55</f>
        <v>-8.2528843889804582E-2</v>
      </c>
      <c r="J56" s="175">
        <f>J55-D55</f>
        <v>-5.9635907093534224E-2</v>
      </c>
      <c r="K56" s="175">
        <f>K55-E55</f>
        <v>-1.4429147613735274E-2</v>
      </c>
      <c r="L56" s="176">
        <f>L55-F55</f>
        <v>0.1144122383252818</v>
      </c>
      <c r="M56" s="177">
        <f>M55-G55</f>
        <v>-1.087822717100595E-2</v>
      </c>
      <c r="O56" s="174">
        <f>O55-I55</f>
        <v>7.364881489379152E-2</v>
      </c>
      <c r="P56" s="175">
        <f>P55-J55</f>
        <v>-1.0021786492374729E-2</v>
      </c>
      <c r="Q56" s="175">
        <f>Q55-K55</f>
        <v>-1.1637808685779155E-2</v>
      </c>
      <c r="R56" s="176">
        <f>R55-L55</f>
        <v>-0.23171296296296295</v>
      </c>
      <c r="S56" s="177">
        <f>S55-M55</f>
        <v>-4.3961712971595512E-2</v>
      </c>
      <c r="U56" s="174">
        <f>U55-O55</f>
        <v>-5.966835810076114E-2</v>
      </c>
      <c r="V56" s="175">
        <f>V55-P55</f>
        <v>-3.2776567417090292E-2</v>
      </c>
      <c r="W56" s="175">
        <f>W55-Q55</f>
        <v>-2.1804966686856456E-2</v>
      </c>
      <c r="X56" s="175">
        <f>X55-R55</f>
        <v>0.22925420168067229</v>
      </c>
      <c r="Y56" s="177">
        <f>Y55-S55</f>
        <v>2.6483945767841355E-2</v>
      </c>
      <c r="AA56" s="174">
        <f>AA55-U55</f>
        <v>-4.0674742921538304E-3</v>
      </c>
      <c r="AB56" s="175">
        <f>AB55-V55</f>
        <v>3.4607784485415426E-2</v>
      </c>
      <c r="AC56" s="175">
        <f>AC55-W55</f>
        <v>1.7531462413352183E-2</v>
      </c>
      <c r="AD56" s="175">
        <f>AD55-X55</f>
        <v>-8.5290526466997085E-2</v>
      </c>
      <c r="AE56" s="177">
        <f>AE55-Y55</f>
        <v>-7.616493374377406E-3</v>
      </c>
      <c r="AG56" s="174">
        <f>AG55-AA55</f>
        <v>1.413923782775138E-2</v>
      </c>
      <c r="AH56" s="175">
        <f>AH55-AB55</f>
        <v>-1.4373007978237484E-2</v>
      </c>
      <c r="AI56" s="175">
        <f>AI55-AC55</f>
        <v>3.693946844631775E-2</v>
      </c>
      <c r="AJ56" s="175">
        <f>AJ55-AD55</f>
        <v>-3.5678791492744971E-2</v>
      </c>
      <c r="AK56" s="177">
        <f>AK55-AE55</f>
        <v>8.8749519273442767E-5</v>
      </c>
      <c r="AM56" s="174">
        <f>AM55-AG55</f>
        <v>6.3323278574683714E-2</v>
      </c>
      <c r="AN56" s="175">
        <f>AN55-AH55</f>
        <v>2.2713981613604994E-2</v>
      </c>
      <c r="AO56" s="175">
        <f>AO55-AI55</f>
        <v>-5.181126331811263E-2</v>
      </c>
      <c r="AP56" s="175">
        <f>AP55-AJ55</f>
        <v>3.1511055103677399</v>
      </c>
      <c r="AQ56" s="177">
        <f>AQ55-AK55</f>
        <v>0.779618258448604</v>
      </c>
      <c r="AS56" s="174">
        <f>AS55-AM55</f>
        <v>-4.6849343185550091E-2</v>
      </c>
      <c r="AT56" s="175">
        <f>AT55-AN55</f>
        <v>-6.8944617016440668E-3</v>
      </c>
      <c r="AU56" s="175">
        <f>AU55-AO55</f>
        <v>2.3174603174603181E-2</v>
      </c>
      <c r="AV56" s="175">
        <f>AV55-AP55</f>
        <v>-3.1349800167301796</v>
      </c>
      <c r="AW56" s="177">
        <f>AW55-AQ55</f>
        <v>-0.77475919504460444</v>
      </c>
      <c r="AY56" s="174">
        <f>AY55-AS55</f>
        <v>1.6867597292724218E-2</v>
      </c>
      <c r="AZ56" s="175">
        <f>AZ55-AT55</f>
        <v>4.2155078267200594E-2</v>
      </c>
      <c r="BA56" s="175">
        <f>BA55-AU55</f>
        <v>7.8467908902691494E-2</v>
      </c>
      <c r="BB56" s="175">
        <f>BB55-AV55</f>
        <v>2.1612349914236717E-2</v>
      </c>
      <c r="BC56" s="177">
        <f>BC55-AW55</f>
        <v>4.0271744359010403E-2</v>
      </c>
      <c r="BE56" s="174">
        <f>BE55-AY55</f>
        <v>4.0023428348301443E-2</v>
      </c>
      <c r="BF56" s="175">
        <f>BF55-AZ55</f>
        <v>-1.6322701688555347E-2</v>
      </c>
      <c r="BG56" s="175">
        <f>BG55-BA55</f>
        <v>-1.3301568393885244E-2</v>
      </c>
      <c r="BH56" s="175">
        <f>BH55-BB55</f>
        <v>1.8181818181818188E-2</v>
      </c>
      <c r="BI56" s="177">
        <f>BI55-BC55</f>
        <v>6.9639317433108361E-3</v>
      </c>
      <c r="BK56" s="174">
        <f>BK55-BE55</f>
        <v>5.0607287449392635E-3</v>
      </c>
      <c r="BL56" s="175">
        <f>BL55-BF55</f>
        <v>2.415026833631484E-2</v>
      </c>
      <c r="BM56" s="175">
        <f>BM55-BG55</f>
        <v>7.0344316919659367E-3</v>
      </c>
      <c r="BN56" s="175">
        <f>BN55-BH55</f>
        <v>9.673659673659657E-3</v>
      </c>
      <c r="BO56" s="177">
        <f>BO55-BI55</f>
        <v>1.2065387792804222E-2</v>
      </c>
      <c r="BQ56" s="174">
        <f>BQ55-BK55</f>
        <v>-7.3684210526315796E-3</v>
      </c>
      <c r="BR56" s="175">
        <f>BR55-BL55</f>
        <v>-4.5348837209302217E-3</v>
      </c>
      <c r="BS56" s="175">
        <f>BS55-BM55</f>
        <v>-3.1531531531531487E-3</v>
      </c>
      <c r="BT56" s="176">
        <f>BT55-BN55</f>
        <v>-1.0128205128205114E-2</v>
      </c>
      <c r="BU56" s="177">
        <f>BU55-BO55</f>
        <v>-6.4856841534317311E-3</v>
      </c>
      <c r="BW56" s="174">
        <f>BW55-BQ55</f>
        <v>-1.0000000000000009E-2</v>
      </c>
      <c r="BX56" s="175">
        <f>BX55-BR55</f>
        <v>-5.0000000000000044E-3</v>
      </c>
      <c r="BY56" s="175">
        <f>BY55-BS55</f>
        <v>-9.9999999999999811E-3</v>
      </c>
      <c r="BZ56" s="176">
        <f>BZ55-BT55</f>
        <v>-1.0000000000000009E-2</v>
      </c>
      <c r="CA56" s="177">
        <f>CA55-BU55</f>
        <v>-8.8089812739345907E-3</v>
      </c>
      <c r="CC56" s="174">
        <f>CC55-BW55</f>
        <v>-9.9999999999999811E-3</v>
      </c>
      <c r="CD56" s="175">
        <f>CD55-BX55</f>
        <v>-1.0000000000000009E-2</v>
      </c>
      <c r="CE56" s="175">
        <f>CE55-BY55</f>
        <v>-1.0000000000000009E-2</v>
      </c>
      <c r="CF56" s="176">
        <f>CF55-BZ55</f>
        <v>-1.4999999999999986E-2</v>
      </c>
      <c r="CG56" s="177">
        <f>CG55-CA55</f>
        <v>-1.1296966386979052E-2</v>
      </c>
      <c r="CI56" s="174">
        <f>CI55-CC55</f>
        <v>-2.0000000000000018E-2</v>
      </c>
      <c r="CJ56" s="175">
        <f>CJ55-CD55</f>
        <v>-9.999999999999995E-3</v>
      </c>
      <c r="CK56" s="175">
        <f>CK55-CE55</f>
        <v>-1.0000000000000009E-2</v>
      </c>
      <c r="CL56" s="176">
        <f>CL55-CF55</f>
        <v>-1.0000000000000009E-2</v>
      </c>
      <c r="CM56" s="177">
        <f>CM55-CG55</f>
        <v>-1.2555152687835303E-2</v>
      </c>
      <c r="CO56" s="174">
        <f>CO55-CI55</f>
        <v>-9.9999999999999811E-3</v>
      </c>
      <c r="CP56" s="175">
        <f>CP55-CJ55</f>
        <v>-5.0000000000000044E-3</v>
      </c>
      <c r="CQ56" s="175">
        <f>CQ55-CK55</f>
        <v>-9.999999999999995E-3</v>
      </c>
      <c r="CR56" s="176">
        <f>CR55-CL55</f>
        <v>-1.0000000000000009E-2</v>
      </c>
      <c r="CS56" s="177">
        <f>CS55-CM55</f>
        <v>-8.796937807944577E-3</v>
      </c>
      <c r="CU56" s="174">
        <f>CU55-CO55</f>
        <v>-2.0000000000000018E-2</v>
      </c>
      <c r="CV56" s="175">
        <f>CV55-CP55</f>
        <v>0</v>
      </c>
      <c r="CW56" s="175">
        <f>CW55-CQ55</f>
        <v>0</v>
      </c>
      <c r="CX56" s="176">
        <f>CX55-CR55</f>
        <v>-5.0000000000000044E-3</v>
      </c>
      <c r="CY56" s="177">
        <f>CY55-CS55</f>
        <v>-6.3355159189316806E-3</v>
      </c>
      <c r="DA56" s="174">
        <f>DA55-CU55</f>
        <v>0</v>
      </c>
      <c r="DB56" s="175">
        <f>DB55-CV55</f>
        <v>0</v>
      </c>
      <c r="DC56" s="175">
        <f>DC55-CW55</f>
        <v>0</v>
      </c>
      <c r="DD56" s="176">
        <f>DD55-CX55</f>
        <v>0</v>
      </c>
      <c r="DE56" s="177">
        <f>DE55-CY55</f>
        <v>9.9920042705148315E-6</v>
      </c>
      <c r="DG56" s="174">
        <f>DG55-DA55</f>
        <v>0</v>
      </c>
      <c r="DH56" s="175">
        <f>DH55-DB55</f>
        <v>0</v>
      </c>
      <c r="DI56" s="175">
        <f>DI55-DC55</f>
        <v>0</v>
      </c>
      <c r="DJ56" s="176">
        <f>DJ55-DD55</f>
        <v>0</v>
      </c>
      <c r="DK56" s="177">
        <f>DK55-DE55</f>
        <v>9.7773087333608011E-6</v>
      </c>
    </row>
    <row r="57" spans="2:115" ht="15.75" thickBot="1" x14ac:dyDescent="0.35">
      <c r="B57" s="1"/>
      <c r="AA57" s="103"/>
      <c r="AB57" s="103"/>
      <c r="AC57" s="103"/>
      <c r="AD57" s="103"/>
      <c r="AE57" s="103"/>
      <c r="AG57" s="103"/>
      <c r="AH57" s="103"/>
      <c r="AI57" s="103"/>
      <c r="AJ57" s="103"/>
      <c r="AK57" s="103"/>
      <c r="AM57" s="103"/>
      <c r="AN57" s="103"/>
      <c r="AO57" s="103"/>
      <c r="AP57" s="103"/>
      <c r="AQ57" s="103"/>
      <c r="AS57" s="103"/>
      <c r="AT57" s="103"/>
      <c r="AU57" s="103"/>
      <c r="AV57" s="103"/>
      <c r="AW57" s="103"/>
      <c r="AY57" s="103"/>
      <c r="AZ57" s="103"/>
      <c r="BA57" s="103"/>
      <c r="BB57" s="103"/>
      <c r="BC57" s="103"/>
      <c r="BE57" s="103"/>
      <c r="BF57" s="103"/>
      <c r="BG57" s="103"/>
      <c r="BH57" s="103"/>
      <c r="BI57" s="103"/>
      <c r="BK57" s="103"/>
      <c r="BL57" s="103"/>
      <c r="BM57" s="103"/>
      <c r="BN57" s="103"/>
      <c r="BO57" s="103"/>
      <c r="BQ57" s="103"/>
      <c r="BR57" s="103"/>
      <c r="BS57" s="103"/>
      <c r="BT57" s="103"/>
      <c r="BU57" s="103"/>
      <c r="BW57" s="103"/>
      <c r="BX57" s="103"/>
      <c r="BY57" s="103"/>
      <c r="BZ57" s="103"/>
      <c r="CA57" s="103"/>
      <c r="CC57" s="103"/>
      <c r="CD57" s="103"/>
      <c r="CE57" s="103"/>
      <c r="CF57" s="103"/>
      <c r="CG57" s="103"/>
      <c r="CI57" s="103"/>
      <c r="CJ57" s="103"/>
      <c r="CK57" s="103"/>
      <c r="CL57" s="103"/>
      <c r="CM57" s="103"/>
      <c r="CO57" s="103"/>
      <c r="CP57" s="103"/>
      <c r="CQ57" s="103"/>
      <c r="CR57" s="103"/>
      <c r="CS57" s="103"/>
      <c r="CU57" s="103"/>
      <c r="CV57" s="103"/>
      <c r="CW57" s="103"/>
      <c r="CX57" s="103"/>
      <c r="CY57" s="103"/>
      <c r="DA57" s="103"/>
      <c r="DB57" s="103"/>
      <c r="DC57" s="103"/>
      <c r="DD57" s="103"/>
      <c r="DE57" s="103"/>
      <c r="DG57" s="103"/>
      <c r="DH57" s="103"/>
      <c r="DI57" s="103"/>
      <c r="DJ57" s="103"/>
      <c r="DK57" s="103"/>
    </row>
    <row r="58" spans="2:115" ht="15" x14ac:dyDescent="0.3">
      <c r="B58" s="42" t="s">
        <v>38</v>
      </c>
      <c r="C58" s="198">
        <f>C46-C52</f>
        <v>57</v>
      </c>
      <c r="D58" s="199">
        <f>D46-D52</f>
        <v>35</v>
      </c>
      <c r="E58" s="199">
        <f>E46-E52</f>
        <v>53</v>
      </c>
      <c r="F58" s="200">
        <f>F46-F52</f>
        <v>18</v>
      </c>
      <c r="G58" s="167">
        <f>C58+D58+E58+F58</f>
        <v>163</v>
      </c>
      <c r="H58" s="197"/>
      <c r="I58" s="198">
        <f>I46-I52</f>
        <v>50</v>
      </c>
      <c r="J58" s="199">
        <f>J46-J52</f>
        <v>39</v>
      </c>
      <c r="K58" s="199">
        <f>K46-K52</f>
        <v>40</v>
      </c>
      <c r="L58" s="200">
        <f>L46-L52</f>
        <v>9</v>
      </c>
      <c r="M58" s="167">
        <f>I58+J58+K58+L58</f>
        <v>138</v>
      </c>
      <c r="N58" s="197"/>
      <c r="O58" s="198">
        <f>O46-O52</f>
        <v>8</v>
      </c>
      <c r="P58" s="199">
        <f>P46-P52</f>
        <v>48</v>
      </c>
      <c r="Q58" s="199">
        <f>Q46-Q52</f>
        <v>62</v>
      </c>
      <c r="R58" s="200">
        <f>R46-R52</f>
        <v>70</v>
      </c>
      <c r="S58" s="167">
        <f>O58+P58+Q58+R58</f>
        <v>188</v>
      </c>
      <c r="T58" s="197"/>
      <c r="U58" s="198">
        <f>U46-U52</f>
        <v>56</v>
      </c>
      <c r="V58" s="199">
        <f>V46-V52</f>
        <v>48</v>
      </c>
      <c r="W58" s="199">
        <f>W46-W52</f>
        <v>55</v>
      </c>
      <c r="X58" s="199">
        <f>X46-X52</f>
        <v>8</v>
      </c>
      <c r="Y58" s="201">
        <f>U58+V58+W58+X58</f>
        <v>167</v>
      </c>
      <c r="Z58" s="259"/>
      <c r="AA58" s="198">
        <f>AA46-AA52</f>
        <v>36</v>
      </c>
      <c r="AB58" s="199">
        <f>AB46-AB52</f>
        <v>48</v>
      </c>
      <c r="AC58" s="199">
        <f>AC46-AC52</f>
        <v>52</v>
      </c>
      <c r="AD58" s="199">
        <f>AD46-AD52</f>
        <v>15</v>
      </c>
      <c r="AE58" s="201">
        <f>AA58+AB58+AC58+AD58</f>
        <v>151</v>
      </c>
      <c r="AF58" s="259"/>
      <c r="AG58" s="198">
        <f>AG46-AG52</f>
        <v>33</v>
      </c>
      <c r="AH58" s="199">
        <f>AH46-AH52</f>
        <v>37</v>
      </c>
      <c r="AI58" s="199">
        <f>AI46-AI52</f>
        <v>41</v>
      </c>
      <c r="AJ58" s="199">
        <f>AJ46-AJ52</f>
        <v>26</v>
      </c>
      <c r="AK58" s="201">
        <f>AG58+AH58+AI58+AJ58</f>
        <v>137</v>
      </c>
      <c r="AL58" s="259"/>
      <c r="AM58" s="198">
        <f>AM46-AM52</f>
        <v>18</v>
      </c>
      <c r="AN58" s="199">
        <f>AN46-AN52</f>
        <v>21</v>
      </c>
      <c r="AO58" s="199">
        <f>AO46-AO52</f>
        <v>49</v>
      </c>
      <c r="AP58" s="199">
        <f>AP46-AP52</f>
        <v>-633</v>
      </c>
      <c r="AQ58" s="201">
        <f>AM58+AN58+AO58+AP58</f>
        <v>-545</v>
      </c>
      <c r="AR58" s="259"/>
      <c r="AS58" s="198">
        <f>AS46-AS52</f>
        <v>18</v>
      </c>
      <c r="AT58" s="199">
        <f>AT46-AT52</f>
        <v>42</v>
      </c>
      <c r="AU58" s="199">
        <f>AU46-AU52</f>
        <v>50</v>
      </c>
      <c r="AV58" s="199">
        <f>AV46-AV52</f>
        <v>7</v>
      </c>
      <c r="AW58" s="201">
        <f>AS58+AT58+AU58+AV58</f>
        <v>117</v>
      </c>
      <c r="AX58" s="259"/>
      <c r="AY58" s="198">
        <f>AY46-AY52</f>
        <v>35</v>
      </c>
      <c r="AZ58" s="199">
        <f>AZ46-AZ52</f>
        <v>39</v>
      </c>
      <c r="BA58" s="199">
        <f>BA46-BA52</f>
        <v>31</v>
      </c>
      <c r="BB58" s="199">
        <f>BB46-BB52</f>
        <v>25</v>
      </c>
      <c r="BC58" s="201">
        <f>AY58+AZ58+BA58+BB58</f>
        <v>130</v>
      </c>
      <c r="BD58" s="259"/>
      <c r="BE58" s="198">
        <f>BE46-BE52</f>
        <v>29</v>
      </c>
      <c r="BF58" s="199">
        <f>BF46-BF52</f>
        <v>46</v>
      </c>
      <c r="BG58" s="199">
        <f>BG46-BG52</f>
        <v>46</v>
      </c>
      <c r="BH58" s="199">
        <f>BH46-BH52</f>
        <v>-2</v>
      </c>
      <c r="BI58" s="201">
        <f>BE58+BF58+BG58+BH58</f>
        <v>119</v>
      </c>
      <c r="BJ58" s="259"/>
      <c r="BK58" s="198">
        <f>BK46-BK52</f>
        <v>44</v>
      </c>
      <c r="BL58" s="199">
        <f>BL46-BL52</f>
        <v>39</v>
      </c>
      <c r="BM58" s="199">
        <f>BM46-BM52</f>
        <v>39</v>
      </c>
      <c r="BN58" s="199">
        <f>BN46-BN52</f>
        <v>-13</v>
      </c>
      <c r="BO58" s="201">
        <f>BK58+BL58+BM58+BN58</f>
        <v>109</v>
      </c>
      <c r="BP58" s="259"/>
      <c r="BQ58" s="198">
        <f>BQ46-BQ52</f>
        <v>34.184430606774733</v>
      </c>
      <c r="BR58" s="199">
        <f>BR46-BR52</f>
        <v>35.668680333417363</v>
      </c>
      <c r="BS58" s="199">
        <f>BS46-BS52</f>
        <v>37.929634508749714</v>
      </c>
      <c r="BT58" s="199">
        <f>BT46-BT52</f>
        <v>-11.081992526717649</v>
      </c>
      <c r="BU58" s="201">
        <f>BQ58+BR58+BS58+BT58</f>
        <v>96.700752922224154</v>
      </c>
      <c r="BV58" s="259"/>
      <c r="BW58" s="198">
        <f>BW46-BW52</f>
        <v>36.068344383407386</v>
      </c>
      <c r="BX58" s="199">
        <f>BX46-BX52</f>
        <v>36.469131996997305</v>
      </c>
      <c r="BY58" s="199">
        <f>BY46-BY52</f>
        <v>40.024323667527447</v>
      </c>
      <c r="BZ58" s="199">
        <f>BZ46-BZ52</f>
        <v>-9.910655894997717</v>
      </c>
      <c r="CA58" s="201">
        <f>BW58+BX58+BY58+BZ58</f>
        <v>102.65114415293442</v>
      </c>
      <c r="CB58" s="259"/>
      <c r="CC58" s="198">
        <f>CC46-CC52</f>
        <v>39.651277119119371</v>
      </c>
      <c r="CD58" s="199">
        <f>CD46-CD52</f>
        <v>40.060243817968413</v>
      </c>
      <c r="CE58" s="199">
        <f>CE46-CE52</f>
        <v>43.861441698375259</v>
      </c>
      <c r="CF58" s="199">
        <f>CF46-CF52</f>
        <v>-5.486165449755589</v>
      </c>
      <c r="CG58" s="201">
        <f>CC58+CD58+CE58+CF58</f>
        <v>118.08679718570745</v>
      </c>
      <c r="CH58" s="259"/>
      <c r="CI58" s="198">
        <f>CI46-CI52</f>
        <v>45.689065987848586</v>
      </c>
      <c r="CJ58" s="199">
        <f>CJ46-CJ52</f>
        <v>43.646949869006164</v>
      </c>
      <c r="CK58" s="199">
        <f>CK46-CK52</f>
        <v>47.71082392097027</v>
      </c>
      <c r="CL58" s="199">
        <f>CL46-CL52</f>
        <v>-2.2426442664326487</v>
      </c>
      <c r="CM58" s="201">
        <f>CI58+CJ58+CK58+CL58</f>
        <v>134.80419551139238</v>
      </c>
      <c r="CN58" s="259"/>
      <c r="CO58" s="198">
        <f>CO46-CO52</f>
        <v>49.151962425603209</v>
      </c>
      <c r="CP58" s="199">
        <f>CP46-CP52</f>
        <v>45.942845584704159</v>
      </c>
      <c r="CQ58" s="199">
        <f>CQ46-CQ52</f>
        <v>51.467309425374403</v>
      </c>
      <c r="CR58" s="199">
        <f>CR46-CR52</f>
        <v>1.0483066054669337</v>
      </c>
      <c r="CS58" s="201">
        <f>CO58+CP58+CQ58+CR58</f>
        <v>147.61042404114869</v>
      </c>
      <c r="CT58" s="259"/>
      <c r="CU58" s="198">
        <f>CU46-CU52</f>
        <v>55.332372735351385</v>
      </c>
      <c r="CV58" s="199">
        <f>CV46-CV52</f>
        <v>47.168651166927425</v>
      </c>
      <c r="CW58" s="199">
        <f>CW46-CW52</f>
        <v>52.91770013841154</v>
      </c>
      <c r="CX58" s="199">
        <f>CX46-CX52</f>
        <v>3.1550668232924508</v>
      </c>
      <c r="CY58" s="201">
        <f>CU58+CV58+CW58+CX58</f>
        <v>158.57379086398279</v>
      </c>
      <c r="CZ58" s="259"/>
      <c r="DA58" s="198">
        <f>DA46-DA52</f>
        <v>55.948918252516506</v>
      </c>
      <c r="DB58" s="199">
        <f>DB46-DB52</f>
        <v>47.904866364511008</v>
      </c>
      <c r="DC58" s="199">
        <f>DC46-DC52</f>
        <v>53.875842242291029</v>
      </c>
      <c r="DD58" s="199">
        <f>DD46-DD52</f>
        <v>3.365946722959869</v>
      </c>
      <c r="DE58" s="201">
        <f>DA58+DB58+DC58+DD58</f>
        <v>161.09557358227843</v>
      </c>
      <c r="DF58" s="259"/>
      <c r="DG58" s="198">
        <f>DG46-DG52</f>
        <v>56.330432587192902</v>
      </c>
      <c r="DH58" s="199">
        <f>DH46-DH52</f>
        <v>48.40908237646191</v>
      </c>
      <c r="DI58" s="199">
        <f>DI46-DI52</f>
        <v>54.559707667867343</v>
      </c>
      <c r="DJ58" s="199">
        <f>DJ46-DJ52</f>
        <v>3.4904086183202025</v>
      </c>
      <c r="DK58" s="201">
        <f>DG58+DH58+DI58+DJ58</f>
        <v>162.78963124984236</v>
      </c>
    </row>
    <row r="59" spans="2:115" ht="15.75" thickBot="1" x14ac:dyDescent="0.35">
      <c r="B59" s="41" t="s">
        <v>23</v>
      </c>
      <c r="C59" s="155" t="s">
        <v>35</v>
      </c>
      <c r="D59" s="106" t="s">
        <v>35</v>
      </c>
      <c r="E59" s="106" t="s">
        <v>35</v>
      </c>
      <c r="F59" s="106" t="s">
        <v>35</v>
      </c>
      <c r="G59" s="108" t="s">
        <v>35</v>
      </c>
      <c r="I59" s="109">
        <f>I58/C58-1</f>
        <v>-0.1228070175438597</v>
      </c>
      <c r="J59" s="110">
        <f>J58/D58-1</f>
        <v>0.11428571428571432</v>
      </c>
      <c r="K59" s="110">
        <f>K58/E58-1</f>
        <v>-0.24528301886792447</v>
      </c>
      <c r="L59" s="120">
        <f>L58/F58-1</f>
        <v>-0.5</v>
      </c>
      <c r="M59" s="122">
        <f>M58/G58-1</f>
        <v>-0.15337423312883436</v>
      </c>
      <c r="O59" s="109">
        <f>O58/I58-1</f>
        <v>-0.84</v>
      </c>
      <c r="P59" s="110">
        <f>P58/J58-1</f>
        <v>0.23076923076923084</v>
      </c>
      <c r="Q59" s="110">
        <f>Q58/K58-1</f>
        <v>0.55000000000000004</v>
      </c>
      <c r="R59" s="120">
        <f>R58/L58-1</f>
        <v>6.7777777777777777</v>
      </c>
      <c r="S59" s="122">
        <f>S58/M58-1</f>
        <v>0.3623188405797102</v>
      </c>
      <c r="T59" s="107"/>
      <c r="U59" s="109">
        <f>U58/O58-1</f>
        <v>6</v>
      </c>
      <c r="V59" s="110">
        <f>V58/P58-1</f>
        <v>0</v>
      </c>
      <c r="W59" s="110">
        <f>W58/Q58-1</f>
        <v>-0.11290322580645162</v>
      </c>
      <c r="X59" s="120">
        <f>X58/R58-1</f>
        <v>-0.88571428571428568</v>
      </c>
      <c r="Y59" s="122">
        <f>Y58/S58-1</f>
        <v>-0.11170212765957444</v>
      </c>
      <c r="AA59" s="109">
        <f>AA58/U58-1</f>
        <v>-0.3571428571428571</v>
      </c>
      <c r="AB59" s="110">
        <f>AB58/V58-1</f>
        <v>0</v>
      </c>
      <c r="AC59" s="110">
        <f>AC58/W58-1</f>
        <v>-5.4545454545454564E-2</v>
      </c>
      <c r="AD59" s="120">
        <f>AD58/X58-1</f>
        <v>0.875</v>
      </c>
      <c r="AE59" s="122">
        <f>AE58/Y58-1</f>
        <v>-9.5808383233532912E-2</v>
      </c>
      <c r="AG59" s="109">
        <f>AG58/AA58-1</f>
        <v>-8.333333333333337E-2</v>
      </c>
      <c r="AH59" s="110">
        <f>AH58/AB58-1</f>
        <v>-0.22916666666666663</v>
      </c>
      <c r="AI59" s="110">
        <f>AI58/AC58-1</f>
        <v>-0.21153846153846156</v>
      </c>
      <c r="AJ59" s="120">
        <f>AJ58/AD58-1</f>
        <v>0.73333333333333339</v>
      </c>
      <c r="AK59" s="122">
        <f>AK58/AE58-1</f>
        <v>-9.27152317880795E-2</v>
      </c>
      <c r="AM59" s="109">
        <f>AM58/AG58-1</f>
        <v>-0.45454545454545459</v>
      </c>
      <c r="AN59" s="110">
        <f>AN58/AH58-1</f>
        <v>-0.43243243243243246</v>
      </c>
      <c r="AO59" s="110">
        <f>AO58/AI58-1</f>
        <v>0.19512195121951215</v>
      </c>
      <c r="AP59" s="120">
        <f>AP58/AJ58-1</f>
        <v>-25.346153846153847</v>
      </c>
      <c r="AQ59" s="122">
        <f>AQ58/AK58-1</f>
        <v>-4.9781021897810218</v>
      </c>
      <c r="AS59" s="109">
        <f>AS58/AM58-1</f>
        <v>0</v>
      </c>
      <c r="AT59" s="110">
        <f>AT58/AN58-1</f>
        <v>1</v>
      </c>
      <c r="AU59" s="110">
        <f>AU58/AO58-1</f>
        <v>2.0408163265306145E-2</v>
      </c>
      <c r="AV59" s="120">
        <f>AV58/AP58-1</f>
        <v>-1.0110584518167456</v>
      </c>
      <c r="AW59" s="122">
        <f>AW58/AQ58-1</f>
        <v>-1.2146788990825688</v>
      </c>
      <c r="AY59" s="109">
        <f>AY58/AS58-1</f>
        <v>0.94444444444444442</v>
      </c>
      <c r="AZ59" s="110">
        <f>AZ58/AT58-1</f>
        <v>-7.1428571428571397E-2</v>
      </c>
      <c r="BA59" s="110">
        <f>BA58/AU58-1</f>
        <v>-0.38</v>
      </c>
      <c r="BB59" s="110">
        <f>BB58/AV58-1</f>
        <v>2.5714285714285716</v>
      </c>
      <c r="BC59" s="122">
        <f>BC58/AW58-1</f>
        <v>0.11111111111111116</v>
      </c>
      <c r="BE59" s="109">
        <f>BE58/AY58-1</f>
        <v>-0.17142857142857137</v>
      </c>
      <c r="BF59" s="110">
        <f>BF58/AZ58-1</f>
        <v>0.17948717948717952</v>
      </c>
      <c r="BG59" s="110">
        <f>BG58/BA58-1</f>
        <v>0.4838709677419355</v>
      </c>
      <c r="BH59" s="120">
        <f>BH58/BB58-1</f>
        <v>-1.08</v>
      </c>
      <c r="BI59" s="122">
        <f>BI58/BC58-1</f>
        <v>-8.4615384615384648E-2</v>
      </c>
      <c r="BK59" s="109">
        <f>BK58/BE58-1</f>
        <v>0.51724137931034475</v>
      </c>
      <c r="BL59" s="110">
        <f>BL58/BF58-1</f>
        <v>-0.15217391304347827</v>
      </c>
      <c r="BM59" s="110">
        <f>BM58/BG58-1</f>
        <v>-0.15217391304347827</v>
      </c>
      <c r="BN59" s="120">
        <f>BN58/BH58-1</f>
        <v>5.5</v>
      </c>
      <c r="BO59" s="122">
        <f>BO58/BI58-1</f>
        <v>-8.4033613445378186E-2</v>
      </c>
      <c r="BQ59" s="109">
        <f>BQ58/BK58-1</f>
        <v>-0.22308112257330148</v>
      </c>
      <c r="BR59" s="110">
        <f>BR58/BL58-1</f>
        <v>-8.5418452989298399E-2</v>
      </c>
      <c r="BS59" s="110">
        <f>BS58/BM58-1</f>
        <v>-2.7445269006417528E-2</v>
      </c>
      <c r="BT59" s="120">
        <f>BT58/BN58-1</f>
        <v>-0.1475390364063347</v>
      </c>
      <c r="BU59" s="122">
        <f>BU58/BO58-1</f>
        <v>-0.11283712915390687</v>
      </c>
      <c r="BW59" s="109">
        <f>BW58/BQ58-1</f>
        <v>5.5110286852614543E-2</v>
      </c>
      <c r="BX59" s="110">
        <f>BX58/BR58-1</f>
        <v>2.2441303017034064E-2</v>
      </c>
      <c r="BY59" s="110">
        <f>BY58/BS58-1</f>
        <v>5.5225661567989137E-2</v>
      </c>
      <c r="BZ59" s="120">
        <f>BZ58/BT58-1</f>
        <v>-0.1056972948588395</v>
      </c>
      <c r="CA59" s="122">
        <f>CA58/BU58-1</f>
        <v>6.1534073426461555E-2</v>
      </c>
      <c r="CC59" s="109">
        <f>CC58/BW58-1</f>
        <v>9.9337321880520024E-2</v>
      </c>
      <c r="CD59" s="110">
        <f>CD58/BX58-1</f>
        <v>9.8469901100656454E-2</v>
      </c>
      <c r="CE59" s="110">
        <f>CE58/BY58-1</f>
        <v>9.5869653231915652E-2</v>
      </c>
      <c r="CF59" s="120">
        <f>CF58/BZ58-1</f>
        <v>-0.44643770221861256</v>
      </c>
      <c r="CG59" s="122">
        <f>CG58/CA58-1</f>
        <v>0.15037000473931661</v>
      </c>
      <c r="CI59" s="109">
        <f>CI58/CC58-1</f>
        <v>0.15227224209173995</v>
      </c>
      <c r="CJ59" s="110">
        <f>CJ58/CD58-1</f>
        <v>8.9532806323784575E-2</v>
      </c>
      <c r="CK59" s="110">
        <f>CK58/CE58-1</f>
        <v>8.7762327765382286E-2</v>
      </c>
      <c r="CL59" s="120">
        <f>CL58/CF58-1</f>
        <v>-0.59121825855023036</v>
      </c>
      <c r="CM59" s="122">
        <f>CM58/CG58-1</f>
        <v>0.14156873354262078</v>
      </c>
      <c r="CO59" s="109">
        <f>CO58/CI58-1</f>
        <v>7.5792672992606391E-2</v>
      </c>
      <c r="CP59" s="110">
        <f>CP58/CJ58-1</f>
        <v>5.2601515629121076E-2</v>
      </c>
      <c r="CQ59" s="110">
        <f>CQ58/CK58-1</f>
        <v>7.873445050176664E-2</v>
      </c>
      <c r="CR59" s="120">
        <f>CR58/CL58-1</f>
        <v>-1.4674422159402321</v>
      </c>
      <c r="CS59" s="122">
        <f>CS58/CM58-1</f>
        <v>9.4998738586545395E-2</v>
      </c>
      <c r="CU59" s="109">
        <f>CU58/CO58-1</f>
        <v>0.12574086577118648</v>
      </c>
      <c r="CV59" s="110">
        <f>CV58/CP58-1</f>
        <v>2.6681098365212597E-2</v>
      </c>
      <c r="CW59" s="110">
        <f>CW58/CQ58-1</f>
        <v>2.8180814758543837E-2</v>
      </c>
      <c r="CX59" s="120">
        <f>CX58/CR58-1</f>
        <v>2.0096794266474456</v>
      </c>
      <c r="CY59" s="122">
        <f>CY58/CS58-1</f>
        <v>7.4272307623599154E-2</v>
      </c>
      <c r="DA59" s="109">
        <f>DA58/CU58-1</f>
        <v>1.114258230193732E-2</v>
      </c>
      <c r="DB59" s="110">
        <f>DB58/CV58-1</f>
        <v>1.5608146075200668E-2</v>
      </c>
      <c r="DC59" s="110">
        <f>DC58/CW58-1</f>
        <v>1.8106268816924675E-2</v>
      </c>
      <c r="DD59" s="120">
        <f>DD58/CX58-1</f>
        <v>6.6838489159908088E-2</v>
      </c>
      <c r="DE59" s="122">
        <f>DE58/CY58-1</f>
        <v>1.5902897348646361E-2</v>
      </c>
      <c r="DG59" s="109">
        <f>DG58/DA58-1</f>
        <v>6.8189760694656876E-3</v>
      </c>
      <c r="DH59" s="110">
        <f>DH58/DB58-1</f>
        <v>1.0525360995985E-2</v>
      </c>
      <c r="DI59" s="110">
        <f>DI58/DC58-1</f>
        <v>1.2693359344635891E-2</v>
      </c>
      <c r="DJ59" s="120">
        <f>DJ58/DD58-1</f>
        <v>3.6976787098664143E-2</v>
      </c>
      <c r="DK59" s="122">
        <f>DK58/DE58-1</f>
        <v>1.0515854842521044E-2</v>
      </c>
    </row>
    <row r="60" spans="2:115" ht="15.75" thickBot="1" x14ac:dyDescent="0.35">
      <c r="B60" s="1"/>
      <c r="AA60" s="103"/>
      <c r="AB60" s="103"/>
      <c r="AC60" s="103"/>
      <c r="AD60" s="103"/>
      <c r="AE60" s="103"/>
      <c r="AG60" s="103"/>
      <c r="AH60" s="103"/>
      <c r="AI60" s="103"/>
      <c r="AJ60" s="103"/>
      <c r="AK60" s="103"/>
      <c r="AM60" s="103"/>
      <c r="AN60" s="103"/>
      <c r="AO60" s="103"/>
      <c r="AP60" s="103"/>
      <c r="AQ60" s="103"/>
      <c r="AS60" s="103"/>
      <c r="AT60" s="103"/>
      <c r="AU60" s="103"/>
      <c r="AV60" s="103"/>
      <c r="AW60" s="103"/>
      <c r="AY60" s="103"/>
      <c r="AZ60" s="103"/>
      <c r="BA60" s="103"/>
      <c r="BB60" s="103"/>
      <c r="BC60" s="103"/>
      <c r="BE60" s="103"/>
      <c r="BF60" s="103"/>
      <c r="BG60" s="103"/>
      <c r="BH60" s="103"/>
      <c r="BI60" s="103"/>
      <c r="BK60" s="103"/>
      <c r="BL60" s="103"/>
      <c r="BM60" s="103"/>
      <c r="BN60" s="103"/>
      <c r="BO60" s="103"/>
      <c r="BQ60" s="103"/>
      <c r="BR60" s="103"/>
      <c r="BS60" s="103"/>
      <c r="BT60" s="103"/>
      <c r="BU60" s="103"/>
      <c r="BW60" s="103"/>
      <c r="BX60" s="103"/>
      <c r="BY60" s="103"/>
      <c r="BZ60" s="103"/>
      <c r="CA60" s="103"/>
      <c r="CC60" s="103"/>
      <c r="CD60" s="103"/>
      <c r="CE60" s="103"/>
      <c r="CF60" s="103"/>
      <c r="CG60" s="103"/>
      <c r="CI60" s="103"/>
      <c r="CJ60" s="103"/>
      <c r="CK60" s="103"/>
      <c r="CL60" s="103"/>
      <c r="CM60" s="103"/>
      <c r="CO60" s="103"/>
      <c r="CP60" s="103"/>
      <c r="CQ60" s="103"/>
      <c r="CR60" s="103"/>
      <c r="CS60" s="103"/>
      <c r="CU60" s="103"/>
      <c r="CV60" s="103"/>
      <c r="CW60" s="103"/>
      <c r="CX60" s="103"/>
      <c r="CY60" s="103"/>
      <c r="DA60" s="103"/>
      <c r="DB60" s="103"/>
      <c r="DC60" s="103"/>
      <c r="DD60" s="103"/>
      <c r="DE60" s="103"/>
      <c r="DG60" s="103"/>
      <c r="DH60" s="103"/>
      <c r="DI60" s="103"/>
      <c r="DJ60" s="103"/>
      <c r="DK60" s="103"/>
    </row>
    <row r="61" spans="2:115" ht="15" x14ac:dyDescent="0.3">
      <c r="B61" s="42" t="s">
        <v>50</v>
      </c>
      <c r="C61" s="111">
        <f>C67-C64</f>
        <v>244.01999999999998</v>
      </c>
      <c r="D61" s="112">
        <f>D67-D64</f>
        <v>230.74</v>
      </c>
      <c r="E61" s="112">
        <f>E67-E64</f>
        <v>227.61</v>
      </c>
      <c r="F61" s="112">
        <f>F67-F64</f>
        <v>201.24</v>
      </c>
      <c r="G61" s="113">
        <f>C61+D61+E61+F61</f>
        <v>903.61</v>
      </c>
      <c r="I61" s="111">
        <f>I67-I64</f>
        <v>203.28</v>
      </c>
      <c r="J61" s="112">
        <f>J67-J64</f>
        <v>195</v>
      </c>
      <c r="K61" s="112">
        <f>K67-K64</f>
        <v>193.8</v>
      </c>
      <c r="L61" s="115">
        <f>L67-L64</f>
        <v>194.25</v>
      </c>
      <c r="M61" s="113">
        <f>I61+J61+K61+L61</f>
        <v>786.32999999999993</v>
      </c>
      <c r="O61" s="111">
        <f>O67-O64</f>
        <v>186.88</v>
      </c>
      <c r="P61" s="112">
        <f>P67-P64</f>
        <v>178.85</v>
      </c>
      <c r="Q61" s="112">
        <f>Q67-Q64</f>
        <v>180.31</v>
      </c>
      <c r="R61" s="115">
        <f>R67-R64</f>
        <v>171.11</v>
      </c>
      <c r="S61" s="113">
        <f>O61+P61+Q61+R61</f>
        <v>717.15</v>
      </c>
      <c r="U61" s="111">
        <f>U67-U64</f>
        <v>162.15</v>
      </c>
      <c r="V61" s="112">
        <f>V67-V64</f>
        <v>167.04</v>
      </c>
      <c r="W61" s="112">
        <f>W67-W64</f>
        <v>162.84</v>
      </c>
      <c r="X61" s="115">
        <f>X67-X64</f>
        <v>153.87</v>
      </c>
      <c r="Y61" s="113">
        <f>U61+V61+W61+X61</f>
        <v>645.9</v>
      </c>
      <c r="AA61" s="111">
        <f>AA67-AA64</f>
        <v>146.06</v>
      </c>
      <c r="AB61" s="112">
        <f>AB67-AB64</f>
        <v>144.05000000000001</v>
      </c>
      <c r="AC61" s="112">
        <f>AC67-AC64</f>
        <v>138.6</v>
      </c>
      <c r="AD61" s="115">
        <f>AD67-AD64</f>
        <v>130.19999999999999</v>
      </c>
      <c r="AE61" s="113">
        <f>AA61+AB61+AC61+AD61</f>
        <v>558.91000000000008</v>
      </c>
      <c r="AG61" s="111">
        <f>AG67-AG64</f>
        <v>127.49</v>
      </c>
      <c r="AH61" s="112">
        <f>AH67-AH64</f>
        <v>119.39999999999999</v>
      </c>
      <c r="AI61" s="112">
        <f>AI67-AI64</f>
        <v>118.59</v>
      </c>
      <c r="AJ61" s="115">
        <f>AJ67-AJ64</f>
        <v>111.94</v>
      </c>
      <c r="AK61" s="113">
        <f>AG61+AH61+AI61+AJ61</f>
        <v>477.42</v>
      </c>
      <c r="AM61" s="111">
        <f>AM67-AM64</f>
        <v>92.22</v>
      </c>
      <c r="AN61" s="112">
        <f>AN67-AN64</f>
        <v>96.25</v>
      </c>
      <c r="AO61" s="112">
        <f>AO67-AO64</f>
        <v>122.39999999999999</v>
      </c>
      <c r="AP61" s="115">
        <f>AP67-AP64</f>
        <v>95.149999999999991</v>
      </c>
      <c r="AQ61" s="113">
        <f>AM61+AN61+AO61+AP61</f>
        <v>406.02</v>
      </c>
      <c r="AS61" s="111">
        <f>AS67-AS64</f>
        <v>97.44</v>
      </c>
      <c r="AT61" s="112">
        <f>AT67-AT64</f>
        <v>99.76</v>
      </c>
      <c r="AU61" s="112">
        <f>AU67-AU64</f>
        <v>102.03</v>
      </c>
      <c r="AV61" s="115">
        <f>AV67-AV64</f>
        <v>100.92</v>
      </c>
      <c r="AW61" s="113">
        <f>AS61+AT61+AU61+AV61</f>
        <v>400.15000000000003</v>
      </c>
      <c r="AY61" s="111">
        <f>AY67-AY64</f>
        <v>96.32</v>
      </c>
      <c r="AZ61" s="112">
        <f>AZ67-AZ64</f>
        <v>101.5</v>
      </c>
      <c r="BA61" s="112">
        <f>BA67-BA64</f>
        <v>101.46000000000001</v>
      </c>
      <c r="BB61" s="115">
        <f>BB67-BB64</f>
        <v>100.24</v>
      </c>
      <c r="BC61" s="113">
        <f>AY61+AZ61+BA61+BB61</f>
        <v>399.52</v>
      </c>
      <c r="BE61" s="111">
        <f>BE67-BE64</f>
        <v>97.899999999999991</v>
      </c>
      <c r="BF61" s="112">
        <f>BF67-BF64</f>
        <v>98.45</v>
      </c>
      <c r="BG61" s="112">
        <f>BG67-BG64</f>
        <v>102.06</v>
      </c>
      <c r="BH61" s="115">
        <f>BH67-BH64</f>
        <v>100.44</v>
      </c>
      <c r="BI61" s="113">
        <f>BE61+BF61+BG61+BH61</f>
        <v>398.84999999999997</v>
      </c>
      <c r="BK61" s="111">
        <f>BK67-BK64</f>
        <v>116</v>
      </c>
      <c r="BL61" s="112">
        <f>BL67-BL64</f>
        <v>98.050000000000011</v>
      </c>
      <c r="BM61" s="112">
        <f>BM67-BM64</f>
        <v>98</v>
      </c>
      <c r="BN61" s="115">
        <f>BN67-BN64</f>
        <v>94.575000000000003</v>
      </c>
      <c r="BO61" s="113">
        <f>BK61+BL61+BM61+BN61</f>
        <v>406.625</v>
      </c>
      <c r="BQ61" s="111">
        <f>BQ67-BQ64</f>
        <v>111.10947888685938</v>
      </c>
      <c r="BR61" s="112">
        <f>BR67-BR64</f>
        <v>95.176145096421592</v>
      </c>
      <c r="BS61" s="112">
        <f>BS67-BS64</f>
        <v>93.182845360824743</v>
      </c>
      <c r="BT61" s="115">
        <f>BT67-BT64</f>
        <v>90.590064202513048</v>
      </c>
      <c r="BU61" s="113">
        <f>BQ61+BR61+BS61+BT61</f>
        <v>390.05853354661872</v>
      </c>
      <c r="BW61" s="111">
        <f>BW67-BW64</f>
        <v>107.77055592564739</v>
      </c>
      <c r="BX61" s="112">
        <f>BX67-BX64</f>
        <v>91.665224044034247</v>
      </c>
      <c r="BY61" s="112">
        <f>BY67-BY64</f>
        <v>89.585376494845391</v>
      </c>
      <c r="BZ61" s="115">
        <f>BZ67-BZ64</f>
        <v>86.402186398239024</v>
      </c>
      <c r="CA61" s="113">
        <f>BW61+BX61+BY61+BZ61</f>
        <v>375.42334286276605</v>
      </c>
      <c r="CC61" s="111">
        <f>CC67-CC64</f>
        <v>103.10868742666813</v>
      </c>
      <c r="CD61" s="112">
        <f>CD67-CD64</f>
        <v>87.623225657198091</v>
      </c>
      <c r="CE61" s="112">
        <f>CE67-CE64</f>
        <v>85.560412230927852</v>
      </c>
      <c r="CF61" s="115">
        <f>CF67-CF64</f>
        <v>82.412891632669911</v>
      </c>
      <c r="CG61" s="113">
        <f>CC61+CD61+CE61+CF61</f>
        <v>358.70521694746401</v>
      </c>
      <c r="CI61" s="111">
        <f>CI67-CI64</f>
        <v>98.262474385580731</v>
      </c>
      <c r="CJ61" s="112">
        <f>CJ67-CJ64</f>
        <v>83.503660500962241</v>
      </c>
      <c r="CK61" s="112">
        <f>CK67-CK64</f>
        <v>81.536676529360818</v>
      </c>
      <c r="CL61" s="115">
        <f>CL67-CL64</f>
        <v>78.535519033405478</v>
      </c>
      <c r="CM61" s="113">
        <f>CI61+CJ61+CK61+CL61</f>
        <v>341.83833044930924</v>
      </c>
      <c r="CO61" s="111">
        <f>CO67-CO64</f>
        <v>93.637440999547323</v>
      </c>
      <c r="CP61" s="112">
        <f>CP67-CP64</f>
        <v>79.57218725429928</v>
      </c>
      <c r="CQ61" s="112">
        <f>CQ67-CQ64</f>
        <v>77.696731507967598</v>
      </c>
      <c r="CR61" s="115">
        <f>CR67-CR64</f>
        <v>74.835358422871309</v>
      </c>
      <c r="CS61" s="113">
        <f>CO61+CP61+CQ61+CR61</f>
        <v>325.74171818468551</v>
      </c>
      <c r="CU61" s="111">
        <f>CU67-CU64</f>
        <v>89.223917300961205</v>
      </c>
      <c r="CV61" s="112">
        <f>CV67-CV64</f>
        <v>75.820577491753852</v>
      </c>
      <c r="CW61" s="112">
        <f>CW67-CW64</f>
        <v>74.032531992426357</v>
      </c>
      <c r="CX61" s="115">
        <f>CX67-CX64</f>
        <v>71.304645534419848</v>
      </c>
      <c r="CY61" s="113">
        <f>CU61+CV61+CW61+CX61</f>
        <v>310.38167231956129</v>
      </c>
      <c r="DA61" s="111">
        <f>DA67-DA64</f>
        <v>85.012627950195906</v>
      </c>
      <c r="DB61" s="112">
        <f>DB67-DB64</f>
        <v>72.240938936644142</v>
      </c>
      <c r="DC61" s="112">
        <f>DC67-DC64</f>
        <v>70.536361810783063</v>
      </c>
      <c r="DD61" s="115">
        <f>DD67-DD64</f>
        <v>67.935934104468856</v>
      </c>
      <c r="DE61" s="113">
        <f>DA61+DB61+DC61+DD61</f>
        <v>295.72586280209197</v>
      </c>
      <c r="DG61" s="111">
        <f>DG67-DG64</f>
        <v>80.994678078179447</v>
      </c>
      <c r="DH61" s="112">
        <f>DH67-DH64</f>
        <v>68.825703375683958</v>
      </c>
      <c r="DI61" s="112">
        <f>DI67-DI64</f>
        <v>67.200821939843365</v>
      </c>
      <c r="DJ61" s="115">
        <f>DJ67-DJ64</f>
        <v>64.722084379070878</v>
      </c>
      <c r="DK61" s="113">
        <f>DG61+DH61+DI61+DJ61</f>
        <v>281.74328777277765</v>
      </c>
    </row>
    <row r="62" spans="2:115" ht="15" x14ac:dyDescent="0.3">
      <c r="B62" s="40" t="s">
        <v>23</v>
      </c>
      <c r="C62" s="144" t="s">
        <v>35</v>
      </c>
      <c r="D62" s="107" t="s">
        <v>35</v>
      </c>
      <c r="E62" s="107" t="s">
        <v>35</v>
      </c>
      <c r="F62" s="107" t="s">
        <v>35</v>
      </c>
      <c r="G62" s="138" t="s">
        <v>35</v>
      </c>
      <c r="I62" s="151">
        <f>I61/C61-1</f>
        <v>-0.16695352839931143</v>
      </c>
      <c r="J62" s="133">
        <f>J61/D61-1</f>
        <v>-0.15489295310739359</v>
      </c>
      <c r="K62" s="133">
        <f>K61/E61-1</f>
        <v>-0.14854356135494928</v>
      </c>
      <c r="L62" s="152">
        <f>L61/F61-1</f>
        <v>-3.4734645199761549E-2</v>
      </c>
      <c r="M62" s="153">
        <f>M61/G61-1</f>
        <v>-0.12979050696650107</v>
      </c>
      <c r="O62" s="151">
        <f>O61/I61-1</f>
        <v>-8.0676898858717094E-2</v>
      </c>
      <c r="P62" s="133">
        <f>P61/J61-1</f>
        <v>-8.2820512820512837E-2</v>
      </c>
      <c r="Q62" s="133">
        <f>Q61/K61-1</f>
        <v>-6.9607843137254988E-2</v>
      </c>
      <c r="R62" s="152">
        <f>R61/L61-1</f>
        <v>-0.11912483912483907</v>
      </c>
      <c r="S62" s="153">
        <f>S61/M61-1</f>
        <v>-8.7978329708900738E-2</v>
      </c>
      <c r="U62" s="151">
        <f>U61/O61-1</f>
        <v>-0.13233090753424648</v>
      </c>
      <c r="V62" s="133">
        <f>V61/P61-1</f>
        <v>-6.6032988537880866E-2</v>
      </c>
      <c r="W62" s="133">
        <f>W61/Q61-1</f>
        <v>-9.6888691697631812E-2</v>
      </c>
      <c r="X62" s="152">
        <f>X61/R61-1</f>
        <v>-0.10075390099935722</v>
      </c>
      <c r="Y62" s="153">
        <f>Y61/S61-1</f>
        <v>-9.9351600083664504E-2</v>
      </c>
      <c r="AA62" s="151">
        <f>AA61/U61-1</f>
        <v>-9.9229108849830383E-2</v>
      </c>
      <c r="AB62" s="133">
        <f>AB61/V61-1</f>
        <v>-0.13763170498084276</v>
      </c>
      <c r="AC62" s="133">
        <f>AC61/W61-1</f>
        <v>-0.14885777450257931</v>
      </c>
      <c r="AD62" s="152">
        <f>AD61/X61-1</f>
        <v>-0.15383115617079368</v>
      </c>
      <c r="AE62" s="153">
        <f>AE61/Y61-1</f>
        <v>-0.13468029106672841</v>
      </c>
      <c r="AG62" s="151">
        <f>AG61/AA61-1</f>
        <v>-0.1271395316993017</v>
      </c>
      <c r="AH62" s="133">
        <f>AH61/AB61-1</f>
        <v>-0.17112113849357879</v>
      </c>
      <c r="AI62" s="133">
        <f>AI61/AC61-1</f>
        <v>-0.14437229437229426</v>
      </c>
      <c r="AJ62" s="152">
        <f>AJ61/AD61-1</f>
        <v>-0.14024577572964669</v>
      </c>
      <c r="AK62" s="153">
        <f>AK61/AE61-1</f>
        <v>-0.14580164963947695</v>
      </c>
      <c r="AM62" s="151">
        <f>AM61/AG61-1</f>
        <v>-0.27664914895285908</v>
      </c>
      <c r="AN62" s="133">
        <f>AN61/AH61-1</f>
        <v>-0.19388609715242877</v>
      </c>
      <c r="AO62" s="133">
        <f>AO61/AI61-1</f>
        <v>3.2127498102706653E-2</v>
      </c>
      <c r="AP62" s="152">
        <f>AP61/AJ61-1</f>
        <v>-0.14999106664284445</v>
      </c>
      <c r="AQ62" s="153">
        <f>AQ61/AK61-1</f>
        <v>-0.14955385195425419</v>
      </c>
      <c r="AS62" s="151">
        <f>AS61/AM61-1</f>
        <v>5.6603773584905648E-2</v>
      </c>
      <c r="AT62" s="133">
        <f>AT61/AN61-1</f>
        <v>3.6467532467532537E-2</v>
      </c>
      <c r="AU62" s="133">
        <f>AU61/AO61-1</f>
        <v>-0.16642156862745094</v>
      </c>
      <c r="AV62" s="152">
        <f>AV61/AP61-1</f>
        <v>6.0641093011035263E-2</v>
      </c>
      <c r="AW62" s="153">
        <f>AW61/AQ61-1</f>
        <v>-1.4457415890842706E-2</v>
      </c>
      <c r="AY62" s="151">
        <f>AY61/AS61-1</f>
        <v>-1.1494252873563315E-2</v>
      </c>
      <c r="AZ62" s="133">
        <f>AZ61/AT61-1</f>
        <v>1.744186046511631E-2</v>
      </c>
      <c r="BA62" s="133">
        <f>BA61/AU61-1</f>
        <v>-5.5865921787708883E-3</v>
      </c>
      <c r="BB62" s="152">
        <f>BB61/AV61-1</f>
        <v>-6.7380103051922768E-3</v>
      </c>
      <c r="BC62" s="153">
        <f>BC61/AW61-1</f>
        <v>-1.5744095964014271E-3</v>
      </c>
      <c r="BE62" s="151">
        <f>BE61/AY61-1</f>
        <v>1.6403654485049879E-2</v>
      </c>
      <c r="BF62" s="133">
        <f>BF61/AZ61-1</f>
        <v>-3.0049261083743839E-2</v>
      </c>
      <c r="BG62" s="133">
        <f>BG61/BA61-1</f>
        <v>5.9136605558840483E-3</v>
      </c>
      <c r="BH62" s="152">
        <f>BH61/BB61-1</f>
        <v>1.995211492418214E-3</v>
      </c>
      <c r="BI62" s="153">
        <f>BI61/BC61-1</f>
        <v>-1.6770124148979271E-3</v>
      </c>
      <c r="BK62" s="151">
        <f>BK61/BE61-1</f>
        <v>0.18488253319713999</v>
      </c>
      <c r="BL62" s="133">
        <f>BL61/BF61-1</f>
        <v>-4.0629761300151612E-3</v>
      </c>
      <c r="BM62" s="133">
        <f>BM61/BG61-1</f>
        <v>-3.978052126200271E-2</v>
      </c>
      <c r="BN62" s="152">
        <f>BN61/BH61-1</f>
        <v>-5.8393070489844656E-2</v>
      </c>
      <c r="BO62" s="153">
        <f>BO61/BI61-1</f>
        <v>1.9493543938824187E-2</v>
      </c>
      <c r="BQ62" s="151">
        <f>BQ61/BK61-1</f>
        <v>-4.2159664768453675E-2</v>
      </c>
      <c r="BR62" s="133">
        <f>BR61/BL61-1</f>
        <v>-2.931009590595024E-2</v>
      </c>
      <c r="BS62" s="133">
        <f>BS61/BM61-1</f>
        <v>-4.9154639175257753E-2</v>
      </c>
      <c r="BT62" s="152">
        <f>BT61/BN61-1</f>
        <v>-4.2135192148950118E-2</v>
      </c>
      <c r="BU62" s="153">
        <f>BU61/BO61-1</f>
        <v>-4.0741386912711453E-2</v>
      </c>
      <c r="BW62" s="151">
        <f>BW61/BQ61-1</f>
        <v>-3.0050748096946411E-2</v>
      </c>
      <c r="BX62" s="133">
        <f>BX61/BR61-1</f>
        <v>-3.6888666260127323E-2</v>
      </c>
      <c r="BY62" s="133">
        <f>BY61/BS61-1</f>
        <v>-3.8606557377048878E-2</v>
      </c>
      <c r="BZ62" s="152">
        <f>BZ61/BT61-1</f>
        <v>-4.6228886590830465E-2</v>
      </c>
      <c r="CA62" s="153">
        <f>CA61/BU61-1</f>
        <v>-3.7520498656398504E-2</v>
      </c>
      <c r="CC62" s="151">
        <f>CC61/BW61-1</f>
        <v>-4.3257348530293949E-2</v>
      </c>
      <c r="CD62" s="133">
        <f>CD61/BX61-1</f>
        <v>-4.409522181383041E-2</v>
      </c>
      <c r="CE62" s="133">
        <f>CE61/BY61-1</f>
        <v>-4.4928808935118192E-2</v>
      </c>
      <c r="CF62" s="152">
        <f>CF61/BZ61-1</f>
        <v>-4.617122473246138E-2</v>
      </c>
      <c r="CG62" s="153">
        <f>CG61/CA61-1</f>
        <v>-4.4531396976594695E-2</v>
      </c>
      <c r="CI62" s="151">
        <f>CI61/CC61-1</f>
        <v>-4.7001015744032926E-2</v>
      </c>
      <c r="CJ62" s="133">
        <f>CJ61/CD61-1</f>
        <v>-4.7014534392428309E-2</v>
      </c>
      <c r="CK62" s="133">
        <f>CK61/CE61-1</f>
        <v>-4.7028007423654761E-2</v>
      </c>
      <c r="CL62" s="152">
        <f>CL61/CF61-1</f>
        <v>-4.7048131942107108E-2</v>
      </c>
      <c r="CM62" s="153">
        <f>CM61/CG61-1</f>
        <v>-4.7021581235115129E-2</v>
      </c>
      <c r="CO62" s="151">
        <f>CO61/CI61-1</f>
        <v>-4.7068155111633314E-2</v>
      </c>
      <c r="CP62" s="133">
        <f>CP61/CJ61-1</f>
        <v>-4.7081447963800982E-2</v>
      </c>
      <c r="CQ62" s="133">
        <f>CQ61/CK61-1</f>
        <v>-4.7094696335954755E-2</v>
      </c>
      <c r="CR62" s="152">
        <f>CR61/CL61-1</f>
        <v>-4.7114485981308518E-2</v>
      </c>
      <c r="CS62" s="153">
        <f>CS61/CM61-1</f>
        <v>-4.7088377255606439E-2</v>
      </c>
      <c r="CU62" s="151">
        <f>CU61/CO61-1</f>
        <v>-4.7134176793740656E-2</v>
      </c>
      <c r="CV62" s="133">
        <f>CV61/CP61-1</f>
        <v>-4.7147249459863594E-2</v>
      </c>
      <c r="CW62" s="133">
        <f>CW61/CQ61-1</f>
        <v>-4.7160278745644324E-2</v>
      </c>
      <c r="CX62" s="152">
        <f>CX61/CR61-1</f>
        <v>-4.717974180734863E-2</v>
      </c>
      <c r="CY62" s="153">
        <f>CY61/CS61-1</f>
        <v>-4.7154064117803762E-2</v>
      </c>
      <c r="DA62" s="151">
        <f>DA61/CU61-1</f>
        <v>-4.7199108469539564E-2</v>
      </c>
      <c r="DB62" s="133">
        <f>DB61/CV61-1</f>
        <v>-4.721196637547409E-2</v>
      </c>
      <c r="DC62" s="133">
        <f>DC61/CW61-1</f>
        <v>-4.7224781964784857E-2</v>
      </c>
      <c r="DD62" s="152">
        <f>DD61/CX61-1</f>
        <v>-4.7243926460932562E-2</v>
      </c>
      <c r="DE62" s="153">
        <f>DE61/CY61-1</f>
        <v>-4.7218669220842613E-2</v>
      </c>
      <c r="DG62" s="151">
        <f>DG61/DA61-1</f>
        <v>-4.7262976911740084E-2</v>
      </c>
      <c r="DH62" s="133">
        <f>DH61/DB61-1</f>
        <v>-4.727562530652285E-2</v>
      </c>
      <c r="DI62" s="133">
        <f>DI61/DC61-1</f>
        <v>-4.7288232413906339E-2</v>
      </c>
      <c r="DJ62" s="152">
        <f>DJ61/DD61-1</f>
        <v>-4.7307066102246553E-2</v>
      </c>
      <c r="DK62" s="153">
        <f>DK61/DE61-1</f>
        <v>-4.7282219068786158E-2</v>
      </c>
    </row>
    <row r="63" spans="2:115" ht="15" x14ac:dyDescent="0.3">
      <c r="B63" s="40"/>
      <c r="C63" s="144"/>
      <c r="D63" s="107"/>
      <c r="E63" s="107"/>
      <c r="F63" s="107"/>
      <c r="G63" s="138"/>
      <c r="I63" s="144"/>
      <c r="J63" s="107"/>
      <c r="K63" s="107"/>
      <c r="L63" s="145"/>
      <c r="M63" s="138"/>
      <c r="O63" s="144"/>
      <c r="P63" s="107"/>
      <c r="Q63" s="107"/>
      <c r="R63" s="145"/>
      <c r="S63" s="138"/>
      <c r="U63" s="144"/>
      <c r="V63" s="107"/>
      <c r="W63" s="107"/>
      <c r="X63" s="145"/>
      <c r="Y63" s="138"/>
      <c r="AA63" s="144"/>
      <c r="AB63" s="107"/>
      <c r="AC63" s="107"/>
      <c r="AD63" s="145"/>
      <c r="AE63" s="138"/>
      <c r="AG63" s="144"/>
      <c r="AH63" s="107"/>
      <c r="AI63" s="107"/>
      <c r="AJ63" s="145"/>
      <c r="AK63" s="138"/>
      <c r="AM63" s="144"/>
      <c r="AN63" s="107"/>
      <c r="AO63" s="107"/>
      <c r="AP63" s="145"/>
      <c r="AQ63" s="138"/>
      <c r="AS63" s="144"/>
      <c r="AT63" s="107"/>
      <c r="AU63" s="107"/>
      <c r="AV63" s="145"/>
      <c r="AW63" s="138"/>
      <c r="AY63" s="144"/>
      <c r="AZ63" s="107"/>
      <c r="BA63" s="107"/>
      <c r="BB63" s="145"/>
      <c r="BC63" s="138"/>
      <c r="BE63" s="144"/>
      <c r="BF63" s="107"/>
      <c r="BG63" s="107"/>
      <c r="BH63" s="145"/>
      <c r="BI63" s="138"/>
      <c r="BK63" s="144"/>
      <c r="BL63" s="107"/>
      <c r="BM63" s="107"/>
      <c r="BN63" s="145"/>
      <c r="BO63" s="138"/>
      <c r="BQ63" s="144"/>
      <c r="BR63" s="107"/>
      <c r="BS63" s="107"/>
      <c r="BT63" s="145"/>
      <c r="BU63" s="138"/>
      <c r="BW63" s="144"/>
      <c r="BX63" s="107"/>
      <c r="BY63" s="107"/>
      <c r="BZ63" s="145"/>
      <c r="CA63" s="138"/>
      <c r="CC63" s="144"/>
      <c r="CD63" s="107"/>
      <c r="CE63" s="107"/>
      <c r="CF63" s="145"/>
      <c r="CG63" s="138"/>
      <c r="CI63" s="144"/>
      <c r="CJ63" s="107"/>
      <c r="CK63" s="107"/>
      <c r="CL63" s="145"/>
      <c r="CM63" s="138"/>
      <c r="CO63" s="144"/>
      <c r="CP63" s="107"/>
      <c r="CQ63" s="107"/>
      <c r="CR63" s="145"/>
      <c r="CS63" s="138"/>
      <c r="CU63" s="144"/>
      <c r="CV63" s="107"/>
      <c r="CW63" s="107"/>
      <c r="CX63" s="145"/>
      <c r="CY63" s="138"/>
      <c r="DA63" s="144"/>
      <c r="DB63" s="107"/>
      <c r="DC63" s="107"/>
      <c r="DD63" s="145"/>
      <c r="DE63" s="138"/>
      <c r="DG63" s="144"/>
      <c r="DH63" s="107"/>
      <c r="DI63" s="107"/>
      <c r="DJ63" s="145"/>
      <c r="DK63" s="138"/>
    </row>
    <row r="64" spans="2:115" ht="15" x14ac:dyDescent="0.3">
      <c r="B64" s="39" t="s">
        <v>49</v>
      </c>
      <c r="C64" s="116">
        <f>C67*C15</f>
        <v>49.980000000000004</v>
      </c>
      <c r="D64" s="117">
        <f>D67*D15</f>
        <v>47.260000000000005</v>
      </c>
      <c r="E64" s="117">
        <f>E67*E15</f>
        <v>53.39</v>
      </c>
      <c r="F64" s="117">
        <f>F67*F15</f>
        <v>56.76</v>
      </c>
      <c r="G64" s="118">
        <f>C64+D64+E64+F64</f>
        <v>207.39</v>
      </c>
      <c r="I64" s="116">
        <f>I67*I15</f>
        <v>60.720000000000006</v>
      </c>
      <c r="J64" s="117">
        <f>J67*J15</f>
        <v>65</v>
      </c>
      <c r="K64" s="117">
        <f>K67*K15</f>
        <v>61.199999999999996</v>
      </c>
      <c r="L64" s="119">
        <f>L67*L15</f>
        <v>64.75</v>
      </c>
      <c r="M64" s="118">
        <f>I64+J64+K64+L64</f>
        <v>251.67</v>
      </c>
      <c r="O64" s="116">
        <f>O67*O15</f>
        <v>69.12</v>
      </c>
      <c r="P64" s="117">
        <f>P67*P15</f>
        <v>66.150000000000006</v>
      </c>
      <c r="Q64" s="117">
        <f>Q67*Q15</f>
        <v>66.69</v>
      </c>
      <c r="R64" s="119">
        <f>R67*R15</f>
        <v>69.89</v>
      </c>
      <c r="S64" s="118">
        <f>O64+P64+Q64+R64</f>
        <v>271.85000000000002</v>
      </c>
      <c r="U64" s="116">
        <f>U67*U15</f>
        <v>72.849999999999994</v>
      </c>
      <c r="V64" s="117">
        <f>V67*V15</f>
        <v>64.960000000000008</v>
      </c>
      <c r="W64" s="117">
        <f>W67*W15</f>
        <v>73.16</v>
      </c>
      <c r="X64" s="119">
        <f>X67*X15</f>
        <v>69.13</v>
      </c>
      <c r="Y64" s="118">
        <f>U64+V64+W64+X64</f>
        <v>280.10000000000002</v>
      </c>
      <c r="AA64" s="116">
        <f>AA67*AA15</f>
        <v>71.94</v>
      </c>
      <c r="AB64" s="117">
        <f>AB67*AB15</f>
        <v>70.95</v>
      </c>
      <c r="AC64" s="117">
        <f>AC67*AC15</f>
        <v>81.400000000000006</v>
      </c>
      <c r="AD64" s="119">
        <f>AD67*AD15</f>
        <v>79.8</v>
      </c>
      <c r="AE64" s="118">
        <f>AA64+AB64+AC64+AD64</f>
        <v>304.08999999999997</v>
      </c>
      <c r="AG64" s="116">
        <f>AG67*AG15</f>
        <v>81.510000000000005</v>
      </c>
      <c r="AH64" s="117">
        <f>AH67*AH15</f>
        <v>79.600000000000009</v>
      </c>
      <c r="AI64" s="117">
        <f>AI67*AI15</f>
        <v>82.41</v>
      </c>
      <c r="AJ64" s="119">
        <f>AJ67*AJ15</f>
        <v>81.06</v>
      </c>
      <c r="AK64" s="118">
        <f>AG64+AH64+AI64+AJ64</f>
        <v>324.58000000000004</v>
      </c>
      <c r="AM64" s="116">
        <f>AM67*AM15</f>
        <v>81.78</v>
      </c>
      <c r="AN64" s="117">
        <f>AN67*AN15</f>
        <v>78.75</v>
      </c>
      <c r="AO64" s="117">
        <f>AO67*AO15</f>
        <v>81.600000000000009</v>
      </c>
      <c r="AP64" s="119">
        <f>AP67*AP15</f>
        <v>77.850000000000009</v>
      </c>
      <c r="AQ64" s="118">
        <f>AM64+AN64+AO64+AP64</f>
        <v>319.98</v>
      </c>
      <c r="AS64" s="116">
        <f>AS67*AS15</f>
        <v>70.56</v>
      </c>
      <c r="AT64" s="117">
        <f>AT67*AT15</f>
        <v>72.239999999999995</v>
      </c>
      <c r="AU64" s="117">
        <f>AU67*AU15</f>
        <v>76.97</v>
      </c>
      <c r="AV64" s="119">
        <f>AV67*AV15</f>
        <v>73.08</v>
      </c>
      <c r="AW64" s="118">
        <f>AS64+AT64+AU64+AV64</f>
        <v>292.85000000000002</v>
      </c>
      <c r="AY64" s="116">
        <f>AY67*AY15</f>
        <v>75.680000000000007</v>
      </c>
      <c r="AZ64" s="117">
        <f>AZ67*AZ15</f>
        <v>73.5</v>
      </c>
      <c r="BA64" s="117">
        <f>BA67*BA15</f>
        <v>76.539999999999992</v>
      </c>
      <c r="BB64" s="119">
        <f>BB67*BB15</f>
        <v>78.760000000000005</v>
      </c>
      <c r="BC64" s="118">
        <f>AY64+AZ64+BA64+BB64</f>
        <v>304.48</v>
      </c>
      <c r="BE64" s="116">
        <f>BE67*BE15</f>
        <v>80.100000000000009</v>
      </c>
      <c r="BF64" s="117">
        <f>BF67*BF15</f>
        <v>80.55</v>
      </c>
      <c r="BG64" s="117">
        <f>BG67*BG15</f>
        <v>86.94</v>
      </c>
      <c r="BH64" s="119">
        <f>BH67*BH15</f>
        <v>85.56</v>
      </c>
      <c r="BI64" s="118">
        <f>BE64+BF64+BG64+BH64</f>
        <v>333.15</v>
      </c>
      <c r="BK64" s="116">
        <f>BK67*BK15</f>
        <v>84</v>
      </c>
      <c r="BL64" s="117">
        <f>BL67*BL15</f>
        <v>86.949999999999989</v>
      </c>
      <c r="BM64" s="117">
        <f>BM67*BM15</f>
        <v>98</v>
      </c>
      <c r="BN64" s="119">
        <f>BN67*BN15</f>
        <v>100.425</v>
      </c>
      <c r="BO64" s="118">
        <f>BK64+BL64+BM64+BN64</f>
        <v>369.375</v>
      </c>
      <c r="BQ64" s="116">
        <f>BQ67*BQ15</f>
        <v>100.05747501880306</v>
      </c>
      <c r="BR64" s="117">
        <f>BR67*BR15</f>
        <v>100.87007002165616</v>
      </c>
      <c r="BS64" s="117">
        <f>BS67*BS15</f>
        <v>110.93195876288659</v>
      </c>
      <c r="BT64" s="119">
        <f>BT67*BT15</f>
        <v>109.55379184628083</v>
      </c>
      <c r="BU64" s="118">
        <f>BQ64+BR64+BS64+BT64</f>
        <v>421.41329564962666</v>
      </c>
      <c r="BW64" s="116">
        <f>BW67*BW15</f>
        <v>107.26653336198564</v>
      </c>
      <c r="BX64" s="117">
        <f>BX67*BX15</f>
        <v>108.45746941270495</v>
      </c>
      <c r="BY64" s="117">
        <f>BY67*BY15</f>
        <v>119.06345704467354</v>
      </c>
      <c r="BZ64" s="119">
        <f>BZ67*BZ15</f>
        <v>117.82829420113728</v>
      </c>
      <c r="CA64" s="118">
        <f>BW64+BX64+BY64+BZ64</f>
        <v>452.61575402050141</v>
      </c>
      <c r="CC64" s="116">
        <f>CC67*CC15</f>
        <v>115.11540274632</v>
      </c>
      <c r="CD64" s="117">
        <f>CD67*CD15</f>
        <v>116.29154924452924</v>
      </c>
      <c r="CE64" s="117">
        <f>CE67*CE15</f>
        <v>127.55229883161513</v>
      </c>
      <c r="CF64" s="119">
        <f>CF67*CF15</f>
        <v>126.0648662462625</v>
      </c>
      <c r="CG64" s="118">
        <f>CC64+CD64+CE64+CF64</f>
        <v>485.02411706872687</v>
      </c>
      <c r="CI64" s="116">
        <f>CI67*CI15</f>
        <v>121.89429098828842</v>
      </c>
      <c r="CJ64" s="117">
        <f>CJ67*CJ15</f>
        <v>123.13795133669279</v>
      </c>
      <c r="CK64" s="117">
        <f>CK67*CK15</f>
        <v>135.05974263917525</v>
      </c>
      <c r="CL64" s="119">
        <f>CL67*CL15</f>
        <v>133.48194420649364</v>
      </c>
      <c r="CM64" s="118">
        <f>CI64+CJ64+CK64+CL64</f>
        <v>513.5739291706501</v>
      </c>
      <c r="CO64" s="116">
        <f>CO67*CO15</f>
        <v>127.83410545665845</v>
      </c>
      <c r="CP64" s="117">
        <f>CP67*CP15</f>
        <v>129.13656700529509</v>
      </c>
      <c r="CQ64" s="117">
        <f>CQ67*CQ15</f>
        <v>141.63715436536083</v>
      </c>
      <c r="CR64" s="119">
        <f>CR67*CR15</f>
        <v>139.97961000858811</v>
      </c>
      <c r="CS64" s="118">
        <f>CO64+CP64+CQ64+CR64</f>
        <v>538.58743683590251</v>
      </c>
      <c r="CU64" s="116">
        <f>CU67*CU15</f>
        <v>134.05407421691689</v>
      </c>
      <c r="CV64" s="117">
        <f>CV67*CV15</f>
        <v>135.41805120524685</v>
      </c>
      <c r="CW64" s="117">
        <f>CW67*CW15</f>
        <v>148.52466344141857</v>
      </c>
      <c r="CX64" s="119">
        <f>CX67*CX15</f>
        <v>146.78351796411977</v>
      </c>
      <c r="CY64" s="118">
        <f>CU64+CV64+CW64+CX64</f>
        <v>564.78030682770213</v>
      </c>
      <c r="DA64" s="116">
        <f>DA67*DA15</f>
        <v>140.56710590926531</v>
      </c>
      <c r="DB64" s="117">
        <f>DB67*DB15</f>
        <v>141.99543563398629</v>
      </c>
      <c r="DC64" s="117">
        <f>DC67*DC15</f>
        <v>155.73655379657635</v>
      </c>
      <c r="DD64" s="119">
        <f>DD67*DD15</f>
        <v>153.90777118008018</v>
      </c>
      <c r="DE64" s="118">
        <f>DA64+DB64+DC64+DD64</f>
        <v>592.20686651990809</v>
      </c>
      <c r="DG64" s="116">
        <f>DG67*DG15</f>
        <v>145.9695138719251</v>
      </c>
      <c r="DH64" s="117">
        <f>DH67*DH15</f>
        <v>147.45078095495134</v>
      </c>
      <c r="DI64" s="117">
        <f>DI67*DI15</f>
        <v>161.71768134249973</v>
      </c>
      <c r="DJ64" s="119">
        <f>DJ67*DJ15</f>
        <v>159.81550418780009</v>
      </c>
      <c r="DK64" s="118">
        <f>DG64+DH64+DI64+DJ64</f>
        <v>614.95348035717632</v>
      </c>
    </row>
    <row r="65" spans="2:115" ht="15" x14ac:dyDescent="0.3">
      <c r="B65" s="40" t="s">
        <v>23</v>
      </c>
      <c r="C65" s="144" t="s">
        <v>35</v>
      </c>
      <c r="D65" s="107" t="s">
        <v>35</v>
      </c>
      <c r="E65" s="107" t="s">
        <v>35</v>
      </c>
      <c r="F65" s="107" t="s">
        <v>35</v>
      </c>
      <c r="G65" s="138" t="s">
        <v>35</v>
      </c>
      <c r="I65" s="151">
        <f>I64/C64-1</f>
        <v>0.21488595438175273</v>
      </c>
      <c r="J65" s="133">
        <f>J64/D64-1</f>
        <v>0.37537029200169258</v>
      </c>
      <c r="K65" s="133">
        <f>K64/E64-1</f>
        <v>0.14628207529499893</v>
      </c>
      <c r="L65" s="152">
        <f>L64/F64-1</f>
        <v>0.14076814658210002</v>
      </c>
      <c r="M65" s="153">
        <f>M64/G64-1</f>
        <v>0.21351077679733832</v>
      </c>
      <c r="O65" s="151">
        <f>O64/I64-1</f>
        <v>0.13833992094861647</v>
      </c>
      <c r="P65" s="133">
        <f>P64/J64-1</f>
        <v>1.7692307692307674E-2</v>
      </c>
      <c r="Q65" s="133">
        <f>Q64/K64-1</f>
        <v>8.9705882352941302E-2</v>
      </c>
      <c r="R65" s="152">
        <f>R64/L64-1</f>
        <v>7.9382239382239428E-2</v>
      </c>
      <c r="S65" s="153">
        <f>S64/M64-1</f>
        <v>8.0184368418961371E-2</v>
      </c>
      <c r="U65" s="151">
        <f>U64/O64-1</f>
        <v>5.3964120370370239E-2</v>
      </c>
      <c r="V65" s="133">
        <f>V64/P64-1</f>
        <v>-1.7989417989418E-2</v>
      </c>
      <c r="W65" s="133">
        <f>W64/Q64-1</f>
        <v>9.7016044384465427E-2</v>
      </c>
      <c r="X65" s="152">
        <f>X64/R64-1</f>
        <v>-1.0874230934325491E-2</v>
      </c>
      <c r="Y65" s="153">
        <f>Y64/S64-1</f>
        <v>3.0347618171785884E-2</v>
      </c>
      <c r="AA65" s="151">
        <f>AA64/U64-1</f>
        <v>-1.2491420727522295E-2</v>
      </c>
      <c r="AB65" s="133">
        <f>AB64/V64-1</f>
        <v>9.2210591133004893E-2</v>
      </c>
      <c r="AC65" s="133">
        <f>AC64/W64-1</f>
        <v>0.11262985237834888</v>
      </c>
      <c r="AD65" s="152">
        <f>AD64/X64-1</f>
        <v>0.1543468826847969</v>
      </c>
      <c r="AE65" s="153">
        <f>AE64/Y64-1</f>
        <v>8.5647982863263028E-2</v>
      </c>
      <c r="AG65" s="151">
        <f>AG64/AA64-1</f>
        <v>0.13302752293578002</v>
      </c>
      <c r="AH65" s="133">
        <f>AH64/AB64-1</f>
        <v>0.12191684284707538</v>
      </c>
      <c r="AI65" s="133">
        <f>AI64/AC64-1</f>
        <v>1.2407862407862291E-2</v>
      </c>
      <c r="AJ65" s="152">
        <f>AJ64/AD64-1</f>
        <v>1.5789473684210575E-2</v>
      </c>
      <c r="AK65" s="153">
        <f>AK64/AE64-1</f>
        <v>6.7381367358348099E-2</v>
      </c>
      <c r="AM65" s="151">
        <f>AM64/AG64-1</f>
        <v>3.3124769966874634E-3</v>
      </c>
      <c r="AN65" s="133">
        <f>AN64/AH64-1</f>
        <v>-1.0678391959799138E-2</v>
      </c>
      <c r="AO65" s="133">
        <f>AO64/AI64-1</f>
        <v>-9.8289042591916953E-3</v>
      </c>
      <c r="AP65" s="152">
        <f>AP64/AJ64-1</f>
        <v>-3.9600296076979902E-2</v>
      </c>
      <c r="AQ65" s="153">
        <f>AQ64/AK64-1</f>
        <v>-1.4172160946453904E-2</v>
      </c>
      <c r="AS65" s="151">
        <f>AS64/AM64-1</f>
        <v>-0.13719735876742478</v>
      </c>
      <c r="AT65" s="133">
        <f>AT64/AN64-1</f>
        <v>-8.2666666666666777E-2</v>
      </c>
      <c r="AU65" s="133">
        <f>AU64/AO64-1</f>
        <v>-5.6740196078431504E-2</v>
      </c>
      <c r="AV65" s="152">
        <f>AV64/AP64-1</f>
        <v>-6.1271676300578171E-2</v>
      </c>
      <c r="AW65" s="153">
        <f>AW64/AQ64-1</f>
        <v>-8.4786549159322488E-2</v>
      </c>
      <c r="AY65" s="151">
        <f>AY64/AS64-1</f>
        <v>7.2562358276644146E-2</v>
      </c>
      <c r="AZ65" s="133">
        <f>AZ64/AT64-1</f>
        <v>1.744186046511631E-2</v>
      </c>
      <c r="BA65" s="133">
        <f>BA64/AU64-1</f>
        <v>-5.5865921787709993E-3</v>
      </c>
      <c r="BB65" s="152">
        <f>BB64/AV64-1</f>
        <v>7.7723043240284673E-2</v>
      </c>
      <c r="BC65" s="153">
        <f>BC64/AW64-1</f>
        <v>3.9713163735700885E-2</v>
      </c>
      <c r="BE65" s="151">
        <f>BE64/AY64-1</f>
        <v>5.8403805496828776E-2</v>
      </c>
      <c r="BF65" s="133">
        <f>BF64/AZ64-1</f>
        <v>9.5918367346938815E-2</v>
      </c>
      <c r="BG65" s="133">
        <f>BG64/BA64-1</f>
        <v>0.13587666579566249</v>
      </c>
      <c r="BH65" s="152">
        <f>BH64/BB64-1</f>
        <v>8.6338242762823647E-2</v>
      </c>
      <c r="BI65" s="153">
        <f>BI64/BC64-1</f>
        <v>9.4160535995795991E-2</v>
      </c>
      <c r="BK65" s="151">
        <f>BK64/BE64-1</f>
        <v>4.8689138576778923E-2</v>
      </c>
      <c r="BL65" s="133">
        <f>BL64/BF64-1</f>
        <v>7.9453755431408979E-2</v>
      </c>
      <c r="BM65" s="133">
        <f>BM64/BG64-1</f>
        <v>0.12721417069243168</v>
      </c>
      <c r="BN65" s="152">
        <f>BN64/BH64-1</f>
        <v>0.17373772791023834</v>
      </c>
      <c r="BO65" s="153">
        <f>BO64/BI64-1</f>
        <v>0.10873480414227843</v>
      </c>
      <c r="BQ65" s="151">
        <f>BQ64/BK64-1</f>
        <v>0.19116041689051255</v>
      </c>
      <c r="BR65" s="133">
        <f>BR64/BL64-1</f>
        <v>0.16009281220996185</v>
      </c>
      <c r="BS65" s="133">
        <f>BS64/BM64-1</f>
        <v>0.13195876288659791</v>
      </c>
      <c r="BT65" s="152">
        <f>BT64/BN64-1</f>
        <v>9.0901586719251526E-2</v>
      </c>
      <c r="BU65" s="153">
        <f>BU64/BO64-1</f>
        <v>0.14088201867919237</v>
      </c>
      <c r="BW65" s="151">
        <f>BW64/BQ64-1</f>
        <v>7.2049173156006896E-2</v>
      </c>
      <c r="BX65" s="133">
        <f>BX64/BR64-1</f>
        <v>7.5219531318059252E-2</v>
      </c>
      <c r="BY65" s="133">
        <f>BY64/BS64-1</f>
        <v>7.3301674039379039E-2</v>
      </c>
      <c r="BZ65" s="152">
        <f>BZ64/BT64-1</f>
        <v>7.5529127886935443E-2</v>
      </c>
      <c r="CA65" s="153">
        <f>CA64/BU64-1</f>
        <v>7.4042415588181143E-2</v>
      </c>
      <c r="CC65" s="151">
        <f>CC64/BW64-1</f>
        <v>7.3171651384008829E-2</v>
      </c>
      <c r="CD65" s="133">
        <f>CD64/BX64-1</f>
        <v>7.2231814685015827E-2</v>
      </c>
      <c r="CE65" s="133">
        <f>CE64/BY64-1</f>
        <v>7.1296785744735303E-2</v>
      </c>
      <c r="CF65" s="152">
        <f>CF64/BZ64-1</f>
        <v>6.9903176490572649E-2</v>
      </c>
      <c r="CG65" s="153">
        <f>CG64/CA64-1</f>
        <v>7.1602375216390568E-2</v>
      </c>
      <c r="CI65" s="151">
        <f>CI64/CC64-1</f>
        <v>5.8887760284408452E-2</v>
      </c>
      <c r="CJ65" s="133">
        <f>CJ64/CD64-1</f>
        <v>5.8872739563968324E-2</v>
      </c>
      <c r="CK65" s="133">
        <f>CK64/CE64-1</f>
        <v>5.8857769529272685E-2</v>
      </c>
      <c r="CL65" s="152">
        <f>CL64/CF64-1</f>
        <v>5.8835408953214596E-2</v>
      </c>
      <c r="CM65" s="153">
        <f>CM64/CG64-1</f>
        <v>5.8862664962859634E-2</v>
      </c>
      <c r="CO65" s="151">
        <f>CO64/CI64-1</f>
        <v>4.8729226120530322E-2</v>
      </c>
      <c r="CP65" s="133">
        <f>CP64/CJ64-1</f>
        <v>4.871459694989122E-2</v>
      </c>
      <c r="CQ65" s="133">
        <f>CQ64/CK64-1</f>
        <v>4.8700016730801376E-2</v>
      </c>
      <c r="CR65" s="152">
        <f>CR64/CL64-1</f>
        <v>4.8678237650200407E-2</v>
      </c>
      <c r="CS65" s="153">
        <f>CS64/CM64-1</f>
        <v>4.8704784734002526E-2</v>
      </c>
      <c r="CU65" s="151">
        <f>CU64/CO64-1</f>
        <v>4.8656567338105861E-2</v>
      </c>
      <c r="CV65" s="133">
        <f>CV64/CP64-1</f>
        <v>4.8642180488615683E-2</v>
      </c>
      <c r="CW65" s="133">
        <f>CW64/CQ64-1</f>
        <v>4.8627841380454617E-2</v>
      </c>
      <c r="CX65" s="152">
        <f>CX64/CR64-1</f>
        <v>4.8606421714664227E-2</v>
      </c>
      <c r="CY65" s="153">
        <f>CY64/CS64-1</f>
        <v>4.8632530579765687E-2</v>
      </c>
      <c r="DA65" s="151">
        <f>DA64/CU64-1</f>
        <v>4.8585108139342914E-2</v>
      </c>
      <c r="DB65" s="133">
        <f>DB64/CV64-1</f>
        <v>4.8570957639690215E-2</v>
      </c>
      <c r="DC65" s="133">
        <f>DC64/CW64-1</f>
        <v>4.8556853710712611E-2</v>
      </c>
      <c r="DD65" s="152">
        <f>DD64/CX64-1</f>
        <v>4.8535784635587609E-2</v>
      </c>
      <c r="DE65" s="153">
        <f>DE64/CY64-1</f>
        <v>4.8561466043774315E-2</v>
      </c>
      <c r="DG65" s="151">
        <f>DG64/DA64-1</f>
        <v>3.8432945799901308E-2</v>
      </c>
      <c r="DH65" s="133">
        <f>DH64/DB64-1</f>
        <v>3.8419159718816598E-2</v>
      </c>
      <c r="DI65" s="133">
        <f>DI64/DC64-1</f>
        <v>3.8405418638812083E-2</v>
      </c>
      <c r="DJ65" s="152">
        <f>DJ64/DD64-1</f>
        <v>3.8384890915011294E-2</v>
      </c>
      <c r="DK65" s="153">
        <f>DK64/DE64-1</f>
        <v>3.8409912351976327E-2</v>
      </c>
    </row>
    <row r="66" spans="2:115" ht="15" x14ac:dyDescent="0.3">
      <c r="B66" s="40"/>
      <c r="C66" s="144"/>
      <c r="D66" s="107"/>
      <c r="E66" s="107"/>
      <c r="F66" s="107"/>
      <c r="G66" s="138"/>
      <c r="I66" s="144"/>
      <c r="J66" s="107"/>
      <c r="K66" s="107"/>
      <c r="L66" s="145"/>
      <c r="M66" s="138"/>
      <c r="O66" s="144"/>
      <c r="P66" s="107"/>
      <c r="Q66" s="107"/>
      <c r="R66" s="145"/>
      <c r="S66" s="138"/>
      <c r="U66" s="144"/>
      <c r="V66" s="107"/>
      <c r="W66" s="107"/>
      <c r="X66" s="145"/>
      <c r="Y66" s="138"/>
      <c r="AA66" s="144"/>
      <c r="AB66" s="107"/>
      <c r="AC66" s="107"/>
      <c r="AD66" s="145"/>
      <c r="AE66" s="138"/>
      <c r="AG66" s="144"/>
      <c r="AH66" s="107"/>
      <c r="AI66" s="107"/>
      <c r="AJ66" s="145"/>
      <c r="AK66" s="138"/>
      <c r="AM66" s="144"/>
      <c r="AN66" s="107"/>
      <c r="AO66" s="107"/>
      <c r="AP66" s="145"/>
      <c r="AQ66" s="138"/>
      <c r="AS66" s="144"/>
      <c r="AT66" s="107"/>
      <c r="AU66" s="107"/>
      <c r="AV66" s="145"/>
      <c r="AW66" s="138"/>
      <c r="AY66" s="144"/>
      <c r="AZ66" s="107"/>
      <c r="BA66" s="107"/>
      <c r="BB66" s="145"/>
      <c r="BC66" s="138"/>
      <c r="BE66" s="144"/>
      <c r="BF66" s="107"/>
      <c r="BG66" s="107"/>
      <c r="BH66" s="145"/>
      <c r="BI66" s="138"/>
      <c r="BK66" s="144"/>
      <c r="BL66" s="107"/>
      <c r="BM66" s="107"/>
      <c r="BN66" s="145"/>
      <c r="BO66" s="138"/>
      <c r="BQ66" s="144"/>
      <c r="BR66" s="107"/>
      <c r="BS66" s="107"/>
      <c r="BT66" s="145"/>
      <c r="BU66" s="138"/>
      <c r="BW66" s="144"/>
      <c r="BX66" s="107"/>
      <c r="BY66" s="107"/>
      <c r="BZ66" s="145"/>
      <c r="CA66" s="138"/>
      <c r="CC66" s="144"/>
      <c r="CD66" s="107"/>
      <c r="CE66" s="107"/>
      <c r="CF66" s="145"/>
      <c r="CG66" s="138"/>
      <c r="CI66" s="144"/>
      <c r="CJ66" s="107"/>
      <c r="CK66" s="107"/>
      <c r="CL66" s="145"/>
      <c r="CM66" s="138"/>
      <c r="CO66" s="144"/>
      <c r="CP66" s="107"/>
      <c r="CQ66" s="107"/>
      <c r="CR66" s="145"/>
      <c r="CS66" s="138"/>
      <c r="CU66" s="144"/>
      <c r="CV66" s="107"/>
      <c r="CW66" s="107"/>
      <c r="CX66" s="145"/>
      <c r="CY66" s="138"/>
      <c r="DA66" s="144"/>
      <c r="DB66" s="107"/>
      <c r="DC66" s="107"/>
      <c r="DD66" s="145"/>
      <c r="DE66" s="138"/>
      <c r="DG66" s="144"/>
      <c r="DH66" s="107"/>
      <c r="DI66" s="107"/>
      <c r="DJ66" s="145"/>
      <c r="DK66" s="138"/>
    </row>
    <row r="67" spans="2:115" ht="15.75" thickBot="1" x14ac:dyDescent="0.35">
      <c r="B67" s="76" t="s">
        <v>51</v>
      </c>
      <c r="C67" s="123">
        <f>C20</f>
        <v>294</v>
      </c>
      <c r="D67" s="124">
        <f>D20</f>
        <v>278</v>
      </c>
      <c r="E67" s="124">
        <f>E20</f>
        <v>281</v>
      </c>
      <c r="F67" s="124">
        <f>F20</f>
        <v>258</v>
      </c>
      <c r="G67" s="121">
        <f>G20</f>
        <v>1111</v>
      </c>
      <c r="I67" s="123">
        <f>I20</f>
        <v>264</v>
      </c>
      <c r="J67" s="124">
        <f>J20</f>
        <v>260</v>
      </c>
      <c r="K67" s="124">
        <f>K20</f>
        <v>255</v>
      </c>
      <c r="L67" s="125">
        <f>L20</f>
        <v>259</v>
      </c>
      <c r="M67" s="121">
        <f>M20</f>
        <v>1038</v>
      </c>
      <c r="O67" s="123">
        <f>O20</f>
        <v>256</v>
      </c>
      <c r="P67" s="124">
        <f>P20</f>
        <v>245</v>
      </c>
      <c r="Q67" s="124">
        <f>Q20</f>
        <v>247</v>
      </c>
      <c r="R67" s="125">
        <f>R20</f>
        <v>241</v>
      </c>
      <c r="S67" s="121">
        <f>S20</f>
        <v>989</v>
      </c>
      <c r="U67" s="123">
        <f>U20</f>
        <v>235</v>
      </c>
      <c r="V67" s="124">
        <f>V20</f>
        <v>232</v>
      </c>
      <c r="W67" s="124">
        <f>W20</f>
        <v>236</v>
      </c>
      <c r="X67" s="125">
        <f>X20</f>
        <v>223</v>
      </c>
      <c r="Y67" s="121">
        <f>Y20</f>
        <v>926</v>
      </c>
      <c r="AA67" s="123">
        <f>AA20</f>
        <v>218</v>
      </c>
      <c r="AB67" s="124">
        <f>AB20</f>
        <v>215</v>
      </c>
      <c r="AC67" s="124">
        <f>AC20</f>
        <v>220</v>
      </c>
      <c r="AD67" s="125">
        <f>AD20</f>
        <v>210</v>
      </c>
      <c r="AE67" s="121">
        <f>AE20</f>
        <v>863</v>
      </c>
      <c r="AG67" s="123">
        <f>AG20</f>
        <v>209</v>
      </c>
      <c r="AH67" s="124">
        <f>AH20</f>
        <v>199</v>
      </c>
      <c r="AI67" s="124">
        <f>AI20</f>
        <v>201</v>
      </c>
      <c r="AJ67" s="125">
        <f>AJ20</f>
        <v>193</v>
      </c>
      <c r="AK67" s="121">
        <f>AK20</f>
        <v>802</v>
      </c>
      <c r="AM67" s="123">
        <f>AM20</f>
        <v>174</v>
      </c>
      <c r="AN67" s="124">
        <f>AN20</f>
        <v>175</v>
      </c>
      <c r="AO67" s="124">
        <f>AO20</f>
        <v>204</v>
      </c>
      <c r="AP67" s="125">
        <f>AP20</f>
        <v>173</v>
      </c>
      <c r="AQ67" s="121">
        <f>AQ20</f>
        <v>726</v>
      </c>
      <c r="AS67" s="123">
        <f>AS20</f>
        <v>168</v>
      </c>
      <c r="AT67" s="124">
        <f>AT20</f>
        <v>172</v>
      </c>
      <c r="AU67" s="124">
        <f>AU20</f>
        <v>179</v>
      </c>
      <c r="AV67" s="125">
        <f>AV20</f>
        <v>174</v>
      </c>
      <c r="AW67" s="121">
        <f>AW20</f>
        <v>693</v>
      </c>
      <c r="AY67" s="123">
        <f>AY20</f>
        <v>172</v>
      </c>
      <c r="AZ67" s="124">
        <f>AZ20</f>
        <v>175</v>
      </c>
      <c r="BA67" s="124">
        <f>BA20</f>
        <v>178</v>
      </c>
      <c r="BB67" s="125">
        <f>BB20</f>
        <v>179</v>
      </c>
      <c r="BC67" s="121">
        <f>BC20</f>
        <v>704</v>
      </c>
      <c r="BE67" s="123">
        <f>BE20</f>
        <v>178</v>
      </c>
      <c r="BF67" s="124">
        <f>BF20</f>
        <v>179</v>
      </c>
      <c r="BG67" s="124">
        <f>BG20</f>
        <v>189</v>
      </c>
      <c r="BH67" s="125">
        <f>BH20</f>
        <v>186</v>
      </c>
      <c r="BI67" s="121">
        <f>BI20</f>
        <v>732</v>
      </c>
      <c r="BK67" s="123">
        <f>BK20</f>
        <v>200</v>
      </c>
      <c r="BL67" s="124">
        <f>BL20</f>
        <v>185</v>
      </c>
      <c r="BM67" s="124">
        <f>BM20</f>
        <v>196</v>
      </c>
      <c r="BN67" s="125">
        <f>BN20</f>
        <v>195</v>
      </c>
      <c r="BO67" s="121">
        <f>BO20</f>
        <v>776</v>
      </c>
      <c r="BQ67" s="123">
        <f>BQ20</f>
        <v>211.16695390566244</v>
      </c>
      <c r="BR67" s="124">
        <f>BR20</f>
        <v>196.04621511807775</v>
      </c>
      <c r="BS67" s="124">
        <f>BS20</f>
        <v>204.11480412371134</v>
      </c>
      <c r="BT67" s="125">
        <f>BT20</f>
        <v>200.14385604879388</v>
      </c>
      <c r="BU67" s="121">
        <f>BU20</f>
        <v>811.47182919624538</v>
      </c>
      <c r="BW67" s="123">
        <f>BW20</f>
        <v>215.03708928763302</v>
      </c>
      <c r="BX67" s="124">
        <f>BX20</f>
        <v>200.1226934567392</v>
      </c>
      <c r="BY67" s="124">
        <f>BY20</f>
        <v>208.64883353951893</v>
      </c>
      <c r="BZ67" s="125">
        <f>BZ20</f>
        <v>204.23048059937631</v>
      </c>
      <c r="CA67" s="121">
        <f>CA20</f>
        <v>828.03909688326746</v>
      </c>
      <c r="CC67" s="123">
        <f>CC20</f>
        <v>218.22409017298813</v>
      </c>
      <c r="CD67" s="124">
        <f>CD20</f>
        <v>203.91477490172733</v>
      </c>
      <c r="CE67" s="124">
        <f>CE20</f>
        <v>213.11271106254299</v>
      </c>
      <c r="CF67" s="125">
        <f>CF20</f>
        <v>208.47775787893241</v>
      </c>
      <c r="CG67" s="121">
        <f>CG20</f>
        <v>843.72933401619082</v>
      </c>
      <c r="CI67" s="123">
        <f>CI20</f>
        <v>220.15676537386915</v>
      </c>
      <c r="CJ67" s="124">
        <f>CJ20</f>
        <v>206.64161183765503</v>
      </c>
      <c r="CK67" s="124">
        <f>CK20</f>
        <v>216.59641916853607</v>
      </c>
      <c r="CL67" s="125">
        <f>CL20</f>
        <v>212.01746323989912</v>
      </c>
      <c r="CM67" s="121">
        <f>CM20</f>
        <v>855.4122596199594</v>
      </c>
      <c r="CO67" s="123">
        <f>CO20</f>
        <v>221.47154645620577</v>
      </c>
      <c r="CP67" s="124">
        <f>CP20</f>
        <v>208.70875425959437</v>
      </c>
      <c r="CQ67" s="124">
        <f>CQ20</f>
        <v>219.33388587332843</v>
      </c>
      <c r="CR67" s="125">
        <f>CR20</f>
        <v>214.81496843145942</v>
      </c>
      <c r="CS67" s="121">
        <f>CS20</f>
        <v>864.32915502058802</v>
      </c>
      <c r="CU67" s="123">
        <f>CU20</f>
        <v>223.27799151787809</v>
      </c>
      <c r="CV67" s="124">
        <f>CV20</f>
        <v>211.23862869700071</v>
      </c>
      <c r="CW67" s="124">
        <f>CW20</f>
        <v>222.55719543384492</v>
      </c>
      <c r="CX67" s="125">
        <f>CX20</f>
        <v>218.08816349853961</v>
      </c>
      <c r="CY67" s="121">
        <f>CY20</f>
        <v>875.16197914726331</v>
      </c>
      <c r="DA67" s="123">
        <f>DA20</f>
        <v>225.57973385946121</v>
      </c>
      <c r="DB67" s="124">
        <f>DB20</f>
        <v>214.23637457063043</v>
      </c>
      <c r="DC67" s="124">
        <f>DC20</f>
        <v>226.27291560735941</v>
      </c>
      <c r="DD67" s="125">
        <f>DD20</f>
        <v>221.84370528454903</v>
      </c>
      <c r="DE67" s="121">
        <f>DE20</f>
        <v>887.93272932200011</v>
      </c>
      <c r="DG67" s="123">
        <f>DG20</f>
        <v>226.96419195010455</v>
      </c>
      <c r="DH67" s="124">
        <f>DH20</f>
        <v>216.2764843306353</v>
      </c>
      <c r="DI67" s="124">
        <f>DI20</f>
        <v>228.9185032823431</v>
      </c>
      <c r="DJ67" s="125">
        <f>DJ20</f>
        <v>224.53758856687097</v>
      </c>
      <c r="DK67" s="121">
        <f>DK20</f>
        <v>896.69676812995385</v>
      </c>
    </row>
    <row r="71" spans="2:115" ht="15" x14ac:dyDescent="0.3">
      <c r="G71" s="2"/>
      <c r="H71" s="2"/>
      <c r="I71" s="2"/>
      <c r="J71" s="2"/>
      <c r="K71" s="1"/>
      <c r="L71" s="1"/>
      <c r="M71" s="1"/>
      <c r="N71" s="1"/>
      <c r="O71" s="1"/>
      <c r="P71" s="1"/>
      <c r="Q71" s="1"/>
      <c r="R71" s="1"/>
      <c r="U71" s="1"/>
    </row>
    <row r="72" spans="2:115" ht="15" x14ac:dyDescent="0.3">
      <c r="G72" s="2"/>
      <c r="H72" s="2"/>
      <c r="I72" s="2"/>
      <c r="J72" s="2"/>
      <c r="K72" s="1"/>
      <c r="L72" s="1"/>
      <c r="M72" s="1"/>
      <c r="N72" s="1"/>
      <c r="O72" s="1"/>
      <c r="P72" s="1"/>
      <c r="Q72" s="1"/>
      <c r="R72" s="1"/>
      <c r="U72" s="1"/>
    </row>
    <row r="73" spans="2:115" ht="15" x14ac:dyDescent="0.3">
      <c r="G73" s="2"/>
      <c r="H73" s="2"/>
      <c r="I73" s="2"/>
      <c r="J73" s="2"/>
      <c r="K73" s="2"/>
      <c r="L73" s="1"/>
      <c r="M73" s="1"/>
      <c r="N73" s="1"/>
      <c r="O73" s="1"/>
      <c r="P73" s="1"/>
      <c r="Q73" s="1"/>
      <c r="R73" s="1"/>
      <c r="S73" s="1"/>
      <c r="U73" s="1"/>
    </row>
    <row r="74" spans="2:115" ht="15" x14ac:dyDescent="0.3">
      <c r="G74" s="2"/>
      <c r="H74" s="2"/>
      <c r="I74" s="2"/>
      <c r="J74" s="2"/>
      <c r="K74" s="1"/>
      <c r="L74" s="1"/>
      <c r="M74" s="1"/>
      <c r="N74" s="1"/>
      <c r="O74" s="1"/>
      <c r="P74" s="1"/>
      <c r="Q74" s="1"/>
      <c r="R74" s="1"/>
      <c r="S74" s="1"/>
      <c r="U74" s="1"/>
    </row>
    <row r="75" spans="2:115" ht="15" x14ac:dyDescent="0.3">
      <c r="G75" s="2"/>
      <c r="H75" s="2"/>
      <c r="I75" s="2"/>
      <c r="J75" s="2"/>
      <c r="K75" s="2"/>
      <c r="L75" s="1"/>
      <c r="M75" s="1"/>
      <c r="N75" s="1"/>
      <c r="O75" s="97"/>
      <c r="P75" s="97"/>
      <c r="Q75" s="97"/>
      <c r="R75" s="97"/>
      <c r="S75" s="97"/>
      <c r="U75" s="97"/>
    </row>
    <row r="76" spans="2:115" ht="15" x14ac:dyDescent="0.3">
      <c r="G76" s="2"/>
      <c r="H76" s="2"/>
      <c r="I76" s="2"/>
      <c r="J76" s="2"/>
      <c r="K76" s="2"/>
      <c r="L76" s="1"/>
      <c r="M76" s="1"/>
      <c r="N76" s="1"/>
      <c r="O76" s="1"/>
      <c r="P76" s="1"/>
      <c r="Q76" s="1"/>
      <c r="R76" s="1"/>
      <c r="S76" s="1"/>
      <c r="U76" s="1"/>
    </row>
    <row r="77" spans="2:115" ht="15" x14ac:dyDescent="0.3">
      <c r="G77" s="2"/>
      <c r="H77" s="2"/>
      <c r="I77" s="2"/>
      <c r="J77" s="2"/>
      <c r="K77" s="1"/>
      <c r="L77" s="1"/>
      <c r="M77" s="1"/>
      <c r="N77" s="1"/>
      <c r="O77" s="1"/>
      <c r="P77" s="1"/>
      <c r="Q77" s="1"/>
      <c r="R77" s="1"/>
      <c r="S77" s="1"/>
      <c r="U77" s="1"/>
    </row>
    <row r="78" spans="2:115" ht="15" x14ac:dyDescent="0.3">
      <c r="G78" s="2"/>
      <c r="H78" s="2"/>
      <c r="I78" s="2"/>
      <c r="J78" s="2"/>
      <c r="K78" s="2"/>
      <c r="L78" s="1"/>
      <c r="M78" s="1"/>
      <c r="N78" s="1"/>
      <c r="O78" s="1"/>
      <c r="P78" s="1"/>
      <c r="Q78" s="97"/>
      <c r="R78" s="97"/>
      <c r="S78" s="1"/>
      <c r="U78" s="97"/>
    </row>
    <row r="80" spans="2:115" x14ac:dyDescent="0.2">
      <c r="Q80" s="245" t="e">
        <f>-Q75/Q78</f>
        <v>#DIV/0!</v>
      </c>
      <c r="R80" s="245" t="e">
        <f>-R75/R78</f>
        <v>#DIV/0!</v>
      </c>
      <c r="U80" s="245" t="e">
        <f>-U75/U78</f>
        <v>#DIV/0!</v>
      </c>
    </row>
  </sheetData>
  <mergeCells count="19">
    <mergeCell ref="BQ2:BU2"/>
    <mergeCell ref="C2:G2"/>
    <mergeCell ref="I2:M2"/>
    <mergeCell ref="O2:S2"/>
    <mergeCell ref="U2:Y2"/>
    <mergeCell ref="AA2:AE2"/>
    <mergeCell ref="AG2:AK2"/>
    <mergeCell ref="AM2:AQ2"/>
    <mergeCell ref="AS2:AW2"/>
    <mergeCell ref="AY2:BC2"/>
    <mergeCell ref="BE2:BI2"/>
    <mergeCell ref="BK2:BO2"/>
    <mergeCell ref="DA2:DE2"/>
    <mergeCell ref="DG2:DK2"/>
    <mergeCell ref="BW2:CA2"/>
    <mergeCell ref="CC2:CG2"/>
    <mergeCell ref="CI2:CM2"/>
    <mergeCell ref="CO2:CS2"/>
    <mergeCell ref="CU2:CY2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DK88"/>
  <sheetViews>
    <sheetView zoomScale="50" workbookViewId="0">
      <pane xSplit="2" ySplit="3" topLeftCell="BD4" activePane="bottomRight" state="frozen"/>
      <selection pane="topRight" activeCell="C1" sqref="C1"/>
      <selection pane="bottomLeft" activeCell="A4" sqref="A4"/>
      <selection pane="bottomRight" sqref="A1:XFD1048576"/>
    </sheetView>
  </sheetViews>
  <sheetFormatPr defaultRowHeight="12.75" x14ac:dyDescent="0.2"/>
  <cols>
    <col min="1" max="1" width="4.5703125" customWidth="1"/>
    <col min="2" max="2" width="35.5703125" customWidth="1"/>
    <col min="3" max="6" width="9.140625" style="103"/>
    <col min="7" max="7" width="10.140625" style="103" customWidth="1"/>
    <col min="8" max="8" width="9.140625" style="103"/>
    <col min="9" max="9" width="10.85546875" style="103" bestFit="1" customWidth="1"/>
    <col min="10" max="12" width="9.28515625" style="103" bestFit="1" customWidth="1"/>
    <col min="13" max="13" width="11" style="103" bestFit="1" customWidth="1"/>
    <col min="14" max="14" width="9.140625" style="103"/>
    <col min="15" max="18" width="9.28515625" style="103" bestFit="1" customWidth="1"/>
    <col min="19" max="19" width="10.140625" style="103" bestFit="1" customWidth="1"/>
    <col min="20" max="20" width="9.140625" style="103"/>
    <col min="21" max="21" width="11" style="103" bestFit="1" customWidth="1"/>
    <col min="22" max="22" width="11.42578125" style="103" bestFit="1" customWidth="1"/>
    <col min="23" max="23" width="10.5703125" style="103" bestFit="1" customWidth="1"/>
    <col min="24" max="24" width="11" style="103" bestFit="1" customWidth="1"/>
    <col min="25" max="25" width="10.7109375" style="103" bestFit="1" customWidth="1"/>
    <col min="27" max="27" width="10.7109375" bestFit="1" customWidth="1"/>
    <col min="28" max="30" width="11.42578125" bestFit="1" customWidth="1"/>
    <col min="31" max="31" width="10.42578125" bestFit="1" customWidth="1"/>
    <col min="33" max="34" width="10.7109375" bestFit="1" customWidth="1"/>
    <col min="35" max="35" width="11.28515625" bestFit="1" customWidth="1"/>
    <col min="36" max="36" width="11.42578125" bestFit="1" customWidth="1"/>
    <col min="37" max="37" width="10.7109375" bestFit="1" customWidth="1"/>
    <col min="39" max="39" width="11.28515625" bestFit="1" customWidth="1"/>
    <col min="40" max="40" width="11.140625" bestFit="1" customWidth="1"/>
    <col min="41" max="41" width="10.85546875" bestFit="1" customWidth="1"/>
    <col min="42" max="42" width="11.140625" bestFit="1" customWidth="1"/>
    <col min="43" max="43" width="10.85546875" bestFit="1" customWidth="1"/>
    <col min="45" max="45" width="10.42578125" bestFit="1" customWidth="1"/>
    <col min="46" max="46" width="10.5703125" bestFit="1" customWidth="1"/>
    <col min="47" max="47" width="11.140625" bestFit="1" customWidth="1"/>
    <col min="48" max="48" width="10.140625" bestFit="1" customWidth="1"/>
    <col min="49" max="49" width="10.85546875" bestFit="1" customWidth="1"/>
    <col min="51" max="51" width="11.140625" bestFit="1" customWidth="1"/>
    <col min="52" max="52" width="10.42578125" bestFit="1" customWidth="1"/>
    <col min="53" max="53" width="11.140625" bestFit="1" customWidth="1"/>
    <col min="54" max="54" width="11.28515625" bestFit="1" customWidth="1"/>
    <col min="55" max="55" width="10.85546875" bestFit="1" customWidth="1"/>
    <col min="57" max="57" width="10.140625" bestFit="1" customWidth="1"/>
    <col min="58" max="58" width="10.5703125" bestFit="1" customWidth="1"/>
    <col min="59" max="59" width="10.85546875" bestFit="1" customWidth="1"/>
    <col min="60" max="60" width="11.28515625" bestFit="1" customWidth="1"/>
    <col min="61" max="61" width="10.85546875" bestFit="1" customWidth="1"/>
    <col min="63" max="63" width="11.28515625" bestFit="1" customWidth="1"/>
    <col min="64" max="64" width="10.5703125" bestFit="1" customWidth="1"/>
    <col min="65" max="65" width="10.140625" bestFit="1" customWidth="1"/>
    <col min="66" max="66" width="10.85546875" bestFit="1" customWidth="1"/>
    <col min="67" max="67" width="11.140625" bestFit="1" customWidth="1"/>
    <col min="69" max="69" width="10.5703125" bestFit="1" customWidth="1"/>
    <col min="70" max="70" width="11.28515625" bestFit="1" customWidth="1"/>
    <col min="71" max="71" width="10.85546875" bestFit="1" customWidth="1"/>
    <col min="72" max="72" width="10.5703125" bestFit="1" customWidth="1"/>
    <col min="73" max="73" width="10.85546875" bestFit="1" customWidth="1"/>
    <col min="75" max="75" width="10.5703125" bestFit="1" customWidth="1"/>
    <col min="76" max="76" width="11.28515625" bestFit="1" customWidth="1"/>
    <col min="77" max="77" width="10.85546875" bestFit="1" customWidth="1"/>
    <col min="78" max="78" width="10.5703125" bestFit="1" customWidth="1"/>
    <col min="79" max="79" width="10.85546875" bestFit="1" customWidth="1"/>
    <col min="81" max="81" width="10.5703125" bestFit="1" customWidth="1"/>
    <col min="82" max="82" width="11.28515625" bestFit="1" customWidth="1"/>
    <col min="83" max="83" width="10.85546875" bestFit="1" customWidth="1"/>
    <col min="84" max="84" width="10.5703125" bestFit="1" customWidth="1"/>
    <col min="85" max="85" width="10.85546875" bestFit="1" customWidth="1"/>
    <col min="87" max="87" width="10.5703125" bestFit="1" customWidth="1"/>
    <col min="88" max="88" width="11.28515625" bestFit="1" customWidth="1"/>
    <col min="89" max="89" width="10.85546875" bestFit="1" customWidth="1"/>
    <col min="90" max="90" width="10.5703125" bestFit="1" customWidth="1"/>
    <col min="91" max="91" width="10.85546875" bestFit="1" customWidth="1"/>
    <col min="93" max="93" width="10.5703125" bestFit="1" customWidth="1"/>
    <col min="94" max="94" width="11.28515625" bestFit="1" customWidth="1"/>
    <col min="95" max="95" width="10.85546875" bestFit="1" customWidth="1"/>
    <col min="96" max="96" width="10.5703125" bestFit="1" customWidth="1"/>
    <col min="97" max="97" width="10.85546875" bestFit="1" customWidth="1"/>
    <col min="99" max="99" width="10.5703125" bestFit="1" customWidth="1"/>
    <col min="100" max="100" width="11.28515625" bestFit="1" customWidth="1"/>
    <col min="101" max="101" width="10.85546875" bestFit="1" customWidth="1"/>
    <col min="102" max="102" width="10.5703125" bestFit="1" customWidth="1"/>
    <col min="103" max="103" width="10.85546875" bestFit="1" customWidth="1"/>
    <col min="105" max="115" width="10.5703125" customWidth="1"/>
  </cols>
  <sheetData>
    <row r="1" spans="2:115" ht="13.5" thickBot="1" x14ac:dyDescent="0.25"/>
    <row r="2" spans="2:115" x14ac:dyDescent="0.2">
      <c r="C2" s="712">
        <v>2007</v>
      </c>
      <c r="D2" s="713"/>
      <c r="E2" s="713"/>
      <c r="F2" s="713"/>
      <c r="G2" s="714"/>
      <c r="H2" s="129"/>
      <c r="I2" s="712">
        <v>2008</v>
      </c>
      <c r="J2" s="713"/>
      <c r="K2" s="713"/>
      <c r="L2" s="713"/>
      <c r="M2" s="714"/>
      <c r="N2" s="129"/>
      <c r="O2" s="712">
        <v>2009</v>
      </c>
      <c r="P2" s="713"/>
      <c r="Q2" s="713"/>
      <c r="R2" s="713"/>
      <c r="S2" s="714"/>
      <c r="T2" s="129"/>
      <c r="U2" s="712">
        <v>2010</v>
      </c>
      <c r="V2" s="713"/>
      <c r="W2" s="713"/>
      <c r="X2" s="713"/>
      <c r="Y2" s="714"/>
      <c r="AA2" s="712">
        <v>2011</v>
      </c>
      <c r="AB2" s="713"/>
      <c r="AC2" s="713"/>
      <c r="AD2" s="713"/>
      <c r="AE2" s="714"/>
      <c r="AG2" s="712">
        <v>2012</v>
      </c>
      <c r="AH2" s="713"/>
      <c r="AI2" s="713"/>
      <c r="AJ2" s="713"/>
      <c r="AK2" s="714"/>
      <c r="AM2" s="712">
        <v>2013</v>
      </c>
      <c r="AN2" s="713"/>
      <c r="AO2" s="713"/>
      <c r="AP2" s="713"/>
      <c r="AQ2" s="714"/>
      <c r="AS2" s="712">
        <v>2014</v>
      </c>
      <c r="AT2" s="713"/>
      <c r="AU2" s="713"/>
      <c r="AV2" s="713"/>
      <c r="AW2" s="714"/>
      <c r="AY2" s="712">
        <v>2015</v>
      </c>
      <c r="AZ2" s="713"/>
      <c r="BA2" s="713"/>
      <c r="BB2" s="713"/>
      <c r="BC2" s="714"/>
      <c r="BE2" s="712">
        <v>2016</v>
      </c>
      <c r="BF2" s="713"/>
      <c r="BG2" s="713"/>
      <c r="BH2" s="713"/>
      <c r="BI2" s="714"/>
      <c r="BK2" s="712">
        <v>2017</v>
      </c>
      <c r="BL2" s="713"/>
      <c r="BM2" s="713"/>
      <c r="BN2" s="713"/>
      <c r="BO2" s="714"/>
      <c r="BQ2" s="712">
        <v>2018</v>
      </c>
      <c r="BR2" s="713"/>
      <c r="BS2" s="713"/>
      <c r="BT2" s="713"/>
      <c r="BU2" s="714"/>
      <c r="BW2" s="712">
        <v>2019</v>
      </c>
      <c r="BX2" s="713"/>
      <c r="BY2" s="713"/>
      <c r="BZ2" s="713"/>
      <c r="CA2" s="714"/>
      <c r="CC2" s="712">
        <v>2020</v>
      </c>
      <c r="CD2" s="713"/>
      <c r="CE2" s="713"/>
      <c r="CF2" s="713"/>
      <c r="CG2" s="714"/>
      <c r="CI2" s="712">
        <v>2021</v>
      </c>
      <c r="CJ2" s="713"/>
      <c r="CK2" s="713"/>
      <c r="CL2" s="713"/>
      <c r="CM2" s="714"/>
      <c r="CO2" s="712">
        <v>2022</v>
      </c>
      <c r="CP2" s="713"/>
      <c r="CQ2" s="713"/>
      <c r="CR2" s="713"/>
      <c r="CS2" s="714"/>
      <c r="CU2" s="712">
        <v>2023</v>
      </c>
      <c r="CV2" s="713"/>
      <c r="CW2" s="713"/>
      <c r="CX2" s="713"/>
      <c r="CY2" s="714"/>
      <c r="DA2" s="712">
        <v>2024</v>
      </c>
      <c r="DB2" s="713"/>
      <c r="DC2" s="713"/>
      <c r="DD2" s="713"/>
      <c r="DE2" s="714"/>
      <c r="DG2" s="712">
        <v>2025</v>
      </c>
      <c r="DH2" s="713"/>
      <c r="DI2" s="713"/>
      <c r="DJ2" s="713"/>
      <c r="DK2" s="714"/>
    </row>
    <row r="3" spans="2:115" ht="13.5" thickBot="1" x14ac:dyDescent="0.25">
      <c r="C3" s="130" t="s">
        <v>20</v>
      </c>
      <c r="D3" s="131" t="s">
        <v>19</v>
      </c>
      <c r="E3" s="131" t="s">
        <v>22</v>
      </c>
      <c r="F3" s="131" t="s">
        <v>21</v>
      </c>
      <c r="G3" s="132" t="s">
        <v>39</v>
      </c>
      <c r="H3" s="129"/>
      <c r="I3" s="130" t="s">
        <v>20</v>
      </c>
      <c r="J3" s="131" t="s">
        <v>19</v>
      </c>
      <c r="K3" s="131" t="s">
        <v>22</v>
      </c>
      <c r="L3" s="131" t="s">
        <v>21</v>
      </c>
      <c r="M3" s="132" t="s">
        <v>39</v>
      </c>
      <c r="N3" s="129"/>
      <c r="O3" s="130" t="s">
        <v>20</v>
      </c>
      <c r="P3" s="131" t="s">
        <v>19</v>
      </c>
      <c r="Q3" s="131" t="s">
        <v>22</v>
      </c>
      <c r="R3" s="131" t="s">
        <v>21</v>
      </c>
      <c r="S3" s="132" t="s">
        <v>39</v>
      </c>
      <c r="T3" s="129"/>
      <c r="U3" s="130" t="s">
        <v>20</v>
      </c>
      <c r="V3" s="131" t="s">
        <v>19</v>
      </c>
      <c r="W3" s="131" t="s">
        <v>22</v>
      </c>
      <c r="X3" s="131" t="s">
        <v>21</v>
      </c>
      <c r="Y3" s="132" t="s">
        <v>39</v>
      </c>
      <c r="AA3" s="130" t="s">
        <v>20</v>
      </c>
      <c r="AB3" s="131" t="s">
        <v>19</v>
      </c>
      <c r="AC3" s="131" t="s">
        <v>22</v>
      </c>
      <c r="AD3" s="131" t="s">
        <v>21</v>
      </c>
      <c r="AE3" s="132" t="s">
        <v>39</v>
      </c>
      <c r="AG3" s="130" t="s">
        <v>20</v>
      </c>
      <c r="AH3" s="131" t="s">
        <v>19</v>
      </c>
      <c r="AI3" s="131" t="s">
        <v>22</v>
      </c>
      <c r="AJ3" s="131" t="s">
        <v>21</v>
      </c>
      <c r="AK3" s="132" t="s">
        <v>39</v>
      </c>
      <c r="AM3" s="130" t="s">
        <v>20</v>
      </c>
      <c r="AN3" s="131" t="s">
        <v>19</v>
      </c>
      <c r="AO3" s="131" t="s">
        <v>22</v>
      </c>
      <c r="AP3" s="131" t="s">
        <v>21</v>
      </c>
      <c r="AQ3" s="132" t="s">
        <v>39</v>
      </c>
      <c r="AS3" s="130" t="s">
        <v>20</v>
      </c>
      <c r="AT3" s="131" t="s">
        <v>19</v>
      </c>
      <c r="AU3" s="131" t="s">
        <v>22</v>
      </c>
      <c r="AV3" s="131" t="s">
        <v>21</v>
      </c>
      <c r="AW3" s="132" t="s">
        <v>39</v>
      </c>
      <c r="AY3" s="130" t="s">
        <v>20</v>
      </c>
      <c r="AZ3" s="131" t="s">
        <v>19</v>
      </c>
      <c r="BA3" s="131" t="s">
        <v>22</v>
      </c>
      <c r="BB3" s="131" t="s">
        <v>21</v>
      </c>
      <c r="BC3" s="132" t="s">
        <v>39</v>
      </c>
      <c r="BE3" s="130" t="s">
        <v>20</v>
      </c>
      <c r="BF3" s="131" t="s">
        <v>19</v>
      </c>
      <c r="BG3" s="131" t="s">
        <v>22</v>
      </c>
      <c r="BH3" s="131" t="s">
        <v>21</v>
      </c>
      <c r="BI3" s="132" t="s">
        <v>39</v>
      </c>
      <c r="BK3" s="130" t="s">
        <v>20</v>
      </c>
      <c r="BL3" s="131" t="s">
        <v>19</v>
      </c>
      <c r="BM3" s="131" t="s">
        <v>22</v>
      </c>
      <c r="BN3" s="131" t="s">
        <v>21</v>
      </c>
      <c r="BO3" s="132" t="s">
        <v>39</v>
      </c>
      <c r="BQ3" s="130" t="s">
        <v>20</v>
      </c>
      <c r="BR3" s="131" t="s">
        <v>19</v>
      </c>
      <c r="BS3" s="131" t="s">
        <v>22</v>
      </c>
      <c r="BT3" s="131" t="s">
        <v>21</v>
      </c>
      <c r="BU3" s="132" t="s">
        <v>39</v>
      </c>
      <c r="BW3" s="130" t="s">
        <v>20</v>
      </c>
      <c r="BX3" s="131" t="s">
        <v>19</v>
      </c>
      <c r="BY3" s="131" t="s">
        <v>22</v>
      </c>
      <c r="BZ3" s="131" t="s">
        <v>21</v>
      </c>
      <c r="CA3" s="132" t="s">
        <v>39</v>
      </c>
      <c r="CC3" s="130" t="s">
        <v>20</v>
      </c>
      <c r="CD3" s="131" t="s">
        <v>19</v>
      </c>
      <c r="CE3" s="131" t="s">
        <v>22</v>
      </c>
      <c r="CF3" s="131" t="s">
        <v>21</v>
      </c>
      <c r="CG3" s="132" t="s">
        <v>39</v>
      </c>
      <c r="CI3" s="130" t="s">
        <v>20</v>
      </c>
      <c r="CJ3" s="131" t="s">
        <v>19</v>
      </c>
      <c r="CK3" s="131" t="s">
        <v>22</v>
      </c>
      <c r="CL3" s="131" t="s">
        <v>21</v>
      </c>
      <c r="CM3" s="132" t="s">
        <v>39</v>
      </c>
      <c r="CO3" s="130" t="s">
        <v>20</v>
      </c>
      <c r="CP3" s="131" t="s">
        <v>19</v>
      </c>
      <c r="CQ3" s="131" t="s">
        <v>22</v>
      </c>
      <c r="CR3" s="131" t="s">
        <v>21</v>
      </c>
      <c r="CS3" s="132" t="s">
        <v>39</v>
      </c>
      <c r="CU3" s="130" t="s">
        <v>20</v>
      </c>
      <c r="CV3" s="131" t="s">
        <v>19</v>
      </c>
      <c r="CW3" s="131" t="s">
        <v>22</v>
      </c>
      <c r="CX3" s="131" t="s">
        <v>21</v>
      </c>
      <c r="CY3" s="132" t="s">
        <v>39</v>
      </c>
      <c r="DA3" s="130" t="s">
        <v>20</v>
      </c>
      <c r="DB3" s="131" t="s">
        <v>19</v>
      </c>
      <c r="DC3" s="131" t="s">
        <v>22</v>
      </c>
      <c r="DD3" s="131" t="s">
        <v>21</v>
      </c>
      <c r="DE3" s="132" t="s">
        <v>39</v>
      </c>
      <c r="DG3" s="130" t="s">
        <v>20</v>
      </c>
      <c r="DH3" s="131" t="s">
        <v>19</v>
      </c>
      <c r="DI3" s="131" t="s">
        <v>22</v>
      </c>
      <c r="DJ3" s="131" t="s">
        <v>21</v>
      </c>
      <c r="DK3" s="132" t="s">
        <v>39</v>
      </c>
    </row>
    <row r="4" spans="2:115" ht="15" x14ac:dyDescent="0.3">
      <c r="B4" s="104" t="s">
        <v>25</v>
      </c>
      <c r="C4" s="111">
        <v>5049</v>
      </c>
      <c r="D4" s="112">
        <f>C6</f>
        <v>5109</v>
      </c>
      <c r="E4" s="112">
        <f>D6</f>
        <v>5140</v>
      </c>
      <c r="F4" s="112">
        <f>E6</f>
        <v>5207</v>
      </c>
      <c r="G4" s="113">
        <f>C4</f>
        <v>5049</v>
      </c>
      <c r="H4" s="114"/>
      <c r="I4" s="111">
        <f>G6</f>
        <v>5271</v>
      </c>
      <c r="J4" s="112">
        <f>I6</f>
        <v>5273</v>
      </c>
      <c r="K4" s="112">
        <f>J6</f>
        <v>5313</v>
      </c>
      <c r="L4" s="112">
        <f>K6</f>
        <v>5392</v>
      </c>
      <c r="M4" s="113">
        <f>I4</f>
        <v>5271</v>
      </c>
      <c r="N4" s="114"/>
      <c r="O4" s="111">
        <f>M6</f>
        <v>5422</v>
      </c>
      <c r="P4" s="112">
        <f>O6</f>
        <v>5411</v>
      </c>
      <c r="Q4" s="112">
        <f>P6</f>
        <v>5433</v>
      </c>
      <c r="R4" s="112">
        <f>Q6</f>
        <v>5458</v>
      </c>
      <c r="S4" s="113">
        <f>O4</f>
        <v>5422</v>
      </c>
      <c r="T4" s="114"/>
      <c r="U4" s="111">
        <f>S6</f>
        <v>5464</v>
      </c>
      <c r="V4" s="112">
        <f>U6</f>
        <v>5449</v>
      </c>
      <c r="W4" s="112">
        <f>V6</f>
        <v>5464</v>
      </c>
      <c r="X4" s="112">
        <f>W6</f>
        <v>5460</v>
      </c>
      <c r="Y4" s="113">
        <f>U4</f>
        <v>5464</v>
      </c>
      <c r="AA4" s="111">
        <f>Y6</f>
        <v>5475</v>
      </c>
      <c r="AB4" s="112">
        <f>AA6</f>
        <v>5446</v>
      </c>
      <c r="AC4" s="112">
        <f>AB6</f>
        <v>5425</v>
      </c>
      <c r="AD4" s="112">
        <f>AC6</f>
        <v>5399</v>
      </c>
      <c r="AE4" s="113">
        <f>AA4</f>
        <v>5475</v>
      </c>
      <c r="AG4" s="111">
        <f>AE6</f>
        <v>5381</v>
      </c>
      <c r="AH4" s="112">
        <f>AG6</f>
        <v>5354</v>
      </c>
      <c r="AI4" s="112">
        <f>AH6</f>
        <v>5377</v>
      </c>
      <c r="AJ4" s="112">
        <f>AI6</f>
        <v>5415</v>
      </c>
      <c r="AK4" s="113">
        <f>AG4</f>
        <v>5381</v>
      </c>
      <c r="AM4" s="111">
        <f>AK6</f>
        <v>5498</v>
      </c>
      <c r="AN4" s="112">
        <f>AM6</f>
        <v>5570</v>
      </c>
      <c r="AO4" s="112">
        <f>AN6</f>
        <v>5667</v>
      </c>
      <c r="AP4" s="112">
        <f>AO6</f>
        <v>5733</v>
      </c>
      <c r="AQ4" s="113">
        <f>AM4</f>
        <v>5498</v>
      </c>
      <c r="AS4" s="111">
        <f>AQ6</f>
        <v>5831</v>
      </c>
      <c r="AT4" s="112">
        <f>AS6</f>
        <v>5912</v>
      </c>
      <c r="AU4" s="112">
        <f>AT6</f>
        <v>5946</v>
      </c>
      <c r="AV4" s="112">
        <f>AU6</f>
        <v>5993</v>
      </c>
      <c r="AW4" s="113">
        <f>AS4</f>
        <v>5831</v>
      </c>
      <c r="AY4" s="111">
        <f>AW6</f>
        <v>6000</v>
      </c>
      <c r="AZ4" s="112">
        <f>AY6</f>
        <v>5993</v>
      </c>
      <c r="BA4" s="112">
        <f>AZ6</f>
        <v>5996</v>
      </c>
      <c r="BB4" s="112">
        <f>BA6</f>
        <v>5981</v>
      </c>
      <c r="BC4" s="113">
        <f>AY4</f>
        <v>6000</v>
      </c>
      <c r="BE4" s="111">
        <f>BC6</f>
        <v>6019</v>
      </c>
      <c r="BF4" s="112">
        <f>BE6</f>
        <v>6024</v>
      </c>
      <c r="BG4" s="112">
        <f>BF6</f>
        <v>6008</v>
      </c>
      <c r="BH4" s="112">
        <f>BG6</f>
        <v>6002</v>
      </c>
      <c r="BI4" s="113">
        <f>BE4</f>
        <v>6019</v>
      </c>
      <c r="BK4" s="111">
        <f>BI6</f>
        <v>6049</v>
      </c>
      <c r="BL4" s="112">
        <f>BK6</f>
        <v>6097</v>
      </c>
      <c r="BM4" s="112">
        <f>BL6</f>
        <v>6155</v>
      </c>
      <c r="BN4" s="112">
        <f>BM6</f>
        <v>6176</v>
      </c>
      <c r="BO4" s="113">
        <f>BK4</f>
        <v>6049</v>
      </c>
      <c r="BQ4" s="111">
        <f>BO6</f>
        <v>6176</v>
      </c>
      <c r="BR4" s="112">
        <f>BQ6</f>
        <v>6196</v>
      </c>
      <c r="BS4" s="112">
        <f>BR6</f>
        <v>6216</v>
      </c>
      <c r="BT4" s="112">
        <f>BS6</f>
        <v>6236</v>
      </c>
      <c r="BU4" s="113">
        <f>BQ4</f>
        <v>6176</v>
      </c>
      <c r="BW4" s="111">
        <f>BU6</f>
        <v>6276</v>
      </c>
      <c r="BX4" s="112">
        <f>BW6</f>
        <v>6291</v>
      </c>
      <c r="BY4" s="112">
        <f>BX6</f>
        <v>6306</v>
      </c>
      <c r="BZ4" s="112">
        <f>BY6</f>
        <v>6326</v>
      </c>
      <c r="CA4" s="113">
        <f>BW4</f>
        <v>6276</v>
      </c>
      <c r="CC4" s="111">
        <f>CA6</f>
        <v>6351</v>
      </c>
      <c r="CD4" s="112">
        <f>CC6</f>
        <v>6366</v>
      </c>
      <c r="CE4" s="112">
        <f>CD6</f>
        <v>6381</v>
      </c>
      <c r="CF4" s="112">
        <f>CE6</f>
        <v>6396</v>
      </c>
      <c r="CG4" s="113">
        <f>CC4</f>
        <v>6351</v>
      </c>
      <c r="CI4" s="111">
        <f>CG6</f>
        <v>6416</v>
      </c>
      <c r="CJ4" s="112">
        <f>CI6</f>
        <v>6431</v>
      </c>
      <c r="CK4" s="112">
        <f>CJ6</f>
        <v>6446</v>
      </c>
      <c r="CL4" s="112">
        <f>CK6</f>
        <v>6461</v>
      </c>
      <c r="CM4" s="113">
        <f>CI4</f>
        <v>6416</v>
      </c>
      <c r="CO4" s="111">
        <f>CM6</f>
        <v>6481</v>
      </c>
      <c r="CP4" s="112">
        <f>CO6</f>
        <v>6496</v>
      </c>
      <c r="CQ4" s="112">
        <f>CP6</f>
        <v>6511</v>
      </c>
      <c r="CR4" s="112">
        <f>CQ6</f>
        <v>6526</v>
      </c>
      <c r="CS4" s="113">
        <f>CO4</f>
        <v>6481</v>
      </c>
      <c r="CU4" s="111">
        <f>CS6</f>
        <v>6546</v>
      </c>
      <c r="CV4" s="112">
        <f>CU6</f>
        <v>6561</v>
      </c>
      <c r="CW4" s="112">
        <f>CV6</f>
        <v>6576</v>
      </c>
      <c r="CX4" s="112">
        <f>CW6</f>
        <v>6591</v>
      </c>
      <c r="CY4" s="113">
        <f>CU4</f>
        <v>6546</v>
      </c>
      <c r="DA4" s="111">
        <f>CY6</f>
        <v>6611</v>
      </c>
      <c r="DB4" s="112">
        <f>DA6</f>
        <v>6626</v>
      </c>
      <c r="DC4" s="112">
        <f>DB6</f>
        <v>6641</v>
      </c>
      <c r="DD4" s="112">
        <f>DC6</f>
        <v>6656</v>
      </c>
      <c r="DE4" s="113">
        <f>DA4</f>
        <v>6611</v>
      </c>
      <c r="DG4" s="111">
        <f>DE6</f>
        <v>6676</v>
      </c>
      <c r="DH4" s="112">
        <f>DG6</f>
        <v>6691</v>
      </c>
      <c r="DI4" s="112">
        <f>DH6</f>
        <v>6706</v>
      </c>
      <c r="DJ4" s="112">
        <f>DI6</f>
        <v>6721</v>
      </c>
      <c r="DK4" s="113">
        <f>DG4</f>
        <v>6676</v>
      </c>
    </row>
    <row r="5" spans="2:115" ht="15" x14ac:dyDescent="0.3">
      <c r="B5" s="105" t="s">
        <v>26</v>
      </c>
      <c r="C5" s="116">
        <f>C6-C4</f>
        <v>60</v>
      </c>
      <c r="D5" s="117">
        <f>D6-D4</f>
        <v>31</v>
      </c>
      <c r="E5" s="117">
        <f>E6-E4</f>
        <v>67</v>
      </c>
      <c r="F5" s="117">
        <f>F6-F4</f>
        <v>64</v>
      </c>
      <c r="G5" s="118">
        <f>G6-G4</f>
        <v>222</v>
      </c>
      <c r="H5" s="114"/>
      <c r="I5" s="116">
        <f>I6-I4</f>
        <v>2</v>
      </c>
      <c r="J5" s="117">
        <f>J6-J4</f>
        <v>40</v>
      </c>
      <c r="K5" s="117">
        <f>K6-K4</f>
        <v>79</v>
      </c>
      <c r="L5" s="117">
        <f>L6-L4</f>
        <v>30</v>
      </c>
      <c r="M5" s="118">
        <f>M6-M4</f>
        <v>151</v>
      </c>
      <c r="N5" s="114"/>
      <c r="O5" s="116">
        <f>O6-O4</f>
        <v>-11</v>
      </c>
      <c r="P5" s="117">
        <f>P6-P4</f>
        <v>22</v>
      </c>
      <c r="Q5" s="117">
        <f>Q6-Q4</f>
        <v>25</v>
      </c>
      <c r="R5" s="117">
        <f>R6-R4</f>
        <v>6</v>
      </c>
      <c r="S5" s="118">
        <f>S6-S4</f>
        <v>42</v>
      </c>
      <c r="T5" s="114"/>
      <c r="U5" s="116">
        <f>U6-U4</f>
        <v>-15</v>
      </c>
      <c r="V5" s="117">
        <v>15</v>
      </c>
      <c r="W5" s="117">
        <v>-4</v>
      </c>
      <c r="X5" s="117">
        <v>15</v>
      </c>
      <c r="Y5" s="118">
        <f>Y6-Y4</f>
        <v>11</v>
      </c>
      <c r="AA5" s="116">
        <v>-29</v>
      </c>
      <c r="AB5" s="117">
        <v>-21</v>
      </c>
      <c r="AC5" s="117">
        <v>-26</v>
      </c>
      <c r="AD5" s="117">
        <v>-18</v>
      </c>
      <c r="AE5" s="118">
        <f>AE6-AE4</f>
        <v>-94</v>
      </c>
      <c r="AG5" s="116">
        <v>-27</v>
      </c>
      <c r="AH5" s="117">
        <v>23</v>
      </c>
      <c r="AI5" s="117">
        <v>38</v>
      </c>
      <c r="AJ5" s="117">
        <v>83</v>
      </c>
      <c r="AK5" s="118">
        <f>AK6-AK4</f>
        <v>117</v>
      </c>
      <c r="AM5" s="116">
        <v>72</v>
      </c>
      <c r="AN5" s="117">
        <v>97</v>
      </c>
      <c r="AO5" s="117">
        <v>66</v>
      </c>
      <c r="AP5" s="117">
        <v>98</v>
      </c>
      <c r="AQ5" s="118">
        <f>AQ6-AQ4</f>
        <v>333</v>
      </c>
      <c r="AS5" s="116">
        <v>81</v>
      </c>
      <c r="AT5" s="117">
        <v>34</v>
      </c>
      <c r="AU5" s="117">
        <v>47</v>
      </c>
      <c r="AV5" s="117">
        <v>7</v>
      </c>
      <c r="AW5" s="118">
        <f>AW6-AW4</f>
        <v>169</v>
      </c>
      <c r="AY5" s="116">
        <v>-7</v>
      </c>
      <c r="AZ5" s="117">
        <v>3</v>
      </c>
      <c r="BA5" s="117">
        <v>-15</v>
      </c>
      <c r="BB5" s="117">
        <v>38</v>
      </c>
      <c r="BC5" s="118">
        <f>BC6-BC4</f>
        <v>19</v>
      </c>
      <c r="BE5" s="116">
        <v>5</v>
      </c>
      <c r="BF5" s="117">
        <v>-16</v>
      </c>
      <c r="BG5" s="117">
        <v>-6</v>
      </c>
      <c r="BH5" s="117">
        <v>47</v>
      </c>
      <c r="BI5" s="118">
        <f>BI6-BI4</f>
        <v>30</v>
      </c>
      <c r="BK5" s="116">
        <v>48</v>
      </c>
      <c r="BL5" s="117">
        <v>58</v>
      </c>
      <c r="BM5" s="117">
        <v>21</v>
      </c>
      <c r="BN5" s="117">
        <v>0</v>
      </c>
      <c r="BO5" s="118">
        <f>BO6-BO4</f>
        <v>127</v>
      </c>
      <c r="BQ5" s="116">
        <v>20</v>
      </c>
      <c r="BR5" s="117">
        <v>20</v>
      </c>
      <c r="BS5" s="117">
        <v>20</v>
      </c>
      <c r="BT5" s="117">
        <v>40</v>
      </c>
      <c r="BU5" s="118">
        <f>BU6-BU4</f>
        <v>100</v>
      </c>
      <c r="BW5" s="116">
        <v>15</v>
      </c>
      <c r="BX5" s="117">
        <v>15</v>
      </c>
      <c r="BY5" s="117">
        <v>20</v>
      </c>
      <c r="BZ5" s="117">
        <v>25</v>
      </c>
      <c r="CA5" s="118">
        <f>CA6-CA4</f>
        <v>75</v>
      </c>
      <c r="CC5" s="116">
        <v>15</v>
      </c>
      <c r="CD5" s="117">
        <v>15</v>
      </c>
      <c r="CE5" s="117">
        <v>15</v>
      </c>
      <c r="CF5" s="117">
        <v>20</v>
      </c>
      <c r="CG5" s="118">
        <f>CG6-CG4</f>
        <v>65</v>
      </c>
      <c r="CI5" s="116">
        <v>15</v>
      </c>
      <c r="CJ5" s="117">
        <v>15</v>
      </c>
      <c r="CK5" s="117">
        <v>15</v>
      </c>
      <c r="CL5" s="117">
        <v>20</v>
      </c>
      <c r="CM5" s="118">
        <f>CM6-CM4</f>
        <v>65</v>
      </c>
      <c r="CO5" s="116">
        <v>15</v>
      </c>
      <c r="CP5" s="117">
        <v>15</v>
      </c>
      <c r="CQ5" s="117">
        <v>15</v>
      </c>
      <c r="CR5" s="117">
        <v>20</v>
      </c>
      <c r="CS5" s="118">
        <f>CS6-CS4</f>
        <v>65</v>
      </c>
      <c r="CU5" s="116">
        <v>15</v>
      </c>
      <c r="CV5" s="117">
        <v>15</v>
      </c>
      <c r="CW5" s="117">
        <v>15</v>
      </c>
      <c r="CX5" s="117">
        <v>20</v>
      </c>
      <c r="CY5" s="118">
        <f>CY6-CY4</f>
        <v>65</v>
      </c>
      <c r="DA5" s="116">
        <v>15</v>
      </c>
      <c r="DB5" s="117">
        <v>15</v>
      </c>
      <c r="DC5" s="117">
        <v>15</v>
      </c>
      <c r="DD5" s="117">
        <v>20</v>
      </c>
      <c r="DE5" s="118">
        <f>DE6-DE4</f>
        <v>65</v>
      </c>
      <c r="DG5" s="116">
        <v>15</v>
      </c>
      <c r="DH5" s="117">
        <v>15</v>
      </c>
      <c r="DI5" s="117">
        <v>15</v>
      </c>
      <c r="DJ5" s="117">
        <v>20</v>
      </c>
      <c r="DK5" s="118">
        <f>DK6-DK4</f>
        <v>65</v>
      </c>
    </row>
    <row r="6" spans="2:115" ht="15.75" thickBot="1" x14ac:dyDescent="0.35">
      <c r="B6" s="5" t="s">
        <v>27</v>
      </c>
      <c r="C6" s="116">
        <v>5109</v>
      </c>
      <c r="D6" s="117">
        <v>5140</v>
      </c>
      <c r="E6" s="117">
        <v>5207</v>
      </c>
      <c r="F6" s="117">
        <v>5271</v>
      </c>
      <c r="G6" s="121">
        <f>F6</f>
        <v>5271</v>
      </c>
      <c r="H6" s="114"/>
      <c r="I6" s="123">
        <v>5273</v>
      </c>
      <c r="J6" s="124">
        <v>5313</v>
      </c>
      <c r="K6" s="124">
        <v>5392</v>
      </c>
      <c r="L6" s="125">
        <v>5422</v>
      </c>
      <c r="M6" s="121">
        <f>L6</f>
        <v>5422</v>
      </c>
      <c r="N6" s="114"/>
      <c r="O6" s="123">
        <v>5411</v>
      </c>
      <c r="P6" s="124">
        <v>5433</v>
      </c>
      <c r="Q6" s="124">
        <v>5458</v>
      </c>
      <c r="R6" s="125">
        <v>5464</v>
      </c>
      <c r="S6" s="121">
        <f>R6</f>
        <v>5464</v>
      </c>
      <c r="T6" s="114"/>
      <c r="U6" s="123">
        <v>5449</v>
      </c>
      <c r="V6" s="124">
        <f>V4+V5</f>
        <v>5464</v>
      </c>
      <c r="W6" s="124">
        <f>W4+W5</f>
        <v>5460</v>
      </c>
      <c r="X6" s="124">
        <f>X4+X5</f>
        <v>5475</v>
      </c>
      <c r="Y6" s="121">
        <f>X6</f>
        <v>5475</v>
      </c>
      <c r="AA6" s="123">
        <f>AA4+AA5</f>
        <v>5446</v>
      </c>
      <c r="AB6" s="124">
        <f>AB4+AB5</f>
        <v>5425</v>
      </c>
      <c r="AC6" s="124">
        <f>AC4+AC5</f>
        <v>5399</v>
      </c>
      <c r="AD6" s="124">
        <f>AD4+AD5</f>
        <v>5381</v>
      </c>
      <c r="AE6" s="121">
        <f>AD6</f>
        <v>5381</v>
      </c>
      <c r="AG6" s="123">
        <f>AG4+AG5</f>
        <v>5354</v>
      </c>
      <c r="AH6" s="124">
        <f>AH4+AH5</f>
        <v>5377</v>
      </c>
      <c r="AI6" s="124">
        <f>AI4+AI5</f>
        <v>5415</v>
      </c>
      <c r="AJ6" s="124">
        <f>AJ4+AJ5</f>
        <v>5498</v>
      </c>
      <c r="AK6" s="121">
        <f>AJ6</f>
        <v>5498</v>
      </c>
      <c r="AM6" s="123">
        <f>AM4+AM5</f>
        <v>5570</v>
      </c>
      <c r="AN6" s="124">
        <f>AN4+AN5</f>
        <v>5667</v>
      </c>
      <c r="AO6" s="124">
        <f>AO4+AO5</f>
        <v>5733</v>
      </c>
      <c r="AP6" s="124">
        <f>AP4+AP5</f>
        <v>5831</v>
      </c>
      <c r="AQ6" s="121">
        <f>AP6</f>
        <v>5831</v>
      </c>
      <c r="AS6" s="123">
        <f>AS4+AS5</f>
        <v>5912</v>
      </c>
      <c r="AT6" s="124">
        <f>AT4+AT5</f>
        <v>5946</v>
      </c>
      <c r="AU6" s="124">
        <f>AU4+AU5</f>
        <v>5993</v>
      </c>
      <c r="AV6" s="124">
        <f>AV4+AV5</f>
        <v>6000</v>
      </c>
      <c r="AW6" s="121">
        <f>AV6</f>
        <v>6000</v>
      </c>
      <c r="AY6" s="123">
        <f>AY4+AY5</f>
        <v>5993</v>
      </c>
      <c r="AZ6" s="124">
        <f>AZ4+AZ5</f>
        <v>5996</v>
      </c>
      <c r="BA6" s="124">
        <f>BA4+BA5</f>
        <v>5981</v>
      </c>
      <c r="BB6" s="124">
        <f>BB4+BB5</f>
        <v>6019</v>
      </c>
      <c r="BC6" s="121">
        <f>BB6</f>
        <v>6019</v>
      </c>
      <c r="BE6" s="123">
        <f>BE4+BE5</f>
        <v>6024</v>
      </c>
      <c r="BF6" s="124">
        <f>BF4+BF5</f>
        <v>6008</v>
      </c>
      <c r="BG6" s="124">
        <f>BG4+BG5</f>
        <v>6002</v>
      </c>
      <c r="BH6" s="124">
        <f>BH4+BH5</f>
        <v>6049</v>
      </c>
      <c r="BI6" s="121">
        <f>BH6</f>
        <v>6049</v>
      </c>
      <c r="BK6" s="123">
        <f>BK4+BK5</f>
        <v>6097</v>
      </c>
      <c r="BL6" s="124">
        <f>BL4+BL5</f>
        <v>6155</v>
      </c>
      <c r="BM6" s="124">
        <f>BM4+BM5</f>
        <v>6176</v>
      </c>
      <c r="BN6" s="124">
        <f>BN4+BN5</f>
        <v>6176</v>
      </c>
      <c r="BO6" s="121">
        <f>BN6</f>
        <v>6176</v>
      </c>
      <c r="BQ6" s="123">
        <f>BQ4+BQ5</f>
        <v>6196</v>
      </c>
      <c r="BR6" s="124">
        <f>BR4+BR5</f>
        <v>6216</v>
      </c>
      <c r="BS6" s="124">
        <f>BS4+BS5</f>
        <v>6236</v>
      </c>
      <c r="BT6" s="124">
        <f>BT4+BT5</f>
        <v>6276</v>
      </c>
      <c r="BU6" s="121">
        <f>BT6</f>
        <v>6276</v>
      </c>
      <c r="BW6" s="123">
        <f>BW4+BW5</f>
        <v>6291</v>
      </c>
      <c r="BX6" s="124">
        <f>BX4+BX5</f>
        <v>6306</v>
      </c>
      <c r="BY6" s="124">
        <f>BY4+BY5</f>
        <v>6326</v>
      </c>
      <c r="BZ6" s="124">
        <f>BZ4+BZ5</f>
        <v>6351</v>
      </c>
      <c r="CA6" s="121">
        <f>BZ6</f>
        <v>6351</v>
      </c>
      <c r="CC6" s="123">
        <f>CC4+CC5</f>
        <v>6366</v>
      </c>
      <c r="CD6" s="124">
        <f>CD4+CD5</f>
        <v>6381</v>
      </c>
      <c r="CE6" s="124">
        <f>CE4+CE5</f>
        <v>6396</v>
      </c>
      <c r="CF6" s="124">
        <f>CF4+CF5</f>
        <v>6416</v>
      </c>
      <c r="CG6" s="121">
        <f>CF6</f>
        <v>6416</v>
      </c>
      <c r="CI6" s="123">
        <f>CI4+CI5</f>
        <v>6431</v>
      </c>
      <c r="CJ6" s="124">
        <f>CJ4+CJ5</f>
        <v>6446</v>
      </c>
      <c r="CK6" s="124">
        <f>CK4+CK5</f>
        <v>6461</v>
      </c>
      <c r="CL6" s="124">
        <f>CL4+CL5</f>
        <v>6481</v>
      </c>
      <c r="CM6" s="121">
        <f>CL6</f>
        <v>6481</v>
      </c>
      <c r="CO6" s="123">
        <f>CO4+CO5</f>
        <v>6496</v>
      </c>
      <c r="CP6" s="124">
        <f>CP4+CP5</f>
        <v>6511</v>
      </c>
      <c r="CQ6" s="124">
        <f>CQ4+CQ5</f>
        <v>6526</v>
      </c>
      <c r="CR6" s="124">
        <f>CR4+CR5</f>
        <v>6546</v>
      </c>
      <c r="CS6" s="121">
        <f>CR6</f>
        <v>6546</v>
      </c>
      <c r="CU6" s="123">
        <f>CU4+CU5</f>
        <v>6561</v>
      </c>
      <c r="CV6" s="124">
        <f>CV4+CV5</f>
        <v>6576</v>
      </c>
      <c r="CW6" s="124">
        <f>CW4+CW5</f>
        <v>6591</v>
      </c>
      <c r="CX6" s="124">
        <f>CX4+CX5</f>
        <v>6611</v>
      </c>
      <c r="CY6" s="121">
        <f>CX6</f>
        <v>6611</v>
      </c>
      <c r="DA6" s="123">
        <f>DA4+DA5</f>
        <v>6626</v>
      </c>
      <c r="DB6" s="124">
        <f>DB4+DB5</f>
        <v>6641</v>
      </c>
      <c r="DC6" s="124">
        <f>DC4+DC5</f>
        <v>6656</v>
      </c>
      <c r="DD6" s="124">
        <f>DD4+DD5</f>
        <v>6676</v>
      </c>
      <c r="DE6" s="121">
        <f>DD6</f>
        <v>6676</v>
      </c>
      <c r="DG6" s="123">
        <f>DG4+DG5</f>
        <v>6691</v>
      </c>
      <c r="DH6" s="124">
        <f>DH4+DH5</f>
        <v>6706</v>
      </c>
      <c r="DI6" s="124">
        <f>DI4+DI5</f>
        <v>6721</v>
      </c>
      <c r="DJ6" s="124">
        <f>DJ4+DJ5</f>
        <v>6741</v>
      </c>
      <c r="DK6" s="121">
        <f>DJ6</f>
        <v>6741</v>
      </c>
    </row>
    <row r="7" spans="2:115" ht="15" x14ac:dyDescent="0.3">
      <c r="B7" s="38" t="s">
        <v>28</v>
      </c>
      <c r="C7" s="112">
        <f>C6-C5/2</f>
        <v>5079</v>
      </c>
      <c r="D7" s="112">
        <f>D6-D5/2</f>
        <v>5124.5</v>
      </c>
      <c r="E7" s="112">
        <f>E6-E5/2</f>
        <v>5173.5</v>
      </c>
      <c r="F7" s="112">
        <f>F6-F5/2</f>
        <v>5239</v>
      </c>
      <c r="G7" s="118">
        <f>(C7+D7+E7+F7)/4</f>
        <v>5154</v>
      </c>
      <c r="H7" s="114"/>
      <c r="I7" s="116">
        <f>I6-I5/2</f>
        <v>5272</v>
      </c>
      <c r="J7" s="117">
        <f>J6-J5/2</f>
        <v>5293</v>
      </c>
      <c r="K7" s="117">
        <f>K6-K5/2</f>
        <v>5352.5</v>
      </c>
      <c r="L7" s="119">
        <f>L6-L5/2</f>
        <v>5407</v>
      </c>
      <c r="M7" s="118">
        <f>(I7+J7+K7+L7)/4</f>
        <v>5331.125</v>
      </c>
      <c r="N7" s="114"/>
      <c r="O7" s="116">
        <f>O6-O5/2</f>
        <v>5416.5</v>
      </c>
      <c r="P7" s="117">
        <f>P6-P5/2</f>
        <v>5422</v>
      </c>
      <c r="Q7" s="117">
        <f>Q6-Q5/2</f>
        <v>5445.5</v>
      </c>
      <c r="R7" s="119">
        <f>R6-R5/2</f>
        <v>5461</v>
      </c>
      <c r="S7" s="118">
        <f>(O7+P7+Q7+R7)/4</f>
        <v>5436.25</v>
      </c>
      <c r="T7" s="114"/>
      <c r="U7" s="116">
        <f>U6-U5/2</f>
        <v>5456.5</v>
      </c>
      <c r="V7" s="117">
        <f>V6-V5/2</f>
        <v>5456.5</v>
      </c>
      <c r="W7" s="117">
        <f>W6-W5/2</f>
        <v>5462</v>
      </c>
      <c r="X7" s="117">
        <f>X6-X5/2</f>
        <v>5467.5</v>
      </c>
      <c r="Y7" s="118">
        <f>(U7+V7+W7+X7)/4</f>
        <v>5460.625</v>
      </c>
      <c r="AA7" s="116">
        <f>AA6-AA5/2</f>
        <v>5460.5</v>
      </c>
      <c r="AB7" s="117">
        <f>AB6-AB5/2</f>
        <v>5435.5</v>
      </c>
      <c r="AC7" s="117">
        <f>AC6-AC5/2</f>
        <v>5412</v>
      </c>
      <c r="AD7" s="117">
        <f>AD6-AD5/2</f>
        <v>5390</v>
      </c>
      <c r="AE7" s="118">
        <f>(AA7+AB7+AC7+AD7)/4</f>
        <v>5424.5</v>
      </c>
      <c r="AG7" s="116">
        <f>AG6-AG5/2</f>
        <v>5367.5</v>
      </c>
      <c r="AH7" s="117">
        <f>AH6-AH5/2</f>
        <v>5365.5</v>
      </c>
      <c r="AI7" s="117">
        <f>AI6-AI5/2</f>
        <v>5396</v>
      </c>
      <c r="AJ7" s="117">
        <f>AJ6-AJ5/2</f>
        <v>5456.5</v>
      </c>
      <c r="AK7" s="118">
        <f>(AG7+AH7+AI7+AJ7)/4</f>
        <v>5396.375</v>
      </c>
      <c r="AM7" s="116">
        <f>AM6-AM5/2</f>
        <v>5534</v>
      </c>
      <c r="AN7" s="117">
        <f>AN6-AN5/2</f>
        <v>5618.5</v>
      </c>
      <c r="AO7" s="117">
        <f>AO6-AO5/2</f>
        <v>5700</v>
      </c>
      <c r="AP7" s="117">
        <f>AP6-AP5/2</f>
        <v>5782</v>
      </c>
      <c r="AQ7" s="118">
        <f>(AM7+AN7+AO7+AP7)/4</f>
        <v>5658.625</v>
      </c>
      <c r="AS7" s="116">
        <f>AS6-AS5/2</f>
        <v>5871.5</v>
      </c>
      <c r="AT7" s="117">
        <f>AT6-AT5/2</f>
        <v>5929</v>
      </c>
      <c r="AU7" s="117">
        <f>AU6-AU5/2</f>
        <v>5969.5</v>
      </c>
      <c r="AV7" s="117">
        <f>AV6-AV5/2</f>
        <v>5996.5</v>
      </c>
      <c r="AW7" s="118">
        <f>(AS7+AT7+AU7+AV7)/4</f>
        <v>5941.625</v>
      </c>
      <c r="AY7" s="116">
        <f>AY6-AY5/2</f>
        <v>5996.5</v>
      </c>
      <c r="AZ7" s="117">
        <f>AZ6-AZ5/2</f>
        <v>5994.5</v>
      </c>
      <c r="BA7" s="117">
        <f>BA6-BA5/2</f>
        <v>5988.5</v>
      </c>
      <c r="BB7" s="117">
        <f>BB6-BB5/2</f>
        <v>6000</v>
      </c>
      <c r="BC7" s="118">
        <f>(AY7+AZ7+BA7+BB7)/4</f>
        <v>5994.875</v>
      </c>
      <c r="BE7" s="116">
        <f>BE6-BE5/2</f>
        <v>6021.5</v>
      </c>
      <c r="BF7" s="117">
        <f>BF6-BF5/2</f>
        <v>6016</v>
      </c>
      <c r="BG7" s="117">
        <f>BG6-BG5/2</f>
        <v>6005</v>
      </c>
      <c r="BH7" s="117">
        <f>BH6-BH5/2</f>
        <v>6025.5</v>
      </c>
      <c r="BI7" s="118">
        <f>(BE7+BF7+BG7+BH7)/4</f>
        <v>6017</v>
      </c>
      <c r="BK7" s="116">
        <f>BK6-BK5/2</f>
        <v>6073</v>
      </c>
      <c r="BL7" s="117">
        <f>BL6-BL5/2</f>
        <v>6126</v>
      </c>
      <c r="BM7" s="117">
        <f>BM6-BM5/2</f>
        <v>6165.5</v>
      </c>
      <c r="BN7" s="117">
        <f>BN6-BN5/2</f>
        <v>6176</v>
      </c>
      <c r="BO7" s="118">
        <f>(BK7+BL7+BM7+BN7)/4</f>
        <v>6135.125</v>
      </c>
      <c r="BQ7" s="116">
        <f>BQ6-BQ5/2</f>
        <v>6186</v>
      </c>
      <c r="BR7" s="117">
        <f>BR6-BR5/2</f>
        <v>6206</v>
      </c>
      <c r="BS7" s="117">
        <f>BS6-BS5/2</f>
        <v>6226</v>
      </c>
      <c r="BT7" s="117">
        <f>BT6-BT5/2</f>
        <v>6256</v>
      </c>
      <c r="BU7" s="118">
        <f>(BQ7+BR7+BS7+BT7)/4</f>
        <v>6218.5</v>
      </c>
      <c r="BW7" s="116">
        <f>BW6-BW5/2</f>
        <v>6283.5</v>
      </c>
      <c r="BX7" s="117">
        <f>BX6-BX5/2</f>
        <v>6298.5</v>
      </c>
      <c r="BY7" s="117">
        <f>BY6-BY5/2</f>
        <v>6316</v>
      </c>
      <c r="BZ7" s="117">
        <f>BZ6-BZ5/2</f>
        <v>6338.5</v>
      </c>
      <c r="CA7" s="118">
        <f>(BW7+BX7+BY7+BZ7)/4</f>
        <v>6309.125</v>
      </c>
      <c r="CC7" s="116">
        <f>CC6-CC5/2</f>
        <v>6358.5</v>
      </c>
      <c r="CD7" s="117">
        <f>CD6-CD5/2</f>
        <v>6373.5</v>
      </c>
      <c r="CE7" s="117">
        <f>CE6-CE5/2</f>
        <v>6388.5</v>
      </c>
      <c r="CF7" s="117">
        <f>CF6-CF5/2</f>
        <v>6406</v>
      </c>
      <c r="CG7" s="118">
        <f>(CC7+CD7+CE7+CF7)/4</f>
        <v>6381.625</v>
      </c>
      <c r="CI7" s="116">
        <f>CI6-CI5/2</f>
        <v>6423.5</v>
      </c>
      <c r="CJ7" s="117">
        <f>CJ6-CJ5/2</f>
        <v>6438.5</v>
      </c>
      <c r="CK7" s="117">
        <f>CK6-CK5/2</f>
        <v>6453.5</v>
      </c>
      <c r="CL7" s="117">
        <f>CL6-CL5/2</f>
        <v>6471</v>
      </c>
      <c r="CM7" s="118">
        <f>(CI7+CJ7+CK7+CL7)/4</f>
        <v>6446.625</v>
      </c>
      <c r="CO7" s="116">
        <f>CO6-CO5/2</f>
        <v>6488.5</v>
      </c>
      <c r="CP7" s="117">
        <f>CP6-CP5/2</f>
        <v>6503.5</v>
      </c>
      <c r="CQ7" s="117">
        <f>CQ6-CQ5/2</f>
        <v>6518.5</v>
      </c>
      <c r="CR7" s="117">
        <f>CR6-CR5/2</f>
        <v>6536</v>
      </c>
      <c r="CS7" s="118">
        <f>(CO7+CP7+CQ7+CR7)/4</f>
        <v>6511.625</v>
      </c>
      <c r="CU7" s="116">
        <f>CU6-CU5/2</f>
        <v>6553.5</v>
      </c>
      <c r="CV7" s="117">
        <f>CV6-CV5/2</f>
        <v>6568.5</v>
      </c>
      <c r="CW7" s="117">
        <f>CW6-CW5/2</f>
        <v>6583.5</v>
      </c>
      <c r="CX7" s="117">
        <f>CX6-CX5/2</f>
        <v>6601</v>
      </c>
      <c r="CY7" s="118">
        <f>(CU7+CV7+CW7+CX7)/4</f>
        <v>6576.625</v>
      </c>
      <c r="DA7" s="116">
        <f>DA6-DA5/2</f>
        <v>6618.5</v>
      </c>
      <c r="DB7" s="117">
        <f>DB6-DB5/2</f>
        <v>6633.5</v>
      </c>
      <c r="DC7" s="117">
        <f>DC6-DC5/2</f>
        <v>6648.5</v>
      </c>
      <c r="DD7" s="117">
        <f>DD6-DD5/2</f>
        <v>6666</v>
      </c>
      <c r="DE7" s="118">
        <f>(DA7+DB7+DC7+DD7)/4</f>
        <v>6641.625</v>
      </c>
      <c r="DG7" s="116">
        <f>DG6-DG5/2</f>
        <v>6683.5</v>
      </c>
      <c r="DH7" s="117">
        <f>DH6-DH5/2</f>
        <v>6698.5</v>
      </c>
      <c r="DI7" s="117">
        <f>DI6-DI5/2</f>
        <v>6713.5</v>
      </c>
      <c r="DJ7" s="117">
        <f>DJ6-DJ5/2</f>
        <v>6731</v>
      </c>
      <c r="DK7" s="118">
        <f>(DG7+DH7+DI7+DJ7)/4</f>
        <v>6706.625</v>
      </c>
    </row>
    <row r="8" spans="2:115" ht="15.75" thickBot="1" x14ac:dyDescent="0.35">
      <c r="B8" s="41" t="s">
        <v>56</v>
      </c>
      <c r="C8" s="106" t="s">
        <v>35</v>
      </c>
      <c r="D8" s="106" t="s">
        <v>35</v>
      </c>
      <c r="E8" s="106" t="s">
        <v>35</v>
      </c>
      <c r="F8" s="106" t="s">
        <v>35</v>
      </c>
      <c r="G8" s="122" t="s">
        <v>35</v>
      </c>
      <c r="I8" s="109">
        <f>I7/C7-1</f>
        <v>3.799960622169718E-2</v>
      </c>
      <c r="J8" s="110">
        <f>J7/D7-1</f>
        <v>3.2881256707971485E-2</v>
      </c>
      <c r="K8" s="110">
        <f>K7/E7-1</f>
        <v>3.4599400792500346E-2</v>
      </c>
      <c r="L8" s="120">
        <f>L7/F7-1</f>
        <v>3.2067188394731883E-2</v>
      </c>
      <c r="M8" s="122">
        <f>M7/G7-1</f>
        <v>3.4366511447419423E-2</v>
      </c>
      <c r="O8" s="109">
        <f>O7/I7-1</f>
        <v>2.7408952959028898E-2</v>
      </c>
      <c r="P8" s="110">
        <f>P7/J7-1</f>
        <v>2.4371811826941148E-2</v>
      </c>
      <c r="Q8" s="110">
        <f>Q7/K7-1</f>
        <v>1.7375058383932718E-2</v>
      </c>
      <c r="R8" s="120">
        <f>R7/L7-1</f>
        <v>9.9870538191233482E-3</v>
      </c>
      <c r="S8" s="122">
        <f>S7/M7-1</f>
        <v>1.9719102440854508E-2</v>
      </c>
      <c r="U8" s="109">
        <f>U7/O7-1</f>
        <v>7.3848426105418419E-3</v>
      </c>
      <c r="V8" s="110">
        <f>V7/P7-1</f>
        <v>6.3629656953154701E-3</v>
      </c>
      <c r="W8" s="110">
        <f>W7/Q7-1</f>
        <v>3.0300247911119182E-3</v>
      </c>
      <c r="X8" s="110">
        <f>X7/R7-1</f>
        <v>1.1902581944698287E-3</v>
      </c>
      <c r="Y8" s="122">
        <f>Y7/S7-1</f>
        <v>4.4837893768683301E-3</v>
      </c>
      <c r="AA8" s="109">
        <f>AA7/U7-1</f>
        <v>7.3307064968375357E-4</v>
      </c>
      <c r="AB8" s="110">
        <f>AB7/V7-1</f>
        <v>-3.8486209108402614E-3</v>
      </c>
      <c r="AC8" s="110">
        <f>AC7/W7-1</f>
        <v>-9.1541559868180133E-3</v>
      </c>
      <c r="AD8" s="110">
        <f>AD7/X7-1</f>
        <v>-1.4174668495656184E-2</v>
      </c>
      <c r="AE8" s="122">
        <f>AE7/Y7-1</f>
        <v>-6.6155430925947112E-3</v>
      </c>
      <c r="AG8" s="109">
        <f>AG7/AA7-1</f>
        <v>-1.7031407380276531E-2</v>
      </c>
      <c r="AH8" s="110">
        <f>AH7/AB7-1</f>
        <v>-1.2878300064391501E-2</v>
      </c>
      <c r="AI8" s="110">
        <f>AI7/AC7-1</f>
        <v>-2.956393200295615E-3</v>
      </c>
      <c r="AJ8" s="110">
        <f>AJ7/AD7-1</f>
        <v>1.2337662337662314E-2</v>
      </c>
      <c r="AK8" s="122">
        <f>AK7/AE7-1</f>
        <v>-5.1848096598764437E-3</v>
      </c>
      <c r="AM8" s="109">
        <f>AM7/AG7-1</f>
        <v>3.102002794597114E-2</v>
      </c>
      <c r="AN8" s="110">
        <f>AN7/AH7-1</f>
        <v>4.715310781846993E-2</v>
      </c>
      <c r="AO8" s="110">
        <f>AO7/AI7-1</f>
        <v>5.6338028169014009E-2</v>
      </c>
      <c r="AP8" s="110">
        <f>AP7/AJ7-1</f>
        <v>5.9653624118024329E-2</v>
      </c>
      <c r="AQ8" s="122">
        <f>AQ7/AK7-1</f>
        <v>4.8597438095017598E-2</v>
      </c>
      <c r="AS8" s="109">
        <f>AS7/AM7-1</f>
        <v>6.0986628117094321E-2</v>
      </c>
      <c r="AT8" s="110">
        <f>AT7/AN7-1</f>
        <v>5.5263860460977199E-2</v>
      </c>
      <c r="AU8" s="110">
        <f>AU7/AO7-1</f>
        <v>4.7280701754385923E-2</v>
      </c>
      <c r="AV8" s="110">
        <f>AV7/AP7-1</f>
        <v>3.7097890003459089E-2</v>
      </c>
      <c r="AW8" s="122">
        <f>AW7/AQ7-1</f>
        <v>5.0012149594645283E-2</v>
      </c>
      <c r="AY8" s="109">
        <f>AY7/AS7-1</f>
        <v>2.1289278719236915E-2</v>
      </c>
      <c r="AZ8" s="110">
        <f>AZ7/AT7-1</f>
        <v>1.1047394164277247E-2</v>
      </c>
      <c r="BA8" s="110">
        <f>BA7/AU7-1</f>
        <v>3.1828461345171366E-3</v>
      </c>
      <c r="BB8" s="110">
        <f>BB7/AV7-1</f>
        <v>5.8367380972224048E-4</v>
      </c>
      <c r="BC8" s="122">
        <f>BC7/AW7-1</f>
        <v>8.9621946857971757E-3</v>
      </c>
      <c r="BE8" s="109">
        <f>BE7/AY7-1</f>
        <v>4.1690986408737807E-3</v>
      </c>
      <c r="BF8" s="110">
        <f>BF7/AZ7-1</f>
        <v>3.5866210693136225E-3</v>
      </c>
      <c r="BG8" s="110">
        <f>BG7/BA7-1</f>
        <v>2.7552809551640856E-3</v>
      </c>
      <c r="BH8" s="110">
        <f>BH7/BB7-1</f>
        <v>4.250000000000087E-3</v>
      </c>
      <c r="BI8" s="122">
        <f>BI7/BC7-1</f>
        <v>3.6906524322859457E-3</v>
      </c>
      <c r="BK8" s="109">
        <f>BK7/BE7-1</f>
        <v>8.552686207755622E-3</v>
      </c>
      <c r="BL8" s="110">
        <f>BL7/BF7-1</f>
        <v>1.8284574468085069E-2</v>
      </c>
      <c r="BM8" s="110">
        <f>BM7/BG7-1</f>
        <v>2.6727726894254733E-2</v>
      </c>
      <c r="BN8" s="110">
        <f>BN7/BH7-1</f>
        <v>2.4977180316986036E-2</v>
      </c>
      <c r="BO8" s="122">
        <f>BO7/BI7-1</f>
        <v>1.9631876350340693E-2</v>
      </c>
      <c r="BQ8" s="109">
        <f>BQ7/BK7-1</f>
        <v>1.8606948789724909E-2</v>
      </c>
      <c r="BR8" s="110">
        <f>BR7/BL7-1</f>
        <v>1.3059092393078675E-2</v>
      </c>
      <c r="BS8" s="110">
        <f>BS7/BM7-1</f>
        <v>9.8126672613738641E-3</v>
      </c>
      <c r="BT8" s="110">
        <f>BT7/BN7-1</f>
        <v>1.2953367875647714E-2</v>
      </c>
      <c r="BU8" s="122">
        <f>BU7/BO7-1</f>
        <v>1.3589780159328546E-2</v>
      </c>
      <c r="BW8" s="109">
        <f>BW7/BQ7-1</f>
        <v>1.5761396702230757E-2</v>
      </c>
      <c r="BX8" s="110">
        <f>BX7/BR7-1</f>
        <v>1.4904930712213993E-2</v>
      </c>
      <c r="BY8" s="110">
        <f>BY7/BS7-1</f>
        <v>1.4455509155155699E-2</v>
      </c>
      <c r="BZ8" s="110">
        <f>BZ7/BT7-1</f>
        <v>1.3187340153452576E-2</v>
      </c>
      <c r="CA8" s="122">
        <f>CA7/BU7-1</f>
        <v>1.4573450188952286E-2</v>
      </c>
      <c r="CC8" s="109">
        <f>CC7/BW7-1</f>
        <v>1.1936022917163891E-2</v>
      </c>
      <c r="CD8" s="110">
        <f>CD7/BX7-1</f>
        <v>1.1907597046916019E-2</v>
      </c>
      <c r="CE8" s="110">
        <f>CE7/BY7-1</f>
        <v>1.1478784040531931E-2</v>
      </c>
      <c r="CF8" s="110">
        <f>CF7/BZ7-1</f>
        <v>1.0649207225684298E-2</v>
      </c>
      <c r="CG8" s="122">
        <f>CG7/CA7-1</f>
        <v>1.1491292374140594E-2</v>
      </c>
      <c r="CI8" s="109">
        <f>CI7/CC7-1</f>
        <v>1.0222536761814949E-2</v>
      </c>
      <c r="CJ8" s="110">
        <f>CJ7/CD7-1</f>
        <v>1.0198478073272232E-2</v>
      </c>
      <c r="CK8" s="110">
        <f>CK7/CE7-1</f>
        <v>1.0174532362839495E-2</v>
      </c>
      <c r="CL8" s="110">
        <f>CL7/CF7-1</f>
        <v>1.0146737433655906E-2</v>
      </c>
      <c r="CM8" s="122">
        <f>CM7/CG7-1</f>
        <v>1.01854935067478E-2</v>
      </c>
      <c r="CO8" s="109">
        <f>CO7/CI7-1</f>
        <v>1.0119093951895364E-2</v>
      </c>
      <c r="CP8" s="110">
        <f>CP7/CJ7-1</f>
        <v>1.0095519142657494E-2</v>
      </c>
      <c r="CQ8" s="110">
        <f>CQ7/CK7-1</f>
        <v>1.0072053924227165E-2</v>
      </c>
      <c r="CR8" s="110">
        <f>CR7/CL7-1</f>
        <v>1.004481532993351E-2</v>
      </c>
      <c r="CS8" s="122">
        <f>CS7/CM7-1</f>
        <v>1.0082795261086241E-2</v>
      </c>
      <c r="CU8" s="109">
        <f>CU7/CO7-1</f>
        <v>1.0017723664945688E-2</v>
      </c>
      <c r="CV8" s="110">
        <f>CV7/CP7-1</f>
        <v>9.9946182824632857E-3</v>
      </c>
      <c r="CW8" s="110">
        <f>CW7/CQ7-1</f>
        <v>9.9716192375547408E-3</v>
      </c>
      <c r="CX8" s="110">
        <f>CX7/CR7-1</f>
        <v>9.944920440636551E-3</v>
      </c>
      <c r="CY8" s="122">
        <f>CY7/CS7-1</f>
        <v>9.9821473134587002E-3</v>
      </c>
      <c r="DA8" s="109">
        <f>DA7/CU7-1</f>
        <v>9.9183642328526389E-3</v>
      </c>
      <c r="DB8" s="110">
        <f>DB7/CV7-1</f>
        <v>9.8957143944584658E-3</v>
      </c>
      <c r="DC8" s="110">
        <f>DC7/CW7-1</f>
        <v>9.8731677679047003E-3</v>
      </c>
      <c r="DD8" s="110">
        <f>DD7/CX7-1</f>
        <v>9.8469928798667894E-3</v>
      </c>
      <c r="DE8" s="122">
        <f>DE7/CY7-1</f>
        <v>9.883488871571755E-3</v>
      </c>
      <c r="DG8" s="109">
        <f>DG7/DA7-1</f>
        <v>9.8209564100626423E-3</v>
      </c>
      <c r="DH8" s="110">
        <f>DH7/DB7-1</f>
        <v>9.7987487751562963E-3</v>
      </c>
      <c r="DI8" s="110">
        <f>DI7/DC7-1</f>
        <v>9.7766413476723102E-3</v>
      </c>
      <c r="DJ8" s="110">
        <f>DJ7/DD7-1</f>
        <v>9.7509750975097731E-3</v>
      </c>
      <c r="DK8" s="122">
        <f>DK7/DE7-1</f>
        <v>9.786761522970755E-3</v>
      </c>
    </row>
    <row r="9" spans="2:115" ht="15.75" thickBot="1" x14ac:dyDescent="0.35">
      <c r="B9" s="1"/>
      <c r="AA9" s="103"/>
      <c r="AB9" s="103"/>
      <c r="AC9" s="103"/>
      <c r="AD9" s="103"/>
      <c r="AE9" s="103"/>
      <c r="AG9" s="103"/>
      <c r="AH9" s="103"/>
      <c r="AI9" s="103"/>
      <c r="AJ9" s="103"/>
      <c r="AK9" s="103"/>
      <c r="AM9" s="103"/>
      <c r="AN9" s="103"/>
      <c r="AO9" s="103"/>
      <c r="AP9" s="103"/>
      <c r="AQ9" s="103"/>
      <c r="AS9" s="103"/>
      <c r="AT9" s="103"/>
      <c r="AU9" s="103"/>
      <c r="AV9" s="103"/>
      <c r="AW9" s="103"/>
      <c r="AY9" s="103"/>
      <c r="AZ9" s="103"/>
      <c r="BA9" s="103"/>
      <c r="BB9" s="103"/>
      <c r="BC9" s="103"/>
      <c r="BE9" s="103"/>
      <c r="BF9" s="103"/>
      <c r="BG9" s="103"/>
      <c r="BH9" s="103"/>
      <c r="BI9" s="103"/>
      <c r="BK9" s="103"/>
      <c r="BL9" s="103"/>
      <c r="BM9" s="103"/>
      <c r="BN9" s="103"/>
      <c r="BO9" s="103"/>
      <c r="BQ9" s="103"/>
      <c r="BR9" s="103"/>
      <c r="BS9" s="103"/>
      <c r="BT9" s="103"/>
      <c r="BU9" s="103"/>
      <c r="BW9" s="103"/>
      <c r="BX9" s="103"/>
      <c r="BY9" s="103"/>
      <c r="BZ9" s="103"/>
      <c r="CA9" s="103"/>
      <c r="CC9" s="103"/>
      <c r="CD9" s="103"/>
      <c r="CE9" s="103"/>
      <c r="CF9" s="103"/>
      <c r="CG9" s="103"/>
      <c r="CI9" s="103"/>
      <c r="CJ9" s="103"/>
      <c r="CK9" s="103"/>
      <c r="CL9" s="103"/>
      <c r="CM9" s="103"/>
      <c r="CO9" s="103"/>
      <c r="CP9" s="103"/>
      <c r="CQ9" s="103"/>
      <c r="CR9" s="103"/>
      <c r="CS9" s="103"/>
      <c r="CU9" s="103"/>
      <c r="CV9" s="103"/>
      <c r="CW9" s="103"/>
      <c r="CX9" s="103"/>
      <c r="CY9" s="103"/>
      <c r="DA9" s="103"/>
      <c r="DB9" s="103"/>
      <c r="DC9" s="103"/>
      <c r="DD9" s="103"/>
      <c r="DE9" s="103"/>
      <c r="DG9" s="103"/>
      <c r="DH9" s="103"/>
      <c r="DI9" s="103"/>
      <c r="DJ9" s="103"/>
      <c r="DK9" s="103"/>
    </row>
    <row r="10" spans="2:115" s="135" customFormat="1" ht="15" x14ac:dyDescent="0.3">
      <c r="B10" s="139" t="s">
        <v>46</v>
      </c>
      <c r="C10" s="141">
        <f>C17-C13</f>
        <v>375.44762466986839</v>
      </c>
      <c r="D10" s="142">
        <f>D17-D13</f>
        <v>403.802776918088</v>
      </c>
      <c r="E10" s="142">
        <f>E17-E13</f>
        <v>410.45678628592589</v>
      </c>
      <c r="F10" s="142">
        <f>F17-F13</f>
        <v>406.13030391196691</v>
      </c>
      <c r="G10" s="149">
        <f>G69*1000/(G7*12)</f>
        <v>399.07841783372305</v>
      </c>
      <c r="H10" s="134"/>
      <c r="I10" s="141">
        <f>I17-I13</f>
        <v>377.13112559135942</v>
      </c>
      <c r="J10" s="142">
        <f>J17-J13</f>
        <v>400.98017375807524</v>
      </c>
      <c r="K10" s="142">
        <f>K17-K13</f>
        <v>404.99034906557574</v>
      </c>
      <c r="L10" s="142">
        <f>L17-L13</f>
        <v>382.25179268318379</v>
      </c>
      <c r="M10" s="149">
        <f>M69*1000/(M7*12)</f>
        <v>391.34186687756375</v>
      </c>
      <c r="N10" s="134"/>
      <c r="O10" s="141">
        <f>O17-O13</f>
        <v>347.00821563740425</v>
      </c>
      <c r="P10" s="142">
        <f>P17-P13</f>
        <v>388.20054100577892</v>
      </c>
      <c r="Q10" s="142">
        <f>Q17-Q13</f>
        <v>362.50543262020631</v>
      </c>
      <c r="R10" s="142">
        <f>R17-R13</f>
        <v>337.83556125251783</v>
      </c>
      <c r="S10" s="149">
        <f>S69*1000/(S7*12)</f>
        <v>358.85659538591256</v>
      </c>
      <c r="T10" s="134"/>
      <c r="U10" s="141">
        <f>U17-U13</f>
        <v>318.78127004490057</v>
      </c>
      <c r="V10" s="142">
        <f>V17-V13</f>
        <v>328.5791988106339</v>
      </c>
      <c r="W10" s="142">
        <f>W17-W13</f>
        <v>319.16356213686163</v>
      </c>
      <c r="X10" s="142">
        <f>X17-X13</f>
        <v>308.84089247023468</v>
      </c>
      <c r="Y10" s="149">
        <f>Y69*1000/(Y7*12)</f>
        <v>318.83627580555202</v>
      </c>
      <c r="AA10" s="141">
        <f>AA17-AA13</f>
        <v>280.34487074361311</v>
      </c>
      <c r="AB10" s="142">
        <f>AB17-AB13</f>
        <v>298.08974173081833</v>
      </c>
      <c r="AC10" s="142">
        <f>AC17-AC13</f>
        <v>276.3055047134502</v>
      </c>
      <c r="AD10" s="142">
        <f>AD17-AD13</f>
        <v>280.97704277400152</v>
      </c>
      <c r="AE10" s="149">
        <f>AE69*1000/(AE7*12)</f>
        <v>283.93960779493148</v>
      </c>
      <c r="AG10" s="141">
        <f>AG17-AG13</f>
        <v>261.53753612790484</v>
      </c>
      <c r="AH10" s="142">
        <f>AH17-AH13</f>
        <v>268.00966999505471</v>
      </c>
      <c r="AI10" s="142">
        <f>AI17-AI13</f>
        <v>280.44939702134161</v>
      </c>
      <c r="AJ10" s="142">
        <f>AJ17-AJ13</f>
        <v>246.81768133634523</v>
      </c>
      <c r="AK10" s="149">
        <f>AK69*1000/(AK7*12)</f>
        <v>264.15298390419133</v>
      </c>
      <c r="AM10" s="141">
        <f>AM17-AM13</f>
        <v>209.28188504021071</v>
      </c>
      <c r="AN10" s="142">
        <f>AN17-AN13</f>
        <v>205.23746983867062</v>
      </c>
      <c r="AO10" s="142">
        <f>AO17-AO13</f>
        <v>181.87652984055421</v>
      </c>
      <c r="AP10" s="142">
        <f>AP17-AP13</f>
        <v>172.50795954632784</v>
      </c>
      <c r="AQ10" s="149">
        <f>AQ69*1000/(AQ7*12)</f>
        <v>191.98258933438439</v>
      </c>
      <c r="AS10" s="141">
        <f>AS17-AS13</f>
        <v>168.8477969218257</v>
      </c>
      <c r="AT10" s="142">
        <f>AT17-AT13</f>
        <v>167.20203451176371</v>
      </c>
      <c r="AU10" s="142">
        <f>AU17-AU13</f>
        <v>162.75164406028091</v>
      </c>
      <c r="AV10" s="142">
        <f>AV17-AV13</f>
        <v>158.34751924121696</v>
      </c>
      <c r="AW10" s="149">
        <f>AW69*1000/(AW7*12)</f>
        <v>164.25672861357586</v>
      </c>
      <c r="AY10" s="141">
        <f>AY17-AY13</f>
        <v>144.51001556804869</v>
      </c>
      <c r="AZ10" s="142">
        <f>AZ17-AZ13</f>
        <v>138.97943042233157</v>
      </c>
      <c r="BA10" s="142">
        <f>BA17-BA13</f>
        <v>137.3871088920431</v>
      </c>
      <c r="BB10" s="142">
        <f>BB17-BB13</f>
        <v>133.8436418666667</v>
      </c>
      <c r="BC10" s="149">
        <f>BC69*1000/(BC7*12)</f>
        <v>138.67974965368214</v>
      </c>
      <c r="BE10" s="141">
        <f>BE17-BE13</f>
        <v>128.42347554596032</v>
      </c>
      <c r="BF10" s="142">
        <f>BF17-BF13</f>
        <v>134.98455707003546</v>
      </c>
      <c r="BG10" s="142">
        <f>BG17-BG13</f>
        <v>132.37800972522899</v>
      </c>
      <c r="BH10" s="142">
        <f>BH17-BH13</f>
        <v>129.63272342544187</v>
      </c>
      <c r="BI10" s="149">
        <f>BI69*1000/(BI7*12)</f>
        <v>131.35287422026485</v>
      </c>
      <c r="BK10" s="141">
        <f>BK17-BK13</f>
        <v>125.32218700257971</v>
      </c>
      <c r="BL10" s="142">
        <f>BL17-BL13</f>
        <v>129.12071988246819</v>
      </c>
      <c r="BM10" s="142">
        <f>BM17-BM13</f>
        <v>129.04010542535073</v>
      </c>
      <c r="BN10" s="142">
        <f>BN17-BN13</f>
        <v>128.04290533246976</v>
      </c>
      <c r="BO10" s="149">
        <f>BO69*1000/(BO7*12)</f>
        <v>127.88920050528718</v>
      </c>
      <c r="BQ10" s="141">
        <f>BK10*(1+BQ11)</f>
        <v>124.06896513255391</v>
      </c>
      <c r="BR10" s="142">
        <f>BL10*(1+BR11)</f>
        <v>129.12071988246819</v>
      </c>
      <c r="BS10" s="142">
        <f>BM10*(1+BS11)</f>
        <v>126.45930331684372</v>
      </c>
      <c r="BT10" s="143">
        <f>BN10*(1+BT11)</f>
        <v>121.64076006584627</v>
      </c>
      <c r="BU10" s="149">
        <f>BU69*1000/(BU7*12)</f>
        <v>125.31695840327971</v>
      </c>
      <c r="BW10" s="141">
        <f>BQ10*(1+BW11)</f>
        <v>114.1434479219496</v>
      </c>
      <c r="BX10" s="142">
        <f>BR10*(1+BX11)</f>
        <v>120.08226949069541</v>
      </c>
      <c r="BY10" s="142">
        <f>BS10*(1+BY11)</f>
        <v>118.87174511783309</v>
      </c>
      <c r="BZ10" s="143">
        <f>BT10*(1+BZ11)</f>
        <v>115.55872206255394</v>
      </c>
      <c r="CA10" s="149">
        <f>CA69*1000/(CA7*12)</f>
        <v>117.16448126176162</v>
      </c>
      <c r="CC10" s="141">
        <f>BW10*(1+CC11)</f>
        <v>109.57771000507161</v>
      </c>
      <c r="CD10" s="142">
        <f>BX10*(1+CD11)</f>
        <v>115.87939005852107</v>
      </c>
      <c r="CE10" s="142">
        <f>BY10*(1+CE11)</f>
        <v>115.30559276429808</v>
      </c>
      <c r="CF10" s="143">
        <f>BZ10*(1+CF11)</f>
        <v>112.09196040067732</v>
      </c>
      <c r="CG10" s="149">
        <f>CG69*1000/(CG7*12)</f>
        <v>113.21560101489392</v>
      </c>
      <c r="CI10" s="141">
        <f>CC10*(1+CI11)</f>
        <v>106.29037870491946</v>
      </c>
      <c r="CJ10" s="142">
        <f>CD10*(1+CJ11)</f>
        <v>112.40300835676543</v>
      </c>
      <c r="CK10" s="142">
        <f>CE10*(1+CK11)</f>
        <v>111.84642498136914</v>
      </c>
      <c r="CL10" s="143">
        <f>CF10*(1+CL11)</f>
        <v>108.72920158865701</v>
      </c>
      <c r="CM10" s="149">
        <f>CM69*1000/(CM7*12)</f>
        <v>109.81911403306188</v>
      </c>
      <c r="CO10" s="141">
        <f>CI10*(1+CO11)</f>
        <v>103.10166734377188</v>
      </c>
      <c r="CP10" s="142">
        <f>CJ10*(1+CP11)</f>
        <v>109.03091810606246</v>
      </c>
      <c r="CQ10" s="142">
        <f>CK10*(1+CQ11)</f>
        <v>108.49103223192806</v>
      </c>
      <c r="CR10" s="143">
        <f>CL10*(1+CR11)</f>
        <v>105.46732554099729</v>
      </c>
      <c r="CS10" s="149">
        <f>CS69*1000/(CS7*12)</f>
        <v>106.52452259622686</v>
      </c>
      <c r="CU10" s="141">
        <f>CO10*(1+CU11)</f>
        <v>100.00861732345872</v>
      </c>
      <c r="CV10" s="142">
        <f>CP10*(1+CV11)</f>
        <v>105.75999056288059</v>
      </c>
      <c r="CW10" s="142">
        <f>CQ10*(1+CW11)</f>
        <v>105.23630126497021</v>
      </c>
      <c r="CX10" s="143">
        <f>CR10*(1+CX11)</f>
        <v>102.30330577476737</v>
      </c>
      <c r="CY10" s="149">
        <f>CY69*1000/(CY7*12)</f>
        <v>103.32876978840739</v>
      </c>
      <c r="DA10" s="141">
        <f>CU10*(1+DA11)</f>
        <v>97.008358803754959</v>
      </c>
      <c r="DB10" s="142">
        <f>CV10*(1+DB11)</f>
        <v>102.58719084599417</v>
      </c>
      <c r="DC10" s="142">
        <f>CW10*(1+DC11)</f>
        <v>102.0792122270211</v>
      </c>
      <c r="DD10" s="143">
        <f>CX10*(1+DD11)</f>
        <v>99.234206601524349</v>
      </c>
      <c r="DE10" s="149">
        <f>DE69*1000/(DE7*12)</f>
        <v>100.22889040395482</v>
      </c>
      <c r="DG10" s="141">
        <f>DA10*(1+DG11)</f>
        <v>94.098108039642312</v>
      </c>
      <c r="DH10" s="142">
        <f>DB10*(1+DH11)</f>
        <v>99.509575120614343</v>
      </c>
      <c r="DI10" s="142">
        <f>DC10*(1+DI11)</f>
        <v>99.016835860210463</v>
      </c>
      <c r="DJ10" s="143">
        <f>DD10*(1+DJ11)</f>
        <v>96.257180403478614</v>
      </c>
      <c r="DK10" s="149">
        <f>DK69*1000/(DK7*12)</f>
        <v>97.222008196064436</v>
      </c>
    </row>
    <row r="11" spans="2:115" ht="15" x14ac:dyDescent="0.3">
      <c r="B11" s="5" t="s">
        <v>23</v>
      </c>
      <c r="C11" s="144" t="s">
        <v>35</v>
      </c>
      <c r="D11" s="107" t="s">
        <v>35</v>
      </c>
      <c r="E11" s="107" t="s">
        <v>35</v>
      </c>
      <c r="F11" s="145" t="s">
        <v>35</v>
      </c>
      <c r="G11" s="138" t="s">
        <v>35</v>
      </c>
      <c r="H11" s="107"/>
      <c r="I11" s="151">
        <f>I10/C10-1</f>
        <v>4.483983413056114E-3</v>
      </c>
      <c r="J11" s="133">
        <f>J10/D10-1</f>
        <v>-6.9900538613317797E-3</v>
      </c>
      <c r="K11" s="133">
        <f>K10/E10-1</f>
        <v>-1.3317936023945265E-2</v>
      </c>
      <c r="L11" s="133">
        <f>L10/F10-1</f>
        <v>-5.8795197006424438E-2</v>
      </c>
      <c r="M11" s="153">
        <f>M10/G10-1</f>
        <v>-1.9386041966776513E-2</v>
      </c>
      <c r="N11" s="107"/>
      <c r="O11" s="151">
        <f>O10/I10-1</f>
        <v>-7.9873836737079262E-2</v>
      </c>
      <c r="P11" s="133">
        <f>P10/J10-1</f>
        <v>-3.1870984125032309E-2</v>
      </c>
      <c r="Q11" s="133">
        <f>Q10/K10-1</f>
        <v>-0.10490352805540637</v>
      </c>
      <c r="R11" s="133">
        <f>R10/L10-1</f>
        <v>-0.11619626717481168</v>
      </c>
      <c r="S11" s="153">
        <f>S10/M10-1</f>
        <v>-8.3009956871838098E-2</v>
      </c>
      <c r="T11" s="107"/>
      <c r="U11" s="151">
        <f>U10/O10-1</f>
        <v>-8.1343738622023265E-2</v>
      </c>
      <c r="V11" s="133">
        <f>V10/P10-1</f>
        <v>-0.15358387198707557</v>
      </c>
      <c r="W11" s="133">
        <f>W10/Q10-1</f>
        <v>-0.11956198882336078</v>
      </c>
      <c r="X11" s="133">
        <f>X10/R10-1</f>
        <v>-8.5824797942484432E-2</v>
      </c>
      <c r="Y11" s="153">
        <f>Y10/S10-1</f>
        <v>-0.11152176132452818</v>
      </c>
      <c r="AA11" s="151">
        <f>AA10/U10-1</f>
        <v>-0.12057295366152987</v>
      </c>
      <c r="AB11" s="133">
        <f>AB10/V10-1</f>
        <v>-9.2791805416103657E-2</v>
      </c>
      <c r="AC11" s="133">
        <f>AC10/W10-1</f>
        <v>-0.13428242602779739</v>
      </c>
      <c r="AD11" s="133">
        <f>AD10/X10-1</f>
        <v>-9.0220726515089389E-2</v>
      </c>
      <c r="AE11" s="153">
        <f>AE10/Y10-1</f>
        <v>-0.10945011800320648</v>
      </c>
      <c r="AG11" s="151">
        <f>AG10/AA10-1</f>
        <v>-6.7086423111012983E-2</v>
      </c>
      <c r="AH11" s="133">
        <f>AH10/AB10-1</f>
        <v>-0.1009094494869488</v>
      </c>
      <c r="AI11" s="133">
        <f>AI10/AC10-1</f>
        <v>1.4997501813034608E-2</v>
      </c>
      <c r="AJ11" s="133">
        <f>AJ10/AD10-1</f>
        <v>-0.1215734961846392</v>
      </c>
      <c r="AK11" s="153">
        <f>AK10/AE10-1</f>
        <v>-6.9686029520159676E-2</v>
      </c>
      <c r="AM11" s="151">
        <f>AM10/AG10-1</f>
        <v>-0.19980172583004885</v>
      </c>
      <c r="AN11" s="133">
        <f>AN10/AH10-1</f>
        <v>-0.23421617644446324</v>
      </c>
      <c r="AO11" s="133">
        <f>AO10/AI10-1</f>
        <v>-0.35148182961964514</v>
      </c>
      <c r="AP11" s="133">
        <f>AP10/AJ10-1</f>
        <v>-0.30107130651127656</v>
      </c>
      <c r="AQ11" s="153">
        <f>AQ10/AK10-1</f>
        <v>-0.27321438320751001</v>
      </c>
      <c r="AS11" s="151">
        <f>AS10/AM10-1</f>
        <v>-0.19320395604529339</v>
      </c>
      <c r="AT11" s="133">
        <f>AT10/AN10-1</f>
        <v>-0.18532403150752697</v>
      </c>
      <c r="AU11" s="133">
        <f>AU10/AO10-1</f>
        <v>-0.10515312666807275</v>
      </c>
      <c r="AV11" s="133">
        <f>AV10/AP10-1</f>
        <v>-8.2085721391354283E-2</v>
      </c>
      <c r="AW11" s="153">
        <f>AW10/AQ10-1</f>
        <v>-0.14441862054749766</v>
      </c>
      <c r="AY11" s="151">
        <f>AY10/AS10-1</f>
        <v>-0.14414035478973464</v>
      </c>
      <c r="AZ11" s="133">
        <f>AZ10/AT10-1</f>
        <v>-0.1687934251030091</v>
      </c>
      <c r="BA11" s="133">
        <f>BA10/AU10-1</f>
        <v>-0.15584810411403982</v>
      </c>
      <c r="BB11" s="133">
        <f>BB10/AV10-1</f>
        <v>-0.15474746615526414</v>
      </c>
      <c r="BC11" s="153">
        <f>BC10/AW10-1</f>
        <v>-0.15571343211190547</v>
      </c>
      <c r="BE11" s="151">
        <f>BE10/AY10-1</f>
        <v>-0.11131782083653119</v>
      </c>
      <c r="BF11" s="133">
        <f>BF10/AZ10-1</f>
        <v>-2.8744349722519824E-2</v>
      </c>
      <c r="BG11" s="133">
        <f>BG10/BA10-1</f>
        <v>-3.6459746530878578E-2</v>
      </c>
      <c r="BH11" s="133">
        <f>BH10/BB10-1</f>
        <v>-3.1461475364064739E-2</v>
      </c>
      <c r="BI11" s="153">
        <f>BI10/BC10-1</f>
        <v>-5.2833059272996419E-2</v>
      </c>
      <c r="BK11" s="151">
        <f>BK10/BE10-1</f>
        <v>-2.4148922385072158E-2</v>
      </c>
      <c r="BL11" s="133">
        <f>BL10/BF10-1</f>
        <v>-4.3440800302251392E-2</v>
      </c>
      <c r="BM11" s="133">
        <f>BM10/BG10-1</f>
        <v>-2.5214945494395957E-2</v>
      </c>
      <c r="BN11" s="133">
        <f>BN10/BH10-1</f>
        <v>-1.2264018304656621E-2</v>
      </c>
      <c r="BO11" s="153">
        <f>BO10/BI10-1</f>
        <v>-2.6369226676908997E-2</v>
      </c>
      <c r="BQ11" s="151">
        <v>-0.01</v>
      </c>
      <c r="BR11" s="133">
        <v>0</v>
      </c>
      <c r="BS11" s="133">
        <v>-0.02</v>
      </c>
      <c r="BT11" s="133">
        <v>-0.05</v>
      </c>
      <c r="BU11" s="153">
        <f>BU10/BO10-1</f>
        <v>-2.0113051702916218E-2</v>
      </c>
      <c r="BW11" s="151">
        <v>-0.08</v>
      </c>
      <c r="BX11" s="133">
        <v>-7.0000000000000007E-2</v>
      </c>
      <c r="BY11" s="133">
        <v>-0.06</v>
      </c>
      <c r="BZ11" s="133">
        <v>-0.05</v>
      </c>
      <c r="CA11" s="153">
        <f>CA10/BU10-1</f>
        <v>-6.5054859656605957E-2</v>
      </c>
      <c r="CC11" s="151">
        <v>-0.04</v>
      </c>
      <c r="CD11" s="133">
        <v>-3.5000000000000003E-2</v>
      </c>
      <c r="CE11" s="133">
        <v>-0.03</v>
      </c>
      <c r="CF11" s="133">
        <v>-0.03</v>
      </c>
      <c r="CG11" s="153">
        <f>CG10/CA10-1</f>
        <v>-3.3703731748236598E-2</v>
      </c>
      <c r="CI11" s="151">
        <v>-0.03</v>
      </c>
      <c r="CJ11" s="133">
        <v>-0.03</v>
      </c>
      <c r="CK11" s="133">
        <v>-0.03</v>
      </c>
      <c r="CL11" s="133">
        <v>-0.03</v>
      </c>
      <c r="CM11" s="153">
        <f>CM10/CG10-1</f>
        <v>-3.0000167391994181E-2</v>
      </c>
      <c r="CO11" s="151">
        <v>-0.03</v>
      </c>
      <c r="CP11" s="133">
        <v>-0.03</v>
      </c>
      <c r="CQ11" s="133">
        <v>-0.03</v>
      </c>
      <c r="CR11" s="133">
        <v>-0.03</v>
      </c>
      <c r="CS11" s="153">
        <f>CS10/CM10-1</f>
        <v>-3.0000164050159372E-2</v>
      </c>
      <c r="CU11" s="151">
        <v>-0.03</v>
      </c>
      <c r="CV11" s="133">
        <v>-0.03</v>
      </c>
      <c r="CW11" s="133">
        <v>-0.03</v>
      </c>
      <c r="CX11" s="133">
        <v>-0.03</v>
      </c>
      <c r="CY11" s="153">
        <f>CY10/CS10-1</f>
        <v>-3.0000160807410858E-2</v>
      </c>
      <c r="DA11" s="151">
        <v>-0.03</v>
      </c>
      <c r="DB11" s="133">
        <v>-0.03</v>
      </c>
      <c r="DC11" s="133">
        <v>-0.03</v>
      </c>
      <c r="DD11" s="133">
        <v>-0.03</v>
      </c>
      <c r="DE11" s="153">
        <f>DE10/CY10-1</f>
        <v>-3.0000157659869298E-2</v>
      </c>
      <c r="DG11" s="151">
        <v>-0.03</v>
      </c>
      <c r="DH11" s="133">
        <v>-0.03</v>
      </c>
      <c r="DI11" s="133">
        <v>-0.03</v>
      </c>
      <c r="DJ11" s="133">
        <v>-0.03</v>
      </c>
      <c r="DK11" s="153">
        <f>DK10/DE10-1</f>
        <v>-3.0000154603844087E-2</v>
      </c>
    </row>
    <row r="12" spans="2:115" ht="15" x14ac:dyDescent="0.3">
      <c r="B12" s="5"/>
      <c r="C12" s="144"/>
      <c r="D12" s="107"/>
      <c r="E12" s="107"/>
      <c r="F12" s="145"/>
      <c r="G12" s="138"/>
      <c r="I12" s="144"/>
      <c r="J12" s="107"/>
      <c r="K12" s="107"/>
      <c r="L12" s="107"/>
      <c r="M12" s="138"/>
      <c r="O12" s="144"/>
      <c r="P12" s="107"/>
      <c r="Q12" s="107"/>
      <c r="R12" s="107"/>
      <c r="S12" s="138"/>
      <c r="U12" s="144"/>
      <c r="V12" s="107"/>
      <c r="W12" s="107"/>
      <c r="X12" s="145"/>
      <c r="Y12" s="138"/>
      <c r="AA12" s="144"/>
      <c r="AB12" s="107"/>
      <c r="AC12" s="107"/>
      <c r="AD12" s="145"/>
      <c r="AE12" s="138"/>
      <c r="AG12" s="144"/>
      <c r="AH12" s="107"/>
      <c r="AI12" s="107"/>
      <c r="AJ12" s="145"/>
      <c r="AK12" s="138"/>
      <c r="AM12" s="144"/>
      <c r="AN12" s="107"/>
      <c r="AO12" s="107"/>
      <c r="AP12" s="107"/>
      <c r="AQ12" s="138"/>
      <c r="AS12" s="144"/>
      <c r="AT12" s="107"/>
      <c r="AU12" s="107"/>
      <c r="AV12" s="107"/>
      <c r="AW12" s="138"/>
      <c r="AY12" s="144"/>
      <c r="AZ12" s="107"/>
      <c r="BA12" s="107"/>
      <c r="BB12" s="107"/>
      <c r="BC12" s="138"/>
      <c r="BE12" s="144"/>
      <c r="BF12" s="107"/>
      <c r="BG12" s="107"/>
      <c r="BH12" s="107"/>
      <c r="BI12" s="138"/>
      <c r="BK12" s="144"/>
      <c r="BL12" s="107"/>
      <c r="BM12" s="107"/>
      <c r="BN12" s="107"/>
      <c r="BO12" s="138"/>
      <c r="BQ12" s="144"/>
      <c r="BR12" s="107"/>
      <c r="BS12" s="107"/>
      <c r="BT12" s="145"/>
      <c r="BU12" s="138"/>
      <c r="BW12" s="144"/>
      <c r="BX12" s="107"/>
      <c r="BY12" s="107"/>
      <c r="BZ12" s="145"/>
      <c r="CA12" s="138"/>
      <c r="CC12" s="144"/>
      <c r="CD12" s="107"/>
      <c r="CE12" s="107"/>
      <c r="CF12" s="145"/>
      <c r="CG12" s="138"/>
      <c r="CI12" s="144"/>
      <c r="CJ12" s="107"/>
      <c r="CK12" s="107"/>
      <c r="CL12" s="145"/>
      <c r="CM12" s="138"/>
      <c r="CO12" s="144"/>
      <c r="CP12" s="107"/>
      <c r="CQ12" s="107"/>
      <c r="CR12" s="145"/>
      <c r="CS12" s="138"/>
      <c r="CU12" s="144"/>
      <c r="CV12" s="107"/>
      <c r="CW12" s="107"/>
      <c r="CX12" s="145"/>
      <c r="CY12" s="138"/>
      <c r="DA12" s="144"/>
      <c r="DB12" s="107"/>
      <c r="DC12" s="107"/>
      <c r="DD12" s="145"/>
      <c r="DE12" s="138"/>
      <c r="DG12" s="144"/>
      <c r="DH12" s="107"/>
      <c r="DI12" s="107"/>
      <c r="DJ12" s="145"/>
      <c r="DK12" s="138"/>
    </row>
    <row r="13" spans="2:115" ht="15" x14ac:dyDescent="0.3">
      <c r="B13" s="105" t="s">
        <v>47</v>
      </c>
      <c r="C13" s="161">
        <f>C17*C15</f>
        <v>93.861906167467112</v>
      </c>
      <c r="D13" s="162">
        <f>D15*D17</f>
        <v>94.719169894366317</v>
      </c>
      <c r="E13" s="162">
        <f>E15*E17</f>
        <v>102.61419657148147</v>
      </c>
      <c r="F13" s="162">
        <f>F15*F17</f>
        <v>114.54957289824706</v>
      </c>
      <c r="G13" s="164">
        <f>G72*1000/(G7*12)</f>
        <v>101.52855868862639</v>
      </c>
      <c r="H13" s="134"/>
      <c r="I13" s="161">
        <f>I17*I15</f>
        <v>106.37031747448599</v>
      </c>
      <c r="J13" s="162">
        <f>J15*J17</f>
        <v>106.58966644202</v>
      </c>
      <c r="K13" s="162">
        <f>K15*K17</f>
        <v>114.22804717234189</v>
      </c>
      <c r="L13" s="162">
        <f>L15*L17</f>
        <v>107.81460819269286</v>
      </c>
      <c r="M13" s="164">
        <f>M72*1000/(M7*12)</f>
        <v>108.76328294642089</v>
      </c>
      <c r="N13" s="134"/>
      <c r="O13" s="161">
        <f>O15*O17</f>
        <v>103.65180467091297</v>
      </c>
      <c r="P13" s="162">
        <f>P15*P17</f>
        <v>103.19254887495389</v>
      </c>
      <c r="Q13" s="162">
        <f>Q15*Q17</f>
        <v>108.28084350993176</v>
      </c>
      <c r="R13" s="162">
        <f>R15*R17</f>
        <v>100.91192089360923</v>
      </c>
      <c r="S13" s="164">
        <f>S72*1000/(S7*12)</f>
        <v>104.00843105694796</v>
      </c>
      <c r="U13" s="161">
        <f>U15*U17</f>
        <v>95.220379364061216</v>
      </c>
      <c r="V13" s="162">
        <f>V15*V17</f>
        <v>98.147033410968575</v>
      </c>
      <c r="W13" s="162">
        <f>W15*W17</f>
        <v>100.78849330637735</v>
      </c>
      <c r="X13" s="162">
        <f>X15*X17</f>
        <v>97.528702885337268</v>
      </c>
      <c r="Y13" s="164">
        <f>Y72*1000/(Y7*12)</f>
        <v>97.921676606247672</v>
      </c>
      <c r="Z13" s="260"/>
      <c r="AA13" s="161">
        <f>AA15*AA17</f>
        <v>88.529959182193622</v>
      </c>
      <c r="AB13" s="162">
        <f>AB15*AB17</f>
        <v>94.133602651837364</v>
      </c>
      <c r="AC13" s="162">
        <f>AC15*AC17</f>
        <v>102.19518667483774</v>
      </c>
      <c r="AD13" s="162">
        <f>AD15*AD17</f>
        <v>98.721663677351899</v>
      </c>
      <c r="AE13" s="164">
        <f>AE72*1000/(AE7*12)</f>
        <v>95.873866569894858</v>
      </c>
      <c r="AF13" s="260"/>
      <c r="AG13" s="161">
        <f>AG15*AG17</f>
        <v>96.733061307581252</v>
      </c>
      <c r="AH13" s="162">
        <f>AH15*AH17</f>
        <v>99.126864244746272</v>
      </c>
      <c r="AI13" s="162">
        <f>AI15*AI17</f>
        <v>103.72785917227704</v>
      </c>
      <c r="AJ13" s="162">
        <f>AJ15*AJ17</f>
        <v>95.984653853023147</v>
      </c>
      <c r="AK13" s="164">
        <f>AK72*1000/(AK7*12)</f>
        <v>98.887479489298642</v>
      </c>
      <c r="AL13" s="260"/>
      <c r="AM13" s="161">
        <f>AM15*AM17</f>
        <v>94.025194728210607</v>
      </c>
      <c r="AN13" s="162">
        <f>AN15*AN17</f>
        <v>96.582338747609697</v>
      </c>
      <c r="AO13" s="162">
        <f>AO15*AO17</f>
        <v>102.30554803531174</v>
      </c>
      <c r="AP13" s="162">
        <f>AP15*AP17</f>
        <v>101.31419846371634</v>
      </c>
      <c r="AQ13" s="164">
        <f>AQ72*1000/(AQ7*12)</f>
        <v>98.607153557527113</v>
      </c>
      <c r="AR13" s="260"/>
      <c r="AS13" s="161">
        <f>AS15*AS17</f>
        <v>99.1645791445643</v>
      </c>
      <c r="AT13" s="162">
        <f>AT15*AT17</f>
        <v>98.198020268813607</v>
      </c>
      <c r="AU13" s="162">
        <f>AU15*AU17</f>
        <v>104.05432980903207</v>
      </c>
      <c r="AV13" s="162">
        <f>AV15*AV17</f>
        <v>101.23857787553216</v>
      </c>
      <c r="AW13" s="164">
        <f>AW72*1000/(AW7*12)</f>
        <v>100.67491396069049</v>
      </c>
      <c r="AX13" s="260"/>
      <c r="AY13" s="161">
        <f>AY15*AY17</f>
        <v>100.42221420830499</v>
      </c>
      <c r="AZ13" s="162">
        <f>AZ15*AZ17</f>
        <v>113.71044307281676</v>
      </c>
      <c r="BA13" s="162">
        <f>BA15*BA17</f>
        <v>121.8338512816231</v>
      </c>
      <c r="BB13" s="162">
        <f>BB15*BB17</f>
        <v>118.69153146666666</v>
      </c>
      <c r="BC13" s="164">
        <f>BC72*1000/(BC7*12)</f>
        <v>113.66251446861283</v>
      </c>
      <c r="BD13" s="260"/>
      <c r="BE13" s="161">
        <f>BE15*BE17</f>
        <v>118.54474665780953</v>
      </c>
      <c r="BF13" s="162">
        <f>BF15*BF17</f>
        <v>119.70328645833332</v>
      </c>
      <c r="BG13" s="162">
        <f>BG15*BG17</f>
        <v>127.18671522620041</v>
      </c>
      <c r="BH13" s="162">
        <f>BH15*BH17</f>
        <v>124.54908721267944</v>
      </c>
      <c r="BI13" s="164">
        <f>BI72*1000/(BI7*12)</f>
        <v>122.49372250567836</v>
      </c>
      <c r="BJ13" s="260"/>
      <c r="BK13" s="161">
        <f>BK15*BK17</f>
        <v>125.32218700257971</v>
      </c>
      <c r="BL13" s="162">
        <f>BL15*BL17</f>
        <v>129.12071988246819</v>
      </c>
      <c r="BM13" s="162">
        <f>BM15*BM17</f>
        <v>129.04010542535073</v>
      </c>
      <c r="BN13" s="162">
        <f>BN15*BN17</f>
        <v>128.04290533246976</v>
      </c>
      <c r="BO13" s="164">
        <f>BO72*1000/(BO7*12)</f>
        <v>127.88920050528718</v>
      </c>
      <c r="BP13" s="260"/>
      <c r="BQ13" s="161">
        <f>BK13*(1+BQ14)</f>
        <v>131.58829635270871</v>
      </c>
      <c r="BR13" s="162">
        <f>BL13*(1+BR14)</f>
        <v>136.8679630754163</v>
      </c>
      <c r="BS13" s="162">
        <f>BM13*(1+BS14)</f>
        <v>138.71811333225202</v>
      </c>
      <c r="BT13" s="163">
        <f>BN13*(1+BT14)</f>
        <v>138.92655228572968</v>
      </c>
      <c r="BU13" s="164">
        <f>BU72*1000/(BU7*12)</f>
        <v>136.53579097813042</v>
      </c>
      <c r="BV13" s="260"/>
      <c r="BW13" s="161">
        <f>BQ13*(1+BW14)</f>
        <v>142.11536006092541</v>
      </c>
      <c r="BX13" s="162">
        <f>BR13*(1+BX14)</f>
        <v>146.44872049069545</v>
      </c>
      <c r="BY13" s="162">
        <f>BS13*(1+BY14)</f>
        <v>147.04120013218716</v>
      </c>
      <c r="BZ13" s="163">
        <f>BT13*(1+BZ14)</f>
        <v>145.87287990001619</v>
      </c>
      <c r="CA13" s="164">
        <f>CA72*1000/(CA7*12)</f>
        <v>145.37343134882479</v>
      </c>
      <c r="CB13" s="260"/>
      <c r="CC13" s="161">
        <f>BW13*(1+CC14)</f>
        <v>147.79997446336245</v>
      </c>
      <c r="CD13" s="162">
        <f>BX13*(1+CD14)</f>
        <v>152.30666931032329</v>
      </c>
      <c r="CE13" s="162">
        <f>BY13*(1+CE14)</f>
        <v>151.45243613615278</v>
      </c>
      <c r="CF13" s="163">
        <f>BZ13*(1+CF14)</f>
        <v>150.24906629701667</v>
      </c>
      <c r="CG13" s="164">
        <f>CG72*1000/(CG7*12)</f>
        <v>150.45392440910959</v>
      </c>
      <c r="CH13" s="260"/>
      <c r="CI13" s="161">
        <f>CC13*(1+CI14)</f>
        <v>152.23397369726331</v>
      </c>
      <c r="CJ13" s="162">
        <f>CD13*(1+CJ14)</f>
        <v>156.87586938963298</v>
      </c>
      <c r="CK13" s="162">
        <f>CE13*(1+CK14)</f>
        <v>155.99600922023737</v>
      </c>
      <c r="CL13" s="163">
        <f>CF13*(1+CL14)</f>
        <v>154.75653828592718</v>
      </c>
      <c r="CM13" s="164">
        <f>CM72*1000/(CM7*12)</f>
        <v>154.96752253545688</v>
      </c>
      <c r="CN13" s="260"/>
      <c r="CO13" s="161">
        <f>CI13*(1+CO14)</f>
        <v>155.27865317120859</v>
      </c>
      <c r="CP13" s="162">
        <f>CJ13*(1+CP14)</f>
        <v>160.01338677742564</v>
      </c>
      <c r="CQ13" s="162">
        <f>CK13*(1+CQ14)</f>
        <v>159.11592940464212</v>
      </c>
      <c r="CR13" s="163">
        <f>CL13*(1+CR14)</f>
        <v>157.85166905164573</v>
      </c>
      <c r="CS13" s="164">
        <f>CS72*1000/(CS7*12)</f>
        <v>158.06685338736838</v>
      </c>
      <c r="CT13" s="260"/>
      <c r="CU13" s="161">
        <f>CO13*(1+CU14)</f>
        <v>158.38422623463276</v>
      </c>
      <c r="CV13" s="162">
        <f>CP13*(1+CV14)</f>
        <v>163.21365451297416</v>
      </c>
      <c r="CW13" s="162">
        <f>CQ13*(1+CW14)</f>
        <v>162.29824799273496</v>
      </c>
      <c r="CX13" s="163">
        <f>CR13*(1+CX14)</f>
        <v>161.00870243267863</v>
      </c>
      <c r="CY13" s="164">
        <f>CY72*1000/(CY7*12)</f>
        <v>161.22817085949927</v>
      </c>
      <c r="CZ13" s="260"/>
      <c r="DA13" s="161">
        <f>CU13*(1+DA14)</f>
        <v>161.55191075932541</v>
      </c>
      <c r="DB13" s="162">
        <f>CV13*(1+DB14)</f>
        <v>166.47792760323364</v>
      </c>
      <c r="DC13" s="162">
        <f>CW13*(1+DC14)</f>
        <v>165.54421295258965</v>
      </c>
      <c r="DD13" s="163">
        <f>CX13*(1+DD14)</f>
        <v>164.22887648133221</v>
      </c>
      <c r="DE13" s="164">
        <f>DE72*1000/(DE7*12)</f>
        <v>164.45271468038686</v>
      </c>
      <c r="DF13" s="260"/>
      <c r="DG13" s="161">
        <f>DA13*(1+DG14)</f>
        <v>164.78294897451192</v>
      </c>
      <c r="DH13" s="162">
        <f>DB13*(1+DH14)</f>
        <v>169.80748615529831</v>
      </c>
      <c r="DI13" s="162">
        <f>DC13*(1+DI14)</f>
        <v>168.85509721164144</v>
      </c>
      <c r="DJ13" s="163">
        <f>DD13*(1+DJ14)</f>
        <v>167.51345401095887</v>
      </c>
      <c r="DK13" s="164">
        <f>DK72*1000/(DK7*12)</f>
        <v>167.74174937321436</v>
      </c>
    </row>
    <row r="14" spans="2:115" ht="15" x14ac:dyDescent="0.3">
      <c r="B14" s="5" t="s">
        <v>23</v>
      </c>
      <c r="C14" s="144" t="s">
        <v>35</v>
      </c>
      <c r="D14" s="107" t="s">
        <v>35</v>
      </c>
      <c r="E14" s="107" t="s">
        <v>35</v>
      </c>
      <c r="F14" s="107" t="s">
        <v>35</v>
      </c>
      <c r="G14" s="138" t="s">
        <v>35</v>
      </c>
      <c r="H14" s="107"/>
      <c r="I14" s="151">
        <f>I13/C13-1</f>
        <v>0.13326398128652461</v>
      </c>
      <c r="J14" s="133">
        <f>J13/D13-1</f>
        <v>0.12532306354555289</v>
      </c>
      <c r="K14" s="133">
        <f>K13/E13-1</f>
        <v>0.11317976448580547</v>
      </c>
      <c r="L14" s="133">
        <f>L13/F13-1</f>
        <v>-5.8795197006424327E-2</v>
      </c>
      <c r="M14" s="153">
        <f>M13/G13-1</f>
        <v>7.1258021892956824E-2</v>
      </c>
      <c r="N14" s="107"/>
      <c r="O14" s="151">
        <f>O13/I13-1</f>
        <v>-2.5557062046233758E-2</v>
      </c>
      <c r="P14" s="133">
        <f>P13/J13-1</f>
        <v>-3.187098412503242E-2</v>
      </c>
      <c r="Q14" s="133">
        <f>Q13/K13-1</f>
        <v>-5.2064303029161207E-2</v>
      </c>
      <c r="R14" s="133">
        <f>R13/L13-1</f>
        <v>-6.4023673737669373E-2</v>
      </c>
      <c r="S14" s="153">
        <f>S13/M13-1</f>
        <v>-4.3717436258477682E-2</v>
      </c>
      <c r="T14" s="107"/>
      <c r="U14" s="151">
        <f>U13/O13-1</f>
        <v>-8.1343738622023265E-2</v>
      </c>
      <c r="V14" s="133">
        <f>V13/P13-1</f>
        <v>-4.8894183921160184E-2</v>
      </c>
      <c r="W14" s="133">
        <f>W13/Q13-1</f>
        <v>-6.9193681547809471E-2</v>
      </c>
      <c r="X14" s="133">
        <f>X13/R13-1</f>
        <v>-3.3526445422031648E-2</v>
      </c>
      <c r="Y14" s="153">
        <f>Y13/S13-1</f>
        <v>-5.8521740870868366E-2</v>
      </c>
      <c r="AA14" s="151">
        <f>AA13/U13-1</f>
        <v>-7.0262481903036189E-2</v>
      </c>
      <c r="AB14" s="133">
        <f>AB13/V13-1</f>
        <v>-4.0892023117253817E-2</v>
      </c>
      <c r="AC14" s="133">
        <f>AC13/W13-1</f>
        <v>1.3956884583881335E-2</v>
      </c>
      <c r="AD14" s="133">
        <f>AD13/X13-1</f>
        <v>1.2231894372851215E-2</v>
      </c>
      <c r="AE14" s="153">
        <f>AE13/Y13-1</f>
        <v>-2.0912734619396356E-2</v>
      </c>
      <c r="AG14" s="151">
        <f>AG13/AA13-1</f>
        <v>9.2659052383676554E-2</v>
      </c>
      <c r="AH14" s="133">
        <f>AH13/AB13-1</f>
        <v>5.3044411902272381E-2</v>
      </c>
      <c r="AI14" s="133">
        <f>AI13/AC13-1</f>
        <v>1.4997501813034608E-2</v>
      </c>
      <c r="AJ14" s="133">
        <f>AJ13/AD13-1</f>
        <v>-2.7724510734280283E-2</v>
      </c>
      <c r="AK14" s="153">
        <f>AK13/AE13-1</f>
        <v>3.1433100877461539E-2</v>
      </c>
      <c r="AM14" s="151">
        <f>AM13/AG13-1</f>
        <v>-2.7993186019002025E-2</v>
      </c>
      <c r="AN14" s="133">
        <f>AN13/AH13-1</f>
        <v>-2.5669383537182067E-2</v>
      </c>
      <c r="AO14" s="133">
        <f>AO13/AI13-1</f>
        <v>-1.3711949213210284E-2</v>
      </c>
      <c r="AP14" s="133">
        <f>AP13/AJ13-1</f>
        <v>5.5524965676847504E-2</v>
      </c>
      <c r="AQ14" s="153">
        <f>AQ13/AK13-1</f>
        <v>-2.834797015954571E-3</v>
      </c>
      <c r="AS14" s="151">
        <f>AS13/AM13-1</f>
        <v>5.465965192850275E-2</v>
      </c>
      <c r="AT14" s="133">
        <f>AT13/AN13-1</f>
        <v>1.672854004318558E-2</v>
      </c>
      <c r="AU14" s="133">
        <f>AU13/AO13-1</f>
        <v>1.7093713951043199E-2</v>
      </c>
      <c r="AV14" s="133">
        <f>AV13/AP13-1</f>
        <v>-7.4639674725607286E-4</v>
      </c>
      <c r="AW14" s="153">
        <f>AW13/AQ13-1</f>
        <v>2.0969679466074975E-2</v>
      </c>
      <c r="AY14" s="151">
        <f>AY13/AS13-1</f>
        <v>1.2682301226804915E-2</v>
      </c>
      <c r="AZ14" s="133">
        <f>AZ13/AT13-1</f>
        <v>0.15797083038475157</v>
      </c>
      <c r="BA14" s="133">
        <f>BA13/AU13-1</f>
        <v>0.17086767561927774</v>
      </c>
      <c r="BB14" s="133">
        <f>BB13/AV13-1</f>
        <v>0.17239429827424124</v>
      </c>
      <c r="BC14" s="153">
        <f>BC13/AW13-1</f>
        <v>0.12900533009636805</v>
      </c>
      <c r="BE14" s="151">
        <f>BE13/AY13-1</f>
        <v>0.18046338245353866</v>
      </c>
      <c r="BF14" s="133">
        <f>BF13/AZ13-1</f>
        <v>5.2702664975801117E-2</v>
      </c>
      <c r="BG14" s="133">
        <f>BG13/BA13-1</f>
        <v>4.3935768985944534E-2</v>
      </c>
      <c r="BH14" s="133">
        <f>BH13/BB13-1</f>
        <v>4.9351084054870542E-2</v>
      </c>
      <c r="BI14" s="153">
        <f>BI13/BC13-1</f>
        <v>7.7696750580898089E-2</v>
      </c>
      <c r="BK14" s="151">
        <f>BK13/BE13-1</f>
        <v>5.7172000749505125E-2</v>
      </c>
      <c r="BL14" s="133">
        <f>BL13/BF13-1</f>
        <v>7.8673140084695392E-2</v>
      </c>
      <c r="BM14" s="133">
        <f>BM13/BG13-1</f>
        <v>1.4572199587465473E-2</v>
      </c>
      <c r="BN14" s="133">
        <f>BN13/BH13-1</f>
        <v>2.805173605025546E-2</v>
      </c>
      <c r="BO14" s="153">
        <f>BO13/BI13-1</f>
        <v>4.404697554487913E-2</v>
      </c>
      <c r="BQ14" s="151">
        <v>0.05</v>
      </c>
      <c r="BR14" s="133">
        <v>0.06</v>
      </c>
      <c r="BS14" s="133">
        <v>7.4999999999999997E-2</v>
      </c>
      <c r="BT14" s="152">
        <v>8.5000000000000006E-2</v>
      </c>
      <c r="BU14" s="153">
        <f>BU13/BO13-1</f>
        <v>6.7610012719453882E-2</v>
      </c>
      <c r="BW14" s="151">
        <v>0.08</v>
      </c>
      <c r="BX14" s="133">
        <v>7.0000000000000007E-2</v>
      </c>
      <c r="BY14" s="133">
        <v>0.06</v>
      </c>
      <c r="BZ14" s="152">
        <v>0.05</v>
      </c>
      <c r="CA14" s="153">
        <f>CA13/BU13-1</f>
        <v>6.472764618992799E-2</v>
      </c>
      <c r="CC14" s="151">
        <v>0.04</v>
      </c>
      <c r="CD14" s="133">
        <v>0.04</v>
      </c>
      <c r="CE14" s="133">
        <v>0.03</v>
      </c>
      <c r="CF14" s="152">
        <v>0.03</v>
      </c>
      <c r="CG14" s="153">
        <f>CG13/CA13-1</f>
        <v>3.4947878805268839E-2</v>
      </c>
      <c r="CI14" s="151">
        <v>0.03</v>
      </c>
      <c r="CJ14" s="133">
        <v>0.03</v>
      </c>
      <c r="CK14" s="133">
        <v>0.03</v>
      </c>
      <c r="CL14" s="152">
        <v>0.03</v>
      </c>
      <c r="CM14" s="153">
        <f>CM13/CG13-1</f>
        <v>2.9999869688171588E-2</v>
      </c>
      <c r="CO14" s="151">
        <v>0.02</v>
      </c>
      <c r="CP14" s="133">
        <v>0.02</v>
      </c>
      <c r="CQ14" s="133">
        <v>0.02</v>
      </c>
      <c r="CR14" s="133">
        <v>0.02</v>
      </c>
      <c r="CS14" s="153">
        <f>CS13/CM13-1</f>
        <v>1.9999873529644718E-2</v>
      </c>
      <c r="CU14" s="151">
        <v>0.02</v>
      </c>
      <c r="CV14" s="133">
        <v>0.02</v>
      </c>
      <c r="CW14" s="133">
        <v>0.02</v>
      </c>
      <c r="CX14" s="133">
        <v>0.02</v>
      </c>
      <c r="CY14" s="153">
        <f>CY13/CS13-1</f>
        <v>1.9999876029565655E-2</v>
      </c>
      <c r="DA14" s="151">
        <v>0.02</v>
      </c>
      <c r="DB14" s="133">
        <v>0.02</v>
      </c>
      <c r="DC14" s="133">
        <v>0.02</v>
      </c>
      <c r="DD14" s="133">
        <v>0.02</v>
      </c>
      <c r="DE14" s="153">
        <f>DE13/CY13-1</f>
        <v>1.9999878456089304E-2</v>
      </c>
      <c r="DG14" s="151">
        <v>0.02</v>
      </c>
      <c r="DH14" s="133">
        <v>0.02</v>
      </c>
      <c r="DI14" s="133">
        <v>0.02</v>
      </c>
      <c r="DJ14" s="133">
        <v>0.02</v>
      </c>
      <c r="DK14" s="153">
        <f>DK13/DE13-1</f>
        <v>1.9999880812060278E-2</v>
      </c>
    </row>
    <row r="15" spans="2:115" ht="15.75" thickBot="1" x14ac:dyDescent="0.35">
      <c r="B15" s="140" t="s">
        <v>48</v>
      </c>
      <c r="C15" s="146">
        <v>0.2</v>
      </c>
      <c r="D15" s="147">
        <v>0.19</v>
      </c>
      <c r="E15" s="147">
        <v>0.2</v>
      </c>
      <c r="F15" s="148">
        <v>0.22</v>
      </c>
      <c r="G15" s="268">
        <f>G13/G17</f>
        <v>0.20281091445015784</v>
      </c>
      <c r="I15" s="146">
        <v>0.22</v>
      </c>
      <c r="J15" s="147">
        <v>0.21</v>
      </c>
      <c r="K15" s="147">
        <v>0.22</v>
      </c>
      <c r="L15" s="147">
        <v>0.22</v>
      </c>
      <c r="M15" s="268">
        <f>M13/M17</f>
        <v>0.21748082975090507</v>
      </c>
      <c r="O15" s="146">
        <v>0.23</v>
      </c>
      <c r="P15" s="147">
        <v>0.21</v>
      </c>
      <c r="Q15" s="147">
        <v>0.23</v>
      </c>
      <c r="R15" s="147">
        <v>0.23</v>
      </c>
      <c r="S15" s="268">
        <f>S13/S17</f>
        <v>0.22470574598443452</v>
      </c>
      <c r="U15" s="168">
        <v>0.23</v>
      </c>
      <c r="V15" s="169">
        <v>0.23</v>
      </c>
      <c r="W15" s="169">
        <v>0.24</v>
      </c>
      <c r="X15" s="169">
        <v>0.24</v>
      </c>
      <c r="Y15" s="268">
        <f>Y13/Y17</f>
        <v>0.23496054733825689</v>
      </c>
      <c r="AA15" s="168">
        <v>0.24</v>
      </c>
      <c r="AB15" s="169">
        <v>0.24</v>
      </c>
      <c r="AC15" s="169">
        <v>0.27</v>
      </c>
      <c r="AD15" s="170">
        <v>0.26</v>
      </c>
      <c r="AE15" s="268">
        <f>AE13/AE17</f>
        <v>0.25242355271947015</v>
      </c>
      <c r="AG15" s="168">
        <v>0.27</v>
      </c>
      <c r="AH15" s="169">
        <v>0.27</v>
      </c>
      <c r="AI15" s="169">
        <v>0.27</v>
      </c>
      <c r="AJ15" s="170">
        <v>0.28000000000000003</v>
      </c>
      <c r="AK15" s="268">
        <f>AK13/AK17</f>
        <v>0.27238693605929298</v>
      </c>
      <c r="AM15" s="168">
        <v>0.31</v>
      </c>
      <c r="AN15" s="169">
        <v>0.32</v>
      </c>
      <c r="AO15" s="169">
        <v>0.36</v>
      </c>
      <c r="AP15" s="170">
        <v>0.37</v>
      </c>
      <c r="AQ15" s="268">
        <f>AQ13/AQ17</f>
        <v>0.33933459789805892</v>
      </c>
      <c r="AS15" s="168">
        <v>0.37</v>
      </c>
      <c r="AT15" s="169">
        <v>0.37</v>
      </c>
      <c r="AU15" s="169">
        <v>0.39</v>
      </c>
      <c r="AV15" s="170">
        <v>0.39</v>
      </c>
      <c r="AW15" s="268">
        <f>AW13/AW17</f>
        <v>0.38000335853603834</v>
      </c>
      <c r="AY15" s="168">
        <v>0.41</v>
      </c>
      <c r="AZ15" s="169">
        <v>0.45</v>
      </c>
      <c r="BA15" s="169">
        <v>0.47</v>
      </c>
      <c r="BB15" s="170">
        <v>0.47</v>
      </c>
      <c r="BC15" s="268">
        <f>BC13/BC17</f>
        <v>0.45042995418923365</v>
      </c>
      <c r="BE15" s="168">
        <v>0.48</v>
      </c>
      <c r="BF15" s="169">
        <v>0.47</v>
      </c>
      <c r="BG15" s="169">
        <v>0.49</v>
      </c>
      <c r="BH15" s="170">
        <v>0.49</v>
      </c>
      <c r="BI15" s="268">
        <f>BI13/BI17</f>
        <v>0.48255018615799894</v>
      </c>
      <c r="BK15" s="168">
        <v>0.5</v>
      </c>
      <c r="BL15" s="169">
        <v>0.5</v>
      </c>
      <c r="BM15" s="169">
        <v>0.5</v>
      </c>
      <c r="BN15" s="170">
        <v>0.5</v>
      </c>
      <c r="BO15" s="268">
        <f>BO13/BO17</f>
        <v>0.5</v>
      </c>
      <c r="BQ15" s="168">
        <f>BQ13/BQ17</f>
        <v>0.51470588235294124</v>
      </c>
      <c r="BR15" s="169">
        <f>BR13/BR17</f>
        <v>0.5145631067961165</v>
      </c>
      <c r="BS15" s="169">
        <f>BS13/BS17</f>
        <v>0.52311435523114347</v>
      </c>
      <c r="BT15" s="170">
        <f>BT13/BT17</f>
        <v>0.53316953316953319</v>
      </c>
      <c r="BU15" s="268">
        <f>BU13/BU17</f>
        <v>0.52142202554938533</v>
      </c>
      <c r="BW15" s="168">
        <f>BW13/BW17</f>
        <v>0.55457746478873249</v>
      </c>
      <c r="BX15" s="169">
        <f>BX13/BX17</f>
        <v>0.5494622614087783</v>
      </c>
      <c r="BY15" s="169">
        <f>BY13/BY17</f>
        <v>0.55296743824913863</v>
      </c>
      <c r="BZ15" s="170">
        <f>BZ13/BZ17</f>
        <v>0.55797722541937067</v>
      </c>
      <c r="CA15" s="268">
        <f>CA13/CA17</f>
        <v>0.55372357425745311</v>
      </c>
      <c r="CC15" s="168">
        <f>CC13/CC17</f>
        <v>0.57425326041228453</v>
      </c>
      <c r="CD15" s="169">
        <f>CD13/CD17</f>
        <v>0.56791419236617124</v>
      </c>
      <c r="CE15" s="169">
        <f>CE13/CE17</f>
        <v>0.56775211887876109</v>
      </c>
      <c r="CF15" s="170">
        <f>CF13/CF17</f>
        <v>0.572724244424623</v>
      </c>
      <c r="CG15" s="268">
        <f>CG13/CG17</f>
        <v>0.570615523986576</v>
      </c>
      <c r="CI15" s="168">
        <f>CI13/CI17</f>
        <v>0.58885738338659488</v>
      </c>
      <c r="CJ15" s="169">
        <f>CJ13/CJ17</f>
        <v>0.58257770049597291</v>
      </c>
      <c r="CK15" s="169">
        <f>CK13/CK17</f>
        <v>0.58241708295862593</v>
      </c>
      <c r="CL15" s="170">
        <f>CL13/CL17</f>
        <v>0.58734312665113986</v>
      </c>
      <c r="CM15" s="268">
        <f>CM13/CM17</f>
        <v>0.585254318509975</v>
      </c>
      <c r="CO15" s="168">
        <f>CO13/CO17</f>
        <v>0.60096934960728099</v>
      </c>
      <c r="CP15" s="169">
        <f>CP13/CP17</f>
        <v>0.59474734782704575</v>
      </c>
      <c r="CQ15" s="169">
        <f>CQ13/CQ17</f>
        <v>0.59458815432736456</v>
      </c>
      <c r="CR15" s="170">
        <f>CR13/CR17</f>
        <v>0.59946935957219394</v>
      </c>
      <c r="CS15" s="268">
        <f>CS13/CS17</f>
        <v>0.59739986913696153</v>
      </c>
      <c r="CU15" s="168">
        <f>CU13/CU17</f>
        <v>0.61295902801977198</v>
      </c>
      <c r="CV15" s="169">
        <f>CV13/CV17</f>
        <v>0.60680166068666463</v>
      </c>
      <c r="CW15" s="169">
        <f>CW13/CW17</f>
        <v>0.60664407061833214</v>
      </c>
      <c r="CX15" s="170">
        <f>CX13/CX17</f>
        <v>0.61147497043063292</v>
      </c>
      <c r="CY15" s="268">
        <f>CY13/CY17</f>
        <v>0.60942710656030175</v>
      </c>
      <c r="DA15" s="168">
        <f>DA13/DA17</f>
        <v>0.62481335988827136</v>
      </c>
      <c r="DB15" s="169">
        <f>DB13/DB17</f>
        <v>0.61872727525120563</v>
      </c>
      <c r="DC15" s="169">
        <f>DC13/DC17</f>
        <v>0.61857146040742716</v>
      </c>
      <c r="DD15" s="170">
        <f>DD13/DD17</f>
        <v>0.62334682551970233</v>
      </c>
      <c r="DE15" s="268">
        <f>DE13/DE17</f>
        <v>0.62132279509179889</v>
      </c>
      <c r="DG15" s="168">
        <f>DG13/DG17</f>
        <v>0.63651991719696377</v>
      </c>
      <c r="DH15" s="169">
        <f>DH13/DH17</f>
        <v>0.63051143269877075</v>
      </c>
      <c r="DI15" s="169">
        <f>DI13/DI17</f>
        <v>0.6303575565953341</v>
      </c>
      <c r="DJ15" s="170">
        <f>DJ13/DJ17</f>
        <v>0.63507241578590978</v>
      </c>
      <c r="DK15" s="268">
        <f>DK13/DK17</f>
        <v>0.63307431518952451</v>
      </c>
    </row>
    <row r="16" spans="2:115" ht="15.75" thickBot="1" x14ac:dyDescent="0.35">
      <c r="B16" s="1"/>
      <c r="AA16" s="103"/>
      <c r="AB16" s="103"/>
      <c r="AC16" s="103"/>
      <c r="AD16" s="103"/>
      <c r="AE16" s="103"/>
      <c r="AG16" s="103"/>
      <c r="AH16" s="103"/>
      <c r="AI16" s="103"/>
      <c r="AJ16" s="103"/>
      <c r="AK16" s="103"/>
      <c r="AM16" s="103"/>
      <c r="AN16" s="103"/>
      <c r="AO16" s="103"/>
      <c r="AP16" s="103"/>
      <c r="AQ16" s="103"/>
      <c r="AS16" s="103"/>
      <c r="AT16" s="103"/>
      <c r="AU16" s="103"/>
      <c r="AV16" s="103"/>
      <c r="AW16" s="103"/>
      <c r="AY16" s="103"/>
      <c r="AZ16" s="103"/>
      <c r="BA16" s="103"/>
      <c r="BB16" s="103"/>
      <c r="BC16" s="103"/>
      <c r="BE16" s="103"/>
      <c r="BF16" s="103"/>
      <c r="BG16" s="103"/>
      <c r="BH16" s="103"/>
      <c r="BI16" s="103"/>
      <c r="BK16" s="103"/>
      <c r="BL16" s="103"/>
      <c r="BM16" s="103"/>
      <c r="BN16" s="103"/>
      <c r="BO16" s="103"/>
      <c r="BQ16" s="103"/>
      <c r="BR16" s="103"/>
      <c r="BS16" s="103"/>
      <c r="BT16" s="103"/>
      <c r="BU16" s="103"/>
      <c r="BW16" s="103"/>
      <c r="BX16" s="103"/>
      <c r="BY16" s="103"/>
      <c r="BZ16" s="103"/>
      <c r="CA16" s="103"/>
      <c r="CC16" s="103"/>
      <c r="CD16" s="103"/>
      <c r="CE16" s="103"/>
      <c r="CF16" s="103"/>
      <c r="CG16" s="103"/>
      <c r="CI16" s="103"/>
      <c r="CJ16" s="103"/>
      <c r="CK16" s="103"/>
      <c r="CL16" s="103"/>
      <c r="CM16" s="103"/>
      <c r="CO16" s="103"/>
      <c r="CP16" s="103"/>
      <c r="CQ16" s="103"/>
      <c r="CR16" s="103"/>
      <c r="CS16" s="103"/>
      <c r="CU16" s="103"/>
      <c r="CV16" s="103"/>
      <c r="CW16" s="103"/>
      <c r="CX16" s="103"/>
      <c r="CY16" s="103"/>
      <c r="DA16" s="103"/>
      <c r="DB16" s="103"/>
      <c r="DC16" s="103"/>
      <c r="DD16" s="103"/>
      <c r="DE16" s="103"/>
      <c r="DG16" s="103"/>
      <c r="DH16" s="103"/>
      <c r="DI16" s="103"/>
      <c r="DJ16" s="103"/>
      <c r="DK16" s="103"/>
    </row>
    <row r="17" spans="2:115" s="135" customFormat="1" ht="15" x14ac:dyDescent="0.3">
      <c r="B17" s="139" t="s">
        <v>95</v>
      </c>
      <c r="C17" s="141">
        <f>C25*1000/(C7*3)</f>
        <v>469.3095308373355</v>
      </c>
      <c r="D17" s="142">
        <f>D25*1000/(D7*3)</f>
        <v>498.5219468124543</v>
      </c>
      <c r="E17" s="142">
        <f>E25*1000/(E7*3)</f>
        <v>513.07098285740733</v>
      </c>
      <c r="F17" s="142">
        <f>F25*1000/(F7*3)</f>
        <v>520.67987681021395</v>
      </c>
      <c r="G17" s="149">
        <f>G25*1000/(G7*12)</f>
        <v>500.6069765223495</v>
      </c>
      <c r="H17" s="134"/>
      <c r="I17" s="141">
        <f>I25*1000/(I7*3)</f>
        <v>483.50144306584542</v>
      </c>
      <c r="J17" s="142">
        <f>J25*1000/(J7*3)</f>
        <v>507.56984020009526</v>
      </c>
      <c r="K17" s="142">
        <f>K25*1000/(K7*3)</f>
        <v>519.21839623791766</v>
      </c>
      <c r="L17" s="143">
        <f>L25*1000/(L7*3)</f>
        <v>490.06640087587664</v>
      </c>
      <c r="M17" s="149">
        <f>M25*1000/(M7*12)</f>
        <v>500.10514982398468</v>
      </c>
      <c r="N17" s="134"/>
      <c r="O17" s="141">
        <f>O25*1000/(O7*3)</f>
        <v>450.6600203083172</v>
      </c>
      <c r="P17" s="142">
        <f>P25*1000/(P7*3)</f>
        <v>491.39308988073282</v>
      </c>
      <c r="Q17" s="142">
        <f>Q25*1000/(Q7*3)</f>
        <v>470.78627613013805</v>
      </c>
      <c r="R17" s="143">
        <f>R25*1000/(R7*3)</f>
        <v>438.74748214612708</v>
      </c>
      <c r="S17" s="149">
        <f>S25*1000/(S7*12)</f>
        <v>462.86502644286043</v>
      </c>
      <c r="T17" s="134"/>
      <c r="U17" s="141">
        <f>U25*1000/(U7*3)</f>
        <v>414.00164940896178</v>
      </c>
      <c r="V17" s="142">
        <f>V25*1000/(V7*3)</f>
        <v>426.72623222160246</v>
      </c>
      <c r="W17" s="142">
        <f>W25*1000/(W7*3)</f>
        <v>419.95205544323898</v>
      </c>
      <c r="X17" s="142">
        <f>X25*1000/(X7*3)</f>
        <v>406.36959535557196</v>
      </c>
      <c r="Y17" s="149">
        <f>Y25*1000/(Y7*12)</f>
        <v>416.75795241179969</v>
      </c>
      <c r="AA17" s="141">
        <f>AA25*1000/(AA7*3)</f>
        <v>368.87482992580675</v>
      </c>
      <c r="AB17" s="142">
        <f>AB25*1000/(AB7*3)</f>
        <v>392.22334438265568</v>
      </c>
      <c r="AC17" s="142">
        <f>AC25*1000/(AC7*3)</f>
        <v>378.50069138828792</v>
      </c>
      <c r="AD17" s="142">
        <f>AD25*1000/(AD7*3)</f>
        <v>379.69870645135342</v>
      </c>
      <c r="AE17" s="149">
        <f>AE25*1000/(AE7*12)</f>
        <v>379.81347436482633</v>
      </c>
      <c r="AG17" s="141">
        <f>AG25*1000/(AG7*3)</f>
        <v>358.27059743548608</v>
      </c>
      <c r="AH17" s="142">
        <f>AH25*1000/(AH7*3)</f>
        <v>367.13653423980099</v>
      </c>
      <c r="AI17" s="142">
        <f>AI25*1000/(AI7*3)</f>
        <v>384.17725619361863</v>
      </c>
      <c r="AJ17" s="142">
        <f>AJ25*1000/(AJ7*3)</f>
        <v>342.80233518936836</v>
      </c>
      <c r="AK17" s="149">
        <f>AK25*1000/(AK7*12)</f>
        <v>363.04046339348997</v>
      </c>
      <c r="AM17" s="141">
        <f>AM25*1000/(AM7*3)</f>
        <v>303.30707976842132</v>
      </c>
      <c r="AN17" s="142">
        <f>AN25*1000/(AN7*3)</f>
        <v>301.81980858628032</v>
      </c>
      <c r="AO17" s="142">
        <f>AO25*1000/(AO7*3)</f>
        <v>284.18207787586596</v>
      </c>
      <c r="AP17" s="142">
        <f>AP25*1000/(AP7*3)</f>
        <v>273.82215801004418</v>
      </c>
      <c r="AQ17" s="149">
        <f>AQ25*1000/(AQ7*12)</f>
        <v>290.5897428919115</v>
      </c>
      <c r="AS17" s="141">
        <f>AS25*1000/(AS7*3)</f>
        <v>268.01237606639</v>
      </c>
      <c r="AT17" s="142">
        <f>AT25*1000/(AT7*3)</f>
        <v>265.40005478057731</v>
      </c>
      <c r="AU17" s="142">
        <f>AU25*1000/(AU7*3)</f>
        <v>266.80597386931299</v>
      </c>
      <c r="AV17" s="142">
        <f>AV25*1000/(AV7*3)</f>
        <v>259.5860971167491</v>
      </c>
      <c r="AW17" s="149">
        <f>AW25*1000/(AW7*12)</f>
        <v>264.93164257426633</v>
      </c>
      <c r="AY17" s="141">
        <f>AY25*1000/(AY7*3)</f>
        <v>244.93222977635367</v>
      </c>
      <c r="AZ17" s="142">
        <f>AZ25*1000/(AZ7*3)</f>
        <v>252.68987349514833</v>
      </c>
      <c r="BA17" s="142">
        <f>BA25*1000/(BA7*3)</f>
        <v>259.22096017366619</v>
      </c>
      <c r="BB17" s="142">
        <f>BB25*1000/(BB7*3)</f>
        <v>252.53517333333335</v>
      </c>
      <c r="BC17" s="149">
        <f>BC25*1000/(BC7*12)</f>
        <v>252.34226412229498</v>
      </c>
      <c r="BE17" s="141">
        <f>BE25*1000/(BE7*3)</f>
        <v>246.96822220376984</v>
      </c>
      <c r="BF17" s="142">
        <f>BF25*1000/(BF7*3)</f>
        <v>254.6878435283688</v>
      </c>
      <c r="BG17" s="142">
        <f>BG25*1000/(BG7*3)</f>
        <v>259.56472495142941</v>
      </c>
      <c r="BH17" s="142">
        <f>BH25*1000/(BH7*3)</f>
        <v>254.18181063812131</v>
      </c>
      <c r="BI17" s="149">
        <f>BI25*1000/(BI7*12)</f>
        <v>253.84659672594319</v>
      </c>
      <c r="BK17" s="141">
        <f>BK25*1000/(BK7*3)</f>
        <v>250.64437400515942</v>
      </c>
      <c r="BL17" s="142">
        <f>BL25*1000/(BL7*3)</f>
        <v>258.24143976493639</v>
      </c>
      <c r="BM17" s="142">
        <f>BM25*1000/(BM7*3)</f>
        <v>258.08021085070146</v>
      </c>
      <c r="BN17" s="142">
        <f>BN25*1000/(BN7*3)</f>
        <v>256.08581066493952</v>
      </c>
      <c r="BO17" s="149">
        <f>BO25*1000/(BO7*12)</f>
        <v>255.77840101057436</v>
      </c>
      <c r="BQ17" s="141">
        <f>BQ10+BQ13</f>
        <v>255.65726148526261</v>
      </c>
      <c r="BR17" s="142">
        <f>BR10+BR13</f>
        <v>265.98868295788452</v>
      </c>
      <c r="BS17" s="142">
        <f>BS10+BS13</f>
        <v>265.17741664909573</v>
      </c>
      <c r="BT17" s="142">
        <f>BT10+BT13</f>
        <v>260.56731235157594</v>
      </c>
      <c r="BU17" s="149">
        <f>BU25*1000/(BU7*12)</f>
        <v>261.85274938141015</v>
      </c>
      <c r="BW17" s="141">
        <f>BW10+BW13</f>
        <v>256.258807982875</v>
      </c>
      <c r="BX17" s="142">
        <f>BX10+BX13</f>
        <v>266.53098998139086</v>
      </c>
      <c r="BY17" s="142">
        <f>BY10+BY13</f>
        <v>265.91294525002024</v>
      </c>
      <c r="BZ17" s="142">
        <f>BZ10+BZ13</f>
        <v>261.43160196257014</v>
      </c>
      <c r="CA17" s="149">
        <f>CA25*1000/(CA7*12)</f>
        <v>262.53791261058643</v>
      </c>
      <c r="CC17" s="141">
        <f>CC10+CC13</f>
        <v>257.37768446843404</v>
      </c>
      <c r="CD17" s="142">
        <f>CD10+CD13</f>
        <v>268.18605936884433</v>
      </c>
      <c r="CE17" s="142">
        <f>CE10+CE13</f>
        <v>266.75802890045088</v>
      </c>
      <c r="CF17" s="142">
        <f>CF10+CF13</f>
        <v>262.34102669769402</v>
      </c>
      <c r="CG17" s="149">
        <f>CG25*1000/(CG7*12)</f>
        <v>263.6695254240035</v>
      </c>
      <c r="CI17" s="141">
        <f>CI10+CI13</f>
        <v>258.52435240218279</v>
      </c>
      <c r="CJ17" s="142">
        <f>CJ10+CJ13</f>
        <v>269.27887774639839</v>
      </c>
      <c r="CK17" s="142">
        <f>CK10+CK13</f>
        <v>267.84243420160652</v>
      </c>
      <c r="CL17" s="142">
        <f>CL10+CL13</f>
        <v>263.48573987458417</v>
      </c>
      <c r="CM17" s="149">
        <f>CM25*1000/(CM7*12)</f>
        <v>264.78663656851876</v>
      </c>
      <c r="CO17" s="141">
        <f>CO10+CO13</f>
        <v>258.38032051498044</v>
      </c>
      <c r="CP17" s="142">
        <f>CP10+CP13</f>
        <v>269.04430488348811</v>
      </c>
      <c r="CQ17" s="142">
        <f>CQ10+CQ13</f>
        <v>267.60696163657019</v>
      </c>
      <c r="CR17" s="142">
        <f>CR10+CR13</f>
        <v>263.31899459264304</v>
      </c>
      <c r="CS17" s="149">
        <f>CS25*1000/(CS7*12)</f>
        <v>264.59137598359524</v>
      </c>
      <c r="CU17" s="141">
        <f>CU10+CU13</f>
        <v>258.3928435580915</v>
      </c>
      <c r="CV17" s="142">
        <f>CV10+CV13</f>
        <v>268.97364507585473</v>
      </c>
      <c r="CW17" s="142">
        <f>CW10+CW13</f>
        <v>267.53454925770518</v>
      </c>
      <c r="CX17" s="142">
        <f>CX10+CX13</f>
        <v>263.31200820744601</v>
      </c>
      <c r="CY17" s="149">
        <f>CY25*1000/(CY7*12)</f>
        <v>264.55694064790674</v>
      </c>
      <c r="DA17" s="141">
        <f>DA10+DA13</f>
        <v>258.5602695630804</v>
      </c>
      <c r="DB17" s="142">
        <f>DB10+DB13</f>
        <v>269.06511844922784</v>
      </c>
      <c r="DC17" s="142">
        <f>DC10+DC13</f>
        <v>267.62342517961076</v>
      </c>
      <c r="DD17" s="142">
        <f>DD10+DD13</f>
        <v>263.46308308285654</v>
      </c>
      <c r="DE17" s="149">
        <f>DE25*1000/(DE7*12)</f>
        <v>264.6816050843417</v>
      </c>
      <c r="DG17" s="141">
        <f>DG10+DG13</f>
        <v>258.88105701415424</v>
      </c>
      <c r="DH17" s="142">
        <f>DH10+DH13</f>
        <v>269.31706127591264</v>
      </c>
      <c r="DI17" s="142">
        <f>DI10+DI13</f>
        <v>267.87193307185191</v>
      </c>
      <c r="DJ17" s="142">
        <f>DJ10+DJ13</f>
        <v>263.7706344144375</v>
      </c>
      <c r="DK17" s="149">
        <f>DK25*1000/(DK7*12)</f>
        <v>264.96375756927881</v>
      </c>
    </row>
    <row r="18" spans="2:115" ht="15" x14ac:dyDescent="0.3">
      <c r="B18" s="5" t="s">
        <v>23</v>
      </c>
      <c r="C18" s="144" t="s">
        <v>35</v>
      </c>
      <c r="D18" s="107" t="s">
        <v>35</v>
      </c>
      <c r="E18" s="107" t="s">
        <v>35</v>
      </c>
      <c r="F18" s="107" t="s">
        <v>35</v>
      </c>
      <c r="G18" s="138" t="s">
        <v>35</v>
      </c>
      <c r="H18" s="107"/>
      <c r="I18" s="151">
        <f>I17/C17-1</f>
        <v>3.0239982987749991E-2</v>
      </c>
      <c r="J18" s="133">
        <f>J17/D17-1</f>
        <v>1.8149438445976385E-2</v>
      </c>
      <c r="K18" s="133">
        <f>K17/E17-1</f>
        <v>1.198160407800497E-2</v>
      </c>
      <c r="L18" s="152">
        <f>L17/F17-1</f>
        <v>-5.8795197006424438E-2</v>
      </c>
      <c r="M18" s="153">
        <f>M17/G17-1</f>
        <v>-1.002436485905478E-3</v>
      </c>
      <c r="N18" s="107"/>
      <c r="O18" s="151">
        <f>O17/I17-1</f>
        <v>-6.7924146305093247E-2</v>
      </c>
      <c r="P18" s="133">
        <f>P17/J17-1</f>
        <v>-3.1870984125032309E-2</v>
      </c>
      <c r="Q18" s="133">
        <f>Q17/K17-1</f>
        <v>-9.327889854963245E-2</v>
      </c>
      <c r="R18" s="152">
        <f>R17/L17-1</f>
        <v>-0.10471829661864029</v>
      </c>
      <c r="S18" s="153">
        <f>S17/M17-1</f>
        <v>-7.4464586885840234E-2</v>
      </c>
      <c r="T18" s="107"/>
      <c r="U18" s="151">
        <f>U17/O17-1</f>
        <v>-8.1343738622023154E-2</v>
      </c>
      <c r="V18" s="133">
        <f>V17/P17-1</f>
        <v>-0.13159903749323343</v>
      </c>
      <c r="W18" s="133">
        <f>W17/Q17-1</f>
        <v>-0.10797727814998392</v>
      </c>
      <c r="X18" s="133">
        <f>X17/R17-1</f>
        <v>-7.3796176862780283E-2</v>
      </c>
      <c r="Y18" s="153">
        <f>Y17/S17-1</f>
        <v>-9.9612352191298159E-2</v>
      </c>
      <c r="AA18" s="151">
        <f>AA17/U17-1</f>
        <v>-0.10900154515707638</v>
      </c>
      <c r="AB18" s="133">
        <f>AB17/V17-1</f>
        <v>-8.0854855487368149E-2</v>
      </c>
      <c r="AC18" s="133">
        <f>AC17/W17-1</f>
        <v>-9.8704991480994542E-2</v>
      </c>
      <c r="AD18" s="133">
        <f>AD17/X17-1</f>
        <v>-6.5632097501983622E-2</v>
      </c>
      <c r="AE18" s="153">
        <f>AE17/Y17-1</f>
        <v>-8.8647325943449373E-2</v>
      </c>
      <c r="AG18" s="151">
        <f>AG17/AA17-1</f>
        <v>-2.8747508992287507E-2</v>
      </c>
      <c r="AH18" s="133">
        <f>AH17/AB17-1</f>
        <v>-6.3960522753535587E-2</v>
      </c>
      <c r="AI18" s="133">
        <f>AI17/AC17-1</f>
        <v>1.4997501813034608E-2</v>
      </c>
      <c r="AJ18" s="133">
        <f>AJ17/AD17-1</f>
        <v>-9.717275996754593E-2</v>
      </c>
      <c r="AK18" s="153">
        <f>AK17/AE17-1</f>
        <v>-4.4161179377288806E-2</v>
      </c>
      <c r="AM18" s="151">
        <f>AM17/AG17-1</f>
        <v>-0.15341342008106618</v>
      </c>
      <c r="AN18" s="133">
        <f>AN17/AH17-1</f>
        <v>-0.17790854235949738</v>
      </c>
      <c r="AO18" s="133">
        <f>AO17/AI17-1</f>
        <v>-0.26028396190990766</v>
      </c>
      <c r="AP18" s="133">
        <f>AP17/AJ17-1</f>
        <v>-0.20122435029860186</v>
      </c>
      <c r="AQ18" s="153">
        <f>AQ17/AK17-1</f>
        <v>-0.19956651615181265</v>
      </c>
      <c r="AS18" s="151">
        <f>AS17/AM17-1</f>
        <v>-0.11636623757341658</v>
      </c>
      <c r="AT18" s="133">
        <f>AT17/AN17-1</f>
        <v>-0.12066720861129898</v>
      </c>
      <c r="AU18" s="133">
        <f>AU17/AO17-1</f>
        <v>-6.114426404519091E-2</v>
      </c>
      <c r="AV18" s="133">
        <f>AV17/AP17-1</f>
        <v>-5.1990171273038066E-2</v>
      </c>
      <c r="AW18" s="153">
        <f>AW17/AQ17-1</f>
        <v>-8.8296648265348554E-2</v>
      </c>
      <c r="AY18" s="151">
        <f>AY17/AS17-1</f>
        <v>-8.6115972063615098E-2</v>
      </c>
      <c r="AZ18" s="133">
        <f>AZ17/AT17-1</f>
        <v>-4.7890650572537607E-2</v>
      </c>
      <c r="BA18" s="133">
        <f>BA17/AU17-1</f>
        <v>-2.8428950018046129E-2</v>
      </c>
      <c r="BB18" s="133">
        <f>BB17/AV17-1</f>
        <v>-2.7162178027757E-2</v>
      </c>
      <c r="BC18" s="153">
        <f>BC17/AW17-1</f>
        <v>-4.7519346234537685E-2</v>
      </c>
      <c r="BE18" s="151">
        <f>BE17/AY17-1</f>
        <v>8.3124725123975285E-3</v>
      </c>
      <c r="BF18" s="133">
        <f>BF17/AZ17-1</f>
        <v>7.9068068917247381E-3</v>
      </c>
      <c r="BG18" s="133">
        <f>BG17/BA17-1</f>
        <v>1.3261457620283856E-3</v>
      </c>
      <c r="BH18" s="133">
        <f>BH17/BB17-1</f>
        <v>6.5204275628349961E-3</v>
      </c>
      <c r="BI18" s="153">
        <f>BI17/BC17-1</f>
        <v>5.9614769998226347E-3</v>
      </c>
      <c r="BK18" s="151">
        <f>BK17/BE17-1</f>
        <v>1.4885120719524858E-2</v>
      </c>
      <c r="BL18" s="133">
        <f>BL17/BF17-1</f>
        <v>1.3952751679613407E-2</v>
      </c>
      <c r="BM18" s="133">
        <f>BM17/BG17-1</f>
        <v>-5.7192444042838408E-3</v>
      </c>
      <c r="BN18" s="133">
        <f>BN17/BH17-1</f>
        <v>7.4907013292502267E-3</v>
      </c>
      <c r="BO18" s="153">
        <f>BO17/BI17-1</f>
        <v>7.6101248137543376E-3</v>
      </c>
      <c r="BQ18" s="151">
        <f>BQ17/BK17-1</f>
        <v>2.0000000000000018E-2</v>
      </c>
      <c r="BR18" s="133">
        <f>BR17/BL17-1</f>
        <v>3.0000000000000249E-2</v>
      </c>
      <c r="BS18" s="133">
        <f>BS17/BM17-1</f>
        <v>2.7499999999999858E-2</v>
      </c>
      <c r="BT18" s="152">
        <f>BT17/BN17-1</f>
        <v>1.7499999999999849E-2</v>
      </c>
      <c r="BU18" s="153">
        <f>BU17/BO17-1</f>
        <v>2.3748480508268832E-2</v>
      </c>
      <c r="BW18" s="151">
        <f>BW17/BQ17-1</f>
        <v>2.3529411764706687E-3</v>
      </c>
      <c r="BX18" s="133">
        <f>BX17/BR17-1</f>
        <v>2.038834951456181E-3</v>
      </c>
      <c r="BY18" s="133">
        <f>BY17/BS17-1</f>
        <v>2.7737226277373406E-3</v>
      </c>
      <c r="BZ18" s="152">
        <f>BZ17/BT17-1</f>
        <v>3.3169533169534748E-3</v>
      </c>
      <c r="CA18" s="153">
        <f>CA17/BU17-1</f>
        <v>2.6165974227685407E-3</v>
      </c>
      <c r="CC18" s="151">
        <f>CC17/BW17-1</f>
        <v>4.3661971830986079E-3</v>
      </c>
      <c r="CD18" s="133">
        <f>CD17/BX17-1</f>
        <v>6.2096696056583855E-3</v>
      </c>
      <c r="CE18" s="133">
        <f>CE17/BY17-1</f>
        <v>3.1780462949484445E-3</v>
      </c>
      <c r="CF18" s="152">
        <f>CF17/BZ17-1</f>
        <v>3.4786335251622003E-3</v>
      </c>
      <c r="CG18" s="153">
        <f>CG17/CA17-1</f>
        <v>4.3102834259809431E-3</v>
      </c>
      <c r="CI18" s="151">
        <f>CI17/CC17-1</f>
        <v>4.4551956247371738E-3</v>
      </c>
      <c r="CJ18" s="133">
        <f>CJ17/CD17-1</f>
        <v>4.0748515419701814E-3</v>
      </c>
      <c r="CK18" s="133">
        <f>CK17/CE17-1</f>
        <v>4.0651271327256655E-3</v>
      </c>
      <c r="CL18" s="152">
        <f>CL17/CF17-1</f>
        <v>4.3634546654771622E-3</v>
      </c>
      <c r="CM18" s="153">
        <f>CM17/CG17-1</f>
        <v>4.236785205718574E-3</v>
      </c>
      <c r="CO18" s="151">
        <f>CO17/CI17-1</f>
        <v>-5.5713083067032709E-4</v>
      </c>
      <c r="CP18" s="133">
        <f>CP17/CJ17-1</f>
        <v>-8.7111497520131476E-4</v>
      </c>
      <c r="CQ18" s="133">
        <f>CQ17/CK17-1</f>
        <v>-8.7914585206871898E-4</v>
      </c>
      <c r="CR18" s="152">
        <f>CR17/CL17-1</f>
        <v>-6.3284366744287279E-4</v>
      </c>
      <c r="CS18" s="153">
        <f>CS17/CM17-1</f>
        <v>-7.3742613091798415E-4</v>
      </c>
      <c r="CU18" s="151">
        <f>CU17/CO17-1</f>
        <v>4.8467480364244864E-5</v>
      </c>
      <c r="CV18" s="133">
        <f>CV17/CP17-1</f>
        <v>-2.6263260864778371E-4</v>
      </c>
      <c r="CW18" s="133">
        <f>CW17/CQ17-1</f>
        <v>-2.7059228363179866E-4</v>
      </c>
      <c r="CX18" s="152">
        <f>CX17/CR17-1</f>
        <v>-2.6532021390357485E-5</v>
      </c>
      <c r="CY18" s="153">
        <f>CY17/CS17-1</f>
        <v>-1.3014534415756174E-4</v>
      </c>
      <c r="DA18" s="151">
        <f>DA17/CU17-1</f>
        <v>6.4795140098872217E-4</v>
      </c>
      <c r="DB18" s="133">
        <f>DB17/CV17-1</f>
        <v>3.4008303433341602E-4</v>
      </c>
      <c r="DC18" s="133">
        <f>DC17/CW17-1</f>
        <v>3.3220353091656385E-4</v>
      </c>
      <c r="DD18" s="152">
        <f>DD17/CX17-1</f>
        <v>5.7374852153158074E-4</v>
      </c>
      <c r="DE18" s="153">
        <f>DE17/CY17-1</f>
        <v>4.712196781897493E-4</v>
      </c>
      <c r="DG18" s="151">
        <f>DG17/DA17-1</f>
        <v>1.2406679944134691E-3</v>
      </c>
      <c r="DH18" s="133">
        <f>DH17/DB17-1</f>
        <v>9.3636376256012177E-4</v>
      </c>
      <c r="DI18" s="133">
        <f>DI17/DC17-1</f>
        <v>9.2857302037141487E-4</v>
      </c>
      <c r="DJ18" s="152">
        <f>DJ17/DD17-1</f>
        <v>1.1673412759851676E-3</v>
      </c>
      <c r="DK18" s="153">
        <f>DK17/DE17-1</f>
        <v>1.0660071554546846E-3</v>
      </c>
    </row>
    <row r="19" spans="2:115" ht="15" x14ac:dyDescent="0.3">
      <c r="B19" s="5"/>
      <c r="C19" s="144"/>
      <c r="D19" s="107"/>
      <c r="E19" s="107"/>
      <c r="F19" s="107"/>
      <c r="G19" s="138"/>
      <c r="H19" s="107"/>
      <c r="I19" s="151"/>
      <c r="J19" s="133"/>
      <c r="K19" s="133"/>
      <c r="L19" s="152"/>
      <c r="M19" s="153"/>
      <c r="N19" s="107"/>
      <c r="O19" s="151"/>
      <c r="P19" s="133"/>
      <c r="Q19" s="133"/>
      <c r="R19" s="152"/>
      <c r="S19" s="153"/>
      <c r="T19" s="107"/>
      <c r="U19" s="151"/>
      <c r="V19" s="133"/>
      <c r="W19" s="133"/>
      <c r="X19" s="152"/>
      <c r="Y19" s="153"/>
      <c r="AA19" s="151"/>
      <c r="AB19" s="133"/>
      <c r="AC19" s="133"/>
      <c r="AD19" s="152"/>
      <c r="AE19" s="153"/>
      <c r="AG19" s="151"/>
      <c r="AH19" s="133"/>
      <c r="AI19" s="133"/>
      <c r="AJ19" s="152"/>
      <c r="AK19" s="153"/>
      <c r="AM19" s="151"/>
      <c r="AN19" s="133"/>
      <c r="AO19" s="133"/>
      <c r="AP19" s="133"/>
      <c r="AQ19" s="153"/>
      <c r="AS19" s="151"/>
      <c r="AT19" s="133"/>
      <c r="AU19" s="133"/>
      <c r="AV19" s="133"/>
      <c r="AW19" s="153"/>
      <c r="AY19" s="151"/>
      <c r="AZ19" s="133"/>
      <c r="BA19" s="133"/>
      <c r="BB19" s="133"/>
      <c r="BC19" s="153"/>
      <c r="BE19" s="151"/>
      <c r="BF19" s="133"/>
      <c r="BG19" s="133"/>
      <c r="BH19" s="133"/>
      <c r="BI19" s="153"/>
      <c r="BK19" s="151"/>
      <c r="BL19" s="133"/>
      <c r="BM19" s="133"/>
      <c r="BN19" s="133"/>
      <c r="BO19" s="153"/>
      <c r="BQ19" s="151"/>
      <c r="BR19" s="133"/>
      <c r="BS19" s="133"/>
      <c r="BT19" s="152"/>
      <c r="BU19" s="153"/>
      <c r="BW19" s="151"/>
      <c r="BX19" s="133"/>
      <c r="BY19" s="133"/>
      <c r="BZ19" s="152"/>
      <c r="CA19" s="153"/>
      <c r="CC19" s="151"/>
      <c r="CD19" s="133"/>
      <c r="CE19" s="133"/>
      <c r="CF19" s="152"/>
      <c r="CG19" s="153"/>
      <c r="CI19" s="151"/>
      <c r="CJ19" s="133"/>
      <c r="CK19" s="133"/>
      <c r="CL19" s="152"/>
      <c r="CM19" s="153"/>
      <c r="CO19" s="151"/>
      <c r="CP19" s="133"/>
      <c r="CQ19" s="133"/>
      <c r="CR19" s="152"/>
      <c r="CS19" s="153"/>
      <c r="CU19" s="151"/>
      <c r="CV19" s="133"/>
      <c r="CW19" s="133"/>
      <c r="CX19" s="152"/>
      <c r="CY19" s="153"/>
      <c r="DA19" s="151"/>
      <c r="DB19" s="133"/>
      <c r="DC19" s="133"/>
      <c r="DD19" s="152"/>
      <c r="DE19" s="153"/>
      <c r="DG19" s="151"/>
      <c r="DH19" s="133"/>
      <c r="DI19" s="133"/>
      <c r="DJ19" s="152"/>
      <c r="DK19" s="153"/>
    </row>
    <row r="20" spans="2:115" ht="15" x14ac:dyDescent="0.3">
      <c r="B20" s="105" t="s">
        <v>96</v>
      </c>
      <c r="C20" s="264">
        <f>C28*1000/(C7*3)</f>
        <v>16.73557786965938</v>
      </c>
      <c r="D20" s="265">
        <f>D28*1000/(D7*3)</f>
        <v>17.627736039288386</v>
      </c>
      <c r="E20" s="265">
        <f>E28*1000/(E7*3)</f>
        <v>18.36281047646661</v>
      </c>
      <c r="F20" s="265">
        <f>F28*1000/(F7*3)</f>
        <v>19.405739008716676</v>
      </c>
      <c r="G20" s="267">
        <f>G28*1000/(G7*12)</f>
        <v>18.044237485448196</v>
      </c>
      <c r="H20" s="129"/>
      <c r="I20" s="264">
        <f>I28*1000/(I7*3)</f>
        <v>18.904906423874557</v>
      </c>
      <c r="J20" s="265">
        <f>J28*1000/(J7*3)</f>
        <v>20.404307576043831</v>
      </c>
      <c r="K20" s="265">
        <f>K28*1000/(K7*3)</f>
        <v>21.547563443873578</v>
      </c>
      <c r="L20" s="266">
        <f>L28*1000/(L7*3)</f>
        <v>19.357622834597127</v>
      </c>
      <c r="M20" s="267">
        <f>M28*1000/(M7*12)</f>
        <v>20.055179097595097</v>
      </c>
      <c r="N20" s="129"/>
      <c r="O20" s="264">
        <f>O17/O23</f>
        <v>16.308194098279948</v>
      </c>
      <c r="P20" s="265">
        <f>P17/P23</f>
        <v>18.443378827001105</v>
      </c>
      <c r="Q20" s="265">
        <f>Q17/Q23</f>
        <v>18.363786612799561</v>
      </c>
      <c r="R20" s="266">
        <f>R17/R23</f>
        <v>16.907770249649026</v>
      </c>
      <c r="S20" s="267">
        <f>S28*1000/(S7*12)</f>
        <v>17.505940062849696</v>
      </c>
      <c r="U20" s="264">
        <f>U17/U23</f>
        <v>16.005375851431015</v>
      </c>
      <c r="V20" s="265">
        <f>V17/V23</f>
        <v>16.677357280307888</v>
      </c>
      <c r="W20" s="265">
        <f>W17/W23</f>
        <v>16.843647015745148</v>
      </c>
      <c r="X20" s="266">
        <f>X17/X23</f>
        <v>16.399939033683889</v>
      </c>
      <c r="Y20" s="267">
        <f>Y28*1000/(Y7*12)</f>
        <v>16.481629850062951</v>
      </c>
      <c r="AA20" s="264">
        <f>AA17/AA23</f>
        <v>15.13902878246803</v>
      </c>
      <c r="AB20" s="265">
        <f>AB17/AB23</f>
        <v>16.128537699690309</v>
      </c>
      <c r="AC20" s="265">
        <f>AC17/AC23</f>
        <v>15.521064301552107</v>
      </c>
      <c r="AD20" s="265">
        <f>AD17/AD23</f>
        <v>15.027829313543602</v>
      </c>
      <c r="AE20" s="267">
        <f>AE28*1000/(AE7*12)</f>
        <v>15.454573386179986</v>
      </c>
      <c r="AG20" s="264">
        <f>AG17/AG23</f>
        <v>14.283496351498217</v>
      </c>
      <c r="AH20" s="265">
        <f>AH17/AH23</f>
        <v>14.53732177802628</v>
      </c>
      <c r="AI20" s="265">
        <f>AI17/AI23</f>
        <v>15.31999011613541</v>
      </c>
      <c r="AJ20" s="265">
        <f>AJ17/AJ23</f>
        <v>13.622896239958461</v>
      </c>
      <c r="AK20" s="267">
        <f>AK28*1000/(AK7*12)</f>
        <v>14.438704994865381</v>
      </c>
      <c r="AM20" s="264">
        <f>AM17/AM23</f>
        <v>11.866040236116133</v>
      </c>
      <c r="AN20" s="265">
        <f>AN17/AN23</f>
        <v>11.687579721752543</v>
      </c>
      <c r="AO20" s="265">
        <f>AO17/AO23</f>
        <v>10.994152046783627</v>
      </c>
      <c r="AP20" s="265">
        <f>AP17/AP23</f>
        <v>10.261731811368616</v>
      </c>
      <c r="AQ20" s="267">
        <f>AQ28*1000/(AQ7*12)</f>
        <v>11.192353855103198</v>
      </c>
      <c r="AS20" s="264">
        <f>AS17/AS23</f>
        <v>9.7646825058900344</v>
      </c>
      <c r="AT20" s="265">
        <f>AT17/AT23</f>
        <v>9.6699836959577237</v>
      </c>
      <c r="AU20" s="265">
        <f>AU17/AU23</f>
        <v>9.6602172152888297</v>
      </c>
      <c r="AV20" s="265">
        <f>AV17/AV23</f>
        <v>9.3943689374357273</v>
      </c>
      <c r="AW20" s="267">
        <f>AW28*1000/(AW7*12)</f>
        <v>9.6213858442205069</v>
      </c>
      <c r="AY20" s="264">
        <f>AY17/AY23</f>
        <v>8.8940771005308648</v>
      </c>
      <c r="AZ20" s="265">
        <f>AZ17/AZ23</f>
        <v>9.2306836822642975</v>
      </c>
      <c r="BA20" s="265">
        <f>BA17/BA23</f>
        <v>9.573905541176142</v>
      </c>
      <c r="BB20" s="265">
        <f>BB17/BB23</f>
        <v>9.3333333333333339</v>
      </c>
      <c r="BC20" s="267">
        <f>BC28*1000/(BC7*12)</f>
        <v>9.2579077962426233</v>
      </c>
      <c r="BE20" s="264">
        <f>BE17/BE23</f>
        <v>9.1339367267292211</v>
      </c>
      <c r="BF20" s="265">
        <f>BF17/BF23</f>
        <v>9.4193262411347529</v>
      </c>
      <c r="BG20" s="265">
        <f>BG17/BG23</f>
        <v>9.603108520677214</v>
      </c>
      <c r="BH20" s="265">
        <f>BH17/BH23</f>
        <v>9.4044754238928991</v>
      </c>
      <c r="BI20" s="267">
        <f>BI28*1000/(BI7*12)</f>
        <v>9.3900614924380914</v>
      </c>
      <c r="BK20" s="264">
        <f>BK17/BK23</f>
        <v>9.2760305175915239</v>
      </c>
      <c r="BL20" s="265">
        <f>BL17/BL23</f>
        <v>9.6310806398955293</v>
      </c>
      <c r="BM20" s="265">
        <f>BM17/BM23</f>
        <v>9.8937636850214901</v>
      </c>
      <c r="BN20" s="265">
        <f>BN17/BN23</f>
        <v>9.9848877374784095</v>
      </c>
      <c r="BO20" s="267">
        <f>BO28*1000/(BO7*12)</f>
        <v>9.6982539068071141</v>
      </c>
      <c r="BQ20" s="264">
        <f>BQ17/BQ23</f>
        <v>9.4687874624171329</v>
      </c>
      <c r="BR20" s="265">
        <f>BR17/BR23</f>
        <v>9.851432702143871</v>
      </c>
      <c r="BS20" s="265">
        <f>BS17/BS23</f>
        <v>9.8213858018183604</v>
      </c>
      <c r="BT20" s="265">
        <f>BT17/BT23</f>
        <v>9.6506411982065163</v>
      </c>
      <c r="BU20" s="267">
        <f>BU28*1000/(BU7*12)</f>
        <v>9.6982499770892634</v>
      </c>
      <c r="BW20" s="264">
        <f>BW17/BW23</f>
        <v>9.4910669623287038</v>
      </c>
      <c r="BX20" s="265">
        <f>BX17/BX23</f>
        <v>9.8715181474589215</v>
      </c>
      <c r="BY20" s="265">
        <f>BY17/BY23</f>
        <v>9.848627601852602</v>
      </c>
      <c r="BZ20" s="265">
        <f>BZ17/BZ23</f>
        <v>9.6826519245396341</v>
      </c>
      <c r="CA20" s="267">
        <f>CA28*1000/(CA7*12)</f>
        <v>9.7236263929846825</v>
      </c>
      <c r="CC20" s="264">
        <f>CC17/CC23</f>
        <v>9.5325068321642235</v>
      </c>
      <c r="CD20" s="265">
        <f>CD17/CD23</f>
        <v>9.9328170136609018</v>
      </c>
      <c r="CE20" s="265">
        <f>CE17/CE23</f>
        <v>9.8799269963129959</v>
      </c>
      <c r="CF20" s="265">
        <f>CF17/CF23</f>
        <v>9.7163343221368148</v>
      </c>
      <c r="CG20" s="267">
        <f>CG28*1000/(CG7*12)</f>
        <v>9.7655379786667957</v>
      </c>
      <c r="CI20" s="264">
        <f>CI17/CI23</f>
        <v>9.5749760148956593</v>
      </c>
      <c r="CJ20" s="265">
        <f>CJ17/CJ23</f>
        <v>9.9732917683851259</v>
      </c>
      <c r="CK20" s="265">
        <f>CK17/CK23</f>
        <v>9.9200901556150569</v>
      </c>
      <c r="CL20" s="265">
        <f>CL17/CL23</f>
        <v>9.7587311064660796</v>
      </c>
      <c r="CM20" s="267">
        <f>CM28*1000/(CM7*12)</f>
        <v>9.8069124655006945</v>
      </c>
      <c r="CO20" s="264">
        <f>CO17/CO23</f>
        <v>9.5696415005548303</v>
      </c>
      <c r="CP20" s="265">
        <f>CP17/CP23</f>
        <v>9.9646038845736342</v>
      </c>
      <c r="CQ20" s="265">
        <f>CQ17/CQ23</f>
        <v>9.9113689495026005</v>
      </c>
      <c r="CR20" s="265">
        <f>CR17/CR23</f>
        <v>9.752555355283075</v>
      </c>
      <c r="CS20" s="267">
        <f>CS28*1000/(CS7*12)</f>
        <v>9.799680591985009</v>
      </c>
      <c r="CU20" s="264">
        <f>CU17/CU23</f>
        <v>9.5701053169663517</v>
      </c>
      <c r="CV20" s="265">
        <f>CV17/CV23</f>
        <v>9.9619868546612871</v>
      </c>
      <c r="CW20" s="265">
        <f>CW17/CW23</f>
        <v>9.9086870095446358</v>
      </c>
      <c r="CX20" s="265">
        <f>CX17/CX23</f>
        <v>9.7522966002757787</v>
      </c>
      <c r="CY20" s="267">
        <f>CY28*1000/(CY7*12)</f>
        <v>9.7984052091817286</v>
      </c>
      <c r="DA20" s="264">
        <f>DA17/DA23</f>
        <v>9.576306280114089</v>
      </c>
      <c r="DB20" s="265">
        <f>DB17/DB23</f>
        <v>9.9653747573788092</v>
      </c>
      <c r="DC20" s="265">
        <f>DC17/DC23</f>
        <v>9.9119787103559549</v>
      </c>
      <c r="DD20" s="265">
        <f>DD17/DD23</f>
        <v>9.7578919660317229</v>
      </c>
      <c r="DE20" s="267">
        <f>DE28*1000/(DE7*12)</f>
        <v>9.8030224105311738</v>
      </c>
      <c r="DG20" s="264">
        <f>DG17/DG23</f>
        <v>9.5881872968205268</v>
      </c>
      <c r="DH20" s="265">
        <f>DH17/DH23</f>
        <v>9.9747059731819494</v>
      </c>
      <c r="DI20" s="265">
        <f>DI17/DI23</f>
        <v>9.9211827063648865</v>
      </c>
      <c r="DJ20" s="265">
        <f>DJ17/DJ23</f>
        <v>9.7692827560902771</v>
      </c>
      <c r="DK20" s="267">
        <f>DK28*1000/(DK7*12)</f>
        <v>9.8134725025658813</v>
      </c>
    </row>
    <row r="21" spans="2:115" s="241" customFormat="1" ht="15.75" thickBot="1" x14ac:dyDescent="0.35">
      <c r="B21" s="140" t="s">
        <v>23</v>
      </c>
      <c r="C21" s="155" t="s">
        <v>35</v>
      </c>
      <c r="D21" s="106" t="s">
        <v>35</v>
      </c>
      <c r="E21" s="106" t="s">
        <v>35</v>
      </c>
      <c r="F21" s="106" t="s">
        <v>35</v>
      </c>
      <c r="G21" s="108" t="s">
        <v>35</v>
      </c>
      <c r="H21" s="107"/>
      <c r="I21" s="109">
        <f>I20/C20-1</f>
        <v>0.12962376149245758</v>
      </c>
      <c r="J21" s="110">
        <f>J20/D20-1</f>
        <v>0.15751152221516529</v>
      </c>
      <c r="K21" s="110">
        <f>K20/E20-1</f>
        <v>0.17343494186189412</v>
      </c>
      <c r="L21" s="120">
        <f>L20/F20-1</f>
        <v>-2.4794816676620979E-3</v>
      </c>
      <c r="M21" s="122">
        <f>M20/G20-1</f>
        <v>0.11144508676349596</v>
      </c>
      <c r="N21" s="107"/>
      <c r="O21" s="109">
        <f>O20/I20-1</f>
        <v>-0.1373565289016867</v>
      </c>
      <c r="P21" s="110">
        <f>P20/J20-1</f>
        <v>-9.6103665450769871E-2</v>
      </c>
      <c r="Q21" s="110">
        <f>Q20/K20-1</f>
        <v>-0.1477557701299741</v>
      </c>
      <c r="R21" s="120">
        <f>R20/L20-1</f>
        <v>-0.12655751203962784</v>
      </c>
      <c r="S21" s="122">
        <f>S20/M20-1</f>
        <v>-0.12711125751308261</v>
      </c>
      <c r="T21" s="107"/>
      <c r="U21" s="109">
        <f>U20/O20-1</f>
        <v>-1.8568472083666965E-2</v>
      </c>
      <c r="V21" s="110">
        <f>V20/P20-1</f>
        <v>-9.5753688261706271E-2</v>
      </c>
      <c r="W21" s="110">
        <f>W20/Q20-1</f>
        <v>-8.277920175759812E-2</v>
      </c>
      <c r="X21" s="120">
        <f>X20/R20-1</f>
        <v>-3.003537476951923E-2</v>
      </c>
      <c r="Y21" s="122">
        <f>Y20/S20-1</f>
        <v>-5.8512151253190314E-2</v>
      </c>
      <c r="AA21" s="109">
        <f>AA20/U20-1</f>
        <v>-5.4128505135074834E-2</v>
      </c>
      <c r="AB21" s="110">
        <f>AB20/V20-1</f>
        <v>-3.290806639164634E-2</v>
      </c>
      <c r="AC21" s="110">
        <f>AC20/W20-1</f>
        <v>-7.8521160705678161E-2</v>
      </c>
      <c r="AD21" s="110">
        <f>AD20/X20-1</f>
        <v>-8.3665537860970529E-2</v>
      </c>
      <c r="AE21" s="122">
        <f>AE20/Y20-1</f>
        <v>-6.2315224478788012E-2</v>
      </c>
      <c r="AG21" s="109">
        <f>AG20/AA20-1</f>
        <v>-5.6511711765854789E-2</v>
      </c>
      <c r="AH21" s="110">
        <f>AH20/AB20-1</f>
        <v>-9.8658412268496143E-2</v>
      </c>
      <c r="AI21" s="110">
        <f>AI20/AC20-1</f>
        <v>-1.2954922517561474E-2</v>
      </c>
      <c r="AJ21" s="110">
        <f>AJ20/AD20-1</f>
        <v>-9.3488756378072968E-2</v>
      </c>
      <c r="AK21" s="122">
        <f>AK20/AE20-1</f>
        <v>-6.5732541813352752E-2</v>
      </c>
      <c r="AM21" s="109">
        <f>AM20/AG20-1</f>
        <v>-0.16924820477365221</v>
      </c>
      <c r="AN21" s="110">
        <f>AN20/AH20-1</f>
        <v>-0.19602937183252223</v>
      </c>
      <c r="AO21" s="110">
        <f>AO20/AI20-1</f>
        <v>-0.28236559139784934</v>
      </c>
      <c r="AP21" s="110">
        <f>AP20/AJ20-1</f>
        <v>-0.24672906329058952</v>
      </c>
      <c r="AQ21" s="122">
        <f>AQ20/AK20-1</f>
        <v>-0.22483672468664151</v>
      </c>
      <c r="AS21" s="109">
        <f>AS20/AM20-1</f>
        <v>-0.17709005602646533</v>
      </c>
      <c r="AT21" s="110">
        <f>AT20/AN20-1</f>
        <v>-0.17262735945575935</v>
      </c>
      <c r="AU21" s="110">
        <f>AU20/AO20-1</f>
        <v>-0.12133130648170765</v>
      </c>
      <c r="AV21" s="110">
        <f>AV20/AP20-1</f>
        <v>-8.4524024782246521E-2</v>
      </c>
      <c r="AW21" s="122">
        <f>AW20/AQ20-1</f>
        <v>-0.14036082411443784</v>
      </c>
      <c r="AY21" s="109">
        <f>AY20/AS20-1</f>
        <v>-8.9158598329645899E-2</v>
      </c>
      <c r="AZ21" s="110">
        <f>AZ20/AT20-1</f>
        <v>-4.542924036956375E-2</v>
      </c>
      <c r="BA21" s="110">
        <f>BA20/AU20-1</f>
        <v>-8.9347550048963775E-3</v>
      </c>
      <c r="BB21" s="110">
        <f>BB20/AV20-1</f>
        <v>-6.4970414201184212E-3</v>
      </c>
      <c r="BC21" s="122">
        <f>BC20/AW20-1</f>
        <v>-3.7778138603205669E-2</v>
      </c>
      <c r="BE21" s="109">
        <f>BE20/AY20-1</f>
        <v>2.6968467159345755E-2</v>
      </c>
      <c r="BF21" s="110">
        <f>BF20/AZ20-1</f>
        <v>2.0436466611125415E-2</v>
      </c>
      <c r="BG21" s="110">
        <f>BG20/BA20-1</f>
        <v>3.0502681873634252E-3</v>
      </c>
      <c r="BH21" s="110">
        <f>BH20/BB20-1</f>
        <v>7.6223668456676386E-3</v>
      </c>
      <c r="BI21" s="122">
        <f>BI20/BC20-1</f>
        <v>1.4274682693329765E-2</v>
      </c>
      <c r="BK21" s="109">
        <f>BK20/BE20-1</f>
        <v>1.5556686575951995E-2</v>
      </c>
      <c r="BL21" s="110">
        <f>BL20/BF20-1</f>
        <v>2.2480843463732247E-2</v>
      </c>
      <c r="BM21" s="110">
        <f>BM20/BG20-1</f>
        <v>3.0266779107873676E-2</v>
      </c>
      <c r="BN21" s="110">
        <f>BN20/BH20-1</f>
        <v>6.1716606979579369E-2</v>
      </c>
      <c r="BO21" s="122">
        <f>BO20/BI20-1</f>
        <v>3.2821128447051429E-2</v>
      </c>
      <c r="BQ21" s="109">
        <f>BQ20/BK20-1</f>
        <v>2.0780111111110999E-2</v>
      </c>
      <c r="BR21" s="110">
        <f>BR20/BL20-1</f>
        <v>2.2879266666666842E-2</v>
      </c>
      <c r="BS21" s="110">
        <f>BS20/BM20-1</f>
        <v>-7.3155055555557125E-3</v>
      </c>
      <c r="BT21" s="120">
        <f>BT20/BN20-1</f>
        <v>-3.3475242592592602E-2</v>
      </c>
      <c r="BU21" s="122">
        <f>BU20/BO20-1</f>
        <v>-4.0519849120457252E-7</v>
      </c>
      <c r="BW21" s="109">
        <f>BW20/BQ20-1</f>
        <v>2.3529411764706687E-3</v>
      </c>
      <c r="BX21" s="110">
        <f>BX20/BR20-1</f>
        <v>2.038834951456403E-3</v>
      </c>
      <c r="BY21" s="110">
        <f>BY20/BS20-1</f>
        <v>2.7737226277373406E-3</v>
      </c>
      <c r="BZ21" s="120">
        <f>BZ20/BT20-1</f>
        <v>3.3169533169532528E-3</v>
      </c>
      <c r="CA21" s="122">
        <f>CA20/BU20-1</f>
        <v>2.6165974227687627E-3</v>
      </c>
      <c r="CC21" s="109">
        <f>CC20/BW20-1</f>
        <v>4.3661971830986079E-3</v>
      </c>
      <c r="CD21" s="110">
        <f>CD20/BX20-1</f>
        <v>6.2096696056583855E-3</v>
      </c>
      <c r="CE21" s="110">
        <f>CE20/BY20-1</f>
        <v>3.1780462949484445E-3</v>
      </c>
      <c r="CF21" s="120">
        <f>CF20/BZ20-1</f>
        <v>3.4786335251622003E-3</v>
      </c>
      <c r="CG21" s="122">
        <f>CG20/CA20-1</f>
        <v>4.3102834259809431E-3</v>
      </c>
      <c r="CI21" s="109">
        <f>CI20/CC20-1</f>
        <v>4.4551956247371738E-3</v>
      </c>
      <c r="CJ21" s="110">
        <f>CJ20/CD20-1</f>
        <v>4.0748515419701814E-3</v>
      </c>
      <c r="CK21" s="110">
        <f>CK20/CE20-1</f>
        <v>4.0651271327256655E-3</v>
      </c>
      <c r="CL21" s="120">
        <f>CL20/CF20-1</f>
        <v>4.3634546654771622E-3</v>
      </c>
      <c r="CM21" s="122">
        <f>CM20/CG20-1</f>
        <v>4.236785205718574E-3</v>
      </c>
      <c r="CO21" s="109">
        <f>CO20/CI20-1</f>
        <v>-5.5713083067054914E-4</v>
      </c>
      <c r="CP21" s="110">
        <f>CP20/CJ20-1</f>
        <v>-8.7111497520120373E-4</v>
      </c>
      <c r="CQ21" s="110">
        <f>CQ20/CK20-1</f>
        <v>-8.7914585206871898E-4</v>
      </c>
      <c r="CR21" s="120">
        <f>CR20/CL20-1</f>
        <v>-6.3284366744287279E-4</v>
      </c>
      <c r="CS21" s="122">
        <f>CS20/CM20-1</f>
        <v>-7.3742613091798415E-4</v>
      </c>
      <c r="CU21" s="109">
        <f>CU20/CO20-1</f>
        <v>4.8467480364244864E-5</v>
      </c>
      <c r="CV21" s="110">
        <f>CV20/CP20-1</f>
        <v>-2.6263260864778371E-4</v>
      </c>
      <c r="CW21" s="110">
        <f>CW20/CQ20-1</f>
        <v>-2.7059228363190968E-4</v>
      </c>
      <c r="CX21" s="120">
        <f>CX20/CR20-1</f>
        <v>-2.6532021390246463E-5</v>
      </c>
      <c r="CY21" s="122">
        <f>CY20/CS20-1</f>
        <v>-1.3014534415778378E-4</v>
      </c>
      <c r="DA21" s="109">
        <f>DA20/CU20-1</f>
        <v>6.4795140098872217E-4</v>
      </c>
      <c r="DB21" s="110">
        <f>DB20/CV20-1</f>
        <v>3.4008303433341602E-4</v>
      </c>
      <c r="DC21" s="110">
        <f>DC20/CW20-1</f>
        <v>3.3220353091678589E-4</v>
      </c>
      <c r="DD21" s="120">
        <f>DD20/CX20-1</f>
        <v>5.7374852153135869E-4</v>
      </c>
      <c r="DE21" s="122">
        <f>DE20/CY20-1</f>
        <v>4.7121967818997135E-4</v>
      </c>
      <c r="DG21" s="109">
        <f>DG20/DA20-1</f>
        <v>1.2406679944134691E-3</v>
      </c>
      <c r="DH21" s="110">
        <f>DH20/DB20-1</f>
        <v>9.3636376256012177E-4</v>
      </c>
      <c r="DI21" s="110">
        <f>DI20/DC20-1</f>
        <v>9.2857302037141487E-4</v>
      </c>
      <c r="DJ21" s="120">
        <f>DJ20/DD20-1</f>
        <v>1.1673412759853896E-3</v>
      </c>
      <c r="DK21" s="122">
        <f>DK20/DE20-1</f>
        <v>1.0660071554544626E-3</v>
      </c>
    </row>
    <row r="22" spans="2:115" s="241" customFormat="1" ht="15" x14ac:dyDescent="0.3">
      <c r="B22" s="6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AA22" s="107"/>
      <c r="AB22" s="107"/>
      <c r="AC22" s="107"/>
      <c r="AD22" s="107"/>
      <c r="AE22" s="107"/>
      <c r="AG22" s="107"/>
      <c r="AH22" s="107"/>
      <c r="AI22" s="107"/>
      <c r="AJ22" s="107"/>
      <c r="AK22" s="107"/>
      <c r="AM22" s="107"/>
      <c r="AN22" s="107"/>
      <c r="AO22" s="107"/>
      <c r="AP22" s="107"/>
      <c r="AQ22" s="107"/>
      <c r="AS22" s="107"/>
      <c r="AT22" s="107"/>
      <c r="AU22" s="107"/>
      <c r="AV22" s="107"/>
      <c r="AW22" s="107"/>
      <c r="AY22" s="107"/>
      <c r="AZ22" s="107"/>
      <c r="BA22" s="107"/>
      <c r="BB22" s="107"/>
      <c r="BC22" s="107"/>
      <c r="BE22" s="107"/>
      <c r="BF22" s="107"/>
      <c r="BG22" s="107"/>
      <c r="BH22" s="107"/>
      <c r="BI22" s="107"/>
      <c r="BK22" s="107"/>
      <c r="BL22" s="107"/>
      <c r="BM22" s="107"/>
      <c r="BN22" s="107"/>
      <c r="BO22" s="107"/>
      <c r="BQ22" s="107"/>
      <c r="BR22" s="107"/>
      <c r="BS22" s="107"/>
      <c r="BT22" s="107"/>
      <c r="BU22" s="107"/>
      <c r="BW22" s="107"/>
      <c r="BX22" s="107"/>
      <c r="BY22" s="107"/>
      <c r="BZ22" s="107"/>
      <c r="CA22" s="107"/>
      <c r="CC22" s="107"/>
      <c r="CD22" s="107"/>
      <c r="CE22" s="107"/>
      <c r="CF22" s="107"/>
      <c r="CG22" s="107"/>
      <c r="CI22" s="107"/>
      <c r="CJ22" s="107"/>
      <c r="CK22" s="107"/>
      <c r="CL22" s="107"/>
      <c r="CM22" s="107"/>
      <c r="CO22" s="107"/>
      <c r="CP22" s="107"/>
      <c r="CQ22" s="107"/>
      <c r="CR22" s="107"/>
      <c r="CS22" s="107"/>
      <c r="CU22" s="107"/>
      <c r="CV22" s="107"/>
      <c r="CW22" s="107"/>
      <c r="CX22" s="107"/>
      <c r="CY22" s="107"/>
      <c r="DA22" s="107"/>
      <c r="DB22" s="107"/>
      <c r="DC22" s="107"/>
      <c r="DD22" s="107"/>
      <c r="DE22" s="107"/>
      <c r="DG22" s="107"/>
      <c r="DH22" s="107"/>
      <c r="DI22" s="107"/>
      <c r="DJ22" s="107"/>
      <c r="DK22" s="107"/>
    </row>
    <row r="23" spans="2:115" s="241" customFormat="1" ht="15" x14ac:dyDescent="0.3">
      <c r="B23" s="16" t="s">
        <v>93</v>
      </c>
      <c r="C23" s="263">
        <f>1000/35.66</f>
        <v>28.042624789680318</v>
      </c>
      <c r="D23" s="263">
        <f>1000/35.36</f>
        <v>28.280542986425338</v>
      </c>
      <c r="E23" s="263">
        <f>1000/35.79</f>
        <v>27.940765576976808</v>
      </c>
      <c r="F23" s="263">
        <f>1000/37.27</f>
        <v>26.831231553528305</v>
      </c>
      <c r="G23" s="107"/>
      <c r="H23" s="107"/>
      <c r="I23" s="263">
        <f>1000/39.1</f>
        <v>25.575447570332479</v>
      </c>
      <c r="J23" s="263">
        <f>1000/40.2</f>
        <v>24.875621890547261</v>
      </c>
      <c r="K23" s="263">
        <f>1000/41.5</f>
        <v>24.096385542168676</v>
      </c>
      <c r="L23" s="263">
        <f>1000/39.5</f>
        <v>25.316455696202532</v>
      </c>
      <c r="M23" s="107"/>
      <c r="N23" s="107"/>
      <c r="O23" s="263">
        <f>O25/O28</f>
        <v>27.633962264150945</v>
      </c>
      <c r="P23" s="263">
        <f>P25/P28</f>
        <v>26.643333333333334</v>
      </c>
      <c r="Q23" s="263">
        <f>Q25/Q28</f>
        <v>25.636666666666667</v>
      </c>
      <c r="R23" s="263">
        <f>R25/R28</f>
        <v>25.949458483754512</v>
      </c>
      <c r="S23" s="107"/>
      <c r="T23" s="107"/>
      <c r="U23" s="263">
        <f>U25/U28</f>
        <v>25.866412213740457</v>
      </c>
      <c r="V23" s="263">
        <f>100/3.90821</f>
        <v>25.587161385903009</v>
      </c>
      <c r="W23" s="263">
        <f>100/4.01085</f>
        <v>24.932370943814906</v>
      </c>
      <c r="X23" s="263">
        <f>100/4.03572</f>
        <v>24.778725977025164</v>
      </c>
      <c r="Y23" s="107"/>
      <c r="AA23" s="263">
        <f>100/4.10411</f>
        <v>24.365818654958076</v>
      </c>
      <c r="AB23" s="263">
        <f>100/4.11208</f>
        <v>24.318593023482034</v>
      </c>
      <c r="AC23" s="263">
        <f>100/4.10067</f>
        <v>24.386258830873977</v>
      </c>
      <c r="AD23" s="263">
        <f>100/3.95783</f>
        <v>25.266370713244378</v>
      </c>
      <c r="AE23" s="107"/>
      <c r="AG23" s="263">
        <f>100/3.98679</f>
        <v>25.082836066108321</v>
      </c>
      <c r="AH23" s="263">
        <f>100/3.95965</f>
        <v>25.254757364918618</v>
      </c>
      <c r="AI23" s="263">
        <f>100/3.98774</f>
        <v>25.076860577670558</v>
      </c>
      <c r="AJ23" s="263">
        <f>100/3.97398</f>
        <v>25.16368980216307</v>
      </c>
      <c r="AK23" s="263"/>
      <c r="AL23" s="314"/>
      <c r="AM23" s="263">
        <f>100/3.91222</f>
        <v>25.560934712260558</v>
      </c>
      <c r="AN23" s="263">
        <f>100/3.87237</f>
        <v>25.823978597086537</v>
      </c>
      <c r="AO23" s="263">
        <f>100/3.8687</f>
        <v>25.848476232326103</v>
      </c>
      <c r="AP23" s="263">
        <f>100/3.74759</f>
        <v>26.683815465405765</v>
      </c>
      <c r="AQ23" s="263"/>
      <c r="AR23" s="314"/>
      <c r="AS23" s="263">
        <f>100/3.64337</f>
        <v>27.447116268729225</v>
      </c>
      <c r="AT23" s="263">
        <f>100/3.64355</f>
        <v>27.445760316175161</v>
      </c>
      <c r="AU23" s="263">
        <f>100/3.62069</f>
        <v>27.619044988662381</v>
      </c>
      <c r="AV23" s="263">
        <f>100/3.61898</f>
        <v>27.632095231253004</v>
      </c>
      <c r="AW23" s="263"/>
      <c r="AX23" s="314"/>
      <c r="AY23" s="263">
        <f>100/3.63124</f>
        <v>27.538802172260716</v>
      </c>
      <c r="AZ23" s="263">
        <v>27.37499</v>
      </c>
      <c r="BA23" s="263">
        <v>27.075780000000002</v>
      </c>
      <c r="BB23" s="263">
        <v>27.05734</v>
      </c>
      <c r="BC23" s="263"/>
      <c r="BD23" s="314"/>
      <c r="BE23" s="263">
        <v>27.038530000000002</v>
      </c>
      <c r="BF23" s="263">
        <v>27.03886</v>
      </c>
      <c r="BG23" s="263">
        <v>27.029240000000001</v>
      </c>
      <c r="BH23" s="263">
        <v>27.027750000000001</v>
      </c>
      <c r="BI23" s="263"/>
      <c r="BJ23" s="314"/>
      <c r="BK23" s="263">
        <v>27.02065</v>
      </c>
      <c r="BL23" s="263">
        <v>26.81334</v>
      </c>
      <c r="BM23" s="263">
        <v>26.085139999999999</v>
      </c>
      <c r="BN23" s="263">
        <v>25.64734</v>
      </c>
      <c r="BO23" s="263"/>
      <c r="BP23" s="314"/>
      <c r="BQ23" s="263">
        <v>27</v>
      </c>
      <c r="BR23" s="263">
        <v>27</v>
      </c>
      <c r="BS23" s="263">
        <v>27</v>
      </c>
      <c r="BT23" s="263">
        <v>27</v>
      </c>
      <c r="BU23" s="107"/>
      <c r="BV23" s="314"/>
      <c r="BW23" s="263">
        <v>27</v>
      </c>
      <c r="BX23" s="263">
        <v>27</v>
      </c>
      <c r="BY23" s="263">
        <v>27</v>
      </c>
      <c r="BZ23" s="263">
        <v>27</v>
      </c>
      <c r="CA23" s="107"/>
      <c r="CB23" s="314"/>
      <c r="CC23" s="263">
        <v>27</v>
      </c>
      <c r="CD23" s="263">
        <v>27</v>
      </c>
      <c r="CE23" s="263">
        <v>27</v>
      </c>
      <c r="CF23" s="263">
        <v>27</v>
      </c>
      <c r="CG23" s="107"/>
      <c r="CH23" s="314"/>
      <c r="CI23" s="263">
        <v>27</v>
      </c>
      <c r="CJ23" s="263">
        <v>27</v>
      </c>
      <c r="CK23" s="263">
        <v>27</v>
      </c>
      <c r="CL23" s="263">
        <v>27</v>
      </c>
      <c r="CM23" s="107"/>
      <c r="CN23" s="314"/>
      <c r="CO23" s="263">
        <v>27</v>
      </c>
      <c r="CP23" s="263">
        <v>27</v>
      </c>
      <c r="CQ23" s="263">
        <v>27</v>
      </c>
      <c r="CR23" s="263">
        <v>27</v>
      </c>
      <c r="CS23" s="107"/>
      <c r="CT23" s="314"/>
      <c r="CU23" s="263">
        <v>27</v>
      </c>
      <c r="CV23" s="263">
        <v>27</v>
      </c>
      <c r="CW23" s="263">
        <v>27</v>
      </c>
      <c r="CX23" s="263">
        <v>27</v>
      </c>
      <c r="CY23" s="107"/>
      <c r="CZ23" s="314"/>
      <c r="DA23" s="263">
        <v>27</v>
      </c>
      <c r="DB23" s="263">
        <v>27</v>
      </c>
      <c r="DC23" s="263">
        <v>27</v>
      </c>
      <c r="DD23" s="263">
        <v>27</v>
      </c>
      <c r="DE23" s="107"/>
      <c r="DF23" s="314"/>
      <c r="DG23" s="263">
        <v>27</v>
      </c>
      <c r="DH23" s="263">
        <v>27</v>
      </c>
      <c r="DI23" s="263">
        <v>27</v>
      </c>
      <c r="DJ23" s="263">
        <v>27</v>
      </c>
      <c r="DK23" s="107"/>
    </row>
    <row r="24" spans="2:115" s="241" customFormat="1" ht="15.75" thickBot="1" x14ac:dyDescent="0.35">
      <c r="B24" s="6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  <c r="Y24" s="107"/>
      <c r="AA24" s="107"/>
      <c r="AB24" s="107"/>
      <c r="AC24" s="107"/>
      <c r="AD24" s="107"/>
      <c r="AE24" s="107"/>
      <c r="AG24" s="107"/>
      <c r="AH24" s="107"/>
      <c r="AI24" s="107"/>
      <c r="AJ24" s="107"/>
      <c r="AK24" s="107"/>
      <c r="AM24" s="107"/>
      <c r="AN24" s="107"/>
      <c r="AO24" s="107"/>
      <c r="AP24" s="107"/>
      <c r="AQ24" s="107"/>
      <c r="AS24" s="107"/>
      <c r="AT24" s="107"/>
      <c r="AU24" s="107"/>
      <c r="AV24" s="107"/>
      <c r="AW24" s="107"/>
      <c r="AY24" s="107"/>
      <c r="AZ24" s="107"/>
      <c r="BA24" s="107"/>
      <c r="BB24" s="107"/>
      <c r="BC24" s="107"/>
      <c r="BE24" s="107"/>
      <c r="BF24" s="107"/>
      <c r="BG24" s="107"/>
      <c r="BH24" s="107"/>
      <c r="BI24" s="107"/>
      <c r="BK24" s="107"/>
      <c r="BL24" s="107"/>
      <c r="BM24" s="107"/>
      <c r="BN24" s="107"/>
      <c r="BO24" s="107"/>
      <c r="BQ24" s="107"/>
      <c r="BR24" s="107"/>
      <c r="BS24" s="107"/>
      <c r="BT24" s="107"/>
      <c r="BU24" s="107"/>
      <c r="BW24" s="107"/>
      <c r="BX24" s="107"/>
      <c r="BY24" s="107"/>
      <c r="BZ24" s="107"/>
      <c r="CA24" s="107"/>
      <c r="CC24" s="107"/>
      <c r="CD24" s="107"/>
      <c r="CE24" s="107"/>
      <c r="CF24" s="107"/>
      <c r="CG24" s="107"/>
      <c r="CI24" s="107"/>
      <c r="CJ24" s="107"/>
      <c r="CK24" s="107"/>
      <c r="CL24" s="107"/>
      <c r="CM24" s="107"/>
      <c r="CO24" s="107"/>
      <c r="CP24" s="107"/>
      <c r="CQ24" s="107"/>
      <c r="CR24" s="107"/>
      <c r="CS24" s="107"/>
      <c r="CU24" s="107"/>
      <c r="CV24" s="107"/>
      <c r="CW24" s="107"/>
      <c r="CX24" s="107"/>
      <c r="CY24" s="107"/>
      <c r="DA24" s="107"/>
      <c r="DB24" s="107"/>
      <c r="DC24" s="107"/>
      <c r="DD24" s="107"/>
      <c r="DE24" s="107"/>
      <c r="DG24" s="107"/>
      <c r="DH24" s="107"/>
      <c r="DI24" s="107"/>
      <c r="DJ24" s="107"/>
      <c r="DK24" s="107"/>
    </row>
    <row r="25" spans="2:115" ht="15" x14ac:dyDescent="0.3">
      <c r="B25" s="42" t="s">
        <v>94</v>
      </c>
      <c r="C25" s="181">
        <f>C28*C23</f>
        <v>7150.869321368481</v>
      </c>
      <c r="D25" s="182">
        <f>D28*D23</f>
        <v>7664.0271493212667</v>
      </c>
      <c r="E25" s="182">
        <f>E28*E23</f>
        <v>7963.1181894383908</v>
      </c>
      <c r="F25" s="182">
        <f>F28*F23</f>
        <v>8183.5256238261327</v>
      </c>
      <c r="G25" s="184">
        <f>C25+D25+E25+F25</f>
        <v>30961.540283954269</v>
      </c>
      <c r="H25" s="134"/>
      <c r="I25" s="181">
        <f>I28*I23</f>
        <v>7647.0588235294108</v>
      </c>
      <c r="J25" s="182">
        <f>J28*J23</f>
        <v>8059.7014925373123</v>
      </c>
      <c r="K25" s="182">
        <f>K28*K23</f>
        <v>8337.3493975903621</v>
      </c>
      <c r="L25" s="182">
        <f>L28*L23</f>
        <v>7949.3670886075952</v>
      </c>
      <c r="M25" s="184">
        <f>I25+J25+K25+L25</f>
        <v>31993.476802264682</v>
      </c>
      <c r="N25" s="134"/>
      <c r="O25" s="198">
        <v>7323</v>
      </c>
      <c r="P25" s="199">
        <v>7993</v>
      </c>
      <c r="Q25" s="199">
        <v>7691</v>
      </c>
      <c r="R25" s="199">
        <v>7188</v>
      </c>
      <c r="S25" s="201">
        <f>O25+P25+Q25+R25</f>
        <v>30195</v>
      </c>
      <c r="T25" s="197"/>
      <c r="U25" s="198">
        <v>6777</v>
      </c>
      <c r="V25" s="199">
        <f>V28*V23</f>
        <v>6985.2950583515212</v>
      </c>
      <c r="W25" s="199">
        <f>W28*W23</f>
        <v>6881.3343804929136</v>
      </c>
      <c r="X25" s="199">
        <f>X28*X23</f>
        <v>6665.4772878197691</v>
      </c>
      <c r="Y25" s="201">
        <f>U25+V25+W25+X25</f>
        <v>27309.106726664206</v>
      </c>
      <c r="AA25" s="198">
        <f>AA28*AA23</f>
        <v>6042.7230264296031</v>
      </c>
      <c r="AB25" s="199">
        <f>AB28*AB23</f>
        <v>6395.7899651757753</v>
      </c>
      <c r="AC25" s="199">
        <f>AC28*AC23</f>
        <v>6145.3372253802427</v>
      </c>
      <c r="AD25" s="199">
        <f>AD28*AD23</f>
        <v>6139.7280833183841</v>
      </c>
      <c r="AE25" s="201">
        <f>AA25+AB25+AC25+AD25</f>
        <v>24723.578300304005</v>
      </c>
      <c r="AG25" s="198">
        <f>AG28*AG23</f>
        <v>5769.0522952049141</v>
      </c>
      <c r="AH25" s="199">
        <f>AH28*AH23</f>
        <v>5909.6132233909566</v>
      </c>
      <c r="AI25" s="199">
        <f>AI28*AI23</f>
        <v>6219.0614232622984</v>
      </c>
      <c r="AJ25" s="199">
        <f>AJ28*AJ23</f>
        <v>5611.502825882365</v>
      </c>
      <c r="AK25" s="201">
        <f>AG25+AH25+AI25+AJ25</f>
        <v>23509.229767740533</v>
      </c>
      <c r="AM25" s="198">
        <f>AM28*AM23</f>
        <v>5035.5041383153302</v>
      </c>
      <c r="AN25" s="199">
        <f>AN28*AN23</f>
        <v>5087.3237836260478</v>
      </c>
      <c r="AO25" s="199">
        <f>AO28*AO23</f>
        <v>4859.5135316773076</v>
      </c>
      <c r="AP25" s="199">
        <f>AP28*AP23</f>
        <v>4749.7191528422263</v>
      </c>
      <c r="AQ25" s="201">
        <f>AM25+AN25+AO25+AP25</f>
        <v>19732.060606460913</v>
      </c>
      <c r="AS25" s="198">
        <f>AS28*AS23</f>
        <v>4720.9039982214263</v>
      </c>
      <c r="AT25" s="199">
        <f>AT28*AT23</f>
        <v>4720.670774382128</v>
      </c>
      <c r="AU25" s="199">
        <f>AU28*AU23</f>
        <v>4778.0947830385921</v>
      </c>
      <c r="AV25" s="199">
        <f>AV28*AV23</f>
        <v>4669.8240940817577</v>
      </c>
      <c r="AW25" s="201">
        <f>AS25+AT25+AU25+AV25</f>
        <v>18889.493649723903</v>
      </c>
      <c r="AY25" s="198">
        <f>AY28*AY23</f>
        <v>4406.2083475617146</v>
      </c>
      <c r="AZ25" s="199">
        <f>AZ28*AZ23</f>
        <v>4544.2483400000001</v>
      </c>
      <c r="BA25" s="199">
        <f>BA28*BA23</f>
        <v>4657.0341600000002</v>
      </c>
      <c r="BB25" s="199">
        <f>BB28*BB23</f>
        <v>4545.6331200000004</v>
      </c>
      <c r="BC25" s="201">
        <f>AY25+AZ25+BA25+BB25</f>
        <v>18153.123967561718</v>
      </c>
      <c r="BE25" s="198">
        <f>BE28*BE23</f>
        <v>4461.3574500000004</v>
      </c>
      <c r="BF25" s="199">
        <f>BF28*BF23</f>
        <v>4596.6062000000002</v>
      </c>
      <c r="BG25" s="199">
        <f>BG28*BG23</f>
        <v>4676.0585200000005</v>
      </c>
      <c r="BH25" s="199">
        <f>BH28*BH23</f>
        <v>4594.7174999999997</v>
      </c>
      <c r="BI25" s="201">
        <f>BE25+BF25+BG25+BH25</f>
        <v>18328.739670000003</v>
      </c>
      <c r="BK25" s="198">
        <f>BK28*BK23</f>
        <v>4566.4898499999999</v>
      </c>
      <c r="BL25" s="199">
        <f>BL28*BL23</f>
        <v>4745.9611800000002</v>
      </c>
      <c r="BM25" s="199">
        <f>BM28*BM23</f>
        <v>4773.5806199999997</v>
      </c>
      <c r="BN25" s="199">
        <f>BN28*BN23</f>
        <v>4744.7578999999996</v>
      </c>
      <c r="BO25" s="201">
        <f>BK25+BL25+BM25+BN25</f>
        <v>18830.789550000001</v>
      </c>
      <c r="BQ25" s="198">
        <f>BQ17*BQ7*3/1000</f>
        <v>4744.4874586435035</v>
      </c>
      <c r="BR25" s="199">
        <f>BR17*BR7*3/1000</f>
        <v>4952.1772993098948</v>
      </c>
      <c r="BS25" s="199">
        <f>BS17*BS7*3/1000</f>
        <v>4952.9837881718104</v>
      </c>
      <c r="BT25" s="200">
        <f>BT17*BT7*3/1000</f>
        <v>4890.3273182143776</v>
      </c>
      <c r="BU25" s="201">
        <f>BQ25+BR25+BS25+BT25</f>
        <v>19539.975864339587</v>
      </c>
      <c r="BW25" s="198">
        <f>BW17*BW7*3/1000</f>
        <v>4830.6066598811849</v>
      </c>
      <c r="BX25" s="199">
        <f>BX17*BX7*3/1000</f>
        <v>5036.2363211933707</v>
      </c>
      <c r="BY25" s="199">
        <f>BY17*BY7*3/1000</f>
        <v>5038.5184865973833</v>
      </c>
      <c r="BZ25" s="200">
        <f>BZ17*BZ7*3/1000</f>
        <v>4971.2526271192528</v>
      </c>
      <c r="CA25" s="201">
        <f>BW25+BX25+BY25+BZ25</f>
        <v>19876.614094791192</v>
      </c>
      <c r="CC25" s="198">
        <f>CC17*CC7*3/1000</f>
        <v>4909.6080200776132</v>
      </c>
      <c r="CD25" s="199">
        <f>CD17*CD7*3/1000</f>
        <v>5127.8515481619879</v>
      </c>
      <c r="CE25" s="199">
        <f>CE17*CE7*3/1000</f>
        <v>5112.5510028915905</v>
      </c>
      <c r="CF25" s="200">
        <f>CF17*CF7*3/1000</f>
        <v>5041.6698510762844</v>
      </c>
      <c r="CG25" s="201">
        <f>CC25+CD25+CE25+CF25</f>
        <v>20191.680422207475</v>
      </c>
      <c r="CI25" s="198">
        <f>CI17*CI7*3/1000</f>
        <v>4981.8935329662636</v>
      </c>
      <c r="CJ25" s="199">
        <f>CJ17*CJ7*3/1000</f>
        <v>5201.2561631105582</v>
      </c>
      <c r="CK25" s="199">
        <f>CK17*CK7*3/1000</f>
        <v>5185.5634473602031</v>
      </c>
      <c r="CL25" s="200">
        <f>CL17*CL7*3/1000</f>
        <v>5115.0486681853026</v>
      </c>
      <c r="CM25" s="201">
        <f>CI25+CJ25+CK25+CL25</f>
        <v>20483.761811622328</v>
      </c>
      <c r="CO25" s="198">
        <f>CO17*CO7*3/1000</f>
        <v>5029.5021289843517</v>
      </c>
      <c r="CP25" s="199">
        <f>CP17*CP7*3/1000</f>
        <v>5249.188910429295</v>
      </c>
      <c r="CQ25" s="199">
        <f>CQ17*CQ7*3/1000</f>
        <v>5233.1879382839479</v>
      </c>
      <c r="CR25" s="200">
        <f>CR17*CR7*3/1000</f>
        <v>5163.1588459725454</v>
      </c>
      <c r="CS25" s="201">
        <f>CO25+CP25+CQ25+CR25</f>
        <v>20675.03782367014</v>
      </c>
      <c r="CU25" s="198">
        <f>CU17*CU7*3/1000</f>
        <v>5080.1325007738578</v>
      </c>
      <c r="CV25" s="199">
        <f>CV17*CV7*3/1000</f>
        <v>5300.260163042255</v>
      </c>
      <c r="CW25" s="199">
        <f>CW17*CW7*3/1000</f>
        <v>5283.9411151143058</v>
      </c>
      <c r="CX25" s="200">
        <f>CX17*CX7*3/1000</f>
        <v>5214.3676985320535</v>
      </c>
      <c r="CY25" s="201">
        <f>CU25+CV25+CW25+CX25</f>
        <v>20878.701477462473</v>
      </c>
      <c r="DA25" s="198">
        <f>DA17*DA7*3/1000</f>
        <v>5133.8434323097426</v>
      </c>
      <c r="DB25" s="199">
        <f>DB17*DB7*3/1000</f>
        <v>5354.530389698858</v>
      </c>
      <c r="DC25" s="199">
        <f>DC17*DC7*3/1000</f>
        <v>5337.8830269199261</v>
      </c>
      <c r="DD25" s="200">
        <f>DD17*DD7*3/1000</f>
        <v>5268.7347354909643</v>
      </c>
      <c r="DE25" s="201">
        <f>DA25+DB25+DC25+DD25</f>
        <v>21094.991584419491</v>
      </c>
      <c r="DG25" s="198">
        <f>DG17*DG7*3/1000</f>
        <v>5190.6946336623005</v>
      </c>
      <c r="DH25" s="199">
        <f>DH17*DH7*3/1000</f>
        <v>5412.0610048701019</v>
      </c>
      <c r="DI25" s="199">
        <f>DI17*DI7*3/1000</f>
        <v>5395.0746680336333</v>
      </c>
      <c r="DJ25" s="200">
        <f>DJ17*DJ7*3/1000</f>
        <v>5326.3204207307363</v>
      </c>
      <c r="DK25" s="201">
        <f>DG25+DH25+DI25+DJ25</f>
        <v>21324.150727296772</v>
      </c>
    </row>
    <row r="26" spans="2:115" ht="15" x14ac:dyDescent="0.3">
      <c r="B26" s="40" t="s">
        <v>23</v>
      </c>
      <c r="C26" s="144" t="s">
        <v>35</v>
      </c>
      <c r="D26" s="107" t="s">
        <v>35</v>
      </c>
      <c r="E26" s="107" t="s">
        <v>35</v>
      </c>
      <c r="F26" s="107" t="s">
        <v>35</v>
      </c>
      <c r="G26" s="138" t="s">
        <v>35</v>
      </c>
      <c r="I26" s="151">
        <f>I25/C25-1</f>
        <v>6.9388696655132476E-2</v>
      </c>
      <c r="J26" s="133">
        <f>J25/D25-1</f>
        <v>5.1627471498595368E-2</v>
      </c>
      <c r="K26" s="133">
        <f>K25/E25-1</f>
        <v>4.6995561192137103E-2</v>
      </c>
      <c r="L26" s="133">
        <f>L25/F25-1</f>
        <v>-2.8613405270802916E-2</v>
      </c>
      <c r="M26" s="153">
        <f>M25/G25-1</f>
        <v>3.3329624716545769E-2</v>
      </c>
      <c r="O26" s="151">
        <f>O25/I25-1</f>
        <v>-4.2376923076922979E-2</v>
      </c>
      <c r="P26" s="133">
        <f>P25/J25-1</f>
        <v>-8.2759259259257423E-3</v>
      </c>
      <c r="Q26" s="133">
        <f>Q25/K25-1</f>
        <v>-7.7524566473988532E-2</v>
      </c>
      <c r="R26" s="133">
        <f>R25/L25-1</f>
        <v>-9.5777070063694292E-2</v>
      </c>
      <c r="S26" s="153">
        <f>S25/M25-1</f>
        <v>-5.6213859262003507E-2</v>
      </c>
      <c r="U26" s="151">
        <f>U25/O25-1</f>
        <v>-7.4559606718557991E-2</v>
      </c>
      <c r="V26" s="133">
        <f>V25/P25-1</f>
        <v>-0.12607343195902398</v>
      </c>
      <c r="W26" s="133">
        <f>W25/Q25-1</f>
        <v>-0.1052744271885433</v>
      </c>
      <c r="X26" s="133">
        <f>X25/R25-1</f>
        <v>-7.2693755172541841E-2</v>
      </c>
      <c r="Y26" s="153">
        <f>Y25/S25-1</f>
        <v>-9.5575203620990035E-2</v>
      </c>
      <c r="AA26" s="151">
        <f>AA25/U25-1</f>
        <v>-0.10834838034091732</v>
      </c>
      <c r="AB26" s="133">
        <f>AB25/V25-1</f>
        <v>-8.4392296710636749E-2</v>
      </c>
      <c r="AC26" s="133">
        <f>AC25/W25-1</f>
        <v>-0.10695558657911797</v>
      </c>
      <c r="AD26" s="133">
        <f>AD25/X25-1</f>
        <v>-7.8876452772874694E-2</v>
      </c>
      <c r="AE26" s="153">
        <f>AE25/Y25-1</f>
        <v>-9.4676418831221909E-2</v>
      </c>
      <c r="AG26" s="151">
        <f>AG25/AA25-1</f>
        <v>-4.5289305835748306E-2</v>
      </c>
      <c r="AH26" s="133">
        <f>AH25/AB25-1</f>
        <v>-7.6015120013631865E-2</v>
      </c>
      <c r="AI26" s="133">
        <f>AI25/AC25-1</f>
        <v>1.1996770100357601E-2</v>
      </c>
      <c r="AJ26" s="133">
        <f>AJ25/AD25-1</f>
        <v>-8.6033982330781855E-2</v>
      </c>
      <c r="AK26" s="153">
        <f>AK25/AE25-1</f>
        <v>-4.9117021727738353E-2</v>
      </c>
      <c r="AM26" s="151">
        <f>AM25/AG25-1</f>
        <v>-0.12715228071329665</v>
      </c>
      <c r="AN26" s="133">
        <f>AN25/AH25-1</f>
        <v>-0.13914437522073164</v>
      </c>
      <c r="AO26" s="133">
        <f>AO25/AI25-1</f>
        <v>-0.21860981891891662</v>
      </c>
      <c r="AP26" s="133">
        <f>AP25/AJ25-1</f>
        <v>-0.15357448793668382</v>
      </c>
      <c r="AQ26" s="153">
        <f>AQ25/AK25-1</f>
        <v>-0.1606674994713212</v>
      </c>
      <c r="AS26" s="151">
        <f>AS25/AM25-1</f>
        <v>-6.2476393912597628E-2</v>
      </c>
      <c r="AT26" s="133">
        <f>AT25/AN25-1</f>
        <v>-7.2071883929232361E-2</v>
      </c>
      <c r="AU26" s="133">
        <f>AU25/AO25-1</f>
        <v>-1.6754506003116898E-2</v>
      </c>
      <c r="AV26" s="133">
        <f>AV25/AP25-1</f>
        <v>-1.6821006924727211E-2</v>
      </c>
      <c r="AW26" s="153">
        <f>AW25/AQ25-1</f>
        <v>-4.2700403852455548E-2</v>
      </c>
      <c r="AY26" s="151">
        <f>AY25/AS25-1</f>
        <v>-6.6660040275818289E-2</v>
      </c>
      <c r="AZ26" s="133">
        <f>AZ25/AT25-1</f>
        <v>-3.7372323301918753E-2</v>
      </c>
      <c r="BA26" s="133">
        <f>BA25/AU25-1</f>
        <v>-2.5336588857202247E-2</v>
      </c>
      <c r="BB26" s="133">
        <f>BB25/AV25-1</f>
        <v>-2.6594358069964352E-2</v>
      </c>
      <c r="BC26" s="153">
        <f>BC25/AW25-1</f>
        <v>-3.8983029181036244E-2</v>
      </c>
      <c r="BE26" s="151">
        <f>BE25/AY25-1</f>
        <v>1.2516226671124953E-2</v>
      </c>
      <c r="BF26" s="133">
        <f>BF25/AZ25-1</f>
        <v>1.1521786681226942E-2</v>
      </c>
      <c r="BG26" s="133">
        <f>BG25/BA25-1</f>
        <v>4.0850806213541535E-3</v>
      </c>
      <c r="BH26" s="133">
        <f>BH25/BB25-1</f>
        <v>1.0798139379976979E-2</v>
      </c>
      <c r="BI26" s="153">
        <f>BI25/BC25-1</f>
        <v>9.6741311716979084E-3</v>
      </c>
      <c r="BK26" s="151">
        <f>BK25/BE25-1</f>
        <v>2.3565114693959277E-2</v>
      </c>
      <c r="BL26" s="133">
        <f>BL25/BF25-1</f>
        <v>3.2492446274819065E-2</v>
      </c>
      <c r="BM26" s="133">
        <f>BM25/BG25-1</f>
        <v>2.0855620087491866E-2</v>
      </c>
      <c r="BN26" s="133">
        <f>BN25/BH25-1</f>
        <v>3.2654978244037736E-2</v>
      </c>
      <c r="BO26" s="153">
        <f>BO25/BI25-1</f>
        <v>2.7391402193449377E-2</v>
      </c>
      <c r="BQ26" s="151">
        <f>BQ25/BK25-1</f>
        <v>3.8979087765519393E-2</v>
      </c>
      <c r="BR26" s="133">
        <f>BR25/BL25-1</f>
        <v>4.3450865164871511E-2</v>
      </c>
      <c r="BS26" s="133">
        <f>BS25/BM25-1</f>
        <v>3.7582515611061407E-2</v>
      </c>
      <c r="BT26" s="152">
        <f>BT25/BN25-1</f>
        <v>3.0680051813471554E-2</v>
      </c>
      <c r="BU26" s="153">
        <f>BU25/BO25-1</f>
        <v>3.7660997296822707E-2</v>
      </c>
      <c r="BW26" s="151">
        <f>BW25/BQ25-1</f>
        <v>1.8151423518000698E-2</v>
      </c>
      <c r="BX26" s="133">
        <f>BX25/BR25-1</f>
        <v>1.6974154357355165E-2</v>
      </c>
      <c r="BY26" s="133">
        <f>BY25/BS25-1</f>
        <v>1.7269327355732056E-2</v>
      </c>
      <c r="BZ26" s="152">
        <f>BZ25/BT25-1</f>
        <v>1.6548035262069938E-2</v>
      </c>
      <c r="CA26" s="153">
        <f>CA25/BU25-1</f>
        <v>1.7228180463926268E-2</v>
      </c>
      <c r="CC26" s="151">
        <f>CC25/BW25-1</f>
        <v>1.6354335129900921E-2</v>
      </c>
      <c r="CD26" s="133">
        <f>CD25/BX25-1</f>
        <v>1.8191208896032984E-2</v>
      </c>
      <c r="CE26" s="133">
        <f>CE25/BY25-1</f>
        <v>1.4693310442570828E-2</v>
      </c>
      <c r="CF26" s="152">
        <f>CF25/BZ25-1</f>
        <v>1.4164885440118402E-2</v>
      </c>
      <c r="CG26" s="153">
        <f>CG25/CA25-1</f>
        <v>1.5851106527185133E-2</v>
      </c>
      <c r="CI26" s="151">
        <f>CI25/CC25-1</f>
        <v>1.4723275787607015E-2</v>
      </c>
      <c r="CJ26" s="133">
        <f>CJ25/CD25-1</f>
        <v>1.4314886899345014E-2</v>
      </c>
      <c r="CK26" s="133">
        <f>CK25/CE25-1</f>
        <v>1.4281020263136268E-2</v>
      </c>
      <c r="CL26" s="152">
        <f>CL25/CF25-1</f>
        <v>1.455446692792739E-2</v>
      </c>
      <c r="CM26" s="153">
        <f>CM25/CG25-1</f>
        <v>1.4465432460668781E-2</v>
      </c>
      <c r="CO26" s="151">
        <f>CO25/CI25-1</f>
        <v>9.5563254620059102E-3</v>
      </c>
      <c r="CP26" s="133">
        <f>CP25/CJ25-1</f>
        <v>9.2156098095486083E-3</v>
      </c>
      <c r="CQ26" s="133">
        <f>CQ25/CK25-1</f>
        <v>9.1840532677289755E-3</v>
      </c>
      <c r="CR26" s="152">
        <f>CR25/CL25-1</f>
        <v>9.4056148647185811E-3</v>
      </c>
      <c r="CS26" s="153">
        <f>CS25/CM25-1</f>
        <v>9.337933813470034E-3</v>
      </c>
      <c r="CU26" s="151">
        <f>CU25/CO25-1</f>
        <v>1.0066676679134856E-2</v>
      </c>
      <c r="CV26" s="133">
        <f>CV25/CP25-1</f>
        <v>9.7293607611435018E-3</v>
      </c>
      <c r="CW26" s="133">
        <f>CW25/CQ25-1</f>
        <v>9.6983287107019756E-3</v>
      </c>
      <c r="CX26" s="152">
        <f>CX25/CR25-1</f>
        <v>9.9181245604040846E-3</v>
      </c>
      <c r="CY26" s="153">
        <f>CY25/CS25-1</f>
        <v>9.850702839303338E-3</v>
      </c>
      <c r="DA26" s="151">
        <f>DA25/CU25-1</f>
        <v>1.0572742251841571E-2</v>
      </c>
      <c r="DB26" s="133">
        <f>DB25/CV25-1</f>
        <v>1.0239162793370005E-2</v>
      </c>
      <c r="DC26" s="133">
        <f>DC25/CW25-1</f>
        <v>1.0208651200015018E-2</v>
      </c>
      <c r="DD26" s="152">
        <f>DD25/CX25-1</f>
        <v>1.042639109900434E-2</v>
      </c>
      <c r="DE26" s="153">
        <f>DE25/CY25-1</f>
        <v>1.0359365844206936E-2</v>
      </c>
      <c r="DG26" s="151">
        <f>DG25/DA25-1</f>
        <v>1.1073808950768926E-2</v>
      </c>
      <c r="DH26" s="133">
        <f>DH25/DB25-1</f>
        <v>1.0744287730988011E-2</v>
      </c>
      <c r="DI26" s="133">
        <f>DI25/DC25-1</f>
        <v>1.0714292693429162E-2</v>
      </c>
      <c r="DJ26" s="152">
        <f>DJ25/DD25-1</f>
        <v>1.0929699089207601E-2</v>
      </c>
      <c r="DK26" s="153">
        <f>DK25/DE25-1</f>
        <v>1.0863201436237313E-2</v>
      </c>
    </row>
    <row r="27" spans="2:115" ht="15" x14ac:dyDescent="0.3">
      <c r="B27" s="40"/>
      <c r="C27" s="144"/>
      <c r="D27" s="107"/>
      <c r="E27" s="107"/>
      <c r="F27" s="145"/>
      <c r="G27" s="138"/>
      <c r="I27" s="144"/>
      <c r="J27" s="107"/>
      <c r="K27" s="107"/>
      <c r="L27" s="107"/>
      <c r="M27" s="138"/>
      <c r="O27" s="144"/>
      <c r="P27" s="107"/>
      <c r="Q27" s="107"/>
      <c r="R27" s="107"/>
      <c r="S27" s="138"/>
      <c r="U27" s="144"/>
      <c r="V27" s="107"/>
      <c r="W27" s="107"/>
      <c r="X27" s="107"/>
      <c r="Y27" s="138"/>
      <c r="AA27" s="144"/>
      <c r="AB27" s="107"/>
      <c r="AC27" s="107"/>
      <c r="AD27" s="145"/>
      <c r="AE27" s="138"/>
      <c r="AG27" s="144"/>
      <c r="AH27" s="107"/>
      <c r="AI27" s="107"/>
      <c r="AJ27" s="145"/>
      <c r="AK27" s="138"/>
      <c r="AM27" s="144"/>
      <c r="AN27" s="107"/>
      <c r="AO27" s="107"/>
      <c r="AP27" s="145"/>
      <c r="AQ27" s="138"/>
      <c r="AS27" s="144"/>
      <c r="AT27" s="107"/>
      <c r="AU27" s="107"/>
      <c r="AV27" s="145"/>
      <c r="AW27" s="138"/>
      <c r="AY27" s="144"/>
      <c r="AZ27" s="107"/>
      <c r="BA27" s="107"/>
      <c r="BB27" s="145"/>
      <c r="BC27" s="138"/>
      <c r="BE27" s="144"/>
      <c r="BF27" s="107"/>
      <c r="BG27" s="107"/>
      <c r="BH27" s="145"/>
      <c r="BI27" s="138"/>
      <c r="BK27" s="144"/>
      <c r="BL27" s="107"/>
      <c r="BM27" s="107"/>
      <c r="BN27" s="145"/>
      <c r="BO27" s="138"/>
      <c r="BQ27" s="144"/>
      <c r="BR27" s="107"/>
      <c r="BS27" s="107"/>
      <c r="BT27" s="145"/>
      <c r="BU27" s="138"/>
      <c r="BW27" s="144"/>
      <c r="BX27" s="107"/>
      <c r="BY27" s="107"/>
      <c r="BZ27" s="145"/>
      <c r="CA27" s="138"/>
      <c r="CC27" s="144"/>
      <c r="CD27" s="107"/>
      <c r="CE27" s="107"/>
      <c r="CF27" s="145"/>
      <c r="CG27" s="138"/>
      <c r="CI27" s="144"/>
      <c r="CJ27" s="107"/>
      <c r="CK27" s="107"/>
      <c r="CL27" s="145"/>
      <c r="CM27" s="138"/>
      <c r="CO27" s="144"/>
      <c r="CP27" s="107"/>
      <c r="CQ27" s="107"/>
      <c r="CR27" s="145"/>
      <c r="CS27" s="138"/>
      <c r="CU27" s="144"/>
      <c r="CV27" s="107"/>
      <c r="CW27" s="107"/>
      <c r="CX27" s="145"/>
      <c r="CY27" s="138"/>
      <c r="DA27" s="144"/>
      <c r="DB27" s="107"/>
      <c r="DC27" s="107"/>
      <c r="DD27" s="145"/>
      <c r="DE27" s="138"/>
      <c r="DG27" s="144"/>
      <c r="DH27" s="107"/>
      <c r="DI27" s="107"/>
      <c r="DJ27" s="145"/>
      <c r="DK27" s="138"/>
    </row>
    <row r="28" spans="2:115" s="135" customFormat="1" ht="15" x14ac:dyDescent="0.3">
      <c r="B28" s="39" t="s">
        <v>59</v>
      </c>
      <c r="C28" s="156">
        <v>255</v>
      </c>
      <c r="D28" s="157">
        <v>271</v>
      </c>
      <c r="E28" s="157">
        <v>285</v>
      </c>
      <c r="F28" s="158">
        <v>305</v>
      </c>
      <c r="G28" s="159">
        <f>C28+D28+E28+F28</f>
        <v>1116</v>
      </c>
      <c r="H28" s="160"/>
      <c r="I28" s="156">
        <v>299</v>
      </c>
      <c r="J28" s="157">
        <v>324</v>
      </c>
      <c r="K28" s="157">
        <v>346</v>
      </c>
      <c r="L28" s="157">
        <v>314</v>
      </c>
      <c r="M28" s="159">
        <f>I28+J28+K28+L28</f>
        <v>1283</v>
      </c>
      <c r="N28" s="160"/>
      <c r="O28" s="156">
        <v>265</v>
      </c>
      <c r="P28" s="157">
        <v>300</v>
      </c>
      <c r="Q28" s="157">
        <v>300</v>
      </c>
      <c r="R28" s="157">
        <v>277</v>
      </c>
      <c r="S28" s="159">
        <f>O28+P28+Q28+R28</f>
        <v>1142</v>
      </c>
      <c r="T28" s="134"/>
      <c r="U28" s="156">
        <v>262</v>
      </c>
      <c r="V28" s="157">
        <v>273</v>
      </c>
      <c r="W28" s="157">
        <v>276</v>
      </c>
      <c r="X28" s="157">
        <v>269</v>
      </c>
      <c r="Y28" s="213">
        <f>U28+V28+W28+X28</f>
        <v>1080</v>
      </c>
      <c r="AA28" s="156">
        <v>248</v>
      </c>
      <c r="AB28" s="157">
        <v>263</v>
      </c>
      <c r="AC28" s="157">
        <v>252</v>
      </c>
      <c r="AD28" s="158">
        <v>243</v>
      </c>
      <c r="AE28" s="213">
        <f>AA28+AB28+AC28+AD28</f>
        <v>1006</v>
      </c>
      <c r="AG28" s="156">
        <v>230</v>
      </c>
      <c r="AH28" s="157">
        <v>234</v>
      </c>
      <c r="AI28" s="157">
        <v>248</v>
      </c>
      <c r="AJ28" s="158">
        <v>223</v>
      </c>
      <c r="AK28" s="213">
        <f>AG28+AH28+AI28+AJ28</f>
        <v>935</v>
      </c>
      <c r="AM28" s="156">
        <v>197</v>
      </c>
      <c r="AN28" s="157">
        <v>197</v>
      </c>
      <c r="AO28" s="157">
        <v>188</v>
      </c>
      <c r="AP28" s="158">
        <v>178</v>
      </c>
      <c r="AQ28" s="213">
        <f>AM28+AN28+AO28+AP28</f>
        <v>760</v>
      </c>
      <c r="AS28" s="156">
        <v>172</v>
      </c>
      <c r="AT28" s="157">
        <v>172</v>
      </c>
      <c r="AU28" s="157">
        <v>173</v>
      </c>
      <c r="AV28" s="158">
        <v>169</v>
      </c>
      <c r="AW28" s="213">
        <f>AS28+AT28+AU28+AV28</f>
        <v>686</v>
      </c>
      <c r="AY28" s="156">
        <v>160</v>
      </c>
      <c r="AZ28" s="157">
        <v>166</v>
      </c>
      <c r="BA28" s="157">
        <v>172</v>
      </c>
      <c r="BB28" s="158">
        <v>168</v>
      </c>
      <c r="BC28" s="213">
        <f>AY28+AZ28+BA28+BB28</f>
        <v>666</v>
      </c>
      <c r="BE28" s="156">
        <v>165</v>
      </c>
      <c r="BF28" s="157">
        <v>170</v>
      </c>
      <c r="BG28" s="157">
        <v>173</v>
      </c>
      <c r="BH28" s="158">
        <v>170</v>
      </c>
      <c r="BI28" s="213">
        <f>BE28+BF28+BG28+BH28</f>
        <v>678</v>
      </c>
      <c r="BK28" s="156">
        <v>169</v>
      </c>
      <c r="BL28" s="157">
        <v>177</v>
      </c>
      <c r="BM28" s="157">
        <v>183</v>
      </c>
      <c r="BN28" s="158">
        <v>185</v>
      </c>
      <c r="BO28" s="213">
        <f>BK28+BL28+BM28+BN28</f>
        <v>714</v>
      </c>
      <c r="BQ28" s="156">
        <f>BQ25/BQ23</f>
        <v>175.72175772753715</v>
      </c>
      <c r="BR28" s="157">
        <f>BR25/BR23</f>
        <v>183.41397404851463</v>
      </c>
      <c r="BS28" s="157">
        <f>BS25/BS23</f>
        <v>183.44384400636335</v>
      </c>
      <c r="BT28" s="158">
        <f>BT25/BT23</f>
        <v>181.12323400793991</v>
      </c>
      <c r="BU28" s="213">
        <f>BQ28+BR28+BS28+BT28</f>
        <v>723.70280979035499</v>
      </c>
      <c r="BW28" s="156">
        <f>BW25/BW23</f>
        <v>178.9113577733772</v>
      </c>
      <c r="BX28" s="157">
        <f>BX25/BX23</f>
        <v>186.52727115531002</v>
      </c>
      <c r="BY28" s="157">
        <f>BY25/BY23</f>
        <v>186.61179579990309</v>
      </c>
      <c r="BZ28" s="158">
        <f>BZ25/BZ23</f>
        <v>184.12046767108345</v>
      </c>
      <c r="CA28" s="213">
        <f>BW28+BX28+BY28+BZ28</f>
        <v>736.17089239967379</v>
      </c>
      <c r="CC28" s="156">
        <f>CC25/CC23</f>
        <v>181.83733407694865</v>
      </c>
      <c r="CD28" s="157">
        <f>CD25/CD23</f>
        <v>189.92042770970326</v>
      </c>
      <c r="CE28" s="157">
        <f>CE25/CE23</f>
        <v>189.35374084783669</v>
      </c>
      <c r="CF28" s="158">
        <f>CF25/CF23</f>
        <v>186.72851300282534</v>
      </c>
      <c r="CG28" s="213">
        <f>CC28+CD28+CE28+CF28</f>
        <v>747.84001563731397</v>
      </c>
      <c r="CI28" s="156">
        <f>CI25/CI23</f>
        <v>184.5145752950468</v>
      </c>
      <c r="CJ28" s="157">
        <f>CJ25/CJ23</f>
        <v>192.6391171522429</v>
      </c>
      <c r="CK28" s="157">
        <f>CK25/CK23</f>
        <v>192.0579054577853</v>
      </c>
      <c r="CL28" s="158">
        <f>CL25/CL23</f>
        <v>189.44624696982603</v>
      </c>
      <c r="CM28" s="213">
        <f>CI28+CJ28+CK28+CL28</f>
        <v>758.657844874901</v>
      </c>
      <c r="CO28" s="156">
        <f>CO25/CO23</f>
        <v>186.27785662905006</v>
      </c>
      <c r="CP28" s="157">
        <f>CP25/CP23</f>
        <v>194.41440408997389</v>
      </c>
      <c r="CQ28" s="157">
        <f>CQ25/CQ23</f>
        <v>193.82177549199807</v>
      </c>
      <c r="CR28" s="158">
        <f>CR25/CR23</f>
        <v>191.22810540639057</v>
      </c>
      <c r="CS28" s="213">
        <f>CO28+CP28+CQ28+CR28</f>
        <v>765.74214161741259</v>
      </c>
      <c r="CU28" s="156">
        <f>CU25/CU23</f>
        <v>188.15305558421696</v>
      </c>
      <c r="CV28" s="157">
        <f>CV25/CV23</f>
        <v>196.30593196452796</v>
      </c>
      <c r="CW28" s="157">
        <f>CW25/CW23</f>
        <v>195.70152278201132</v>
      </c>
      <c r="CX28" s="158">
        <f>CX25/CX23</f>
        <v>193.12472957526123</v>
      </c>
      <c r="CY28" s="213">
        <f>CU28+CV28+CW28+CX28</f>
        <v>773.28523990601741</v>
      </c>
      <c r="DA28" s="156">
        <f>DA25/DA23</f>
        <v>190.1423493448053</v>
      </c>
      <c r="DB28" s="157">
        <f>DB25/DB23</f>
        <v>198.31594035921697</v>
      </c>
      <c r="DC28" s="157">
        <f>DC25/DC23</f>
        <v>197.69937136740467</v>
      </c>
      <c r="DD28" s="158">
        <f>DD25/DD23</f>
        <v>195.13832353670239</v>
      </c>
      <c r="DE28" s="213">
        <f>DA28+DB28+DC28+DD28</f>
        <v>781.29598460812929</v>
      </c>
      <c r="DG28" s="156">
        <f>DG25/DG23</f>
        <v>192.24794939490002</v>
      </c>
      <c r="DH28" s="157">
        <f>DH25/DH23</f>
        <v>200.44670388407783</v>
      </c>
      <c r="DI28" s="157">
        <f>DI25/DI23</f>
        <v>199.81758029754198</v>
      </c>
      <c r="DJ28" s="158">
        <f>DJ25/DJ23</f>
        <v>197.27112669373096</v>
      </c>
      <c r="DK28" s="213">
        <f>DG28+DH28+DI28+DJ28</f>
        <v>789.7833602702508</v>
      </c>
    </row>
    <row r="29" spans="2:115" ht="15.75" thickBot="1" x14ac:dyDescent="0.35">
      <c r="B29" s="41" t="s">
        <v>23</v>
      </c>
      <c r="C29" s="155" t="s">
        <v>35</v>
      </c>
      <c r="D29" s="106" t="s">
        <v>35</v>
      </c>
      <c r="E29" s="106" t="s">
        <v>35</v>
      </c>
      <c r="F29" s="154" t="s">
        <v>35</v>
      </c>
      <c r="G29" s="108" t="s">
        <v>35</v>
      </c>
      <c r="H29" s="107"/>
      <c r="I29" s="109">
        <f>I28/C28-1</f>
        <v>0.17254901960784319</v>
      </c>
      <c r="J29" s="110">
        <f>J28/D28-1</f>
        <v>0.19557195571955721</v>
      </c>
      <c r="K29" s="110">
        <f>K28/E28-1</f>
        <v>0.21403508771929824</v>
      </c>
      <c r="L29" s="110">
        <f>L28/F28-1</f>
        <v>2.9508196721311553E-2</v>
      </c>
      <c r="M29" s="122">
        <f>M28/G28-1</f>
        <v>0.14964157706093184</v>
      </c>
      <c r="N29" s="107"/>
      <c r="O29" s="109">
        <f>O28/I28-1</f>
        <v>-0.11371237458193983</v>
      </c>
      <c r="P29" s="110">
        <f>P28/J28-1</f>
        <v>-7.407407407407407E-2</v>
      </c>
      <c r="Q29" s="110">
        <f>Q28/K28-1</f>
        <v>-0.13294797687861271</v>
      </c>
      <c r="R29" s="110">
        <f>R28/L28-1</f>
        <v>-0.11783439490445857</v>
      </c>
      <c r="S29" s="122">
        <f>S28/M28-1</f>
        <v>-0.10989867498051442</v>
      </c>
      <c r="T29" s="107"/>
      <c r="U29" s="109">
        <f>U28/O28-1</f>
        <v>-1.132075471698113E-2</v>
      </c>
      <c r="V29" s="110">
        <f>V28/P28-1</f>
        <v>-8.9999999999999969E-2</v>
      </c>
      <c r="W29" s="110">
        <f>W28/Q28-1</f>
        <v>-7.999999999999996E-2</v>
      </c>
      <c r="X29" s="110">
        <f>X28/R28-1</f>
        <v>-2.8880866425992746E-2</v>
      </c>
      <c r="Y29" s="122">
        <f>Y28/S28-1</f>
        <v>-5.4290718038528918E-2</v>
      </c>
      <c r="AA29" s="109">
        <f>AA28/U28-1</f>
        <v>-5.3435114503816772E-2</v>
      </c>
      <c r="AB29" s="110">
        <f>AB28/V28-1</f>
        <v>-3.6630036630036611E-2</v>
      </c>
      <c r="AC29" s="110">
        <f>AC28/W28-1</f>
        <v>-8.6956521739130488E-2</v>
      </c>
      <c r="AD29" s="110">
        <f>AD28/X28-1</f>
        <v>-9.6654275092936781E-2</v>
      </c>
      <c r="AE29" s="122">
        <f>AE28/Y28-1</f>
        <v>-6.8518518518518534E-2</v>
      </c>
      <c r="AG29" s="109">
        <f>AG28/AA28-1</f>
        <v>-7.2580645161290369E-2</v>
      </c>
      <c r="AH29" s="110">
        <f>AH28/AB28-1</f>
        <v>-0.11026615969581754</v>
      </c>
      <c r="AI29" s="110">
        <f>AI28/AC28-1</f>
        <v>-1.5873015873015928E-2</v>
      </c>
      <c r="AJ29" s="120">
        <f>AJ28/AD28-1</f>
        <v>-8.2304526748971152E-2</v>
      </c>
      <c r="AK29" s="122">
        <f>AK28/AE28-1</f>
        <v>-7.0576540755467154E-2</v>
      </c>
      <c r="AM29" s="109">
        <f>AM28/AG28-1</f>
        <v>-0.14347826086956517</v>
      </c>
      <c r="AN29" s="110">
        <f>AN28/AH28-1</f>
        <v>-0.15811965811965811</v>
      </c>
      <c r="AO29" s="110">
        <f>AO28/AI28-1</f>
        <v>-0.24193548387096775</v>
      </c>
      <c r="AP29" s="120">
        <f>AP28/AJ28-1</f>
        <v>-0.2017937219730942</v>
      </c>
      <c r="AQ29" s="122">
        <f>AQ28/AK28-1</f>
        <v>-0.18716577540106949</v>
      </c>
      <c r="AS29" s="109">
        <f>AS28/AM28-1</f>
        <v>-0.12690355329949243</v>
      </c>
      <c r="AT29" s="110">
        <f>AT28/AN28-1</f>
        <v>-0.12690355329949243</v>
      </c>
      <c r="AU29" s="110">
        <f>AU28/AO28-1</f>
        <v>-7.9787234042553168E-2</v>
      </c>
      <c r="AV29" s="120">
        <f>AV28/AP28-1</f>
        <v>-5.0561797752809001E-2</v>
      </c>
      <c r="AW29" s="122">
        <f>AW28/AQ28-1</f>
        <v>-9.7368421052631549E-2</v>
      </c>
      <c r="AY29" s="109">
        <f>AY28/AS28-1</f>
        <v>-6.9767441860465129E-2</v>
      </c>
      <c r="AZ29" s="110">
        <f>AZ28/AT28-1</f>
        <v>-3.4883720930232509E-2</v>
      </c>
      <c r="BA29" s="110">
        <f>BA28/AU28-1</f>
        <v>-5.7803468208093012E-3</v>
      </c>
      <c r="BB29" s="120">
        <f>BB28/AV28-1</f>
        <v>-5.9171597633136397E-3</v>
      </c>
      <c r="BC29" s="122">
        <f>BC28/AW28-1</f>
        <v>-2.9154518950437303E-2</v>
      </c>
      <c r="BE29" s="109">
        <f>BE28/AY28-1</f>
        <v>3.125E-2</v>
      </c>
      <c r="BF29" s="110">
        <f>BF28/AZ28-1</f>
        <v>2.4096385542168752E-2</v>
      </c>
      <c r="BG29" s="110">
        <f>BG28/BA28-1</f>
        <v>5.8139534883721034E-3</v>
      </c>
      <c r="BH29" s="120">
        <f>BH28/BB28-1</f>
        <v>1.1904761904761862E-2</v>
      </c>
      <c r="BI29" s="122">
        <f>BI28/BC28-1</f>
        <v>1.8018018018018056E-2</v>
      </c>
      <c r="BK29" s="109">
        <f>BK28/BE28-1</f>
        <v>2.4242424242424176E-2</v>
      </c>
      <c r="BL29" s="110">
        <f>BL28/BF28-1</f>
        <v>4.117647058823537E-2</v>
      </c>
      <c r="BM29" s="110">
        <f>BM28/BG28-1</f>
        <v>5.7803468208092568E-2</v>
      </c>
      <c r="BN29" s="120">
        <f>BN28/BH28-1</f>
        <v>8.8235294117646967E-2</v>
      </c>
      <c r="BO29" s="122">
        <f>BO28/BI28-1</f>
        <v>5.3097345132743445E-2</v>
      </c>
      <c r="BQ29" s="109">
        <f>BQ28/BK28-1</f>
        <v>3.9773714364125246E-2</v>
      </c>
      <c r="BR29" s="110">
        <f>BR28/BL28-1</f>
        <v>3.6237141517031723E-2</v>
      </c>
      <c r="BS29" s="110">
        <f>BS28/BM28-1</f>
        <v>2.425377083952629E-3</v>
      </c>
      <c r="BT29" s="120">
        <f>BT28/BN28-1</f>
        <v>-2.0955491848973384E-2</v>
      </c>
      <c r="BU29" s="122">
        <f>BU28/BO28-1</f>
        <v>1.3589369454278799E-2</v>
      </c>
      <c r="BW29" s="109">
        <f>BW28/BQ28-1</f>
        <v>1.8151423518000698E-2</v>
      </c>
      <c r="BX29" s="110">
        <f>BX28/BR28-1</f>
        <v>1.6974154357354942E-2</v>
      </c>
      <c r="BY29" s="110">
        <f>BY28/BS28-1</f>
        <v>1.7269327355732056E-2</v>
      </c>
      <c r="BZ29" s="120">
        <f>BZ28/BT28-1</f>
        <v>1.6548035262069938E-2</v>
      </c>
      <c r="CA29" s="122">
        <f>CA28/BU28-1</f>
        <v>1.7228180463926268E-2</v>
      </c>
      <c r="CC29" s="109">
        <f>CC28/BW28-1</f>
        <v>1.6354335129901143E-2</v>
      </c>
      <c r="CD29" s="110">
        <f>CD28/BX28-1</f>
        <v>1.8191208896032984E-2</v>
      </c>
      <c r="CE29" s="110">
        <f>CE28/BY28-1</f>
        <v>1.4693310442570828E-2</v>
      </c>
      <c r="CF29" s="120">
        <f>CF28/BZ28-1</f>
        <v>1.416488544011818E-2</v>
      </c>
      <c r="CG29" s="122">
        <f>CG28/CA28-1</f>
        <v>1.5851106527185133E-2</v>
      </c>
      <c r="CI29" s="109">
        <f>CI28/CC28-1</f>
        <v>1.4723275787607015E-2</v>
      </c>
      <c r="CJ29" s="110">
        <f>CJ28/CD28-1</f>
        <v>1.4314886899345014E-2</v>
      </c>
      <c r="CK29" s="110">
        <f>CK28/CE28-1</f>
        <v>1.4281020263136268E-2</v>
      </c>
      <c r="CL29" s="120">
        <f>CL28/CF28-1</f>
        <v>1.455446692792739E-2</v>
      </c>
      <c r="CM29" s="122">
        <f>CM28/CG28-1</f>
        <v>1.4465432460668781E-2</v>
      </c>
      <c r="CO29" s="109">
        <f>CO28/CI28-1</f>
        <v>9.5563254620059102E-3</v>
      </c>
      <c r="CP29" s="110">
        <f>CP28/CJ28-1</f>
        <v>9.2156098095486083E-3</v>
      </c>
      <c r="CQ29" s="110">
        <f>CQ28/CK28-1</f>
        <v>9.1840532677289755E-3</v>
      </c>
      <c r="CR29" s="120">
        <f>CR28/CL28-1</f>
        <v>9.4056148647185811E-3</v>
      </c>
      <c r="CS29" s="122">
        <f>CS28/CM28-1</f>
        <v>9.337933813470034E-3</v>
      </c>
      <c r="CU29" s="109">
        <f>CU28/CO28-1</f>
        <v>1.0066676679134856E-2</v>
      </c>
      <c r="CV29" s="110">
        <f>CV28/CP28-1</f>
        <v>9.7293607611435018E-3</v>
      </c>
      <c r="CW29" s="110">
        <f>CW28/CQ28-1</f>
        <v>9.6983287107019756E-3</v>
      </c>
      <c r="CX29" s="120">
        <f>CX28/CR28-1</f>
        <v>9.9181245604040846E-3</v>
      </c>
      <c r="CY29" s="122">
        <f>CY28/CS28-1</f>
        <v>9.850702839303338E-3</v>
      </c>
      <c r="DA29" s="109">
        <f>DA28/CU28-1</f>
        <v>1.0572742251841571E-2</v>
      </c>
      <c r="DB29" s="110">
        <f>DB28/CV28-1</f>
        <v>1.0239162793370005E-2</v>
      </c>
      <c r="DC29" s="110">
        <f>DC28/CW28-1</f>
        <v>1.0208651200015018E-2</v>
      </c>
      <c r="DD29" s="120">
        <f>DD28/CX28-1</f>
        <v>1.0426391099004562E-2</v>
      </c>
      <c r="DE29" s="122">
        <f>DE28/CY28-1</f>
        <v>1.0359365844207158E-2</v>
      </c>
      <c r="DG29" s="109">
        <f>DG28/DA28-1</f>
        <v>1.1073808950768926E-2</v>
      </c>
      <c r="DH29" s="110">
        <f>DH28/DB28-1</f>
        <v>1.0744287730988011E-2</v>
      </c>
      <c r="DI29" s="110">
        <f>DI28/DC28-1</f>
        <v>1.0714292693429162E-2</v>
      </c>
      <c r="DJ29" s="120">
        <f>DJ28/DD28-1</f>
        <v>1.0929699089207601E-2</v>
      </c>
      <c r="DK29" s="122">
        <f>DK28/DE28-1</f>
        <v>1.0863201436237313E-2</v>
      </c>
    </row>
    <row r="30" spans="2:115" ht="15.75" thickBot="1" x14ac:dyDescent="0.35">
      <c r="B30" s="1"/>
      <c r="AA30" s="103"/>
      <c r="AB30" s="103"/>
      <c r="AC30" s="103"/>
      <c r="AD30" s="103"/>
      <c r="AE30" s="103"/>
      <c r="AG30" s="103"/>
      <c r="AH30" s="103"/>
      <c r="AI30" s="103"/>
      <c r="AJ30" s="103"/>
      <c r="AK30" s="103"/>
      <c r="AM30" s="103"/>
      <c r="AN30" s="103"/>
      <c r="AO30" s="103"/>
      <c r="AP30" s="103"/>
      <c r="AQ30" s="103"/>
      <c r="AS30" s="103"/>
      <c r="AT30" s="103"/>
      <c r="AU30" s="103"/>
      <c r="AV30" s="103"/>
      <c r="AW30" s="103"/>
      <c r="AY30" s="103"/>
      <c r="AZ30" s="103"/>
      <c r="BA30" s="103"/>
      <c r="BB30" s="103"/>
      <c r="BC30" s="103"/>
      <c r="BE30" s="103"/>
      <c r="BF30" s="103"/>
      <c r="BG30" s="103"/>
      <c r="BH30" s="103"/>
      <c r="BI30" s="103"/>
      <c r="BK30" s="103"/>
      <c r="BL30" s="103"/>
      <c r="BM30" s="103"/>
      <c r="BN30" s="103"/>
      <c r="BO30" s="103"/>
      <c r="BQ30" s="103"/>
      <c r="BR30" s="103"/>
      <c r="BS30" s="103"/>
      <c r="BT30" s="103"/>
      <c r="BU30" s="103"/>
      <c r="BW30" s="103"/>
      <c r="BX30" s="103"/>
      <c r="BY30" s="103"/>
      <c r="BZ30" s="103"/>
      <c r="CA30" s="103"/>
      <c r="CC30" s="103"/>
      <c r="CD30" s="103"/>
      <c r="CE30" s="103"/>
      <c r="CF30" s="103"/>
      <c r="CG30" s="103"/>
      <c r="CI30" s="103"/>
      <c r="CJ30" s="103"/>
      <c r="CK30" s="103"/>
      <c r="CL30" s="103"/>
      <c r="CM30" s="103"/>
      <c r="CO30" s="103"/>
      <c r="CP30" s="103"/>
      <c r="CQ30" s="103"/>
      <c r="CR30" s="103"/>
      <c r="CS30" s="103"/>
      <c r="CU30" s="103"/>
      <c r="CV30" s="103"/>
      <c r="CW30" s="103"/>
      <c r="CX30" s="103"/>
      <c r="CY30" s="103"/>
      <c r="DA30" s="103"/>
      <c r="DB30" s="103"/>
      <c r="DC30" s="103"/>
      <c r="DD30" s="103"/>
      <c r="DE30" s="103"/>
      <c r="DG30" s="103"/>
      <c r="DH30" s="103"/>
      <c r="DI30" s="103"/>
      <c r="DJ30" s="103"/>
      <c r="DK30" s="103"/>
    </row>
    <row r="31" spans="2:115" ht="15" x14ac:dyDescent="0.3">
      <c r="B31" s="38" t="s">
        <v>41</v>
      </c>
      <c r="C31" s="185">
        <v>1.2999999999999999E-2</v>
      </c>
      <c r="D31" s="186">
        <v>1.2999999999999999E-2</v>
      </c>
      <c r="E31" s="186">
        <v>1.2999999999999999E-2</v>
      </c>
      <c r="F31" s="186">
        <v>1.7000000000000001E-2</v>
      </c>
      <c r="G31" s="191">
        <f>G32/G7/12</f>
        <v>1.4016492045013582E-2</v>
      </c>
      <c r="H31" s="136"/>
      <c r="I31" s="185">
        <v>1.4E-2</v>
      </c>
      <c r="J31" s="186">
        <v>1.2999999999999999E-2</v>
      </c>
      <c r="K31" s="186">
        <v>1.2E-2</v>
      </c>
      <c r="L31" s="186">
        <v>1.4999999999999999E-2</v>
      </c>
      <c r="M31" s="191">
        <f>M32/M7/12</f>
        <v>1.3503341227226899E-2</v>
      </c>
      <c r="N31" s="136"/>
      <c r="O31" s="185">
        <v>1.4999999999999999E-2</v>
      </c>
      <c r="P31" s="186">
        <v>1.2E-2</v>
      </c>
      <c r="Q31" s="186">
        <v>1.2999999999999999E-2</v>
      </c>
      <c r="R31" s="186">
        <v>1.4999999999999999E-2</v>
      </c>
      <c r="S31" s="191">
        <f>S32/S7/12</f>
        <v>1.3751115198896297E-2</v>
      </c>
      <c r="T31" s="227"/>
      <c r="U31" s="185">
        <v>1.2999999999999999E-2</v>
      </c>
      <c r="V31" s="186">
        <v>1.2999999999999999E-2</v>
      </c>
      <c r="W31" s="249">
        <v>1.4E-2</v>
      </c>
      <c r="X31" s="249">
        <v>1.4E-2</v>
      </c>
      <c r="Y31" s="191">
        <f>Y32/Y7/12</f>
        <v>1.3500377704017399E-2</v>
      </c>
      <c r="Z31" s="227"/>
      <c r="AA31" s="248">
        <v>1.2999999999999999E-2</v>
      </c>
      <c r="AB31" s="249">
        <v>1.2999999999999999E-2</v>
      </c>
      <c r="AC31" s="249">
        <v>1.2999999999999999E-2</v>
      </c>
      <c r="AD31" s="249">
        <v>1.2999999999999999E-2</v>
      </c>
      <c r="AE31" s="191">
        <f>AE32/AE7/12</f>
        <v>1.2999999999999999E-2</v>
      </c>
      <c r="AG31" s="248">
        <v>1.2E-2</v>
      </c>
      <c r="AH31" s="249">
        <v>1.0999999999999999E-2</v>
      </c>
      <c r="AI31" s="249">
        <v>1.0999999999999999E-2</v>
      </c>
      <c r="AJ31" s="250">
        <v>1.0999999999999999E-2</v>
      </c>
      <c r="AK31" s="191">
        <f>AK32/AK7/12</f>
        <v>1.1248662296449004E-2</v>
      </c>
      <c r="AM31" s="248">
        <v>1.0999999999999999E-2</v>
      </c>
      <c r="AN31" s="249">
        <v>1.0999999999999999E-2</v>
      </c>
      <c r="AO31" s="249">
        <v>1.2E-2</v>
      </c>
      <c r="AP31" s="250">
        <v>1.2999999999999999E-2</v>
      </c>
      <c r="AQ31" s="191">
        <f>AQ32/AQ7/12</f>
        <v>1.1762729461662508E-2</v>
      </c>
      <c r="AS31" s="248">
        <v>1.2999999999999999E-2</v>
      </c>
      <c r="AT31" s="249">
        <v>1.2999999999999999E-2</v>
      </c>
      <c r="AU31" s="249">
        <v>1.2999999999999999E-2</v>
      </c>
      <c r="AV31" s="250">
        <v>1.4E-2</v>
      </c>
      <c r="AW31" s="191">
        <f>AW32/AW7/12</f>
        <v>1.3252308922222455E-2</v>
      </c>
      <c r="AY31" s="248">
        <v>1.4999999999999999E-2</v>
      </c>
      <c r="AZ31" s="249">
        <v>1.6E-2</v>
      </c>
      <c r="BA31" s="249">
        <v>1.4999999999999999E-2</v>
      </c>
      <c r="BB31" s="250">
        <v>1.4999999999999999E-2</v>
      </c>
      <c r="BC31" s="191">
        <f>BC32/BC7/12</f>
        <v>1.5249984361642236E-2</v>
      </c>
      <c r="BE31" s="248">
        <v>1.2999999999999999E-2</v>
      </c>
      <c r="BF31" s="249">
        <v>1.4E-2</v>
      </c>
      <c r="BG31" s="249">
        <v>1.4E-2</v>
      </c>
      <c r="BH31" s="250">
        <v>1.2999999999999999E-2</v>
      </c>
      <c r="BI31" s="191">
        <f>BI32/BI7/12</f>
        <v>1.3499459863719462E-2</v>
      </c>
      <c r="BK31" s="248">
        <v>1.2E-2</v>
      </c>
      <c r="BL31" s="249">
        <v>1.2E-2</v>
      </c>
      <c r="BM31" s="249">
        <v>1.2999999999999999E-2</v>
      </c>
      <c r="BN31" s="250">
        <v>1.4E-2</v>
      </c>
      <c r="BO31" s="191">
        <f>BO32/BO7/12</f>
        <v>1.2754568977812188E-2</v>
      </c>
      <c r="BQ31" s="248">
        <v>1.2E-2</v>
      </c>
      <c r="BR31" s="249">
        <v>1.2E-2</v>
      </c>
      <c r="BS31" s="249">
        <v>1.2E-2</v>
      </c>
      <c r="BT31" s="249">
        <v>1.2E-2</v>
      </c>
      <c r="BU31" s="191">
        <f>BU32/BU7/12</f>
        <v>1.2000000000000002E-2</v>
      </c>
      <c r="BW31" s="248">
        <v>1.2999999999999999E-2</v>
      </c>
      <c r="BX31" s="249">
        <v>1.2999999999999999E-2</v>
      </c>
      <c r="BY31" s="249">
        <v>1.2999999999999999E-2</v>
      </c>
      <c r="BZ31" s="249">
        <v>1.2999999999999999E-2</v>
      </c>
      <c r="CA31" s="191">
        <f>CA32/CA7/12</f>
        <v>1.2999999999999999E-2</v>
      </c>
      <c r="CC31" s="248">
        <v>1.2999999999999999E-2</v>
      </c>
      <c r="CD31" s="249">
        <v>1.2999999999999999E-2</v>
      </c>
      <c r="CE31" s="249">
        <v>1.2999999999999999E-2</v>
      </c>
      <c r="CF31" s="249">
        <v>1.2999999999999999E-2</v>
      </c>
      <c r="CG31" s="191">
        <f>CG32/CG7/12</f>
        <v>1.2999999999999999E-2</v>
      </c>
      <c r="CI31" s="248">
        <v>1.2999999999999999E-2</v>
      </c>
      <c r="CJ31" s="249">
        <v>1.2999999999999999E-2</v>
      </c>
      <c r="CK31" s="249">
        <v>1.2999999999999999E-2</v>
      </c>
      <c r="CL31" s="249">
        <v>1.2999999999999999E-2</v>
      </c>
      <c r="CM31" s="191">
        <f>CM32/CM7/12</f>
        <v>1.2999999999999999E-2</v>
      </c>
      <c r="CO31" s="248">
        <v>1.2999999999999999E-2</v>
      </c>
      <c r="CP31" s="249">
        <v>1.2999999999999999E-2</v>
      </c>
      <c r="CQ31" s="249">
        <v>1.2999999999999999E-2</v>
      </c>
      <c r="CR31" s="249">
        <v>1.2999999999999999E-2</v>
      </c>
      <c r="CS31" s="191">
        <f>CS32/CS7/12</f>
        <v>1.2999999999999999E-2</v>
      </c>
      <c r="CU31" s="248">
        <v>1.2999999999999999E-2</v>
      </c>
      <c r="CV31" s="249">
        <v>1.2999999999999999E-2</v>
      </c>
      <c r="CW31" s="249">
        <v>1.2999999999999999E-2</v>
      </c>
      <c r="CX31" s="249">
        <v>1.2999999999999999E-2</v>
      </c>
      <c r="CY31" s="191">
        <f>CY32/CY7/12</f>
        <v>1.2999999999999999E-2</v>
      </c>
      <c r="DA31" s="248">
        <v>1.2999999999999999E-2</v>
      </c>
      <c r="DB31" s="249">
        <v>1.2999999999999999E-2</v>
      </c>
      <c r="DC31" s="249">
        <v>1.2999999999999999E-2</v>
      </c>
      <c r="DD31" s="249">
        <v>1.2999999999999999E-2</v>
      </c>
      <c r="DE31" s="191">
        <f>DE32/DE7/12</f>
        <v>1.2999999999999999E-2</v>
      </c>
      <c r="DG31" s="248">
        <v>1.2999999999999999E-2</v>
      </c>
      <c r="DH31" s="249">
        <v>1.2999999999999999E-2</v>
      </c>
      <c r="DI31" s="249">
        <v>1.2999999999999999E-2</v>
      </c>
      <c r="DJ31" s="249">
        <v>1.2999999999999999E-2</v>
      </c>
      <c r="DK31" s="191">
        <f>DK32/DK7/12</f>
        <v>1.2999999999999998E-2</v>
      </c>
    </row>
    <row r="32" spans="2:115" ht="15" x14ac:dyDescent="0.3">
      <c r="B32" s="40" t="s">
        <v>45</v>
      </c>
      <c r="C32" s="117">
        <f>C31*3*C7</f>
        <v>198.08099999999999</v>
      </c>
      <c r="D32" s="117">
        <f>D31*3*D7</f>
        <v>199.85550000000001</v>
      </c>
      <c r="E32" s="117">
        <f>E31*3*E7</f>
        <v>201.76650000000001</v>
      </c>
      <c r="F32" s="117">
        <f>F31*3*F7</f>
        <v>267.18900000000002</v>
      </c>
      <c r="G32" s="118">
        <f>C32+D32+E32+F32</f>
        <v>866.89200000000005</v>
      </c>
      <c r="I32" s="116">
        <f>I31*3*I7</f>
        <v>221.42400000000001</v>
      </c>
      <c r="J32" s="117">
        <f>J31*3*J7</f>
        <v>206.42699999999999</v>
      </c>
      <c r="K32" s="117">
        <f>K31*3*K7</f>
        <v>192.69000000000003</v>
      </c>
      <c r="L32" s="117">
        <f>L31*3*L7</f>
        <v>243.315</v>
      </c>
      <c r="M32" s="118">
        <f>I32+J32+K32+L32</f>
        <v>863.85599999999999</v>
      </c>
      <c r="N32" s="114"/>
      <c r="O32" s="116">
        <f>O31*3*O7</f>
        <v>243.74249999999998</v>
      </c>
      <c r="P32" s="117">
        <f>P31*3*P7</f>
        <v>195.19200000000004</v>
      </c>
      <c r="Q32" s="117">
        <f>Q31*3*Q7</f>
        <v>212.37450000000001</v>
      </c>
      <c r="R32" s="117">
        <f>R31*3*R7</f>
        <v>245.745</v>
      </c>
      <c r="S32" s="118">
        <f>O32+P32+Q32+R32</f>
        <v>897.05399999999997</v>
      </c>
      <c r="U32" s="116">
        <f>U31*3*U7</f>
        <v>212.80350000000001</v>
      </c>
      <c r="V32" s="117">
        <f>V31*3*V7</f>
        <v>212.80350000000001</v>
      </c>
      <c r="W32" s="117">
        <f>W31*3*W7</f>
        <v>229.40400000000002</v>
      </c>
      <c r="X32" s="117">
        <f>X31*3*X7</f>
        <v>229.63500000000002</v>
      </c>
      <c r="Y32" s="118">
        <f>U32+V32+W32+X32</f>
        <v>884.64600000000007</v>
      </c>
      <c r="AA32" s="116">
        <f>AA31*3*AA7</f>
        <v>212.95949999999999</v>
      </c>
      <c r="AB32" s="117">
        <f>AB31*3*AB7</f>
        <v>211.9845</v>
      </c>
      <c r="AC32" s="117">
        <f>AC31*3*AC7</f>
        <v>211.06800000000001</v>
      </c>
      <c r="AD32" s="119">
        <f>AD31*3*AD7</f>
        <v>210.21</v>
      </c>
      <c r="AE32" s="118">
        <f>AA32+AB32+AC32+AD32</f>
        <v>846.22199999999998</v>
      </c>
      <c r="AG32" s="116">
        <f>AG31*3*AG7</f>
        <v>193.23000000000002</v>
      </c>
      <c r="AH32" s="117">
        <f>AH31*3*AH7</f>
        <v>177.0615</v>
      </c>
      <c r="AI32" s="117">
        <f>AI31*3*AI7</f>
        <v>178.06800000000001</v>
      </c>
      <c r="AJ32" s="119">
        <f>AJ31*3*AJ7</f>
        <v>180.06450000000001</v>
      </c>
      <c r="AK32" s="118">
        <f>AG32+AH32+AI32+AJ32</f>
        <v>728.42399999999998</v>
      </c>
      <c r="AM32" s="116">
        <f>AM31*3*AM7</f>
        <v>182.62200000000001</v>
      </c>
      <c r="AN32" s="117">
        <f>AN31*3*AN7</f>
        <v>185.41050000000001</v>
      </c>
      <c r="AO32" s="117">
        <f>AO31*3*AO7</f>
        <v>205.20000000000002</v>
      </c>
      <c r="AP32" s="117">
        <f>AP31*3*AP7</f>
        <v>225.49799999999999</v>
      </c>
      <c r="AQ32" s="118">
        <f>AM32+AN32+AO32+AP32</f>
        <v>798.73050000000012</v>
      </c>
      <c r="AS32" s="116">
        <f>AS31*3*AS7</f>
        <v>228.98849999999999</v>
      </c>
      <c r="AT32" s="117">
        <f>AT31*3*AT7</f>
        <v>231.23099999999999</v>
      </c>
      <c r="AU32" s="117">
        <f>AU31*3*AU7</f>
        <v>232.81049999999999</v>
      </c>
      <c r="AV32" s="117">
        <f>AV31*3*AV7</f>
        <v>251.85300000000001</v>
      </c>
      <c r="AW32" s="118">
        <f>AS32+AT32+AU32+AV32</f>
        <v>944.88300000000004</v>
      </c>
      <c r="AY32" s="116">
        <f>AY31*3*AY7</f>
        <v>269.84249999999997</v>
      </c>
      <c r="AZ32" s="117">
        <f>AZ31*3*AZ7</f>
        <v>287.73599999999999</v>
      </c>
      <c r="BA32" s="117">
        <f>BA31*3*BA7</f>
        <v>269.48250000000002</v>
      </c>
      <c r="BB32" s="117">
        <f>BB31*3*BB7</f>
        <v>270</v>
      </c>
      <c r="BC32" s="118">
        <f>AY32+AZ32+BA32+BB32</f>
        <v>1097.0609999999999</v>
      </c>
      <c r="BE32" s="116">
        <f>BE31*3*BE7</f>
        <v>234.83850000000001</v>
      </c>
      <c r="BF32" s="117">
        <f>BF31*3*BF7</f>
        <v>252.67200000000003</v>
      </c>
      <c r="BG32" s="117">
        <f>BG31*3*BG7</f>
        <v>252.21</v>
      </c>
      <c r="BH32" s="117">
        <f>BH31*3*BH7</f>
        <v>234.99449999999999</v>
      </c>
      <c r="BI32" s="118">
        <f>BE32+BF32+BG32+BH32</f>
        <v>974.71500000000003</v>
      </c>
      <c r="BK32" s="116">
        <f>BK31*3*BK7</f>
        <v>218.62800000000001</v>
      </c>
      <c r="BL32" s="117">
        <f>BL31*3*BL7</f>
        <v>220.53600000000003</v>
      </c>
      <c r="BM32" s="117">
        <f>BM31*3*BM7</f>
        <v>240.4545</v>
      </c>
      <c r="BN32" s="117">
        <f>BN31*3*BN7</f>
        <v>259.392</v>
      </c>
      <c r="BO32" s="118">
        <f>BK32+BL32+BM32+BN32</f>
        <v>939.01050000000009</v>
      </c>
      <c r="BQ32" s="116">
        <f>BQ31*3*BQ7</f>
        <v>222.69600000000003</v>
      </c>
      <c r="BR32" s="117">
        <f>BR31*3*BR7</f>
        <v>223.41600000000003</v>
      </c>
      <c r="BS32" s="117">
        <f>BS31*3*BS7</f>
        <v>224.13600000000002</v>
      </c>
      <c r="BT32" s="119">
        <f>BT31*3*BT7</f>
        <v>225.21600000000004</v>
      </c>
      <c r="BU32" s="118">
        <f>BQ32+BR32+BS32+BT32</f>
        <v>895.46400000000006</v>
      </c>
      <c r="BW32" s="116">
        <f>BW31*3*BW7</f>
        <v>245.0565</v>
      </c>
      <c r="BX32" s="117">
        <f>BX31*3*BX7</f>
        <v>245.64150000000001</v>
      </c>
      <c r="BY32" s="117">
        <f>BY31*3*BY7</f>
        <v>246.32400000000001</v>
      </c>
      <c r="BZ32" s="119">
        <f>BZ31*3*BZ7</f>
        <v>247.20150000000001</v>
      </c>
      <c r="CA32" s="118">
        <f>BW32+BX32+BY32+BZ32</f>
        <v>984.22349999999994</v>
      </c>
      <c r="CC32" s="116">
        <f>CC31*3*CC7</f>
        <v>247.98150000000001</v>
      </c>
      <c r="CD32" s="117">
        <f>CD31*3*CD7</f>
        <v>248.56649999999999</v>
      </c>
      <c r="CE32" s="117">
        <f>CE31*3*CE7</f>
        <v>249.1515</v>
      </c>
      <c r="CF32" s="119">
        <f>CF31*3*CF7</f>
        <v>249.834</v>
      </c>
      <c r="CG32" s="118">
        <f>CC32+CD32+CE32+CF32</f>
        <v>995.5335</v>
      </c>
      <c r="CI32" s="116">
        <f>CI31*3*CI7</f>
        <v>250.51650000000001</v>
      </c>
      <c r="CJ32" s="117">
        <f>CJ31*3*CJ7</f>
        <v>251.10149999999999</v>
      </c>
      <c r="CK32" s="117">
        <f>CK31*3*CK7</f>
        <v>251.6865</v>
      </c>
      <c r="CL32" s="119">
        <f>CL31*3*CL7</f>
        <v>252.369</v>
      </c>
      <c r="CM32" s="118">
        <f>CI32+CJ32+CK32+CL32</f>
        <v>1005.6735</v>
      </c>
      <c r="CO32" s="116">
        <f>CO31*3*CO7</f>
        <v>253.0515</v>
      </c>
      <c r="CP32" s="117">
        <f>CP31*3*CP7</f>
        <v>253.63650000000001</v>
      </c>
      <c r="CQ32" s="117">
        <f>CQ31*3*CQ7</f>
        <v>254.22149999999999</v>
      </c>
      <c r="CR32" s="119">
        <f>CR31*3*CR7</f>
        <v>254.904</v>
      </c>
      <c r="CS32" s="118">
        <f>CO32+CP32+CQ32+CR32</f>
        <v>1015.8135</v>
      </c>
      <c r="CU32" s="116">
        <f>CU31*3*CU7</f>
        <v>255.5865</v>
      </c>
      <c r="CV32" s="117">
        <f>CV31*3*CV7</f>
        <v>256.17149999999998</v>
      </c>
      <c r="CW32" s="117">
        <f>CW31*3*CW7</f>
        <v>256.75650000000002</v>
      </c>
      <c r="CX32" s="119">
        <f>CX31*3*CX7</f>
        <v>257.43900000000002</v>
      </c>
      <c r="CY32" s="118">
        <f>CU32+CV32+CW32+CX32</f>
        <v>1025.9535000000001</v>
      </c>
      <c r="DA32" s="116">
        <f>DA31*3*DA7</f>
        <v>258.12150000000003</v>
      </c>
      <c r="DB32" s="117">
        <f>DB31*3*DB7</f>
        <v>258.70650000000001</v>
      </c>
      <c r="DC32" s="117">
        <f>DC31*3*DC7</f>
        <v>259.29149999999998</v>
      </c>
      <c r="DD32" s="119">
        <f>DD31*3*DD7</f>
        <v>259.97399999999999</v>
      </c>
      <c r="DE32" s="118">
        <f>DA32+DB32+DC32+DD32</f>
        <v>1036.0934999999999</v>
      </c>
      <c r="DG32" s="116">
        <f>DG31*3*DG7</f>
        <v>260.65649999999999</v>
      </c>
      <c r="DH32" s="117">
        <f>DH31*3*DH7</f>
        <v>261.24149999999997</v>
      </c>
      <c r="DI32" s="117">
        <f>DI31*3*DI7</f>
        <v>261.82650000000001</v>
      </c>
      <c r="DJ32" s="119">
        <f>DJ31*3*DJ7</f>
        <v>262.50900000000001</v>
      </c>
      <c r="DK32" s="118">
        <f>DG32+DH32+DI32+DJ32</f>
        <v>1046.2334999999998</v>
      </c>
    </row>
    <row r="33" spans="2:115" ht="15" x14ac:dyDescent="0.3">
      <c r="B33" s="40" t="s">
        <v>42</v>
      </c>
      <c r="C33" s="116">
        <f>C32+C5</f>
        <v>258.08100000000002</v>
      </c>
      <c r="D33" s="117">
        <f>D32+D5</f>
        <v>230.85550000000001</v>
      </c>
      <c r="E33" s="117">
        <f>E32+E5</f>
        <v>268.76650000000001</v>
      </c>
      <c r="F33" s="117">
        <f>F32+F5</f>
        <v>331.18900000000002</v>
      </c>
      <c r="G33" s="118">
        <f>C33+D33+E33+F33</f>
        <v>1088.8920000000001</v>
      </c>
      <c r="I33" s="116">
        <f>I32+I5</f>
        <v>223.42400000000001</v>
      </c>
      <c r="J33" s="117">
        <f>J32+J5</f>
        <v>246.42699999999999</v>
      </c>
      <c r="K33" s="117">
        <f>K32+K5</f>
        <v>271.69000000000005</v>
      </c>
      <c r="L33" s="117">
        <f>L32+L5</f>
        <v>273.315</v>
      </c>
      <c r="M33" s="118">
        <f>I33+J33+K33+L33</f>
        <v>1014.856</v>
      </c>
      <c r="O33" s="116">
        <f>O32+O5</f>
        <v>232.74249999999998</v>
      </c>
      <c r="P33" s="117">
        <f>P32+P5</f>
        <v>217.19200000000004</v>
      </c>
      <c r="Q33" s="117">
        <f>Q32+Q5</f>
        <v>237.37450000000001</v>
      </c>
      <c r="R33" s="117">
        <f>R32+R5</f>
        <v>251.745</v>
      </c>
      <c r="S33" s="118">
        <f>O33+P33+Q33+R33</f>
        <v>939.05399999999997</v>
      </c>
      <c r="U33" s="116">
        <f>U32+U5</f>
        <v>197.80350000000001</v>
      </c>
      <c r="V33" s="117">
        <f>V32+V5</f>
        <v>227.80350000000001</v>
      </c>
      <c r="W33" s="117">
        <f>W32+W5</f>
        <v>225.40400000000002</v>
      </c>
      <c r="X33" s="117">
        <f>X32+X5</f>
        <v>244.63500000000002</v>
      </c>
      <c r="Y33" s="118">
        <f>U33+V33+W33+X33</f>
        <v>895.64600000000007</v>
      </c>
      <c r="AA33" s="116">
        <f>AA32+AA5</f>
        <v>183.95949999999999</v>
      </c>
      <c r="AB33" s="117">
        <f>AB32+AB5</f>
        <v>190.9845</v>
      </c>
      <c r="AC33" s="117">
        <f>AC32+AC5</f>
        <v>185.06800000000001</v>
      </c>
      <c r="AD33" s="119">
        <f>AD32+AD5</f>
        <v>192.21</v>
      </c>
      <c r="AE33" s="118">
        <f>AA33+AB33+AC33+AD33</f>
        <v>752.22199999999998</v>
      </c>
      <c r="AG33" s="116">
        <f>AG32+AG5</f>
        <v>166.23000000000002</v>
      </c>
      <c r="AH33" s="117">
        <f>AH32+AH5</f>
        <v>200.0615</v>
      </c>
      <c r="AI33" s="117">
        <f>AI32+AI5</f>
        <v>216.06800000000001</v>
      </c>
      <c r="AJ33" s="119">
        <f>AJ32+AJ5</f>
        <v>263.06450000000001</v>
      </c>
      <c r="AK33" s="118">
        <f>AG33+AH33+AI33+AJ33</f>
        <v>845.42399999999998</v>
      </c>
      <c r="AM33" s="116">
        <f>AM32+AM5</f>
        <v>254.62200000000001</v>
      </c>
      <c r="AN33" s="117">
        <f>AN32+AN5</f>
        <v>282.41050000000001</v>
      </c>
      <c r="AO33" s="117">
        <f>AO32+AO5</f>
        <v>271.20000000000005</v>
      </c>
      <c r="AP33" s="117">
        <f>AP32+AP5</f>
        <v>323.49799999999999</v>
      </c>
      <c r="AQ33" s="118">
        <f>AM33+AN33+AO33+AP33</f>
        <v>1131.7305000000001</v>
      </c>
      <c r="AS33" s="116">
        <f>AS32+AS5</f>
        <v>309.98849999999999</v>
      </c>
      <c r="AT33" s="117">
        <f>AT32+AT5</f>
        <v>265.23099999999999</v>
      </c>
      <c r="AU33" s="117">
        <f>AU32+AU5</f>
        <v>279.81049999999999</v>
      </c>
      <c r="AV33" s="117">
        <f>AV32+AV5</f>
        <v>258.85300000000001</v>
      </c>
      <c r="AW33" s="118">
        <f>AS33+AT33+AU33+AV33</f>
        <v>1113.883</v>
      </c>
      <c r="AY33" s="116">
        <f>AY32+AY5</f>
        <v>262.84249999999997</v>
      </c>
      <c r="AZ33" s="117">
        <f>AZ32+AZ5</f>
        <v>290.73599999999999</v>
      </c>
      <c r="BA33" s="117">
        <f>BA32+BA5</f>
        <v>254.48250000000002</v>
      </c>
      <c r="BB33" s="117">
        <f>BB32+BB5</f>
        <v>308</v>
      </c>
      <c r="BC33" s="118">
        <f>AY33+AZ33+BA33+BB33</f>
        <v>1116.0609999999999</v>
      </c>
      <c r="BE33" s="116">
        <f>BE32+BE5</f>
        <v>239.83850000000001</v>
      </c>
      <c r="BF33" s="117">
        <f>BF32+BF5</f>
        <v>236.67200000000003</v>
      </c>
      <c r="BG33" s="117">
        <f>BG32+BG5</f>
        <v>246.21</v>
      </c>
      <c r="BH33" s="117">
        <f>BH32+BH5</f>
        <v>281.99450000000002</v>
      </c>
      <c r="BI33" s="118">
        <f>BE33+BF33+BG33+BH33</f>
        <v>1004.715</v>
      </c>
      <c r="BK33" s="116">
        <f>BK32+BK5</f>
        <v>266.62800000000004</v>
      </c>
      <c r="BL33" s="117">
        <f>BL32+BL5</f>
        <v>278.53600000000006</v>
      </c>
      <c r="BM33" s="117">
        <f>BM32+BM5</f>
        <v>261.4545</v>
      </c>
      <c r="BN33" s="117">
        <f>BN32+BN5</f>
        <v>259.392</v>
      </c>
      <c r="BO33" s="118">
        <f>BK33+BL33+BM33+BN33</f>
        <v>1066.0105000000001</v>
      </c>
      <c r="BQ33" s="116">
        <f>BQ32+BQ5</f>
        <v>242.69600000000003</v>
      </c>
      <c r="BR33" s="117">
        <f>BR32+BR5</f>
        <v>243.41600000000003</v>
      </c>
      <c r="BS33" s="117">
        <f>BS32+BS5</f>
        <v>244.13600000000002</v>
      </c>
      <c r="BT33" s="119">
        <f>BT32+BT5</f>
        <v>265.21600000000001</v>
      </c>
      <c r="BU33" s="118">
        <f>BQ33+BR33+BS33+BT33</f>
        <v>995.46400000000006</v>
      </c>
      <c r="BW33" s="116">
        <f>BW32+BW5</f>
        <v>260.05650000000003</v>
      </c>
      <c r="BX33" s="117">
        <f>BX32+BX5</f>
        <v>260.64150000000001</v>
      </c>
      <c r="BY33" s="117">
        <f>BY32+BY5</f>
        <v>266.32400000000001</v>
      </c>
      <c r="BZ33" s="119">
        <f>BZ32+BZ5</f>
        <v>272.20150000000001</v>
      </c>
      <c r="CA33" s="118">
        <f>BW33+BX33+BY33+BZ33</f>
        <v>1059.2235000000001</v>
      </c>
      <c r="CC33" s="116">
        <f>CC32+CC5</f>
        <v>262.98149999999998</v>
      </c>
      <c r="CD33" s="117">
        <f>CD32+CD5</f>
        <v>263.56650000000002</v>
      </c>
      <c r="CE33" s="117">
        <f>CE32+CE5</f>
        <v>264.1515</v>
      </c>
      <c r="CF33" s="119">
        <f>CF32+CF5</f>
        <v>269.834</v>
      </c>
      <c r="CG33" s="118">
        <f>CC33+CD33+CE33+CF33</f>
        <v>1060.5335</v>
      </c>
      <c r="CI33" s="116">
        <f>CI32+CI5</f>
        <v>265.51650000000001</v>
      </c>
      <c r="CJ33" s="117">
        <f>CJ32+CJ5</f>
        <v>266.10149999999999</v>
      </c>
      <c r="CK33" s="117">
        <f>CK32+CK5</f>
        <v>266.68650000000002</v>
      </c>
      <c r="CL33" s="119">
        <f>CL32+CL5</f>
        <v>272.36900000000003</v>
      </c>
      <c r="CM33" s="118">
        <f>CI33+CJ33+CK33+CL33</f>
        <v>1070.6734999999999</v>
      </c>
      <c r="CO33" s="116">
        <f>CO32+CO5</f>
        <v>268.05150000000003</v>
      </c>
      <c r="CP33" s="117">
        <f>CP32+CP5</f>
        <v>268.63650000000001</v>
      </c>
      <c r="CQ33" s="117">
        <f>CQ32+CQ5</f>
        <v>269.22149999999999</v>
      </c>
      <c r="CR33" s="119">
        <f>CR32+CR5</f>
        <v>274.904</v>
      </c>
      <c r="CS33" s="118">
        <f>CO33+CP33+CQ33+CR33</f>
        <v>1080.8135000000002</v>
      </c>
      <c r="CU33" s="116">
        <f>CU32+CU5</f>
        <v>270.5865</v>
      </c>
      <c r="CV33" s="117">
        <f>CV32+CV5</f>
        <v>271.17149999999998</v>
      </c>
      <c r="CW33" s="117">
        <f>CW32+CW5</f>
        <v>271.75650000000002</v>
      </c>
      <c r="CX33" s="119">
        <f>CX32+CX5</f>
        <v>277.43900000000002</v>
      </c>
      <c r="CY33" s="118">
        <f>CU33+CV33+CW33+CX33</f>
        <v>1090.9535000000001</v>
      </c>
      <c r="DA33" s="116">
        <f>DA32+DA5</f>
        <v>273.12150000000003</v>
      </c>
      <c r="DB33" s="117">
        <f>DB32+DB5</f>
        <v>273.70650000000001</v>
      </c>
      <c r="DC33" s="117">
        <f>DC32+DC5</f>
        <v>274.29149999999998</v>
      </c>
      <c r="DD33" s="119">
        <f>DD32+DD5</f>
        <v>279.97399999999999</v>
      </c>
      <c r="DE33" s="118">
        <f>DA33+DB33+DC33+DD33</f>
        <v>1101.0934999999999</v>
      </c>
      <c r="DG33" s="116">
        <f>DG32+DG5</f>
        <v>275.65649999999999</v>
      </c>
      <c r="DH33" s="117">
        <f>DH32+DH5</f>
        <v>276.24149999999997</v>
      </c>
      <c r="DI33" s="117">
        <f>DI32+DI5</f>
        <v>276.82650000000001</v>
      </c>
      <c r="DJ33" s="119">
        <f>DJ32+DJ5</f>
        <v>282.50900000000001</v>
      </c>
      <c r="DK33" s="118">
        <f>DG33+DH33+DI33+DJ33</f>
        <v>1111.2334999999998</v>
      </c>
    </row>
    <row r="34" spans="2:115" s="135" customFormat="1" ht="15" x14ac:dyDescent="0.3">
      <c r="B34" s="39" t="s">
        <v>43</v>
      </c>
      <c r="C34" s="188">
        <f>C37*1000/C33</f>
        <v>38.747525001840508</v>
      </c>
      <c r="D34" s="189">
        <f>D37*1000/D33</f>
        <v>47.648853936769967</v>
      </c>
      <c r="E34" s="189">
        <f>E37*1000/E33</f>
        <v>52.089825182825983</v>
      </c>
      <c r="F34" s="189">
        <f>F37*1000/F33</f>
        <v>60.388479085959979</v>
      </c>
      <c r="G34" s="192">
        <f>G37*1000/G33</f>
        <v>50.510059767176173</v>
      </c>
      <c r="H34" s="134"/>
      <c r="I34" s="188">
        <f>I37*1000/I33</f>
        <v>53.709538814093385</v>
      </c>
      <c r="J34" s="189">
        <f>J37*1000/J33</f>
        <v>32.463975132595053</v>
      </c>
      <c r="K34" s="189">
        <f>K37*1000/K33</f>
        <v>40.487320107475426</v>
      </c>
      <c r="L34" s="189">
        <f>L37*1000/L33</f>
        <v>54.881729872125568</v>
      </c>
      <c r="M34" s="192">
        <f>M37*1000/M33</f>
        <v>45.326627620076152</v>
      </c>
      <c r="N34" s="134"/>
      <c r="O34" s="188">
        <f>O37*1000/O33</f>
        <v>42.965938752054313</v>
      </c>
      <c r="P34" s="189">
        <f>P37*1000/P33</f>
        <v>46.042211499502734</v>
      </c>
      <c r="Q34" s="189">
        <f>Q37*1000/Q33</f>
        <v>54.765781497170082</v>
      </c>
      <c r="R34" s="189">
        <f>R37*1000/R33</f>
        <v>63.556376492085242</v>
      </c>
      <c r="S34" s="192">
        <f>S37*1000/S33</f>
        <v>52.180172812213144</v>
      </c>
      <c r="T34" s="134"/>
      <c r="U34" s="188">
        <f>U37*1000/U33</f>
        <v>85.943878647243338</v>
      </c>
      <c r="V34" s="189">
        <f>V37*1000/V33</f>
        <v>79.015467277719608</v>
      </c>
      <c r="W34" s="189">
        <f>W37*1000/W33</f>
        <v>88.729570016503686</v>
      </c>
      <c r="X34" s="189">
        <f>X37*1000/X33</f>
        <v>89.929895558689466</v>
      </c>
      <c r="Y34" s="192">
        <f>Y37*1000/Y33</f>
        <v>85.97146640525385</v>
      </c>
      <c r="AA34" s="188">
        <f>AA37*1000/AA33</f>
        <v>108.71958229936482</v>
      </c>
      <c r="AB34" s="189">
        <f>AB37*1000/AB33</f>
        <v>99.484513141118782</v>
      </c>
      <c r="AC34" s="189">
        <f>AC37*1000/AC33</f>
        <v>108.06838567445479</v>
      </c>
      <c r="AD34" s="189">
        <f>AD37*1000/AD33</f>
        <v>140.47135945060089</v>
      </c>
      <c r="AE34" s="192">
        <f>AE37*1000/AE33</f>
        <v>114.3279510570018</v>
      </c>
      <c r="AG34" s="188">
        <f>AG37*1000/AG33</f>
        <v>150.39403236479575</v>
      </c>
      <c r="AH34" s="189">
        <f>AH37*1000/AH33</f>
        <v>124.96157431589786</v>
      </c>
      <c r="AI34" s="189">
        <f>AI37*1000/AI33</f>
        <v>115.70431530814372</v>
      </c>
      <c r="AJ34" s="189">
        <f>AJ37*1000/AJ33</f>
        <v>129.24586935903551</v>
      </c>
      <c r="AK34" s="192">
        <f>AK37*1000/AK33</f>
        <v>128.92938927685989</v>
      </c>
      <c r="AM34" s="188">
        <f>AM37*1000/AM33</f>
        <v>161.02300665299933</v>
      </c>
      <c r="AN34" s="189">
        <f>AN37*1000/AN33</f>
        <v>184.1291311760717</v>
      </c>
      <c r="AO34" s="189">
        <f>AO37*1000/AO33</f>
        <v>199.11504424778758</v>
      </c>
      <c r="AP34" s="189">
        <f>AP37*1000/AP33</f>
        <v>204.01980846867679</v>
      </c>
      <c r="AQ34" s="192">
        <f>AQ37*1000/AQ33</f>
        <v>188.20735148518131</v>
      </c>
      <c r="AS34" s="188">
        <f>AS37*1000/AS33</f>
        <v>135.48889716876593</v>
      </c>
      <c r="AT34" s="189">
        <f>AT37*1000/AT33</f>
        <v>169.66342546685721</v>
      </c>
      <c r="AU34" s="189">
        <f>AU37*1000/AU33</f>
        <v>135.80619740860334</v>
      </c>
      <c r="AV34" s="189">
        <f>AV37*1000/AV33</f>
        <v>197.02302078786028</v>
      </c>
      <c r="AW34" s="192">
        <f>AW37*1000/AW33</f>
        <v>158.00582287367703</v>
      </c>
      <c r="AY34" s="188">
        <f>AY37*1000/AY33</f>
        <v>251.10094448196165</v>
      </c>
      <c r="AZ34" s="189">
        <f>AZ37*1000/AZ33</f>
        <v>223.57052446205492</v>
      </c>
      <c r="BA34" s="189">
        <f>BA37*1000/BA33</f>
        <v>275.06803021818786</v>
      </c>
      <c r="BB34" s="189">
        <f>BB37*1000/BB33</f>
        <v>295.45454545454544</v>
      </c>
      <c r="BC34" s="192">
        <f>BC37*1000/BC33</f>
        <v>261.63444471225142</v>
      </c>
      <c r="BE34" s="188">
        <f>BE37*1000/BE33</f>
        <v>266.84623194357869</v>
      </c>
      <c r="BF34" s="189">
        <f>BF37*1000/BF33</f>
        <v>266.19118442401293</v>
      </c>
      <c r="BG34" s="189">
        <f>BG37*1000/BG33</f>
        <v>268.06384793468987</v>
      </c>
      <c r="BH34" s="189">
        <f>BH37*1000/BH33</f>
        <v>312.06282392032466</v>
      </c>
      <c r="BI34" s="192">
        <f>BI37*1000/BI33</f>
        <v>279.68130265796765</v>
      </c>
      <c r="BK34" s="188">
        <f>BK37*1000/BK33</f>
        <v>255.03698036215246</v>
      </c>
      <c r="BL34" s="189">
        <f>BL37*1000/BL33</f>
        <v>254.90421345894242</v>
      </c>
      <c r="BM34" s="189">
        <f>BM37*1000/BM33</f>
        <v>275.38252353660005</v>
      </c>
      <c r="BN34" s="189">
        <f>BN37*1000/BN33</f>
        <v>331.54453491241054</v>
      </c>
      <c r="BO34" s="192">
        <f>BO37*1000/BO33</f>
        <v>278.60888799875795</v>
      </c>
      <c r="BQ34" s="188">
        <f>BK34*(1+BQ35)</f>
        <v>267.7888293802601</v>
      </c>
      <c r="BR34" s="189">
        <f>BL34*(1+BR35)</f>
        <v>280.3946348048367</v>
      </c>
      <c r="BS34" s="189">
        <f>BM34*(1+BS35)</f>
        <v>289.15164971343006</v>
      </c>
      <c r="BT34" s="190">
        <f>BN34*(1+BT35)</f>
        <v>331.54453491241054</v>
      </c>
      <c r="BU34" s="192">
        <f>BU37*1000/BU33</f>
        <v>293.09654662217173</v>
      </c>
      <c r="BW34" s="188">
        <f>BQ34*(1+BW35)</f>
        <v>254.39938791124709</v>
      </c>
      <c r="BX34" s="189">
        <f>BR34*(1+BX35)</f>
        <v>266.37490306459483</v>
      </c>
      <c r="BY34" s="189">
        <f>BS34*(1+BY35)</f>
        <v>274.69406722775852</v>
      </c>
      <c r="BZ34" s="190">
        <f>BT34*(1+BZ35)</f>
        <v>331.54453491241054</v>
      </c>
      <c r="CA34" s="192">
        <f>CA37*1000/CA33</f>
        <v>282.27386495841324</v>
      </c>
      <c r="CC34" s="188">
        <f>BW34*(1+CC35)</f>
        <v>258.21537872991576</v>
      </c>
      <c r="CD34" s="189">
        <f>BX34*(1+CD35)</f>
        <v>270.37052661056373</v>
      </c>
      <c r="CE34" s="189">
        <f>BY34*(1+CE35)</f>
        <v>282.93488924459126</v>
      </c>
      <c r="CF34" s="190">
        <f>BZ34*(1+CF35)</f>
        <v>341.49087095978285</v>
      </c>
      <c r="CG34" s="192">
        <f>CG37*1000/CG33</f>
        <v>288.58117550668527</v>
      </c>
      <c r="CI34" s="188">
        <f>CC34*(1+CI35)</f>
        <v>260.7975325172149</v>
      </c>
      <c r="CJ34" s="189">
        <f>CD34*(1+CJ35)</f>
        <v>273.07423187666939</v>
      </c>
      <c r="CK34" s="189">
        <f>CE34*(1+CK35)</f>
        <v>285.76423813703718</v>
      </c>
      <c r="CL34" s="190">
        <f>CF34*(1+CL35)</f>
        <v>344.90577966938071</v>
      </c>
      <c r="CM34" s="192">
        <f>CM37*1000/CM33</f>
        <v>291.463847338184</v>
      </c>
      <c r="CO34" s="188">
        <f>CI34*(1+CO35)</f>
        <v>263.40550784238707</v>
      </c>
      <c r="CP34" s="189">
        <f>CJ34*(1+CP35)</f>
        <v>275.8049741954361</v>
      </c>
      <c r="CQ34" s="189">
        <f>CK34*(1+CQ35)</f>
        <v>288.62188051840758</v>
      </c>
      <c r="CR34" s="190">
        <f>CL34*(1+CR35)</f>
        <v>348.35483746607451</v>
      </c>
      <c r="CS34" s="192">
        <f>CS37*1000/CS33</f>
        <v>294.37537399433484</v>
      </c>
      <c r="CU34" s="188">
        <f>CO34*(1+CU35)</f>
        <v>266.03956292081097</v>
      </c>
      <c r="CV34" s="189">
        <f>CP34*(1+CV35)</f>
        <v>278.56302393739048</v>
      </c>
      <c r="CW34" s="189">
        <f>CQ34*(1+CW35)</f>
        <v>291.50809932359164</v>
      </c>
      <c r="CX34" s="190">
        <f>CR34*(1+CX35)</f>
        <v>351.83838584073527</v>
      </c>
      <c r="CY34" s="192">
        <f>CY37*1000/CY33</f>
        <v>297.31604322366576</v>
      </c>
      <c r="DA34" s="188">
        <f>CU34*(1+DA35)</f>
        <v>268.69995855001906</v>
      </c>
      <c r="DB34" s="189">
        <f>CV34*(1+DB35)</f>
        <v>281.3486541767644</v>
      </c>
      <c r="DC34" s="189">
        <f>CW34*(1+DC35)</f>
        <v>294.42318031682754</v>
      </c>
      <c r="DD34" s="190">
        <f>CX34*(1+DD35)</f>
        <v>355.3567696991426</v>
      </c>
      <c r="DE34" s="192">
        <f>DE37*1000/DE33</f>
        <v>300.286145678975</v>
      </c>
      <c r="DG34" s="188">
        <f>DA34*(1+DG35)</f>
        <v>271.38695813551925</v>
      </c>
      <c r="DH34" s="189">
        <f>DB34*(1+DH35)</f>
        <v>284.16214071853204</v>
      </c>
      <c r="DI34" s="189">
        <f>DC34*(1+DI35)</f>
        <v>297.36741211999583</v>
      </c>
      <c r="DJ34" s="190">
        <f>DD34*(1+DJ35)</f>
        <v>358.91033739613403</v>
      </c>
      <c r="DK34" s="192">
        <f>DK37*1000/DK33</f>
        <v>303.28597494519619</v>
      </c>
    </row>
    <row r="35" spans="2:115" ht="15.75" thickBot="1" x14ac:dyDescent="0.35">
      <c r="B35" s="41" t="s">
        <v>23</v>
      </c>
      <c r="C35" s="155" t="s">
        <v>35</v>
      </c>
      <c r="D35" s="106" t="s">
        <v>35</v>
      </c>
      <c r="E35" s="106" t="s">
        <v>35</v>
      </c>
      <c r="F35" s="106" t="s">
        <v>35</v>
      </c>
      <c r="G35" s="108" t="s">
        <v>35</v>
      </c>
      <c r="I35" s="109">
        <f>I34/C34-1</f>
        <v>0.38614114866800353</v>
      </c>
      <c r="J35" s="110">
        <f>J34/D34-1</f>
        <v>-0.31868298079792745</v>
      </c>
      <c r="K35" s="110">
        <f>K34/E34-1</f>
        <v>-0.22274033430958606</v>
      </c>
      <c r="L35" s="110">
        <f>L34/F34-1</f>
        <v>-9.1188738269030289E-2</v>
      </c>
      <c r="M35" s="122">
        <f>M34/G34-1</f>
        <v>-0.1026217781367279</v>
      </c>
      <c r="O35" s="109">
        <f>O34/I34-1</f>
        <v>-0.20003150835508476</v>
      </c>
      <c r="P35" s="110">
        <f>P34/J34-1</f>
        <v>0.41825550664849476</v>
      </c>
      <c r="Q35" s="110">
        <f>Q34/K34-1</f>
        <v>0.35266501590601296</v>
      </c>
      <c r="R35" s="110">
        <f>R34/L34-1</f>
        <v>0.15806073606228521</v>
      </c>
      <c r="S35" s="122">
        <f>S34/M34-1</f>
        <v>0.15120350998937782</v>
      </c>
      <c r="U35" s="109">
        <f>U34/O34-1</f>
        <v>1.0002793176056031</v>
      </c>
      <c r="V35" s="110">
        <f>V34/P34-1</f>
        <v>0.7161527368982481</v>
      </c>
      <c r="W35" s="110">
        <f>W34/Q34-1</f>
        <v>0.62016440906788883</v>
      </c>
      <c r="X35" s="110">
        <f>X34/R34-1</f>
        <v>0.41496259733889262</v>
      </c>
      <c r="Y35" s="122">
        <f>Y34/S34-1</f>
        <v>0.64758876354529082</v>
      </c>
      <c r="AA35" s="109">
        <f>AA34/U34-1</f>
        <v>0.26500669984425951</v>
      </c>
      <c r="AB35" s="110">
        <f>AB34/V34-1</f>
        <v>0.2590511271857141</v>
      </c>
      <c r="AC35" s="110">
        <f>AC34/W34-1</f>
        <v>0.21795232022824051</v>
      </c>
      <c r="AD35" s="110">
        <f>AD34/X34-1</f>
        <v>0.56200959178171606</v>
      </c>
      <c r="AE35" s="122">
        <f>AE34/Y34-1</f>
        <v>0.32983600068051233</v>
      </c>
      <c r="AG35" s="109">
        <f>AG34/AA34-1</f>
        <v>0.38332054984058206</v>
      </c>
      <c r="AH35" s="110">
        <f>AH34/AB34-1</f>
        <v>0.25609072578603143</v>
      </c>
      <c r="AI35" s="110">
        <f>AI34/AC34-1</f>
        <v>7.0658311272377095E-2</v>
      </c>
      <c r="AJ35" s="110">
        <f>AJ34/AD34-1</f>
        <v>-7.991301668517703E-2</v>
      </c>
      <c r="AK35" s="122">
        <f>AK34/AE34-1</f>
        <v>0.12771538442579189</v>
      </c>
      <c r="AM35" s="109">
        <f>AM34/AG34-1</f>
        <v>7.067417583712321E-2</v>
      </c>
      <c r="AN35" s="110">
        <f>AN34/AH34-1</f>
        <v>0.47348600707126676</v>
      </c>
      <c r="AO35" s="110">
        <f>AO34/AI34-1</f>
        <v>0.72089557522123893</v>
      </c>
      <c r="AP35" s="110">
        <f>AP34/AJ34-1</f>
        <v>0.5785402619090656</v>
      </c>
      <c r="AQ35" s="122">
        <f>AQ34/AK34-1</f>
        <v>0.45977075157805425</v>
      </c>
      <c r="AS35" s="109">
        <f>AS34/AM34-1</f>
        <v>-0.15857429329498729</v>
      </c>
      <c r="AT35" s="110">
        <f>AT34/AN34-1</f>
        <v>-7.8562830426771479E-2</v>
      </c>
      <c r="AU35" s="110">
        <f>AU34/AO34-1</f>
        <v>-0.31795109745901429</v>
      </c>
      <c r="AV35" s="110">
        <f>AV34/AP34-1</f>
        <v>-3.4294648805587524E-2</v>
      </c>
      <c r="AW35" s="122">
        <f>AW34/AQ34-1</f>
        <v>-0.1604694416725917</v>
      </c>
      <c r="AY35" s="109">
        <f>AY34/AS34-1</f>
        <v>0.85329536020348984</v>
      </c>
      <c r="AZ35" s="110">
        <f>AZ34/AT34-1</f>
        <v>0.31772963941322852</v>
      </c>
      <c r="BA35" s="110">
        <f>BA34/AU34-1</f>
        <v>1.0254453439306905</v>
      </c>
      <c r="BB35" s="110">
        <f>BB34/AV34-1</f>
        <v>0.49959402852049917</v>
      </c>
      <c r="BC35" s="122">
        <f>BC34/AW34-1</f>
        <v>0.65585318283759531</v>
      </c>
      <c r="BE35" s="109">
        <f>BE34/AY34-1</f>
        <v>6.2705010903485903E-2</v>
      </c>
      <c r="BF35" s="110">
        <f>BF34/AZ34-1</f>
        <v>0.1906363106876896</v>
      </c>
      <c r="BG35" s="110">
        <f>BG34/BA34-1</f>
        <v>-2.5463454542289599E-2</v>
      </c>
      <c r="BH35" s="110">
        <f>BH34/BB34-1</f>
        <v>5.6212634807252693E-2</v>
      </c>
      <c r="BI35" s="122">
        <f>BI34/BC34-1</f>
        <v>6.8977377827924569E-2</v>
      </c>
      <c r="BK35" s="109">
        <f>BK34/BE34-1</f>
        <v>-4.4254893522060801E-2</v>
      </c>
      <c r="BL35" s="110">
        <f>BL34/BF34-1</f>
        <v>-4.2401745908653421E-2</v>
      </c>
      <c r="BM35" s="110">
        <f>BM34/BG34-1</f>
        <v>2.730198666585304E-2</v>
      </c>
      <c r="BN35" s="110">
        <f>BN34/BH34-1</f>
        <v>6.2428810799520118E-2</v>
      </c>
      <c r="BO35" s="122">
        <f>BO34/BI34-1</f>
        <v>-3.8344167057930978E-3</v>
      </c>
      <c r="BQ35" s="109">
        <v>0.05</v>
      </c>
      <c r="BR35" s="110">
        <v>0.1</v>
      </c>
      <c r="BS35" s="110">
        <v>0.05</v>
      </c>
      <c r="BT35" s="110">
        <v>0</v>
      </c>
      <c r="BU35" s="122">
        <f>BU34/BO34-1</f>
        <v>5.1999987249072843E-2</v>
      </c>
      <c r="BW35" s="109">
        <v>-0.05</v>
      </c>
      <c r="BX35" s="110">
        <v>-0.05</v>
      </c>
      <c r="BY35" s="110">
        <v>-0.05</v>
      </c>
      <c r="BZ35" s="110">
        <v>0</v>
      </c>
      <c r="CA35" s="122">
        <f>CA34/BU34-1</f>
        <v>-3.6925312797048804E-2</v>
      </c>
      <c r="CC35" s="109">
        <v>1.4999999999999999E-2</v>
      </c>
      <c r="CD35" s="110">
        <v>1.4999999999999999E-2</v>
      </c>
      <c r="CE35" s="110">
        <v>0.03</v>
      </c>
      <c r="CF35" s="110">
        <v>0.03</v>
      </c>
      <c r="CG35" s="122">
        <f>CG34/CA34-1</f>
        <v>2.2344649403519101E-2</v>
      </c>
      <c r="CI35" s="109">
        <v>0.01</v>
      </c>
      <c r="CJ35" s="110">
        <v>0.01</v>
      </c>
      <c r="CK35" s="110">
        <v>0.01</v>
      </c>
      <c r="CL35" s="110">
        <v>0.01</v>
      </c>
      <c r="CM35" s="122">
        <f>CM34/CG34-1</f>
        <v>9.9891194442514042E-3</v>
      </c>
      <c r="CO35" s="109">
        <v>0.01</v>
      </c>
      <c r="CP35" s="110">
        <v>0.01</v>
      </c>
      <c r="CQ35" s="110">
        <v>0.01</v>
      </c>
      <c r="CR35" s="110">
        <v>0.01</v>
      </c>
      <c r="CS35" s="122">
        <f>CS34/CM34-1</f>
        <v>9.9893234881121007E-3</v>
      </c>
      <c r="CU35" s="109">
        <v>0.01</v>
      </c>
      <c r="CV35" s="110">
        <v>0.01</v>
      </c>
      <c r="CW35" s="110">
        <v>0.01</v>
      </c>
      <c r="CX35" s="110">
        <v>0.01</v>
      </c>
      <c r="CY35" s="122">
        <f>CY34/CS34-1</f>
        <v>9.9895218456267365E-3</v>
      </c>
      <c r="DA35" s="109">
        <v>0.01</v>
      </c>
      <c r="DB35" s="110">
        <v>0.01</v>
      </c>
      <c r="DC35" s="110">
        <v>0.01</v>
      </c>
      <c r="DD35" s="110">
        <v>0.01</v>
      </c>
      <c r="DE35" s="122">
        <f>DE34/CY34-1</f>
        <v>9.9897147261402974E-3</v>
      </c>
      <c r="DG35" s="109">
        <v>0.01</v>
      </c>
      <c r="DH35" s="110">
        <v>0.01</v>
      </c>
      <c r="DI35" s="110">
        <v>0.01</v>
      </c>
      <c r="DJ35" s="110">
        <v>0.01</v>
      </c>
      <c r="DK35" s="122">
        <f>DK34/DE34-1</f>
        <v>9.9899023294540701E-3</v>
      </c>
    </row>
    <row r="36" spans="2:115" ht="15.75" thickBot="1" x14ac:dyDescent="0.35">
      <c r="B36" s="1"/>
      <c r="AA36" s="103"/>
      <c r="AB36" s="103"/>
      <c r="AC36" s="103"/>
      <c r="AD36" s="103"/>
      <c r="AE36" s="103"/>
      <c r="AG36" s="103"/>
      <c r="AH36" s="103"/>
      <c r="AI36" s="103"/>
      <c r="AJ36" s="103"/>
      <c r="AK36" s="103"/>
      <c r="AM36" s="103"/>
      <c r="AN36" s="103"/>
      <c r="AO36" s="103"/>
      <c r="AP36" s="103"/>
      <c r="AQ36" s="103"/>
      <c r="AS36" s="103"/>
      <c r="AT36" s="103"/>
      <c r="AU36" s="103"/>
      <c r="AV36" s="103"/>
      <c r="AW36" s="103"/>
      <c r="AY36" s="103"/>
      <c r="AZ36" s="103"/>
      <c r="BA36" s="103"/>
      <c r="BB36" s="103"/>
      <c r="BC36" s="103"/>
      <c r="BE36" s="103"/>
      <c r="BF36" s="103"/>
      <c r="BG36" s="103"/>
      <c r="BH36" s="103"/>
      <c r="BI36" s="103"/>
      <c r="BK36" s="103"/>
      <c r="BL36" s="103"/>
      <c r="BM36" s="103"/>
      <c r="BN36" s="103"/>
      <c r="BO36" s="103"/>
      <c r="BQ36" s="103"/>
      <c r="BR36" s="103"/>
      <c r="BS36" s="103"/>
      <c r="BT36" s="103"/>
      <c r="BU36" s="103"/>
      <c r="BW36" s="103"/>
      <c r="BX36" s="103"/>
      <c r="BY36" s="103"/>
      <c r="BZ36" s="103"/>
      <c r="CA36" s="103"/>
      <c r="CC36" s="103"/>
      <c r="CD36" s="103"/>
      <c r="CE36" s="103"/>
      <c r="CF36" s="103"/>
      <c r="CG36" s="103"/>
      <c r="CI36" s="103"/>
      <c r="CJ36" s="103"/>
      <c r="CK36" s="103"/>
      <c r="CL36" s="103"/>
      <c r="CM36" s="103"/>
      <c r="CO36" s="103"/>
      <c r="CP36" s="103"/>
      <c r="CQ36" s="103"/>
      <c r="CR36" s="103"/>
      <c r="CS36" s="103"/>
      <c r="CU36" s="103"/>
      <c r="CV36" s="103"/>
      <c r="CW36" s="103"/>
      <c r="CX36" s="103"/>
      <c r="CY36" s="103"/>
      <c r="DA36" s="103"/>
      <c r="DB36" s="103"/>
      <c r="DC36" s="103"/>
      <c r="DD36" s="103"/>
      <c r="DE36" s="103"/>
      <c r="DG36" s="103"/>
      <c r="DH36" s="103"/>
      <c r="DI36" s="103"/>
      <c r="DJ36" s="103"/>
      <c r="DK36" s="103"/>
    </row>
    <row r="37" spans="2:115" s="135" customFormat="1" ht="15" x14ac:dyDescent="0.3">
      <c r="B37" s="139" t="s">
        <v>34</v>
      </c>
      <c r="C37" s="181">
        <f>C40-C28</f>
        <v>10</v>
      </c>
      <c r="D37" s="182">
        <f>D40-D28</f>
        <v>11</v>
      </c>
      <c r="E37" s="182">
        <f>E40-E28</f>
        <v>14</v>
      </c>
      <c r="F37" s="182">
        <f>F40-F28</f>
        <v>20</v>
      </c>
      <c r="G37" s="184">
        <f>C37+D37+E37+F37</f>
        <v>55</v>
      </c>
      <c r="H37" s="134"/>
      <c r="I37" s="181">
        <f>I40-I28</f>
        <v>12</v>
      </c>
      <c r="J37" s="182">
        <f>J40-J28</f>
        <v>8</v>
      </c>
      <c r="K37" s="182">
        <f>K40-K28</f>
        <v>11</v>
      </c>
      <c r="L37" s="182">
        <f>L40-L28</f>
        <v>15</v>
      </c>
      <c r="M37" s="184">
        <f>I37+J37+K37+L37</f>
        <v>46</v>
      </c>
      <c r="N37" s="134"/>
      <c r="O37" s="181">
        <f>O40-O28</f>
        <v>10</v>
      </c>
      <c r="P37" s="182">
        <f>P40-P28</f>
        <v>10</v>
      </c>
      <c r="Q37" s="182">
        <f>Q40-Q28</f>
        <v>13</v>
      </c>
      <c r="R37" s="182">
        <f>R40-R28</f>
        <v>16</v>
      </c>
      <c r="S37" s="184">
        <f>O37+P37+Q37+R37</f>
        <v>49</v>
      </c>
      <c r="T37" s="134"/>
      <c r="U37" s="181">
        <f>U40-U28</f>
        <v>17</v>
      </c>
      <c r="V37" s="182">
        <f>V40-V28</f>
        <v>18</v>
      </c>
      <c r="W37" s="182">
        <f>W40-W28</f>
        <v>20</v>
      </c>
      <c r="X37" s="182">
        <f>X40-X28</f>
        <v>22</v>
      </c>
      <c r="Y37" s="184">
        <f>U37+V37+W37+X37</f>
        <v>77</v>
      </c>
      <c r="AA37" s="181">
        <f>AA40-AA28</f>
        <v>20</v>
      </c>
      <c r="AB37" s="182">
        <f>AB40-AB28</f>
        <v>19</v>
      </c>
      <c r="AC37" s="182">
        <f>AC40-AC28</f>
        <v>20</v>
      </c>
      <c r="AD37" s="182">
        <f>AD40-AD28</f>
        <v>27</v>
      </c>
      <c r="AE37" s="184">
        <f>AA37+AB37+AC37+AD37</f>
        <v>86</v>
      </c>
      <c r="AG37" s="181">
        <f>AG40-AG28</f>
        <v>25</v>
      </c>
      <c r="AH37" s="182">
        <f>AH40-AH28</f>
        <v>25</v>
      </c>
      <c r="AI37" s="182">
        <f>AI40-AI28</f>
        <v>25</v>
      </c>
      <c r="AJ37" s="182">
        <f>AJ40-AJ28</f>
        <v>34</v>
      </c>
      <c r="AK37" s="184">
        <f>AG37+AH37+AI37+AJ37</f>
        <v>109</v>
      </c>
      <c r="AM37" s="181">
        <f>AM40-AM28</f>
        <v>41</v>
      </c>
      <c r="AN37" s="182">
        <f>AN40-AN28</f>
        <v>52</v>
      </c>
      <c r="AO37" s="182">
        <f>AO40-AO28</f>
        <v>54</v>
      </c>
      <c r="AP37" s="182">
        <f>AP40-AP28</f>
        <v>66</v>
      </c>
      <c r="AQ37" s="184">
        <f>AM37+AN37+AO37+AP37</f>
        <v>213</v>
      </c>
      <c r="AS37" s="181">
        <f>AS40-AS28</f>
        <v>42</v>
      </c>
      <c r="AT37" s="182">
        <f>AT40-AT28</f>
        <v>45</v>
      </c>
      <c r="AU37" s="182">
        <f>AU40-AU28</f>
        <v>38</v>
      </c>
      <c r="AV37" s="182">
        <f>AV40-AV28</f>
        <v>51</v>
      </c>
      <c r="AW37" s="184">
        <f>AS37+AT37+AU37+AV37</f>
        <v>176</v>
      </c>
      <c r="AY37" s="181">
        <f>AY40-AY28</f>
        <v>66</v>
      </c>
      <c r="AZ37" s="182">
        <f>AZ40-AZ28</f>
        <v>65</v>
      </c>
      <c r="BA37" s="182">
        <f>BA40-BA28</f>
        <v>70</v>
      </c>
      <c r="BB37" s="182">
        <f>BB40-BB28</f>
        <v>91</v>
      </c>
      <c r="BC37" s="184">
        <f>AY37+AZ37+BA37+BB37</f>
        <v>292</v>
      </c>
      <c r="BE37" s="181">
        <f>BE40-BE28</f>
        <v>64</v>
      </c>
      <c r="BF37" s="182">
        <f>BF40-BF28</f>
        <v>63</v>
      </c>
      <c r="BG37" s="182">
        <f>BG40-BG28</f>
        <v>66</v>
      </c>
      <c r="BH37" s="182">
        <f>BH40-BH28</f>
        <v>88</v>
      </c>
      <c r="BI37" s="184">
        <f>BE37+BF37+BG37+BH37</f>
        <v>281</v>
      </c>
      <c r="BK37" s="181">
        <f>BK40-BK28</f>
        <v>68</v>
      </c>
      <c r="BL37" s="182">
        <f>BL40-BL28</f>
        <v>71</v>
      </c>
      <c r="BM37" s="182">
        <f>BM40-BM28</f>
        <v>72</v>
      </c>
      <c r="BN37" s="182">
        <f>BN40-BN28</f>
        <v>86</v>
      </c>
      <c r="BO37" s="184">
        <f>BK37+BL37+BM37+BN37</f>
        <v>297</v>
      </c>
      <c r="BQ37" s="181">
        <f>BQ34*BQ33/1000</f>
        <v>64.991277735271609</v>
      </c>
      <c r="BR37" s="182">
        <f>BR34*BR33/1000</f>
        <v>68.252540425654132</v>
      </c>
      <c r="BS37" s="182">
        <f>BS34*BS33/1000</f>
        <v>70.592327154437967</v>
      </c>
      <c r="BT37" s="182">
        <f>BT34*BT33/1000</f>
        <v>87.930915371329874</v>
      </c>
      <c r="BU37" s="184">
        <f>BQ37+BR37+BS37+BT37</f>
        <v>291.76706068669358</v>
      </c>
      <c r="BW37" s="181">
        <f>BW34*BW33/1000</f>
        <v>66.158214422341231</v>
      </c>
      <c r="BX37" s="182">
        <f>BX34*BX33/1000</f>
        <v>69.428354297110587</v>
      </c>
      <c r="BY37" s="182">
        <f>BY34*BY33/1000</f>
        <v>73.15762276036557</v>
      </c>
      <c r="BZ37" s="182">
        <f>BZ34*BZ33/1000</f>
        <v>90.24691971996053</v>
      </c>
      <c r="CA37" s="184">
        <f>BW37+BX37+BY37+BZ37</f>
        <v>298.99111119977789</v>
      </c>
      <c r="CC37" s="181">
        <f>CC34*CC33/1000</f>
        <v>67.90586762146134</v>
      </c>
      <c r="CD37" s="182">
        <f>CD34*CD33/1000</f>
        <v>71.260613401903143</v>
      </c>
      <c r="CE37" s="182">
        <f>CE34*CE33/1000</f>
        <v>74.737675396292644</v>
      </c>
      <c r="CF37" s="182">
        <f>CF34*CF33/1000</f>
        <v>92.145847674562049</v>
      </c>
      <c r="CG37" s="184">
        <f>CC37+CD37+CE37+CF37</f>
        <v>306.05000409421916</v>
      </c>
      <c r="CI37" s="181">
        <f>CI34*CI33/1000</f>
        <v>69.246048042607086</v>
      </c>
      <c r="CJ37" s="182">
        <f>CJ34*CJ33/1000</f>
        <v>72.665462713729525</v>
      </c>
      <c r="CK37" s="182">
        <f>CK34*CK33/1000</f>
        <v>76.20946449393297</v>
      </c>
      <c r="CL37" s="182">
        <f>CL34*CL33/1000</f>
        <v>93.941642302769552</v>
      </c>
      <c r="CM37" s="184">
        <f>CI37+CJ37+CK37+CL37</f>
        <v>312.0626175530391</v>
      </c>
      <c r="CO37" s="181">
        <f>CO34*CO33/1000</f>
        <v>70.606241485413634</v>
      </c>
      <c r="CP37" s="182">
        <f>CP34*CP33/1000</f>
        <v>74.091282950452268</v>
      </c>
      <c r="CQ37" s="182">
        <f>CQ34*CQ33/1000</f>
        <v>77.703215605986458</v>
      </c>
      <c r="CR37" s="182">
        <f>CR34*CR33/1000</f>
        <v>95.764138238773754</v>
      </c>
      <c r="CS37" s="184">
        <f>CO37+CP37+CQ37+CR37</f>
        <v>318.16487828062611</v>
      </c>
      <c r="CU37" s="181">
        <f>CU34*CU33/1000</f>
        <v>71.986714192272018</v>
      </c>
      <c r="CV37" s="182">
        <f>CV34*CV33/1000</f>
        <v>75.53835304563809</v>
      </c>
      <c r="CW37" s="182">
        <f>CW34*CW33/1000</f>
        <v>79.219220793831639</v>
      </c>
      <c r="CX37" s="182">
        <f>CX34*CX33/1000</f>
        <v>97.61368992926775</v>
      </c>
      <c r="CY37" s="184">
        <f>CU37+CV37+CW37+CX37</f>
        <v>324.35797796100951</v>
      </c>
      <c r="DA37" s="181">
        <f>DA34*DA33/1000</f>
        <v>73.387735729119044</v>
      </c>
      <c r="DB37" s="182">
        <f>DB34*DB33/1000</f>
        <v>77.006955414432568</v>
      </c>
      <c r="DC37" s="182">
        <f>DC34*DC33/1000</f>
        <v>80.757775763873099</v>
      </c>
      <c r="DD37" s="182">
        <f>DD34*DD33/1000</f>
        <v>99.49065623974775</v>
      </c>
      <c r="DE37" s="184">
        <f>DA37+DB37+DC37+DD37</f>
        <v>330.64312314717245</v>
      </c>
      <c r="DG37" s="181">
        <f>DG34*DG33/1000</f>
        <v>74.809579025283767</v>
      </c>
      <c r="DH37" s="182">
        <f>DH34*DH33/1000</f>
        <v>78.49737599529837</v>
      </c>
      <c r="DI37" s="182">
        <f>DI34*DI33/1000</f>
        <v>82.319179911236034</v>
      </c>
      <c r="DJ37" s="182">
        <f>DJ34*DJ33/1000</f>
        <v>101.39540050744444</v>
      </c>
      <c r="DK37" s="184">
        <f>DG37+DH37+DI37+DJ37</f>
        <v>337.02153543926261</v>
      </c>
    </row>
    <row r="38" spans="2:115" ht="15" x14ac:dyDescent="0.3">
      <c r="B38" s="5" t="s">
        <v>23</v>
      </c>
      <c r="C38" s="144" t="s">
        <v>35</v>
      </c>
      <c r="D38" s="107" t="s">
        <v>35</v>
      </c>
      <c r="E38" s="107" t="s">
        <v>35</v>
      </c>
      <c r="F38" s="145" t="s">
        <v>35</v>
      </c>
      <c r="G38" s="138" t="s">
        <v>35</v>
      </c>
      <c r="H38" s="107"/>
      <c r="I38" s="151">
        <f>I37/C37-1</f>
        <v>0.19999999999999996</v>
      </c>
      <c r="J38" s="133">
        <f>J37/D37-1</f>
        <v>-0.27272727272727271</v>
      </c>
      <c r="K38" s="133">
        <f>K37/E37-1</f>
        <v>-0.2142857142857143</v>
      </c>
      <c r="L38" s="133">
        <f>L37/F37-1</f>
        <v>-0.25</v>
      </c>
      <c r="M38" s="153">
        <f>M37/G37-1</f>
        <v>-0.16363636363636369</v>
      </c>
      <c r="N38" s="107"/>
      <c r="O38" s="151">
        <f>O37/I37-1</f>
        <v>-0.16666666666666663</v>
      </c>
      <c r="P38" s="133">
        <f>P37/J37-1</f>
        <v>0.25</v>
      </c>
      <c r="Q38" s="133">
        <f>Q37/K37-1</f>
        <v>0.18181818181818188</v>
      </c>
      <c r="R38" s="133">
        <f>R37/L37-1</f>
        <v>6.6666666666666652E-2</v>
      </c>
      <c r="S38" s="153">
        <f>S37/M37-1</f>
        <v>6.5217391304347894E-2</v>
      </c>
      <c r="T38" s="107"/>
      <c r="U38" s="151">
        <f>U37/O37-1</f>
        <v>0.7</v>
      </c>
      <c r="V38" s="133">
        <f>V37/P37-1</f>
        <v>0.8</v>
      </c>
      <c r="W38" s="133">
        <f>W37/Q37-1</f>
        <v>0.53846153846153855</v>
      </c>
      <c r="X38" s="133">
        <f>X37/R37-1</f>
        <v>0.375</v>
      </c>
      <c r="Y38" s="153">
        <f>Y37/S37-1</f>
        <v>0.5714285714285714</v>
      </c>
      <c r="AA38" s="151">
        <f>AA37/U37-1</f>
        <v>0.17647058823529416</v>
      </c>
      <c r="AB38" s="133">
        <f>AB37/V37-1</f>
        <v>5.555555555555558E-2</v>
      </c>
      <c r="AC38" s="133">
        <f>AC37/W37-1</f>
        <v>0</v>
      </c>
      <c r="AD38" s="133">
        <f>AD37/X37-1</f>
        <v>0.22727272727272729</v>
      </c>
      <c r="AE38" s="153">
        <f>AE37/Y37-1</f>
        <v>0.11688311688311681</v>
      </c>
      <c r="AG38" s="151">
        <f>AG37/AA37-1</f>
        <v>0.25</v>
      </c>
      <c r="AH38" s="133">
        <f>AH37/AB37-1</f>
        <v>0.31578947368421062</v>
      </c>
      <c r="AI38" s="133">
        <f>AI37/AC37-1</f>
        <v>0.25</v>
      </c>
      <c r="AJ38" s="133">
        <f>AJ37/AD37-1</f>
        <v>0.2592592592592593</v>
      </c>
      <c r="AK38" s="153">
        <f>AK37/AE37-1</f>
        <v>0.26744186046511631</v>
      </c>
      <c r="AM38" s="151">
        <f>AM37/AG37-1</f>
        <v>0.6399999999999999</v>
      </c>
      <c r="AN38" s="133">
        <f>AN37/AH37-1</f>
        <v>1.08</v>
      </c>
      <c r="AO38" s="133">
        <f>AO37/AI37-1</f>
        <v>1.1600000000000001</v>
      </c>
      <c r="AP38" s="133">
        <f>AP37/AJ37-1</f>
        <v>0.94117647058823528</v>
      </c>
      <c r="AQ38" s="153">
        <f>AQ37/AK37-1</f>
        <v>0.95412844036697253</v>
      </c>
      <c r="AS38" s="151">
        <f>AS37/AM37-1</f>
        <v>2.4390243902439046E-2</v>
      </c>
      <c r="AT38" s="133">
        <f>AT37/AN37-1</f>
        <v>-0.13461538461538458</v>
      </c>
      <c r="AU38" s="133">
        <f>AU37/AO37-1</f>
        <v>-0.29629629629629628</v>
      </c>
      <c r="AV38" s="133">
        <f>AV37/AP37-1</f>
        <v>-0.22727272727272729</v>
      </c>
      <c r="AW38" s="153">
        <f>AW37/AQ37-1</f>
        <v>-0.17370892018779338</v>
      </c>
      <c r="AY38" s="151">
        <f>AY37/AS37-1</f>
        <v>0.5714285714285714</v>
      </c>
      <c r="AZ38" s="133">
        <f>AZ37/AT37-1</f>
        <v>0.44444444444444442</v>
      </c>
      <c r="BA38" s="133">
        <f>BA37/AU37-1</f>
        <v>0.84210526315789469</v>
      </c>
      <c r="BB38" s="133">
        <f>BB37/AV37-1</f>
        <v>0.78431372549019618</v>
      </c>
      <c r="BC38" s="153">
        <f>BC37/AW37-1</f>
        <v>0.65909090909090917</v>
      </c>
      <c r="BE38" s="151">
        <f>BE37/AY37-1</f>
        <v>-3.0303030303030276E-2</v>
      </c>
      <c r="BF38" s="133">
        <f>BF37/AZ37-1</f>
        <v>-3.0769230769230771E-2</v>
      </c>
      <c r="BG38" s="133">
        <f>BG37/BA37-1</f>
        <v>-5.7142857142857162E-2</v>
      </c>
      <c r="BH38" s="133">
        <f>BH37/BB37-1</f>
        <v>-3.2967032967032961E-2</v>
      </c>
      <c r="BI38" s="153">
        <f>BI37/BC37-1</f>
        <v>-3.7671232876712368E-2</v>
      </c>
      <c r="BK38" s="151">
        <f>BK37/BE37-1</f>
        <v>6.25E-2</v>
      </c>
      <c r="BL38" s="133">
        <f>BL37/BF37-1</f>
        <v>0.12698412698412698</v>
      </c>
      <c r="BM38" s="133">
        <f>BM37/BG37-1</f>
        <v>9.0909090909090828E-2</v>
      </c>
      <c r="BN38" s="133">
        <f>BN37/BH37-1</f>
        <v>-2.2727272727272707E-2</v>
      </c>
      <c r="BO38" s="153">
        <f>BO37/BI37-1</f>
        <v>5.6939501779359469E-2</v>
      </c>
      <c r="BQ38" s="151">
        <f>BQ37/BK37-1</f>
        <v>-4.4245915657770474E-2</v>
      </c>
      <c r="BR38" s="133">
        <f>BR37/BL37-1</f>
        <v>-3.8696613723181228E-2</v>
      </c>
      <c r="BS38" s="133">
        <f>BS37/BM37-1</f>
        <v>-1.9551011743917157E-2</v>
      </c>
      <c r="BT38" s="133">
        <f>BT37/BN37-1</f>
        <v>2.2452504317789224E-2</v>
      </c>
      <c r="BU38" s="153">
        <f>BU37/BO37-1</f>
        <v>-1.7619324287227012E-2</v>
      </c>
      <c r="BW38" s="151">
        <f>BW37/BQ37-1</f>
        <v>1.7955281504433485E-2</v>
      </c>
      <c r="BX38" s="133">
        <f>BX37/BR37-1</f>
        <v>1.7227400828211614E-2</v>
      </c>
      <c r="BY38" s="133">
        <f>BY37/BS37-1</f>
        <v>3.6339581217026407E-2</v>
      </c>
      <c r="BZ38" s="133">
        <f>BZ37/BT37-1</f>
        <v>2.6338908663127603E-2</v>
      </c>
      <c r="CA38" s="153">
        <f>CA37/BU37-1</f>
        <v>2.4759650716163817E-2</v>
      </c>
      <c r="CC38" s="151">
        <f>CC37/BW37-1</f>
        <v>2.6416269156894545E-2</v>
      </c>
      <c r="CD38" s="133">
        <f>CD37/BX37-1</f>
        <v>2.6390645772066179E-2</v>
      </c>
      <c r="CE38" s="133">
        <f>CE37/BY37-1</f>
        <v>2.1597922079872323E-2</v>
      </c>
      <c r="CF38" s="133">
        <f>CF37/BZ37-1</f>
        <v>2.1041471116066468E-2</v>
      </c>
      <c r="CG38" s="153">
        <f>CG37/CA37-1</f>
        <v>2.3609039299247625E-2</v>
      </c>
      <c r="CI38" s="151">
        <f>CI37/CC37-1</f>
        <v>1.9735855944239322E-2</v>
      </c>
      <c r="CJ38" s="133">
        <f>CJ37/CD37-1</f>
        <v>1.9714246689165549E-2</v>
      </c>
      <c r="CK38" s="133">
        <f>CK37/CE37-1</f>
        <v>1.9692733147455233E-2</v>
      </c>
      <c r="CL38" s="133">
        <f>CL37/CF37-1</f>
        <v>1.948861151671033E-2</v>
      </c>
      <c r="CM38" s="153">
        <f>CM37/CG37-1</f>
        <v>1.964585322132173E-2</v>
      </c>
      <c r="CO38" s="151">
        <f>CO37/CI37-1</f>
        <v>1.9642903548367396E-2</v>
      </c>
      <c r="CP38" s="133">
        <f>CP37/CJ37-1</f>
        <v>1.9621704499974912E-2</v>
      </c>
      <c r="CQ38" s="133">
        <f>CQ37/CK37-1</f>
        <v>1.9600598455489893E-2</v>
      </c>
      <c r="CR38" s="133">
        <f>CR37/CL37-1</f>
        <v>1.9400298859268306E-2</v>
      </c>
      <c r="CS38" s="153">
        <f>CS37/CM37-1</f>
        <v>1.9554603417212713E-2</v>
      </c>
      <c r="CU38" s="151">
        <f>CU37/CO37-1</f>
        <v>1.9551709279746587E-2</v>
      </c>
      <c r="CV38" s="133">
        <f>CV37/CP37-1</f>
        <v>1.9530908867559038E-2</v>
      </c>
      <c r="CW38" s="133">
        <f>CW37/CQ37-1</f>
        <v>1.9510198851131921E-2</v>
      </c>
      <c r="CX38" s="133">
        <f>CX37/CR37-1</f>
        <v>1.9313614934667989E-2</v>
      </c>
      <c r="CY38" s="153">
        <f>CY37/CS37-1</f>
        <v>1.9465063880875544E-2</v>
      </c>
      <c r="DA38" s="151">
        <f>DA37/CU37-1</f>
        <v>1.9462223725130512E-2</v>
      </c>
      <c r="DB38" s="133">
        <f>DB37/CV37-1</f>
        <v>1.9441810809764259E-2</v>
      </c>
      <c r="DC38" s="133">
        <f>DC37/CW37-1</f>
        <v>1.9421485778628789E-2</v>
      </c>
      <c r="DD38" s="133">
        <f>DD37/CX37-1</f>
        <v>1.9228515097012178E-2</v>
      </c>
      <c r="DE38" s="153">
        <f>DE37/CY37-1</f>
        <v>1.937718697617008E-2</v>
      </c>
      <c r="DG38" s="151">
        <f>DG37/DA37-1</f>
        <v>1.9374399305803314E-2</v>
      </c>
      <c r="DH38" s="133">
        <f>DH37/DB37-1</f>
        <v>1.9354363159077348E-2</v>
      </c>
      <c r="DI38" s="133">
        <f>DI37/DC37-1</f>
        <v>1.9334412477236995E-2</v>
      </c>
      <c r="DJ38" s="133">
        <f>DJ37/DD37-1</f>
        <v>1.9144956317372452E-2</v>
      </c>
      <c r="DK38" s="153">
        <f>DK37/DE37-1</f>
        <v>1.929092681976341E-2</v>
      </c>
    </row>
    <row r="39" spans="2:115" ht="15" x14ac:dyDescent="0.3">
      <c r="B39" s="5"/>
      <c r="C39" s="144"/>
      <c r="D39" s="107"/>
      <c r="E39" s="107"/>
      <c r="F39" s="145"/>
      <c r="G39" s="138"/>
      <c r="I39" s="144"/>
      <c r="J39" s="107"/>
      <c r="K39" s="107"/>
      <c r="L39" s="145"/>
      <c r="M39" s="138"/>
      <c r="O39" s="144"/>
      <c r="P39" s="107"/>
      <c r="Q39" s="107"/>
      <c r="R39" s="107"/>
      <c r="S39" s="138"/>
      <c r="U39" s="144"/>
      <c r="V39" s="107"/>
      <c r="W39" s="107"/>
      <c r="X39" s="107"/>
      <c r="Y39" s="138"/>
      <c r="AA39" s="144"/>
      <c r="AB39" s="107"/>
      <c r="AC39" s="107"/>
      <c r="AD39" s="107"/>
      <c r="AE39" s="138"/>
      <c r="AG39" s="144"/>
      <c r="AH39" s="107"/>
      <c r="AI39" s="107"/>
      <c r="AJ39" s="107"/>
      <c r="AK39" s="138"/>
      <c r="AM39" s="144"/>
      <c r="AN39" s="107"/>
      <c r="AO39" s="107"/>
      <c r="AP39" s="107"/>
      <c r="AQ39" s="138"/>
      <c r="AS39" s="144"/>
      <c r="AT39" s="107"/>
      <c r="AU39" s="107"/>
      <c r="AV39" s="107"/>
      <c r="AW39" s="138"/>
      <c r="AY39" s="144"/>
      <c r="AZ39" s="107"/>
      <c r="BA39" s="107"/>
      <c r="BB39" s="107"/>
      <c r="BC39" s="138"/>
      <c r="BE39" s="144"/>
      <c r="BF39" s="107"/>
      <c r="BG39" s="107"/>
      <c r="BH39" s="107"/>
      <c r="BI39" s="138"/>
      <c r="BK39" s="144"/>
      <c r="BL39" s="107"/>
      <c r="BM39" s="107"/>
      <c r="BN39" s="107"/>
      <c r="BO39" s="138"/>
      <c r="BQ39" s="144"/>
      <c r="BR39" s="107"/>
      <c r="BS39" s="107"/>
      <c r="BT39" s="107"/>
      <c r="BU39" s="138"/>
      <c r="BW39" s="144"/>
      <c r="BX39" s="107"/>
      <c r="BY39" s="107"/>
      <c r="BZ39" s="107"/>
      <c r="CA39" s="138"/>
      <c r="CC39" s="144"/>
      <c r="CD39" s="107"/>
      <c r="CE39" s="107"/>
      <c r="CF39" s="107"/>
      <c r="CG39" s="138"/>
      <c r="CI39" s="144"/>
      <c r="CJ39" s="107"/>
      <c r="CK39" s="107"/>
      <c r="CL39" s="107"/>
      <c r="CM39" s="138"/>
      <c r="CO39" s="144"/>
      <c r="CP39" s="107"/>
      <c r="CQ39" s="107"/>
      <c r="CR39" s="107"/>
      <c r="CS39" s="138"/>
      <c r="CU39" s="144"/>
      <c r="CV39" s="107"/>
      <c r="CW39" s="107"/>
      <c r="CX39" s="107"/>
      <c r="CY39" s="138"/>
      <c r="DA39" s="144"/>
      <c r="DB39" s="107"/>
      <c r="DC39" s="107"/>
      <c r="DD39" s="107"/>
      <c r="DE39" s="138"/>
      <c r="DG39" s="144"/>
      <c r="DH39" s="107"/>
      <c r="DI39" s="107"/>
      <c r="DJ39" s="107"/>
      <c r="DK39" s="138"/>
    </row>
    <row r="40" spans="2:115" s="135" customFormat="1" ht="15" x14ac:dyDescent="0.3">
      <c r="B40" s="105" t="s">
        <v>58</v>
      </c>
      <c r="C40" s="156">
        <v>265</v>
      </c>
      <c r="D40" s="157">
        <v>282</v>
      </c>
      <c r="E40" s="157">
        <v>299</v>
      </c>
      <c r="F40" s="158">
        <v>325</v>
      </c>
      <c r="G40" s="159">
        <f>C40+D40+E40+F40</f>
        <v>1171</v>
      </c>
      <c r="H40" s="160"/>
      <c r="I40" s="156">
        <v>311</v>
      </c>
      <c r="J40" s="157">
        <v>332</v>
      </c>
      <c r="K40" s="157">
        <v>357</v>
      </c>
      <c r="L40" s="158">
        <v>329</v>
      </c>
      <c r="M40" s="159">
        <f>I40+J40+K40+L40</f>
        <v>1329</v>
      </c>
      <c r="N40" s="160"/>
      <c r="O40" s="156">
        <v>275</v>
      </c>
      <c r="P40" s="157">
        <v>310</v>
      </c>
      <c r="Q40" s="157">
        <v>313</v>
      </c>
      <c r="R40" s="157">
        <v>293</v>
      </c>
      <c r="S40" s="159">
        <f>O40+P40+Q40+R40</f>
        <v>1191</v>
      </c>
      <c r="T40" s="160"/>
      <c r="U40" s="156">
        <v>279</v>
      </c>
      <c r="V40" s="157">
        <v>291</v>
      </c>
      <c r="W40" s="157">
        <v>296</v>
      </c>
      <c r="X40" s="157">
        <v>291</v>
      </c>
      <c r="Y40" s="159">
        <f>U40+V40+W40+X40</f>
        <v>1157</v>
      </c>
      <c r="AA40" s="156">
        <v>268</v>
      </c>
      <c r="AB40" s="157">
        <v>282</v>
      </c>
      <c r="AC40" s="157">
        <v>272</v>
      </c>
      <c r="AD40" s="157">
        <v>270</v>
      </c>
      <c r="AE40" s="159">
        <f>AA40+AB40+AC40+AD40</f>
        <v>1092</v>
      </c>
      <c r="AF40" s="247"/>
      <c r="AG40" s="156">
        <v>255</v>
      </c>
      <c r="AH40" s="157">
        <v>259</v>
      </c>
      <c r="AI40" s="157">
        <v>273</v>
      </c>
      <c r="AJ40" s="157">
        <v>257</v>
      </c>
      <c r="AK40" s="159">
        <f>AG40+AH40+AI40+AJ40</f>
        <v>1044</v>
      </c>
      <c r="AM40" s="156">
        <v>238</v>
      </c>
      <c r="AN40" s="157">
        <v>249</v>
      </c>
      <c r="AO40" s="157">
        <v>242</v>
      </c>
      <c r="AP40" s="157">
        <v>244</v>
      </c>
      <c r="AQ40" s="159">
        <f>AM40+AN40+AO40+AP40</f>
        <v>973</v>
      </c>
      <c r="AS40" s="156">
        <v>214</v>
      </c>
      <c r="AT40" s="157">
        <v>217</v>
      </c>
      <c r="AU40" s="157">
        <v>211</v>
      </c>
      <c r="AV40" s="157">
        <v>220</v>
      </c>
      <c r="AW40" s="159">
        <f>AS40+AT40+AU40+AV40</f>
        <v>862</v>
      </c>
      <c r="AY40" s="156">
        <v>226</v>
      </c>
      <c r="AZ40" s="157">
        <v>231</v>
      </c>
      <c r="BA40" s="157">
        <v>242</v>
      </c>
      <c r="BB40" s="157">
        <v>259</v>
      </c>
      <c r="BC40" s="159">
        <f>AY40+AZ40+BA40+BB40</f>
        <v>958</v>
      </c>
      <c r="BE40" s="156">
        <v>229</v>
      </c>
      <c r="BF40" s="157">
        <v>233</v>
      </c>
      <c r="BG40" s="157">
        <v>239</v>
      </c>
      <c r="BH40" s="157">
        <v>258</v>
      </c>
      <c r="BI40" s="159">
        <f>BE40+BF40+BG40+BH40</f>
        <v>959</v>
      </c>
      <c r="BK40" s="156">
        <v>237</v>
      </c>
      <c r="BL40" s="157">
        <v>248</v>
      </c>
      <c r="BM40" s="157">
        <v>255</v>
      </c>
      <c r="BN40" s="157">
        <v>271</v>
      </c>
      <c r="BO40" s="159">
        <f>BK40+BL40+BM40+BN40</f>
        <v>1011</v>
      </c>
      <c r="BQ40" s="156">
        <f>BQ28+BQ37</f>
        <v>240.71303546280876</v>
      </c>
      <c r="BR40" s="157">
        <f>BR28+BR37</f>
        <v>251.66651447416876</v>
      </c>
      <c r="BS40" s="157">
        <f>BS28+BS37</f>
        <v>254.0361711608013</v>
      </c>
      <c r="BT40" s="157">
        <f>BT28+BT37</f>
        <v>269.0541493792698</v>
      </c>
      <c r="BU40" s="159">
        <f>BQ40+BR40+BS40+BT40</f>
        <v>1015.4698704770486</v>
      </c>
      <c r="BW40" s="156">
        <f>BW28+BW37</f>
        <v>245.06957219571842</v>
      </c>
      <c r="BX40" s="157">
        <f>BX28+BX37</f>
        <v>255.95562545242061</v>
      </c>
      <c r="BY40" s="157">
        <f>BY28+BY37</f>
        <v>259.76941856026866</v>
      </c>
      <c r="BZ40" s="157">
        <f>BZ28+BZ37</f>
        <v>274.36738739104396</v>
      </c>
      <c r="CA40" s="159">
        <f>BW40+BX40+BY40+BZ40</f>
        <v>1035.1620035994515</v>
      </c>
      <c r="CC40" s="156">
        <f>CC28+CC37</f>
        <v>249.74320169840999</v>
      </c>
      <c r="CD40" s="157">
        <f>CD28+CD37</f>
        <v>261.18104111160642</v>
      </c>
      <c r="CE40" s="157">
        <f>CE28+CE37</f>
        <v>264.09141624412933</v>
      </c>
      <c r="CF40" s="157">
        <f>CF28+CF37</f>
        <v>278.87436067738736</v>
      </c>
      <c r="CG40" s="159">
        <f>CC40+CD40+CE40+CF40</f>
        <v>1053.8900197315331</v>
      </c>
      <c r="CI40" s="156">
        <f>CI28+CI37</f>
        <v>253.7606233376539</v>
      </c>
      <c r="CJ40" s="157">
        <f>CJ28+CJ37</f>
        <v>265.30457986597241</v>
      </c>
      <c r="CK40" s="157">
        <f>CK28+CK37</f>
        <v>268.26736995171825</v>
      </c>
      <c r="CL40" s="157">
        <f>CL28+CL37</f>
        <v>283.3878892725956</v>
      </c>
      <c r="CM40" s="159">
        <f>CI40+CJ40+CK40+CL40</f>
        <v>1070.7204624279402</v>
      </c>
      <c r="CO40" s="156">
        <f>CO28+CO37</f>
        <v>256.88409811446371</v>
      </c>
      <c r="CP40" s="157">
        <f>CP28+CP37</f>
        <v>268.50568704042615</v>
      </c>
      <c r="CQ40" s="157">
        <f>CQ28+CQ37</f>
        <v>271.52499109798453</v>
      </c>
      <c r="CR40" s="157">
        <f>CR28+CR37</f>
        <v>286.99224364516431</v>
      </c>
      <c r="CS40" s="159">
        <f>CO40+CP40+CQ40+CR40</f>
        <v>1083.9070198980387</v>
      </c>
      <c r="CU40" s="156">
        <f>CU28+CU37</f>
        <v>260.13976977648895</v>
      </c>
      <c r="CV40" s="157">
        <f>CV28+CV37</f>
        <v>271.84428501016606</v>
      </c>
      <c r="CW40" s="157">
        <f>CW28+CW37</f>
        <v>274.92074357584295</v>
      </c>
      <c r="CX40" s="157">
        <f>CX28+CX37</f>
        <v>290.73841950452896</v>
      </c>
      <c r="CY40" s="159">
        <f>CU40+CV40+CW40+CX40</f>
        <v>1097.6432178670268</v>
      </c>
      <c r="DA40" s="156">
        <f>DA28+DA37</f>
        <v>263.53008507392434</v>
      </c>
      <c r="DB40" s="157">
        <f>DB28+DB37</f>
        <v>275.32289577364952</v>
      </c>
      <c r="DC40" s="157">
        <f>DC28+DC37</f>
        <v>278.45714713127779</v>
      </c>
      <c r="DD40" s="157">
        <f>DD28+DD37</f>
        <v>294.62897977645014</v>
      </c>
      <c r="DE40" s="159">
        <f>DA40+DB40+DC40+DD40</f>
        <v>1111.9391077553018</v>
      </c>
      <c r="DG40" s="156">
        <f>DG28+DG37</f>
        <v>267.05752842018376</v>
      </c>
      <c r="DH40" s="157">
        <f>DH28+DH37</f>
        <v>278.9440798793762</v>
      </c>
      <c r="DI40" s="157">
        <f>DI28+DI37</f>
        <v>282.13676020877801</v>
      </c>
      <c r="DJ40" s="157">
        <f>DJ28+DJ37</f>
        <v>298.66652720117543</v>
      </c>
      <c r="DK40" s="159">
        <f>DG40+DH40+DI40+DJ40</f>
        <v>1126.8048957095134</v>
      </c>
    </row>
    <row r="41" spans="2:115" ht="15.75" thickBot="1" x14ac:dyDescent="0.35">
      <c r="B41" s="140" t="s">
        <v>23</v>
      </c>
      <c r="C41" s="155" t="s">
        <v>35</v>
      </c>
      <c r="D41" s="106" t="s">
        <v>35</v>
      </c>
      <c r="E41" s="106" t="s">
        <v>35</v>
      </c>
      <c r="F41" s="154" t="s">
        <v>35</v>
      </c>
      <c r="G41" s="108" t="s">
        <v>35</v>
      </c>
      <c r="I41" s="109">
        <f>I40/C40-1</f>
        <v>0.17358490566037732</v>
      </c>
      <c r="J41" s="110">
        <f>J40/D40-1</f>
        <v>0.17730496453900702</v>
      </c>
      <c r="K41" s="110">
        <f>K40/E40-1</f>
        <v>0.19397993311036799</v>
      </c>
      <c r="L41" s="110">
        <f>L40/F40-1</f>
        <v>1.2307692307692353E-2</v>
      </c>
      <c r="M41" s="122">
        <f>M40/G40-1</f>
        <v>0.13492741246797602</v>
      </c>
      <c r="O41" s="109">
        <f>O40/I40-1</f>
        <v>-0.11575562700964626</v>
      </c>
      <c r="P41" s="110">
        <f>P40/J40-1</f>
        <v>-6.6265060240963902E-2</v>
      </c>
      <c r="Q41" s="110">
        <f>Q40/K40-1</f>
        <v>-0.12324929971988796</v>
      </c>
      <c r="R41" s="110">
        <f>R40/L40-1</f>
        <v>-0.10942249240121582</v>
      </c>
      <c r="S41" s="122">
        <f>S40/M40-1</f>
        <v>-0.10383747178329572</v>
      </c>
      <c r="U41" s="109">
        <f>U40/O40-1</f>
        <v>1.4545454545454639E-2</v>
      </c>
      <c r="V41" s="110">
        <f>V40/P40-1</f>
        <v>-6.1290322580645151E-2</v>
      </c>
      <c r="W41" s="110">
        <f>W40/Q40-1</f>
        <v>-5.4313099041533586E-2</v>
      </c>
      <c r="X41" s="110">
        <f>X40/R40-1</f>
        <v>-6.8259385665528916E-3</v>
      </c>
      <c r="Y41" s="122">
        <f>Y40/S40-1</f>
        <v>-2.8547439126784258E-2</v>
      </c>
      <c r="AA41" s="109">
        <f>AA40/U40-1</f>
        <v>-3.9426523297491078E-2</v>
      </c>
      <c r="AB41" s="110">
        <f>AB40/V40-1</f>
        <v>-3.0927835051546393E-2</v>
      </c>
      <c r="AC41" s="110">
        <f>AC40/W40-1</f>
        <v>-8.108108108108103E-2</v>
      </c>
      <c r="AD41" s="110">
        <f>AD40/X40-1</f>
        <v>-7.2164948453608213E-2</v>
      </c>
      <c r="AE41" s="122">
        <f>AE40/Y40-1</f>
        <v>-5.6179775280898903E-2</v>
      </c>
      <c r="AG41" s="109">
        <f>AG40/AA40-1</f>
        <v>-4.8507462686567138E-2</v>
      </c>
      <c r="AH41" s="110">
        <f>AH40/AB40-1</f>
        <v>-8.1560283687943214E-2</v>
      </c>
      <c r="AI41" s="110">
        <f>AI40/AC40-1</f>
        <v>3.6764705882352811E-3</v>
      </c>
      <c r="AJ41" s="110">
        <f>AJ40/AD40-1</f>
        <v>-4.8148148148148162E-2</v>
      </c>
      <c r="AK41" s="122">
        <f>AK40/AE40-1</f>
        <v>-4.3956043956043911E-2</v>
      </c>
      <c r="AM41" s="109">
        <f>AM40/AG40-1</f>
        <v>-6.6666666666666652E-2</v>
      </c>
      <c r="AN41" s="110">
        <f>AN40/AH40-1</f>
        <v>-3.8610038610038644E-2</v>
      </c>
      <c r="AO41" s="110">
        <f>AO40/AI40-1</f>
        <v>-0.11355311355311359</v>
      </c>
      <c r="AP41" s="110">
        <f>AP40/AJ40-1</f>
        <v>-5.058365758754868E-2</v>
      </c>
      <c r="AQ41" s="122">
        <f>AQ40/AK40-1</f>
        <v>-6.8007662835249061E-2</v>
      </c>
      <c r="AS41" s="109">
        <f>AS40/AM40-1</f>
        <v>-0.10084033613445376</v>
      </c>
      <c r="AT41" s="110">
        <f>AT40/AN40-1</f>
        <v>-0.12851405622489964</v>
      </c>
      <c r="AU41" s="110">
        <f>AU40/AO40-1</f>
        <v>-0.12809917355371903</v>
      </c>
      <c r="AV41" s="110">
        <f>AV40/AP40-1</f>
        <v>-9.8360655737704916E-2</v>
      </c>
      <c r="AW41" s="122">
        <f>AW40/AQ40-1</f>
        <v>-0.11408016443987667</v>
      </c>
      <c r="AY41" s="109">
        <f>AY40/AS40-1</f>
        <v>5.6074766355140193E-2</v>
      </c>
      <c r="AZ41" s="110">
        <f>AZ40/AT40-1</f>
        <v>6.4516129032258007E-2</v>
      </c>
      <c r="BA41" s="110">
        <f>BA40/AU40-1</f>
        <v>0.14691943127962093</v>
      </c>
      <c r="BB41" s="110">
        <f>BB40/AV40-1</f>
        <v>0.17727272727272725</v>
      </c>
      <c r="BC41" s="122">
        <f>BC40/AW40-1</f>
        <v>0.11136890951276102</v>
      </c>
      <c r="BE41" s="109">
        <f>BE40/AY40-1</f>
        <v>1.327433628318575E-2</v>
      </c>
      <c r="BF41" s="110">
        <f>BF40/AZ40-1</f>
        <v>8.6580086580085869E-3</v>
      </c>
      <c r="BG41" s="110">
        <f>BG40/BA40-1</f>
        <v>-1.2396694214875992E-2</v>
      </c>
      <c r="BH41" s="110">
        <f>BH40/BB40-1</f>
        <v>-3.8610038610038533E-3</v>
      </c>
      <c r="BI41" s="122">
        <f>BI40/BC40-1</f>
        <v>1.0438413361169019E-3</v>
      </c>
      <c r="BK41" s="109">
        <f>BK40/BE40-1</f>
        <v>3.4934497816593968E-2</v>
      </c>
      <c r="BL41" s="110">
        <f>BL40/BF40-1</f>
        <v>6.4377682403433445E-2</v>
      </c>
      <c r="BM41" s="110">
        <f>BM40/BG40-1</f>
        <v>6.6945606694560622E-2</v>
      </c>
      <c r="BN41" s="110">
        <f>BN40/BH40-1</f>
        <v>5.0387596899224896E-2</v>
      </c>
      <c r="BO41" s="122">
        <f>BO40/BI40-1</f>
        <v>5.4223149113659996E-2</v>
      </c>
      <c r="BQ41" s="109">
        <f>BQ40/BK40-1</f>
        <v>1.5666816298771202E-2</v>
      </c>
      <c r="BR41" s="110">
        <f>BR40/BL40-1</f>
        <v>1.4784332557132185E-2</v>
      </c>
      <c r="BS41" s="110">
        <f>BS40/BM40-1</f>
        <v>-3.7797209380341368E-3</v>
      </c>
      <c r="BT41" s="110">
        <f>BT40/BN40-1</f>
        <v>-7.180260593100396E-3</v>
      </c>
      <c r="BU41" s="122">
        <f>BU40/BO40-1</f>
        <v>4.4212368714624528E-3</v>
      </c>
      <c r="BW41" s="109">
        <f>BW40/BQ40-1</f>
        <v>1.8098466186235118E-2</v>
      </c>
      <c r="BX41" s="110">
        <f>BX40/BR40-1</f>
        <v>1.7042835385603361E-2</v>
      </c>
      <c r="BY41" s="110">
        <f>BY40/BS40-1</f>
        <v>2.2568626244324541E-2</v>
      </c>
      <c r="BZ41" s="110">
        <f>BZ40/BT40-1</f>
        <v>1.9747838953728225E-2</v>
      </c>
      <c r="CA41" s="122">
        <f>CA40/BU40-1</f>
        <v>1.939213924008576E-2</v>
      </c>
      <c r="CC41" s="109">
        <f>CC40/BW40-1</f>
        <v>1.90706233369482E-2</v>
      </c>
      <c r="CD41" s="110">
        <f>CD40/BX40-1</f>
        <v>2.0415318670763849E-2</v>
      </c>
      <c r="CE41" s="110">
        <f>CE40/BY40-1</f>
        <v>1.663782329657848E-2</v>
      </c>
      <c r="CF41" s="110">
        <f>CF40/BZ40-1</f>
        <v>1.6426782093893033E-2</v>
      </c>
      <c r="CG41" s="122">
        <f>CG40/CA40-1</f>
        <v>1.8091869743055433E-2</v>
      </c>
      <c r="CI41" s="109">
        <f>CI40/CC40-1</f>
        <v>1.608621020281209E-2</v>
      </c>
      <c r="CJ41" s="110">
        <f>CJ40/CD40-1</f>
        <v>1.578804777259446E-2</v>
      </c>
      <c r="CK41" s="110">
        <f>CK40/CE40-1</f>
        <v>1.5812531005281238E-2</v>
      </c>
      <c r="CL41" s="110">
        <f>CL40/CF40-1</f>
        <v>1.6184810192822585E-2</v>
      </c>
      <c r="CM41" s="122">
        <f>CM40/CG40-1</f>
        <v>1.5969828332461633E-2</v>
      </c>
      <c r="CO41" s="109">
        <f>CO40/CI40-1</f>
        <v>1.2308744894016677E-2</v>
      </c>
      <c r="CP41" s="110">
        <f>CP40/CJ40-1</f>
        <v>1.2065781812250931E-2</v>
      </c>
      <c r="CQ41" s="110">
        <f>CQ40/CK40-1</f>
        <v>1.2143188144173367E-2</v>
      </c>
      <c r="CR41" s="110">
        <f>CR40/CL40-1</f>
        <v>1.2718801716687489E-2</v>
      </c>
      <c r="CS41" s="122">
        <f>CS40/CM40-1</f>
        <v>1.2315593035550076E-2</v>
      </c>
      <c r="CU41" s="109">
        <f>CU40/CO40-1</f>
        <v>1.2673698706622716E-2</v>
      </c>
      <c r="CV41" s="110">
        <f>CV40/CP40-1</f>
        <v>1.2433993508812469E-2</v>
      </c>
      <c r="CW41" s="110">
        <f>CW40/CQ40-1</f>
        <v>1.2506224433068924E-2</v>
      </c>
      <c r="CX41" s="110">
        <f>CX40/CR40-1</f>
        <v>1.3053230330490662E-2</v>
      </c>
      <c r="CY41" s="122">
        <f>CY40/CS40-1</f>
        <v>1.2672856358362017E-2</v>
      </c>
      <c r="DA41" s="109">
        <f>DA40/CU40-1</f>
        <v>1.3032668170454453E-2</v>
      </c>
      <c r="DB41" s="110">
        <f>DB40/CV40-1</f>
        <v>1.2796335826421368E-2</v>
      </c>
      <c r="DC41" s="110">
        <f>DC40/CW40-1</f>
        <v>1.2863356578472374E-2</v>
      </c>
      <c r="DD41" s="110">
        <f>DD40/CX40-1</f>
        <v>1.3381651721679599E-2</v>
      </c>
      <c r="DE41" s="122">
        <f>DE40/CY40-1</f>
        <v>1.3024168195613806E-2</v>
      </c>
      <c r="DG41" s="109">
        <f>DG40/DA40-1</f>
        <v>1.3385353498709396E-2</v>
      </c>
      <c r="DH41" s="110">
        <f>DH40/DB40-1</f>
        <v>1.3152498979611682E-2</v>
      </c>
      <c r="DI41" s="110">
        <f>DI40/DC40-1</f>
        <v>1.3214288501510296E-2</v>
      </c>
      <c r="DJ41" s="110">
        <f>DJ40/DD40-1</f>
        <v>1.3703836695863281E-2</v>
      </c>
      <c r="DK41" s="122">
        <f>DK40/DE40-1</f>
        <v>1.3369246436723881E-2</v>
      </c>
    </row>
    <row r="42" spans="2:115" ht="15.75" thickBot="1" x14ac:dyDescent="0.35">
      <c r="B42" s="1"/>
      <c r="AA42" s="103"/>
      <c r="AB42" s="103"/>
      <c r="AC42" s="103"/>
      <c r="AD42" s="103"/>
      <c r="AE42" s="103"/>
      <c r="AG42" s="103"/>
      <c r="AH42" s="103"/>
      <c r="AI42" s="103"/>
      <c r="AJ42" s="103"/>
      <c r="AK42" s="103"/>
      <c r="AM42" s="103"/>
      <c r="AN42" s="103"/>
      <c r="AO42" s="103"/>
      <c r="AP42" s="103"/>
      <c r="AQ42" s="103"/>
      <c r="AS42" s="103"/>
      <c r="AT42" s="103"/>
      <c r="AU42" s="103"/>
      <c r="AV42" s="103"/>
      <c r="AW42" s="103"/>
      <c r="AY42" s="103"/>
      <c r="AZ42" s="103"/>
      <c r="BA42" s="103"/>
      <c r="BB42" s="103"/>
      <c r="BC42" s="103"/>
      <c r="BE42" s="103"/>
      <c r="BF42" s="103"/>
      <c r="BG42" s="103"/>
      <c r="BH42" s="103"/>
      <c r="BI42" s="103"/>
      <c r="BK42" s="103"/>
      <c r="BL42" s="103"/>
      <c r="BM42" s="103"/>
      <c r="BN42" s="103"/>
      <c r="BO42" s="103"/>
      <c r="BQ42" s="103"/>
      <c r="BR42" s="103"/>
      <c r="BS42" s="103"/>
      <c r="BT42" s="103"/>
      <c r="BU42" s="103"/>
      <c r="BW42" s="103"/>
      <c r="BX42" s="103"/>
      <c r="BY42" s="103"/>
      <c r="BZ42" s="103"/>
      <c r="CA42" s="103"/>
      <c r="CC42" s="103"/>
      <c r="CD42" s="103"/>
      <c r="CE42" s="103"/>
      <c r="CF42" s="103"/>
      <c r="CG42" s="103"/>
      <c r="CI42" s="103"/>
      <c r="CJ42" s="103"/>
      <c r="CK42" s="103"/>
      <c r="CL42" s="103"/>
      <c r="CM42" s="103"/>
      <c r="CO42" s="103"/>
      <c r="CP42" s="103"/>
      <c r="CQ42" s="103"/>
      <c r="CR42" s="103"/>
      <c r="CS42" s="103"/>
      <c r="CU42" s="103"/>
      <c r="CV42" s="103"/>
      <c r="CW42" s="103"/>
      <c r="CX42" s="103"/>
      <c r="CY42" s="103"/>
      <c r="DA42" s="103"/>
      <c r="DB42" s="103"/>
      <c r="DC42" s="103"/>
      <c r="DD42" s="103"/>
      <c r="DE42" s="103"/>
      <c r="DG42" s="103"/>
      <c r="DH42" s="103"/>
      <c r="DI42" s="103"/>
      <c r="DJ42" s="103"/>
      <c r="DK42" s="103"/>
    </row>
    <row r="43" spans="2:115" s="135" customFormat="1" ht="15" x14ac:dyDescent="0.3">
      <c r="B43" s="139" t="s">
        <v>57</v>
      </c>
      <c r="C43" s="178">
        <v>22</v>
      </c>
      <c r="D43" s="179">
        <v>31</v>
      </c>
      <c r="E43" s="179">
        <v>32</v>
      </c>
      <c r="F43" s="179">
        <v>41</v>
      </c>
      <c r="G43" s="202">
        <f>G45*1000/G33</f>
        <v>32.155236240141363</v>
      </c>
      <c r="H43" s="134"/>
      <c r="I43" s="178">
        <v>35</v>
      </c>
      <c r="J43" s="179">
        <v>39</v>
      </c>
      <c r="K43" s="179">
        <v>38</v>
      </c>
      <c r="L43" s="179">
        <v>36</v>
      </c>
      <c r="M43" s="202">
        <f>M45*1000/M33</f>
        <v>37.043731327400145</v>
      </c>
      <c r="N43" s="134"/>
      <c r="O43" s="178">
        <v>27</v>
      </c>
      <c r="P43" s="179">
        <v>35</v>
      </c>
      <c r="Q43" s="179">
        <v>28</v>
      </c>
      <c r="R43" s="179">
        <v>30</v>
      </c>
      <c r="S43" s="202">
        <f>S45*1000/S33</f>
        <v>29.907335999846659</v>
      </c>
      <c r="T43" s="134"/>
      <c r="U43" s="211">
        <v>34</v>
      </c>
      <c r="V43" s="212">
        <v>31</v>
      </c>
      <c r="W43" s="212">
        <v>29</v>
      </c>
      <c r="X43" s="212">
        <v>32</v>
      </c>
      <c r="Y43" s="202">
        <f>Y45*1000/Y33</f>
        <v>31.432355528858498</v>
      </c>
      <c r="AA43" s="211">
        <v>31</v>
      </c>
      <c r="AB43" s="212">
        <v>33</v>
      </c>
      <c r="AC43" s="212">
        <v>27</v>
      </c>
      <c r="AD43" s="212">
        <v>35</v>
      </c>
      <c r="AE43" s="202">
        <f>AE45*1000/AE33</f>
        <v>31.545765744687078</v>
      </c>
      <c r="AG43" s="211">
        <v>22</v>
      </c>
      <c r="AH43" s="212">
        <v>35</v>
      </c>
      <c r="AI43" s="212">
        <v>32</v>
      </c>
      <c r="AJ43" s="212">
        <f>AD43*(1+AJ44)</f>
        <v>31.5</v>
      </c>
      <c r="AK43" s="202">
        <f>AK45*1000/AK33</f>
        <v>30.58810756496149</v>
      </c>
      <c r="AM43" s="211">
        <v>31</v>
      </c>
      <c r="AN43" s="212">
        <v>27</v>
      </c>
      <c r="AO43" s="212">
        <v>24</v>
      </c>
      <c r="AP43" s="212">
        <v>20</v>
      </c>
      <c r="AQ43" s="202">
        <f>AQ45*1000/AQ33</f>
        <v>25.180133874628279</v>
      </c>
      <c r="AS43" s="211">
        <v>19</v>
      </c>
      <c r="AT43" s="212">
        <v>20</v>
      </c>
      <c r="AU43" s="212">
        <v>20</v>
      </c>
      <c r="AV43" s="212">
        <v>24</v>
      </c>
      <c r="AW43" s="202">
        <f>AW45*1000/AW33</f>
        <v>20.65125646050797</v>
      </c>
      <c r="AY43" s="211">
        <v>21</v>
      </c>
      <c r="AZ43" s="212">
        <v>22</v>
      </c>
      <c r="BA43" s="212">
        <v>24</v>
      </c>
      <c r="BB43" s="212">
        <v>21</v>
      </c>
      <c r="BC43" s="202">
        <f>BC45*1000/BC33</f>
        <v>21.944557241942867</v>
      </c>
      <c r="BE43" s="211">
        <v>21</v>
      </c>
      <c r="BF43" s="212">
        <v>23</v>
      </c>
      <c r="BG43" s="212">
        <v>18</v>
      </c>
      <c r="BH43" s="212">
        <v>25</v>
      </c>
      <c r="BI43" s="202">
        <f>BI45*1000/BI33</f>
        <v>21.858643495916755</v>
      </c>
      <c r="BK43" s="211">
        <v>21</v>
      </c>
      <c r="BL43" s="212">
        <v>24</v>
      </c>
      <c r="BM43" s="212">
        <v>21</v>
      </c>
      <c r="BN43" s="212">
        <v>30</v>
      </c>
      <c r="BO43" s="202">
        <f>BO45*1000/BO33</f>
        <v>23.973831871262053</v>
      </c>
      <c r="BQ43" s="211">
        <f>BK43*(1+BQ44)</f>
        <v>24.15</v>
      </c>
      <c r="BR43" s="212">
        <f>BL43*(1+BR44)</f>
        <v>27</v>
      </c>
      <c r="BS43" s="212">
        <f>BM43*(1+BS44)</f>
        <v>23.1</v>
      </c>
      <c r="BT43" s="212">
        <f>BN43*(1+BT44)</f>
        <v>33</v>
      </c>
      <c r="BU43" s="202">
        <f>BU45*1000/BU33</f>
        <v>26.947242692854786</v>
      </c>
      <c r="BW43" s="211">
        <f>BQ43*(1+BW44)</f>
        <v>24.15</v>
      </c>
      <c r="BX43" s="212">
        <f>BR43*(1+BX44)</f>
        <v>27</v>
      </c>
      <c r="BY43" s="212">
        <f>BS43*(1+BY44)</f>
        <v>23.1</v>
      </c>
      <c r="BZ43" s="212">
        <f>BT43*(1+BZ44)</f>
        <v>33</v>
      </c>
      <c r="CA43" s="202">
        <f>CA45*1000/CA33</f>
        <v>26.861581974908976</v>
      </c>
      <c r="CC43" s="211">
        <f>BW43*(1+CC44)</f>
        <v>24.753749999999997</v>
      </c>
      <c r="CD43" s="212">
        <f>BX43*(1+CD44)</f>
        <v>27.674999999999997</v>
      </c>
      <c r="CE43" s="212">
        <f>BY43*(1+CE44)</f>
        <v>23.677499999999998</v>
      </c>
      <c r="CF43" s="212">
        <f>BZ43*(1+CF44)</f>
        <v>33.824999999999996</v>
      </c>
      <c r="CG43" s="202">
        <f>CG45*1000/CG33</f>
        <v>27.519699645862197</v>
      </c>
      <c r="CI43" s="211">
        <f>CC43*(1+CI44)</f>
        <v>25.372593749999993</v>
      </c>
      <c r="CJ43" s="212">
        <f>CD43*(1+CJ44)</f>
        <v>28.366874999999993</v>
      </c>
      <c r="CK43" s="212">
        <f>CE43*(1+CK44)</f>
        <v>24.269437499999995</v>
      </c>
      <c r="CL43" s="212">
        <f>CF43*(1+CL44)</f>
        <v>34.670624999999994</v>
      </c>
      <c r="CM43" s="202">
        <f>CM45*1000/CM33</f>
        <v>28.207334057210833</v>
      </c>
      <c r="CO43" s="211">
        <f>CI43*(1+CO44)</f>
        <v>26.006908593749991</v>
      </c>
      <c r="CP43" s="212">
        <f>CJ43*(1+CP44)</f>
        <v>29.076046874999989</v>
      </c>
      <c r="CQ43" s="212">
        <f>CK43*(1+CQ44)</f>
        <v>24.876173437499993</v>
      </c>
      <c r="CR43" s="212">
        <f>CL43*(1+CR44)</f>
        <v>35.537390624999993</v>
      </c>
      <c r="CS43" s="202">
        <f>CS45*1000/CS33</f>
        <v>28.912157263702209</v>
      </c>
      <c r="CU43" s="211">
        <f>CO43*(1+CU44)</f>
        <v>26.657081308593739</v>
      </c>
      <c r="CV43" s="212">
        <f>CP43*(1+CV44)</f>
        <v>29.802948046874985</v>
      </c>
      <c r="CW43" s="212">
        <f>CQ43*(1+CW44)</f>
        <v>25.49807777343749</v>
      </c>
      <c r="CX43" s="212">
        <f>CR43*(1+CX44)</f>
        <v>36.425825390624993</v>
      </c>
      <c r="CY43" s="202">
        <f>CY45*1000/CY33</f>
        <v>29.634598908924836</v>
      </c>
      <c r="DA43" s="211">
        <f>CU43*(1+DA44)</f>
        <v>27.323508341308578</v>
      </c>
      <c r="DB43" s="212">
        <f>CV43*(1+DB44)</f>
        <v>30.548021748046857</v>
      </c>
      <c r="DC43" s="212">
        <f>CW43*(1+DC44)</f>
        <v>26.135529717773426</v>
      </c>
      <c r="DD43" s="212">
        <f>CX43*(1+DD44)</f>
        <v>37.336471025390615</v>
      </c>
      <c r="DE43" s="202">
        <f>DE45*1000/DE33</f>
        <v>30.375099377544103</v>
      </c>
      <c r="DG43" s="211">
        <f>DA43*(1+DG44)</f>
        <v>28.006596049841288</v>
      </c>
      <c r="DH43" s="212">
        <f>DB43*(1+DH44)</f>
        <v>31.311722291748026</v>
      </c>
      <c r="DI43" s="212">
        <f>DC43*(1+DI44)</f>
        <v>26.788917960717761</v>
      </c>
      <c r="DJ43" s="212">
        <f>DD43*(1+DJ44)</f>
        <v>38.269882801025375</v>
      </c>
      <c r="DK43" s="202">
        <f>DK45*1000/DK33</f>
        <v>31.134110063777324</v>
      </c>
    </row>
    <row r="44" spans="2:115" ht="15" x14ac:dyDescent="0.3">
      <c r="B44" s="5" t="s">
        <v>23</v>
      </c>
      <c r="C44" s="144" t="s">
        <v>35</v>
      </c>
      <c r="D44" s="107" t="s">
        <v>35</v>
      </c>
      <c r="E44" s="107" t="s">
        <v>35</v>
      </c>
      <c r="F44" s="107" t="s">
        <v>35</v>
      </c>
      <c r="G44" s="138" t="s">
        <v>35</v>
      </c>
      <c r="I44" s="151">
        <f>I43/C43-1</f>
        <v>0.59090909090909083</v>
      </c>
      <c r="J44" s="133">
        <f>J43/D43-1</f>
        <v>0.25806451612903225</v>
      </c>
      <c r="K44" s="133">
        <f>K43/E43-1</f>
        <v>0.1875</v>
      </c>
      <c r="L44" s="133">
        <f>L43/F43-1</f>
        <v>-0.12195121951219512</v>
      </c>
      <c r="M44" s="153">
        <f>M43/G43-1</f>
        <v>0.15202796368064542</v>
      </c>
      <c r="O44" s="151">
        <f>O43/I43-1</f>
        <v>-0.22857142857142854</v>
      </c>
      <c r="P44" s="133">
        <f>P43/J43-1</f>
        <v>-0.10256410256410253</v>
      </c>
      <c r="Q44" s="133">
        <f>Q43/K43-1</f>
        <v>-0.26315789473684215</v>
      </c>
      <c r="R44" s="133">
        <f>R43/L43-1</f>
        <v>-0.16666666666666663</v>
      </c>
      <c r="S44" s="153">
        <f>S43/M43-1</f>
        <v>-0.19264785354586855</v>
      </c>
      <c r="U44" s="151">
        <f>U43/O43-1</f>
        <v>0.2592592592592593</v>
      </c>
      <c r="V44" s="133">
        <f>V43/P43-1</f>
        <v>-0.11428571428571432</v>
      </c>
      <c r="W44" s="133">
        <f>W43/Q43-1</f>
        <v>3.5714285714285809E-2</v>
      </c>
      <c r="X44" s="133">
        <f>X43/R43-1</f>
        <v>6.6666666666666652E-2</v>
      </c>
      <c r="Y44" s="153">
        <f>Y43/S43-1</f>
        <v>5.0991486805098907E-2</v>
      </c>
      <c r="AA44" s="151">
        <f>AA43/U43-1</f>
        <v>-8.8235294117647078E-2</v>
      </c>
      <c r="AB44" s="133">
        <f>AB43/V43-1</f>
        <v>6.4516129032258007E-2</v>
      </c>
      <c r="AC44" s="133">
        <f>AC43/W43-1</f>
        <v>-6.8965517241379337E-2</v>
      </c>
      <c r="AD44" s="133">
        <f>AD43/X43-1</f>
        <v>9.375E-2</v>
      </c>
      <c r="AE44" s="153">
        <f>AE43/Y43-1</f>
        <v>3.608072443837651E-3</v>
      </c>
      <c r="AG44" s="151">
        <f>AG43/AA43-1</f>
        <v>-0.29032258064516125</v>
      </c>
      <c r="AH44" s="133">
        <f>AH43/AB43-1</f>
        <v>6.0606060606060552E-2</v>
      </c>
      <c r="AI44" s="133">
        <f>AI43/AC43-1</f>
        <v>0.18518518518518512</v>
      </c>
      <c r="AJ44" s="133">
        <v>-0.1</v>
      </c>
      <c r="AK44" s="153">
        <f>AK43/AE43-1</f>
        <v>-3.0357740797174237E-2</v>
      </c>
      <c r="AM44" s="151">
        <f>AM43/AG43-1</f>
        <v>0.40909090909090917</v>
      </c>
      <c r="AN44" s="133">
        <f>AN43/AH43-1</f>
        <v>-0.22857142857142854</v>
      </c>
      <c r="AO44" s="133">
        <f>AO43/AI43-1</f>
        <v>-0.25</v>
      </c>
      <c r="AP44" s="133">
        <f>AP43/AJ43-1</f>
        <v>-0.36507936507936511</v>
      </c>
      <c r="AQ44" s="153">
        <f>AQ43/AK43-1</f>
        <v>-0.17679987815029186</v>
      </c>
      <c r="AS44" s="151">
        <f>AS43/AM43-1</f>
        <v>-0.38709677419354838</v>
      </c>
      <c r="AT44" s="133">
        <f>AT43/AN43-1</f>
        <v>-0.2592592592592593</v>
      </c>
      <c r="AU44" s="133">
        <f>AU43/AO43-1</f>
        <v>-0.16666666666666663</v>
      </c>
      <c r="AV44" s="133">
        <f>AV43/AP43-1</f>
        <v>0.19999999999999996</v>
      </c>
      <c r="AW44" s="153">
        <f>AW43/AQ43-1</f>
        <v>-0.17985914755932431</v>
      </c>
      <c r="AY44" s="151">
        <f>AY43/AS43-1</f>
        <v>0.10526315789473695</v>
      </c>
      <c r="AZ44" s="133">
        <f>AZ43/AT43-1</f>
        <v>0.10000000000000009</v>
      </c>
      <c r="BA44" s="133">
        <f>BA43/AU43-1</f>
        <v>0.19999999999999996</v>
      </c>
      <c r="BB44" s="133">
        <f>BB43/AV43-1</f>
        <v>-0.125</v>
      </c>
      <c r="BC44" s="153">
        <f>BC43/AW43-1</f>
        <v>6.2625767294504087E-2</v>
      </c>
      <c r="BE44" s="151">
        <f>BE43/AY43-1</f>
        <v>0</v>
      </c>
      <c r="BF44" s="133">
        <f>BF43/AZ43-1</f>
        <v>4.5454545454545414E-2</v>
      </c>
      <c r="BG44" s="133">
        <f>BG43/BA43-1</f>
        <v>-0.25</v>
      </c>
      <c r="BH44" s="133">
        <f>BH43/BB43-1</f>
        <v>0.19047619047619047</v>
      </c>
      <c r="BI44" s="153">
        <f>BI43/BC43-1</f>
        <v>-3.9150366571034656E-3</v>
      </c>
      <c r="BK44" s="151">
        <f>BK43/BE43-1</f>
        <v>0</v>
      </c>
      <c r="BL44" s="133">
        <f>BL43/BF43-1</f>
        <v>4.3478260869565188E-2</v>
      </c>
      <c r="BM44" s="133">
        <f>BM43/BG43-1</f>
        <v>0.16666666666666674</v>
      </c>
      <c r="BN44" s="133">
        <f>BN43/BH43-1</f>
        <v>0.19999999999999996</v>
      </c>
      <c r="BO44" s="153">
        <f>BO43/BI43-1</f>
        <v>9.6766680683566753E-2</v>
      </c>
      <c r="BQ44" s="151">
        <v>0.15</v>
      </c>
      <c r="BR44" s="133">
        <v>0.125</v>
      </c>
      <c r="BS44" s="133">
        <v>0.1</v>
      </c>
      <c r="BT44" s="133">
        <v>0.1</v>
      </c>
      <c r="BU44" s="153">
        <f>BU43/BO43-1</f>
        <v>0.12402734938493598</v>
      </c>
      <c r="BW44" s="151">
        <v>0</v>
      </c>
      <c r="BX44" s="133">
        <v>0</v>
      </c>
      <c r="BY44" s="133">
        <v>0</v>
      </c>
      <c r="BZ44" s="133">
        <v>0</v>
      </c>
      <c r="CA44" s="153">
        <f>CA43/BU43-1</f>
        <v>-3.1788305364734981E-3</v>
      </c>
      <c r="CC44" s="151">
        <v>2.5000000000000001E-2</v>
      </c>
      <c r="CD44" s="133">
        <v>2.5000000000000001E-2</v>
      </c>
      <c r="CE44" s="133">
        <v>2.5000000000000001E-2</v>
      </c>
      <c r="CF44" s="133">
        <v>2.5000000000000001E-2</v>
      </c>
      <c r="CG44" s="153">
        <f>CG43/CA43-1</f>
        <v>2.4500331796093011E-2</v>
      </c>
      <c r="CI44" s="151">
        <v>2.5000000000000001E-2</v>
      </c>
      <c r="CJ44" s="133">
        <v>2.5000000000000001E-2</v>
      </c>
      <c r="CK44" s="133">
        <v>2.5000000000000001E-2</v>
      </c>
      <c r="CL44" s="133">
        <v>2.5000000000000001E-2</v>
      </c>
      <c r="CM44" s="153">
        <f>CM43/CG43-1</f>
        <v>2.49869882374254E-2</v>
      </c>
      <c r="CO44" s="151">
        <v>2.5000000000000001E-2</v>
      </c>
      <c r="CP44" s="133">
        <v>2.5000000000000001E-2</v>
      </c>
      <c r="CQ44" s="133">
        <v>2.5000000000000001E-2</v>
      </c>
      <c r="CR44" s="133">
        <v>2.5000000000000001E-2</v>
      </c>
      <c r="CS44" s="153">
        <f>CS43/CM43-1</f>
        <v>2.4987232223429467E-2</v>
      </c>
      <c r="CU44" s="151">
        <v>2.5000000000000001E-2</v>
      </c>
      <c r="CV44" s="133">
        <v>2.5000000000000001E-2</v>
      </c>
      <c r="CW44" s="133">
        <v>2.5000000000000001E-2</v>
      </c>
      <c r="CX44" s="133">
        <v>2.5000000000000001E-2</v>
      </c>
      <c r="CY44" s="153">
        <f>CY43/CS43-1</f>
        <v>2.4987469410648888E-2</v>
      </c>
      <c r="DA44" s="151">
        <v>2.5000000000000001E-2</v>
      </c>
      <c r="DB44" s="133">
        <v>2.5000000000000001E-2</v>
      </c>
      <c r="DC44" s="133">
        <v>2.5000000000000001E-2</v>
      </c>
      <c r="DD44" s="133">
        <v>2.5000000000000001E-2</v>
      </c>
      <c r="DE44" s="153">
        <f>DE43/CY43-1</f>
        <v>2.4987700049358796E-2</v>
      </c>
      <c r="DG44" s="151">
        <v>2.5000000000000001E-2</v>
      </c>
      <c r="DH44" s="133">
        <v>2.5000000000000001E-2</v>
      </c>
      <c r="DI44" s="133">
        <v>2.5000000000000001E-2</v>
      </c>
      <c r="DJ44" s="133">
        <v>2.5000000000000001E-2</v>
      </c>
      <c r="DK44" s="153">
        <f>DK43/DE43-1</f>
        <v>2.498792437842523E-2</v>
      </c>
    </row>
    <row r="45" spans="2:115" ht="15" x14ac:dyDescent="0.3">
      <c r="B45" s="105" t="s">
        <v>55</v>
      </c>
      <c r="C45" s="193">
        <f>C43*C33/1000</f>
        <v>5.6777820000000006</v>
      </c>
      <c r="D45" s="194">
        <f>D43*D33/1000</f>
        <v>7.156520500000001</v>
      </c>
      <c r="E45" s="194">
        <f>E43*E33/1000</f>
        <v>8.6005280000000006</v>
      </c>
      <c r="F45" s="194">
        <f>F43*F33/1000</f>
        <v>13.578749000000002</v>
      </c>
      <c r="G45" s="196">
        <f>C45+D45+E45+F45</f>
        <v>35.013579500000006</v>
      </c>
      <c r="I45" s="193">
        <f>I43*I33/1000</f>
        <v>7.8198400000000001</v>
      </c>
      <c r="J45" s="194">
        <f>J43*J33/1000</f>
        <v>9.610653000000001</v>
      </c>
      <c r="K45" s="194">
        <f>K43*K33/1000</f>
        <v>10.32422</v>
      </c>
      <c r="L45" s="194">
        <f>L43*L33/1000</f>
        <v>9.83934</v>
      </c>
      <c r="M45" s="196">
        <f>I45+J45+K45+L45</f>
        <v>37.594053000000002</v>
      </c>
      <c r="N45" s="129"/>
      <c r="O45" s="193">
        <f>O43*O33/1000</f>
        <v>6.2840474999999998</v>
      </c>
      <c r="P45" s="194">
        <f>P43*P33/1000</f>
        <v>7.6017200000000011</v>
      </c>
      <c r="Q45" s="194">
        <f>Q43*Q33/1000</f>
        <v>6.6464860000000012</v>
      </c>
      <c r="R45" s="194">
        <f>R43*R33/1000</f>
        <v>7.5523500000000006</v>
      </c>
      <c r="S45" s="196">
        <f>O45+P45+Q45+R45</f>
        <v>28.084603500000004</v>
      </c>
      <c r="U45" s="193">
        <f>U43*U33/1000</f>
        <v>6.7253190000000007</v>
      </c>
      <c r="V45" s="194">
        <f>V43*V33/1000</f>
        <v>7.0619085000000004</v>
      </c>
      <c r="W45" s="194">
        <f>W43*W33/1000</f>
        <v>6.5367160000000002</v>
      </c>
      <c r="X45" s="194">
        <f>X43*X33/1000</f>
        <v>7.8283200000000006</v>
      </c>
      <c r="Y45" s="196">
        <f>U45+V45+W45+X45</f>
        <v>28.1522635</v>
      </c>
      <c r="AA45" s="193">
        <f>AA43*AA33/1000</f>
        <v>5.7027444999999997</v>
      </c>
      <c r="AB45" s="194">
        <f>AB43*AB33/1000</f>
        <v>6.302488499999999</v>
      </c>
      <c r="AC45" s="194">
        <f>AC43*AC33/1000</f>
        <v>4.9968360000000001</v>
      </c>
      <c r="AD45" s="194">
        <f>AD43*AD33/1000</f>
        <v>6.7273500000000004</v>
      </c>
      <c r="AE45" s="196">
        <f>AA45+AB45+AC45+AD45</f>
        <v>23.729419</v>
      </c>
      <c r="AG45" s="193">
        <f>AG43*AG33/1000</f>
        <v>3.6570600000000004</v>
      </c>
      <c r="AH45" s="194">
        <f>AH43*AH33/1000</f>
        <v>7.0021525000000002</v>
      </c>
      <c r="AI45" s="194">
        <f>AI43*AI33/1000</f>
        <v>6.9141760000000003</v>
      </c>
      <c r="AJ45" s="194">
        <f>AJ43*AJ33/1000</f>
        <v>8.28653175</v>
      </c>
      <c r="AK45" s="196">
        <f>AG45+AH45+AI45+AJ45</f>
        <v>25.859920250000002</v>
      </c>
      <c r="AM45" s="193">
        <f>AM43*AM33/1000</f>
        <v>7.8932820000000001</v>
      </c>
      <c r="AN45" s="194">
        <f>AN43*AN33/1000</f>
        <v>7.6250835000000006</v>
      </c>
      <c r="AO45" s="194">
        <f>AO43*AO33/1000</f>
        <v>6.5088000000000008</v>
      </c>
      <c r="AP45" s="194">
        <f>AP43*AP33/1000</f>
        <v>6.4699600000000004</v>
      </c>
      <c r="AQ45" s="196">
        <f>AM45+AN45+AO45+AP45</f>
        <v>28.497125500000003</v>
      </c>
      <c r="AS45" s="193">
        <f>AS43*AS33/1000</f>
        <v>5.8897814999999998</v>
      </c>
      <c r="AT45" s="194">
        <f>AT43*AT33/1000</f>
        <v>5.3046199999999999</v>
      </c>
      <c r="AU45" s="194">
        <f>AU43*AU33/1000</f>
        <v>5.5962100000000001</v>
      </c>
      <c r="AV45" s="194">
        <f>AV43*AV33/1000</f>
        <v>6.212472</v>
      </c>
      <c r="AW45" s="196">
        <f>AS45+AT45+AU45+AV45</f>
        <v>23.003083500000002</v>
      </c>
      <c r="AY45" s="193">
        <f>AY43*AY33/1000</f>
        <v>5.5196924999999988</v>
      </c>
      <c r="AZ45" s="194">
        <f>AZ43*AZ33/1000</f>
        <v>6.3961920000000001</v>
      </c>
      <c r="BA45" s="194">
        <f>BA43*BA33/1000</f>
        <v>6.1075799999999996</v>
      </c>
      <c r="BB45" s="194">
        <f>BB43*BB33/1000</f>
        <v>6.468</v>
      </c>
      <c r="BC45" s="196">
        <f>AY45+AZ45+BA45+BB45</f>
        <v>24.491464499999999</v>
      </c>
      <c r="BE45" s="193">
        <f>BE43*BE33/1000</f>
        <v>5.0366085000000007</v>
      </c>
      <c r="BF45" s="194">
        <f>BF43*BF33/1000</f>
        <v>5.4434560000000003</v>
      </c>
      <c r="BG45" s="194">
        <f>BG43*BG33/1000</f>
        <v>4.4317799999999998</v>
      </c>
      <c r="BH45" s="194">
        <f>BH43*BH33/1000</f>
        <v>7.0498625000000006</v>
      </c>
      <c r="BI45" s="196">
        <f>BE45+BF45+BG45+BH45</f>
        <v>21.961707000000001</v>
      </c>
      <c r="BK45" s="193">
        <f>BK43*BK33/1000</f>
        <v>5.5991880000000007</v>
      </c>
      <c r="BL45" s="194">
        <f>BL43*BL33/1000</f>
        <v>6.684864000000001</v>
      </c>
      <c r="BM45" s="194">
        <f>BM43*BM33/1000</f>
        <v>5.4905445000000004</v>
      </c>
      <c r="BN45" s="194">
        <f>BN43*BN33/1000</f>
        <v>7.7817600000000002</v>
      </c>
      <c r="BO45" s="196">
        <f>BK45+BL45+BM45+BN45</f>
        <v>25.5563565</v>
      </c>
      <c r="BQ45" s="193">
        <f>BQ43*BQ33/1000</f>
        <v>5.8611084</v>
      </c>
      <c r="BR45" s="194">
        <f>BR43*BR33/1000</f>
        <v>6.5722320000000005</v>
      </c>
      <c r="BS45" s="194">
        <f>BS43*BS33/1000</f>
        <v>5.6395416000000003</v>
      </c>
      <c r="BT45" s="194">
        <f>BT43*BT33/1000</f>
        <v>8.7521280000000008</v>
      </c>
      <c r="BU45" s="196">
        <f>BQ45+BR45+BS45+BT45</f>
        <v>26.825009999999999</v>
      </c>
      <c r="BW45" s="193">
        <f>BW43*BW33/1000</f>
        <v>6.2803644750000007</v>
      </c>
      <c r="BX45" s="194">
        <f>BX43*BX33/1000</f>
        <v>7.0373204999999999</v>
      </c>
      <c r="BY45" s="194">
        <f>BY43*BY33/1000</f>
        <v>6.1520844000000006</v>
      </c>
      <c r="BZ45" s="194">
        <f>BZ43*BZ33/1000</f>
        <v>8.9826494999999991</v>
      </c>
      <c r="CA45" s="196">
        <f>BW45+BX45+BY45+BZ45</f>
        <v>28.452418874999999</v>
      </c>
      <c r="CC45" s="193">
        <f>CC43*CC33/1000</f>
        <v>6.5097783056249989</v>
      </c>
      <c r="CD45" s="194">
        <f>CD43*CD33/1000</f>
        <v>7.2942028875</v>
      </c>
      <c r="CE45" s="194">
        <f>CE43*CE33/1000</f>
        <v>6.25444714125</v>
      </c>
      <c r="CF45" s="194">
        <f>CF43*CF33/1000</f>
        <v>9.1271350499999997</v>
      </c>
      <c r="CG45" s="196">
        <f>CC45+CD45+CE45+CF45</f>
        <v>29.185563384374998</v>
      </c>
      <c r="CI45" s="193">
        <f>CI43*CI33/1000</f>
        <v>6.7368422884218733</v>
      </c>
      <c r="CJ45" s="194">
        <f>CJ43*CJ33/1000</f>
        <v>7.5484679878124981</v>
      </c>
      <c r="CK45" s="194">
        <f>CK43*CK33/1000</f>
        <v>6.4723313438437486</v>
      </c>
      <c r="CL45" s="194">
        <f>CL43*CL33/1000</f>
        <v>9.4432034606249999</v>
      </c>
      <c r="CM45" s="196">
        <f>CI45+CJ45+CK45+CL45</f>
        <v>30.200845080703118</v>
      </c>
      <c r="CO45" s="193">
        <f>CO43*CO33/1000</f>
        <v>6.9711908589175762</v>
      </c>
      <c r="CP45" s="194">
        <f>CP43*CP33/1000</f>
        <v>7.8108874663359344</v>
      </c>
      <c r="CQ45" s="194">
        <f>CQ43*CQ33/1000</f>
        <v>6.6972007271039038</v>
      </c>
      <c r="CR45" s="194">
        <f>CR43*CR33/1000</f>
        <v>9.7693708323749977</v>
      </c>
      <c r="CS45" s="196">
        <f>CO45+CP45+CQ45+CR45</f>
        <v>31.248649884732416</v>
      </c>
      <c r="CU45" s="193">
        <f>CU43*CU33/1000</f>
        <v>7.2130463315077993</v>
      </c>
      <c r="CV45" s="194">
        <f>CV43*CV33/1000</f>
        <v>8.0817101262931583</v>
      </c>
      <c r="CW45" s="194">
        <f>CW43*CW33/1000</f>
        <v>6.9292683724371651</v>
      </c>
      <c r="CX45" s="194">
        <f>CX43*CX33/1000</f>
        <v>10.105944570549608</v>
      </c>
      <c r="CY45" s="196">
        <f>CU45+CV45+CW45+CX45</f>
        <v>32.329969400787732</v>
      </c>
      <c r="DA45" s="193">
        <f>DA43*DA33/1000</f>
        <v>7.4626375834407117</v>
      </c>
      <c r="DB45" s="194">
        <f>DB43*DB33/1000</f>
        <v>8.3611921145817867</v>
      </c>
      <c r="DC45" s="194">
        <f>DC43*DC33/1000</f>
        <v>7.1687536495826496</v>
      </c>
      <c r="DD45" s="194">
        <f>DD43*DD33/1000</f>
        <v>10.453241138862712</v>
      </c>
      <c r="DE45" s="196">
        <f>DA45+DB45+DC45+DD45</f>
        <v>33.445824486467856</v>
      </c>
      <c r="DG45" s="193">
        <f>DG43*DG33/1000</f>
        <v>7.7202002440130748</v>
      </c>
      <c r="DH45" s="194">
        <f>DH43*DH33/1000</f>
        <v>8.6495971334559112</v>
      </c>
      <c r="DI45" s="194">
        <f>DI43*DI33/1000</f>
        <v>7.4158823978526351</v>
      </c>
      <c r="DJ45" s="194">
        <f>DJ43*DJ33/1000</f>
        <v>10.811586320234877</v>
      </c>
      <c r="DK45" s="196">
        <f>DG45+DH45+DI45+DJ45</f>
        <v>34.597266095556492</v>
      </c>
    </row>
    <row r="46" spans="2:115" ht="15" x14ac:dyDescent="0.3">
      <c r="B46" s="5" t="s">
        <v>23</v>
      </c>
      <c r="C46" s="144" t="s">
        <v>35</v>
      </c>
      <c r="D46" s="107" t="s">
        <v>35</v>
      </c>
      <c r="E46" s="107" t="s">
        <v>35</v>
      </c>
      <c r="F46" s="145" t="s">
        <v>35</v>
      </c>
      <c r="G46" s="138" t="s">
        <v>35</v>
      </c>
      <c r="I46" s="151">
        <f>I45/C45-1</f>
        <v>0.37727020868360195</v>
      </c>
      <c r="J46" s="133">
        <f>J45/D45-1</f>
        <v>0.34292258367736106</v>
      </c>
      <c r="K46" s="133">
        <f>K45/E45-1</f>
        <v>0.20041699765409748</v>
      </c>
      <c r="L46" s="133">
        <f>L45/F45-1</f>
        <v>-0.27538685632969584</v>
      </c>
      <c r="M46" s="153">
        <f>M45/G45-1</f>
        <v>7.3699220041184121E-2</v>
      </c>
      <c r="O46" s="151">
        <f>O45/I45-1</f>
        <v>-0.19639692116462748</v>
      </c>
      <c r="P46" s="133">
        <f>P45/J45-1</f>
        <v>-0.20903189408669731</v>
      </c>
      <c r="Q46" s="133">
        <f>Q45/K45-1</f>
        <v>-0.35622390844054064</v>
      </c>
      <c r="R46" s="133">
        <f>R45/L45-1</f>
        <v>-0.23243327296343042</v>
      </c>
      <c r="S46" s="153">
        <f>S45/M45-1</f>
        <v>-0.2529508989094631</v>
      </c>
      <c r="U46" s="151">
        <f>U45/O45-1</f>
        <v>7.0220904600100553E-2</v>
      </c>
      <c r="V46" s="133">
        <f>V45/P45-1</f>
        <v>-7.101175786532532E-2</v>
      </c>
      <c r="W46" s="133">
        <f>W45/Q45-1</f>
        <v>-1.651549405204511E-2</v>
      </c>
      <c r="X46" s="133">
        <f>X45/R45-1</f>
        <v>3.6540944209418225E-2</v>
      </c>
      <c r="Y46" s="153">
        <f>Y45/S45-1</f>
        <v>2.4091491980648971E-3</v>
      </c>
      <c r="AA46" s="151">
        <f>AA45/U45-1</f>
        <v>-0.15204847532139387</v>
      </c>
      <c r="AB46" s="133">
        <f>AB45/V45-1</f>
        <v>-0.10753750207893531</v>
      </c>
      <c r="AC46" s="133">
        <f>AC45/W45-1</f>
        <v>-0.23557394875347193</v>
      </c>
      <c r="AD46" s="133">
        <f>AD45/X45-1</f>
        <v>-0.1406393708995034</v>
      </c>
      <c r="AE46" s="153">
        <f>AE45/Y45-1</f>
        <v>-0.15710440121448854</v>
      </c>
      <c r="AG46" s="151">
        <f>AG45/AA45-1</f>
        <v>-0.35871929734884656</v>
      </c>
      <c r="AH46" s="133">
        <f>AH45/AB45-1</f>
        <v>0.11101392727650383</v>
      </c>
      <c r="AI46" s="133">
        <f>AI45/AC45-1</f>
        <v>0.38371081220196146</v>
      </c>
      <c r="AJ46" s="133">
        <f>AJ45/AD45-1</f>
        <v>0.23176759793975332</v>
      </c>
      <c r="AK46" s="153">
        <f>AK45/AE45-1</f>
        <v>8.9783119005147238E-2</v>
      </c>
      <c r="AM46" s="151">
        <f>AM45/AG45-1</f>
        <v>1.1583681974044722</v>
      </c>
      <c r="AN46" s="133">
        <f>AN45/AH45-1</f>
        <v>8.8962786800201865E-2</v>
      </c>
      <c r="AO46" s="133">
        <f>AO45/AI45-1</f>
        <v>-5.8629690652942545E-2</v>
      </c>
      <c r="AP46" s="133">
        <f>AP45/AJ45-1</f>
        <v>-0.21921978999235714</v>
      </c>
      <c r="AQ46" s="153">
        <f>AQ45/AK45-1</f>
        <v>0.10198040923966123</v>
      </c>
      <c r="AS46" s="151">
        <f>AS45/AM45-1</f>
        <v>-0.25382350459542691</v>
      </c>
      <c r="AT46" s="133">
        <f>AT45/AN45-1</f>
        <v>-0.30431974941651463</v>
      </c>
      <c r="AU46" s="133">
        <f>AU45/AO45-1</f>
        <v>-0.14020864060963623</v>
      </c>
      <c r="AV46" s="133">
        <f>AV45/AP45-1</f>
        <v>-3.9797463971956604E-2</v>
      </c>
      <c r="AW46" s="153">
        <f>AW45/AQ45-1</f>
        <v>-0.19279284852782785</v>
      </c>
      <c r="AY46" s="151">
        <f>AY45/AS45-1</f>
        <v>-6.2835777524174907E-2</v>
      </c>
      <c r="AZ46" s="133">
        <f>AZ45/AT45-1</f>
        <v>0.20577760518189803</v>
      </c>
      <c r="BA46" s="133">
        <f>BA45/AU45-1</f>
        <v>9.1377914695838669E-2</v>
      </c>
      <c r="BB46" s="133">
        <f>BB45/AV45-1</f>
        <v>4.1131452986830297E-2</v>
      </c>
      <c r="BC46" s="153">
        <f>BC45/AW45-1</f>
        <v>6.4703542896759725E-2</v>
      </c>
      <c r="BE46" s="151">
        <f>BE45/AY45-1</f>
        <v>-8.7520092831257945E-2</v>
      </c>
      <c r="BF46" s="133">
        <f>BF45/AZ45-1</f>
        <v>-0.14895362740830786</v>
      </c>
      <c r="BG46" s="133">
        <f>BG45/BA45-1</f>
        <v>-0.27438036014264244</v>
      </c>
      <c r="BH46" s="133">
        <f>BH45/BB45-1</f>
        <v>8.9960188620902937E-2</v>
      </c>
      <c r="BI46" s="153">
        <f>BI45/BC45-1</f>
        <v>-0.10329139362000994</v>
      </c>
      <c r="BK46" s="151">
        <f>BK45/BE45-1</f>
        <v>0.11169808016644533</v>
      </c>
      <c r="BL46" s="133">
        <f>BL45/BF45-1</f>
        <v>0.22805511792508293</v>
      </c>
      <c r="BM46" s="133">
        <f>BM45/BG45-1</f>
        <v>0.23890276593152193</v>
      </c>
      <c r="BN46" s="133">
        <f>BN45/BH45-1</f>
        <v>0.10381727303192068</v>
      </c>
      <c r="BO46" s="153">
        <f>BO45/BI45-1</f>
        <v>0.16367805562655025</v>
      </c>
      <c r="BQ46" s="151">
        <f>BQ45/BK45-1</f>
        <v>4.6778282851013264E-2</v>
      </c>
      <c r="BR46" s="133">
        <f>BR45/BL45-1</f>
        <v>-1.68488094896172E-2</v>
      </c>
      <c r="BS46" s="133">
        <f>BS45/BM45-1</f>
        <v>2.7137035315896174E-2</v>
      </c>
      <c r="BT46" s="133">
        <f>BT45/BN45-1</f>
        <v>0.12469775474956823</v>
      </c>
      <c r="BU46" s="153">
        <f>BU45/BO45-1</f>
        <v>4.9641407217026368E-2</v>
      </c>
      <c r="BW46" s="151">
        <f>BW45/BQ45-1</f>
        <v>7.1531875267824896E-2</v>
      </c>
      <c r="BX46" s="133">
        <f>BX45/BR45-1</f>
        <v>7.0765685082328167E-2</v>
      </c>
      <c r="BY46" s="133">
        <f>BY45/BS45-1</f>
        <v>9.0883769702133188E-2</v>
      </c>
      <c r="BZ46" s="133">
        <f>BZ45/BT45-1</f>
        <v>2.6338908663127159E-2</v>
      </c>
      <c r="CA46" s="153">
        <f>CA45/BU45-1</f>
        <v>6.066759620965656E-2</v>
      </c>
      <c r="CC46" s="151">
        <f>CC45/BW45-1</f>
        <v>3.6528744715090378E-2</v>
      </c>
      <c r="CD46" s="133">
        <f>CD45/BX45-1</f>
        <v>3.6502868883121042E-2</v>
      </c>
      <c r="CE46" s="133">
        <f>CE45/BY45-1</f>
        <v>1.6638708865892582E-2</v>
      </c>
      <c r="CF46" s="133">
        <f>CF45/BZ45-1</f>
        <v>1.6084959120357567E-2</v>
      </c>
      <c r="CG46" s="153">
        <f>CG45/CA45-1</f>
        <v>2.5767387742881231E-2</v>
      </c>
      <c r="CI46" s="151">
        <f>CI45/CC45-1</f>
        <v>3.4880447864203301E-2</v>
      </c>
      <c r="CJ46" s="133">
        <f>CJ45/CD45-1</f>
        <v>3.4858517679598577E-2</v>
      </c>
      <c r="CK46" s="133">
        <f>CK45/CE45-1</f>
        <v>3.4836684629842907E-2</v>
      </c>
      <c r="CL46" s="133">
        <f>CL45/CF45-1</f>
        <v>3.4629531489730692E-2</v>
      </c>
      <c r="CM46" s="153">
        <f>CM45/CG45-1</f>
        <v>3.4787120020841167E-2</v>
      </c>
      <c r="CO46" s="151">
        <f>CO45/CI45-1</f>
        <v>3.4786114987204186E-2</v>
      </c>
      <c r="CP46" s="133">
        <f>CP45/CJ45-1</f>
        <v>3.4764601101459291E-2</v>
      </c>
      <c r="CQ46" s="133">
        <f>CQ45/CK45-1</f>
        <v>3.4743181600868311E-2</v>
      </c>
      <c r="CR46" s="133">
        <f>CR45/CL45-1</f>
        <v>3.4539907258167801E-2</v>
      </c>
      <c r="CS46" s="153">
        <f>CS45/CM45-1</f>
        <v>3.4694552461341344E-2</v>
      </c>
      <c r="CU46" s="151">
        <f>CU45/CO45-1</f>
        <v>3.4693566348257487E-2</v>
      </c>
      <c r="CV46" s="133">
        <f>CV45/CP45-1</f>
        <v>3.4672457019057079E-2</v>
      </c>
      <c r="CW46" s="133">
        <f>CW45/CQ45-1</f>
        <v>3.4651439428128761E-2</v>
      </c>
      <c r="CX46" s="133">
        <f>CX45/CR45-1</f>
        <v>3.4451935948549561E-2</v>
      </c>
      <c r="CY46" s="153">
        <f>CY45/CS45-1</f>
        <v>3.4603719522091403E-2</v>
      </c>
      <c r="DA46" s="151">
        <f>DA45/CU45-1</f>
        <v>3.4602751800256071E-2</v>
      </c>
      <c r="DB46" s="133">
        <f>DB45/CV45-1</f>
        <v>3.4582035722780624E-2</v>
      </c>
      <c r="DC46" s="133">
        <f>DC45/CW45-1</f>
        <v>3.4561408834747231E-2</v>
      </c>
      <c r="DD46" s="133">
        <f>DD45/CX45-1</f>
        <v>3.4365572251918275E-2</v>
      </c>
      <c r="DE46" s="153">
        <f>DE45/CY45-1</f>
        <v>3.4514572898201923E-2</v>
      </c>
      <c r="DG46" s="151">
        <f>DG45/DA45-1</f>
        <v>3.4513623057869536E-2</v>
      </c>
      <c r="DH46" s="133">
        <f>DH45/DB45-1</f>
        <v>3.4493289344607936E-2</v>
      </c>
      <c r="DI46" s="133">
        <f>DI45/DC45-1</f>
        <v>3.4473042365512629E-2</v>
      </c>
      <c r="DJ46" s="133">
        <f>DJ45/DD45-1</f>
        <v>3.4280772500303369E-2</v>
      </c>
      <c r="DK46" s="153">
        <f>DK45/DE45-1</f>
        <v>3.4427066061849088E-2</v>
      </c>
    </row>
    <row r="47" spans="2:115" ht="15" x14ac:dyDescent="0.3">
      <c r="B47" s="5"/>
      <c r="C47" s="144"/>
      <c r="D47" s="107"/>
      <c r="E47" s="107"/>
      <c r="F47" s="107"/>
      <c r="G47" s="138"/>
      <c r="I47" s="144"/>
      <c r="J47" s="107"/>
      <c r="K47" s="107"/>
      <c r="L47" s="107"/>
      <c r="M47" s="138"/>
      <c r="O47" s="144"/>
      <c r="P47" s="107"/>
      <c r="Q47" s="107"/>
      <c r="R47" s="107"/>
      <c r="S47" s="138"/>
      <c r="U47" s="144"/>
      <c r="V47" s="107"/>
      <c r="W47" s="107"/>
      <c r="X47" s="107"/>
      <c r="Y47" s="138"/>
      <c r="AA47" s="144"/>
      <c r="AB47" s="107"/>
      <c r="AC47" s="107"/>
      <c r="AD47" s="107"/>
      <c r="AE47" s="138"/>
      <c r="AG47" s="144"/>
      <c r="AH47" s="107"/>
      <c r="AI47" s="107"/>
      <c r="AJ47" s="107"/>
      <c r="AK47" s="138"/>
      <c r="AM47" s="144"/>
      <c r="AN47" s="107"/>
      <c r="AO47" s="107"/>
      <c r="AP47" s="107"/>
      <c r="AQ47" s="138"/>
      <c r="AS47" s="144"/>
      <c r="AT47" s="107"/>
      <c r="AU47" s="107"/>
      <c r="AV47" s="107"/>
      <c r="AW47" s="138"/>
      <c r="AY47" s="144"/>
      <c r="AZ47" s="107"/>
      <c r="BA47" s="107"/>
      <c r="BB47" s="107"/>
      <c r="BC47" s="138"/>
      <c r="BE47" s="144"/>
      <c r="BF47" s="107"/>
      <c r="BG47" s="107"/>
      <c r="BH47" s="107"/>
      <c r="BI47" s="138"/>
      <c r="BK47" s="144"/>
      <c r="BL47" s="107"/>
      <c r="BM47" s="107"/>
      <c r="BN47" s="107"/>
      <c r="BO47" s="138"/>
      <c r="BQ47" s="144"/>
      <c r="BR47" s="107"/>
      <c r="BS47" s="107"/>
      <c r="BT47" s="145"/>
      <c r="BU47" s="145"/>
      <c r="BW47" s="144"/>
      <c r="BX47" s="107"/>
      <c r="BY47" s="107"/>
      <c r="BZ47" s="145"/>
      <c r="CA47" s="145"/>
      <c r="CC47" s="144"/>
      <c r="CD47" s="107"/>
      <c r="CE47" s="107"/>
      <c r="CF47" s="145"/>
      <c r="CG47" s="145"/>
      <c r="CI47" s="144"/>
      <c r="CJ47" s="107"/>
      <c r="CK47" s="107"/>
      <c r="CL47" s="145"/>
      <c r="CM47" s="145"/>
      <c r="CO47" s="144"/>
      <c r="CP47" s="107"/>
      <c r="CQ47" s="107"/>
      <c r="CR47" s="145"/>
      <c r="CS47" s="145"/>
      <c r="CU47" s="144"/>
      <c r="CV47" s="107"/>
      <c r="CW47" s="107"/>
      <c r="CX47" s="145"/>
      <c r="CY47" s="145"/>
      <c r="DA47" s="144"/>
      <c r="DB47" s="107"/>
      <c r="DC47" s="107"/>
      <c r="DD47" s="145"/>
      <c r="DE47" s="145"/>
      <c r="DG47" s="144"/>
      <c r="DH47" s="107"/>
      <c r="DI47" s="107"/>
      <c r="DJ47" s="145"/>
      <c r="DK47" s="145"/>
    </row>
    <row r="48" spans="2:115" ht="15" x14ac:dyDescent="0.3">
      <c r="B48" s="105" t="s">
        <v>53</v>
      </c>
      <c r="C48" s="203">
        <f>C40-C54-C45</f>
        <v>131.32221799999999</v>
      </c>
      <c r="D48" s="204">
        <f>D40-D54-D45</f>
        <v>145.8434795</v>
      </c>
      <c r="E48" s="204">
        <f>E40-E54-E45</f>
        <v>158.399472</v>
      </c>
      <c r="F48" s="204">
        <f>F40-F54-F45</f>
        <v>187.42125099999998</v>
      </c>
      <c r="G48" s="213">
        <f>C48+D48+E48+F48</f>
        <v>622.98642049999989</v>
      </c>
      <c r="H48" s="197"/>
      <c r="I48" s="203">
        <f>I40-I54-I45</f>
        <v>145.18016</v>
      </c>
      <c r="J48" s="204">
        <f>J40-J54-J45</f>
        <v>164.38934699999999</v>
      </c>
      <c r="K48" s="204">
        <f>K40-K54-K45</f>
        <v>171.67578</v>
      </c>
      <c r="L48" s="204">
        <f>L40-L54-L45</f>
        <v>176.16066000000001</v>
      </c>
      <c r="M48" s="213">
        <f>I48+J48+K48+L48</f>
        <v>657.40594699999997</v>
      </c>
      <c r="N48" s="197"/>
      <c r="O48" s="203">
        <f>O40-O54-O45</f>
        <v>141.71595250000001</v>
      </c>
      <c r="P48" s="204">
        <f>P40-P54-P45</f>
        <v>121.39828</v>
      </c>
      <c r="Q48" s="204">
        <f>Q40-Q54-Q45</f>
        <v>141.35351399999999</v>
      </c>
      <c r="R48" s="204">
        <f>R40-R54-R45</f>
        <v>144.44765000000001</v>
      </c>
      <c r="S48" s="213">
        <f>O48+P48+Q48+R48</f>
        <v>548.91539650000004</v>
      </c>
      <c r="T48" s="114"/>
      <c r="U48" s="203">
        <f>U40-U54-U45</f>
        <v>137.27468099999999</v>
      </c>
      <c r="V48" s="204">
        <f>V40-V54-V45</f>
        <v>144.93809150000001</v>
      </c>
      <c r="W48" s="204">
        <f>W40-W54-W45</f>
        <v>146.46328399999999</v>
      </c>
      <c r="X48" s="204">
        <f>X40-X54-X45</f>
        <v>149.17168000000001</v>
      </c>
      <c r="Y48" s="213">
        <f>U48+V48+W48+X48</f>
        <v>577.8477365</v>
      </c>
      <c r="AA48" s="203">
        <f>AA40-AA54-AA45</f>
        <v>126.29725550000001</v>
      </c>
      <c r="AB48" s="204">
        <f>AB40-AB54-AB45</f>
        <v>136.69751149999999</v>
      </c>
      <c r="AC48" s="204">
        <f>AC40-AC54-AC45</f>
        <v>151.003164</v>
      </c>
      <c r="AD48" s="204">
        <f>AD40-AD54-AD45</f>
        <v>145.27265</v>
      </c>
      <c r="AE48" s="213">
        <f>AA48+AB48+AC48+AD48</f>
        <v>559.27058099999999</v>
      </c>
      <c r="AG48" s="203">
        <f>AG40-AG54-AG45</f>
        <v>128.34294</v>
      </c>
      <c r="AH48" s="204">
        <f>AH40-AH54-AH45</f>
        <v>135.99784750000001</v>
      </c>
      <c r="AI48" s="204">
        <f>AI40-AI54-AI45</f>
        <v>130.085824</v>
      </c>
      <c r="AJ48" s="204">
        <f>AJ40-AJ54-AJ45</f>
        <v>137.71346825000001</v>
      </c>
      <c r="AK48" s="213">
        <f>AG48+AH48+AI48+AJ48</f>
        <v>532.14007975000004</v>
      </c>
      <c r="AM48" s="203">
        <f>AM40-AM54-AM45</f>
        <v>121.106718</v>
      </c>
      <c r="AN48" s="204">
        <f>AN40-AN54-AN45</f>
        <v>130.37491650000001</v>
      </c>
      <c r="AO48" s="204">
        <f>AO40-AO54-AO45</f>
        <v>133.49119999999999</v>
      </c>
      <c r="AP48" s="204">
        <f>AP40-AP54-AP45</f>
        <v>134.53003999999999</v>
      </c>
      <c r="AQ48" s="213">
        <f>AM48+AN48+AO48+AP48</f>
        <v>519.50287449999996</v>
      </c>
      <c r="AS48" s="203">
        <f>AS40-AS54-AS45</f>
        <v>116.1102185</v>
      </c>
      <c r="AT48" s="204">
        <f>AT40-AT54-AT45</f>
        <v>120.69538</v>
      </c>
      <c r="AU48" s="204">
        <f>AU40-AU54-AU45</f>
        <v>112.40379</v>
      </c>
      <c r="AV48" s="204">
        <f>AV40-AV54-AV45</f>
        <v>127.78752799999999</v>
      </c>
      <c r="AW48" s="213">
        <f>AS48+AT48+AU48+AV48</f>
        <v>476.9969165</v>
      </c>
      <c r="AY48" s="203">
        <f>AY40-AY54-AY45</f>
        <v>131.48030750000001</v>
      </c>
      <c r="AZ48" s="204">
        <f>AZ40-AZ54-AZ45</f>
        <v>128.60380799999999</v>
      </c>
      <c r="BA48" s="204">
        <f>BA40-BA54-BA45</f>
        <v>135.89241999999999</v>
      </c>
      <c r="BB48" s="204">
        <f>BB40-BB54-BB45</f>
        <v>147.53200000000001</v>
      </c>
      <c r="BC48" s="213">
        <f>AY48+AZ48+BA48+BB48</f>
        <v>543.50853549999999</v>
      </c>
      <c r="BE48" s="203">
        <f>BE40-BE54-BE45</f>
        <v>124.9633915</v>
      </c>
      <c r="BF48" s="204">
        <f>BF40-BF54-BF45</f>
        <v>127.556544</v>
      </c>
      <c r="BG48" s="204">
        <f>BG40-BG54-BG45</f>
        <v>131.56822</v>
      </c>
      <c r="BH48" s="204">
        <f>BH40-BH54-BH45</f>
        <v>154.95013750000001</v>
      </c>
      <c r="BI48" s="213">
        <f>BE48+BF48+BG48+BH48</f>
        <v>539.03829299999995</v>
      </c>
      <c r="BK48" s="203">
        <f>BK40-BK54-BK45</f>
        <v>131.400812</v>
      </c>
      <c r="BL48" s="204">
        <f>BL40-BL54-BL45</f>
        <v>141.315136</v>
      </c>
      <c r="BM48" s="204">
        <f>BM40-BM54-BM45</f>
        <v>148.5094555</v>
      </c>
      <c r="BN48" s="204">
        <f>BN40-BN54-BN45</f>
        <v>158.21824000000001</v>
      </c>
      <c r="BO48" s="213">
        <f>BK48+BL48+BM48+BN48</f>
        <v>579.44364350000001</v>
      </c>
      <c r="BQ48" s="203">
        <f>BQ51*BQ40</f>
        <v>128.64518367385716</v>
      </c>
      <c r="BR48" s="204">
        <f>BR51*BR40</f>
        <v>139.6293882488678</v>
      </c>
      <c r="BS48" s="204">
        <f>BS51*BS40</f>
        <v>145.40776948994258</v>
      </c>
      <c r="BT48" s="204">
        <f>BT51*BT40</f>
        <v>155.73692105932199</v>
      </c>
      <c r="BU48" s="213">
        <f>BQ48+BR48+BS48+BT48</f>
        <v>569.41926247198944</v>
      </c>
      <c r="BW48" s="203">
        <f>BW51*BW40</f>
        <v>130.97346418060047</v>
      </c>
      <c r="BX48" s="204">
        <f>BX51*BX40</f>
        <v>142.00906892778576</v>
      </c>
      <c r="BY48" s="204">
        <f>BY51*BY40</f>
        <v>148.68942309258199</v>
      </c>
      <c r="BZ48" s="204">
        <f>BZ51*BZ40</f>
        <v>158.81238869555096</v>
      </c>
      <c r="CA48" s="213">
        <f>BW48+BX48+BY48+BZ48</f>
        <v>580.48434489651913</v>
      </c>
      <c r="CC48" s="203">
        <f>CC51*CC40</f>
        <v>134.09556778736999</v>
      </c>
      <c r="CD48" s="204">
        <f>CD51*CD40</f>
        <v>145.56118192686398</v>
      </c>
      <c r="CE48" s="204">
        <f>CE51*CE40</f>
        <v>151.82351998067685</v>
      </c>
      <c r="CF48" s="204">
        <f>CF51*CF40</f>
        <v>162.11835110015684</v>
      </c>
      <c r="CG48" s="213">
        <f>CC48+CD48+CE48+CF48</f>
        <v>593.59862079506763</v>
      </c>
      <c r="CI48" s="203">
        <f>CI51*CI40</f>
        <v>136.88705883640719</v>
      </c>
      <c r="CJ48" s="204">
        <f>CJ51*CJ40</f>
        <v>148.52257027062552</v>
      </c>
      <c r="CK48" s="204">
        <f>CK51*CK40</f>
        <v>154.8949025225815</v>
      </c>
      <c r="CL48" s="204">
        <f>CL51*CL40</f>
        <v>165.45067556466773</v>
      </c>
      <c r="CM48" s="213">
        <f>CI48+CJ48+CK48+CL48</f>
        <v>605.75520719428198</v>
      </c>
      <c r="CO48" s="203">
        <f>CO51*CO40</f>
        <v>139.21417696820291</v>
      </c>
      <c r="CP48" s="204">
        <f>CP51*CP40</f>
        <v>150.98587541530665</v>
      </c>
      <c r="CQ48" s="204">
        <f>CQ51*CQ40</f>
        <v>157.45463294423158</v>
      </c>
      <c r="CR48" s="204">
        <f>CR51*CR40</f>
        <v>168.27249051017961</v>
      </c>
      <c r="CS48" s="213">
        <f>CO48+CP48+CQ48+CR48</f>
        <v>615.9271758379208</v>
      </c>
      <c r="CU48" s="203">
        <f>CU51*CU40</f>
        <v>141.62888492722959</v>
      </c>
      <c r="CV48" s="204">
        <f>CV51*CV40</f>
        <v>153.54284352266836</v>
      </c>
      <c r="CW48" s="204">
        <f>CW51*CW40</f>
        <v>160.11109778079819</v>
      </c>
      <c r="CX48" s="204">
        <f>CX51*CX40</f>
        <v>171.19583613585561</v>
      </c>
      <c r="CY48" s="213">
        <f>CU48+CV48+CW48+CX48</f>
        <v>626.47866236655182</v>
      </c>
      <c r="DA48" s="203">
        <f>DA51*DA40</f>
        <v>143.47468718783765</v>
      </c>
      <c r="DB48" s="204">
        <f>DB51*DB40</f>
        <v>155.50762931212807</v>
      </c>
      <c r="DC48" s="204">
        <f>DC51*DC40</f>
        <v>162.17066392372325</v>
      </c>
      <c r="DD48" s="204">
        <f>DD51*DD40</f>
        <v>173.48671919122737</v>
      </c>
      <c r="DE48" s="213">
        <f>DA48+DB48+DC48+DD48</f>
        <v>634.63969961491637</v>
      </c>
      <c r="DG48" s="203">
        <f>DG51*DG40</f>
        <v>145.39514659396357</v>
      </c>
      <c r="DH48" s="204">
        <f>DH51*DH40</f>
        <v>157.55294324797768</v>
      </c>
      <c r="DI48" s="204">
        <f>DI51*DI40</f>
        <v>164.31363386329284</v>
      </c>
      <c r="DJ48" s="204">
        <f>DJ51*DJ40</f>
        <v>175.86415285992504</v>
      </c>
      <c r="DK48" s="213">
        <f>DG48+DH48+DI48+DJ48</f>
        <v>643.12587656515916</v>
      </c>
    </row>
    <row r="49" spans="2:115" ht="15" x14ac:dyDescent="0.3">
      <c r="B49" s="40" t="s">
        <v>23</v>
      </c>
      <c r="C49" s="144" t="s">
        <v>35</v>
      </c>
      <c r="D49" s="107" t="s">
        <v>35</v>
      </c>
      <c r="E49" s="107" t="s">
        <v>35</v>
      </c>
      <c r="F49" s="145" t="s">
        <v>35</v>
      </c>
      <c r="G49" s="138" t="s">
        <v>35</v>
      </c>
      <c r="I49" s="151">
        <f>I48/C48-1</f>
        <v>0.10552625603688792</v>
      </c>
      <c r="J49" s="133">
        <f>J48/D48-1</f>
        <v>0.12716281566773779</v>
      </c>
      <c r="K49" s="133">
        <f>K48/E48-1</f>
        <v>8.3815355142092818E-2</v>
      </c>
      <c r="L49" s="133">
        <f>L48/F48-1</f>
        <v>-6.0081719335018047E-2</v>
      </c>
      <c r="M49" s="153">
        <f>M48/G48-1</f>
        <v>5.5249240380513376E-2</v>
      </c>
      <c r="O49" s="151">
        <f>O48/I48-1</f>
        <v>-2.386143878061564E-2</v>
      </c>
      <c r="P49" s="133">
        <f>P48/J48-1</f>
        <v>-0.26151978692390565</v>
      </c>
      <c r="Q49" s="133">
        <f>Q48/K48-1</f>
        <v>-0.17662518265535188</v>
      </c>
      <c r="R49" s="133">
        <f>R48/L48-1</f>
        <v>-0.1800232242544958</v>
      </c>
      <c r="S49" s="153">
        <f>S48/M48-1</f>
        <v>-0.16502824623824086</v>
      </c>
      <c r="U49" s="151">
        <f>U48/O48-1</f>
        <v>-3.1339248840034584E-2</v>
      </c>
      <c r="V49" s="133">
        <f>V48/P48-1</f>
        <v>0.19390564264996191</v>
      </c>
      <c r="W49" s="133">
        <f>W48/Q48-1</f>
        <v>3.6148871403366645E-2</v>
      </c>
      <c r="X49" s="133">
        <f>X48/R48-1</f>
        <v>3.2704097297532986E-2</v>
      </c>
      <c r="Y49" s="153">
        <f>Y48/S48-1</f>
        <v>5.2708195442282335E-2</v>
      </c>
      <c r="AA49" s="151">
        <f>AA48/U48-1</f>
        <v>-7.9966862206731215E-2</v>
      </c>
      <c r="AB49" s="133">
        <f>AB48/V48-1</f>
        <v>-5.6855861110880035E-2</v>
      </c>
      <c r="AC49" s="133">
        <f>AC48/W48-1</f>
        <v>3.0996710411054451E-2</v>
      </c>
      <c r="AD49" s="133">
        <f>AD48/X48-1</f>
        <v>-2.6137870137280861E-2</v>
      </c>
      <c r="AE49" s="153">
        <f>AE48/Y48-1</f>
        <v>-3.2148876471371324E-2</v>
      </c>
      <c r="AG49" s="151">
        <f>AG48/AA48-1</f>
        <v>1.619737888920314E-2</v>
      </c>
      <c r="AH49" s="133">
        <f>AH48/AB48-1</f>
        <v>-5.1183375053611702E-3</v>
      </c>
      <c r="AI49" s="133">
        <f>AI48/AC48-1</f>
        <v>-0.1385225279120641</v>
      </c>
      <c r="AJ49" s="133">
        <f>AJ48/AD48-1</f>
        <v>-5.20344452310878E-2</v>
      </c>
      <c r="AK49" s="153">
        <f>AK48/AE48-1</f>
        <v>-4.8510510246202232E-2</v>
      </c>
      <c r="AM49" s="151">
        <f>AM48/AG48-1</f>
        <v>-5.6381924864741251E-2</v>
      </c>
      <c r="AN49" s="133">
        <f>AN48/AH48-1</f>
        <v>-4.134573526981733E-2</v>
      </c>
      <c r="AO49" s="133">
        <f>AO48/AI48-1</f>
        <v>2.617791774144429E-2</v>
      </c>
      <c r="AP49" s="133">
        <f>AP48/AJ48-1</f>
        <v>-2.311631745575482E-2</v>
      </c>
      <c r="AQ49" s="153">
        <f>AQ48/AK48-1</f>
        <v>-2.3747892201498977E-2</v>
      </c>
      <c r="AS49" s="151">
        <f>AS48/AM48-1</f>
        <v>-4.1256996990043149E-2</v>
      </c>
      <c r="AT49" s="133">
        <f>AT48/AN48-1</f>
        <v>-7.424385579568149E-2</v>
      </c>
      <c r="AU49" s="133">
        <f>AU48/AO48-1</f>
        <v>-0.15796854024834595</v>
      </c>
      <c r="AV49" s="133">
        <f>AV48/AP48-1</f>
        <v>-5.0119006877571648E-2</v>
      </c>
      <c r="AW49" s="153">
        <f>AW48/AQ48-1</f>
        <v>-8.1820448136904367E-2</v>
      </c>
      <c r="AY49" s="151">
        <f>AY48/AS48-1</f>
        <v>0.13237498988945573</v>
      </c>
      <c r="AZ49" s="133">
        <f>AZ48/AT48-1</f>
        <v>6.5523866779324758E-2</v>
      </c>
      <c r="BA49" s="133">
        <f>BA48/AU48-1</f>
        <v>0.20896653039901936</v>
      </c>
      <c r="BB49" s="133">
        <f>BB48/AV48-1</f>
        <v>0.15451016471654433</v>
      </c>
      <c r="BC49" s="153">
        <f>BC48/AW48-1</f>
        <v>0.13943825777330776</v>
      </c>
      <c r="BE49" s="151">
        <f>BE48/AY48-1</f>
        <v>-4.9565719185742041E-2</v>
      </c>
      <c r="BF49" s="133">
        <f>BF48/AZ48-1</f>
        <v>-8.1433358489663155E-3</v>
      </c>
      <c r="BG49" s="133">
        <f>BG48/BA48-1</f>
        <v>-3.1820759391877673E-2</v>
      </c>
      <c r="BH49" s="133">
        <f>BH48/BB48-1</f>
        <v>5.0281549087655586E-2</v>
      </c>
      <c r="BI49" s="153">
        <f>BI48/BC48-1</f>
        <v>-8.2247880355506009E-3</v>
      </c>
      <c r="BK49" s="151">
        <f>BK48/BE48-1</f>
        <v>5.1514450934216249E-2</v>
      </c>
      <c r="BL49" s="133">
        <f>BL48/BF48-1</f>
        <v>0.10786269029051132</v>
      </c>
      <c r="BM49" s="133">
        <f>BM48/BG48-1</f>
        <v>0.12876388766223346</v>
      </c>
      <c r="BN49" s="133">
        <f>BN48/BH48-1</f>
        <v>2.1091317198734361E-2</v>
      </c>
      <c r="BO49" s="153">
        <f>BO48/BI48-1</f>
        <v>7.4958219155684569E-2</v>
      </c>
      <c r="BQ49" s="151">
        <f>BQ48/BK48-1</f>
        <v>-2.0971166648063311E-2</v>
      </c>
      <c r="BR49" s="133">
        <f>BR48/BL48-1</f>
        <v>-1.1928996417851501E-2</v>
      </c>
      <c r="BS49" s="133">
        <f>BS48/BM48-1</f>
        <v>-2.0885444631216887E-2</v>
      </c>
      <c r="BT49" s="152">
        <f>BT48/BN48-1</f>
        <v>-1.5682888020230878E-2</v>
      </c>
      <c r="BU49" s="152">
        <f>BU48/BO48-1</f>
        <v>-1.7300010346926076E-2</v>
      </c>
      <c r="BW49" s="151">
        <f>BW48/BQ48-1</f>
        <v>1.8098466186235118E-2</v>
      </c>
      <c r="BX49" s="133">
        <f>BX48/BR48-1</f>
        <v>1.7042835385603361E-2</v>
      </c>
      <c r="BY49" s="133">
        <f>BY48/BS48-1</f>
        <v>2.2568626244324541E-2</v>
      </c>
      <c r="BZ49" s="152">
        <f>BZ48/BT48-1</f>
        <v>1.9747838953728225E-2</v>
      </c>
      <c r="CA49" s="152">
        <f>CA48/BU48-1</f>
        <v>1.9432223589510134E-2</v>
      </c>
      <c r="CC49" s="151">
        <f>CC48/BW48-1</f>
        <v>2.3837680604251288E-2</v>
      </c>
      <c r="CD49" s="133">
        <f>CD48/BX48-1</f>
        <v>2.5013282784668744E-2</v>
      </c>
      <c r="CE49" s="133">
        <f>CE48/BY48-1</f>
        <v>2.1078142768389041E-2</v>
      </c>
      <c r="CF49" s="152">
        <f>CF48/BZ48-1</f>
        <v>2.0816779041989752E-2</v>
      </c>
      <c r="CG49" s="152">
        <f>CG48/CA48-1</f>
        <v>2.259195448395146E-2</v>
      </c>
      <c r="CI49" s="151">
        <f>CI48/CC48-1</f>
        <v>2.0817176101327606E-2</v>
      </c>
      <c r="CJ49" s="133">
        <f>CJ48/CD48-1</f>
        <v>2.0344629691516625E-2</v>
      </c>
      <c r="CK49" s="133">
        <f>CK48/CE48-1</f>
        <v>2.0229952133210771E-2</v>
      </c>
      <c r="CL49" s="152">
        <f>CL48/CF48-1</f>
        <v>2.0554887475090267E-2</v>
      </c>
      <c r="CM49" s="152">
        <f>CM48/CG48-1</f>
        <v>2.0479472110180641E-2</v>
      </c>
      <c r="CO49" s="151">
        <f>CO48/CI48-1</f>
        <v>1.700027856232067E-2</v>
      </c>
      <c r="CP49" s="133">
        <f>CP48/CJ48-1</f>
        <v>1.6585392645661168E-2</v>
      </c>
      <c r="CQ49" s="133">
        <f>CQ48/CK48-1</f>
        <v>1.652559496770345E-2</v>
      </c>
      <c r="CR49" s="152">
        <f>CR48/CL48-1</f>
        <v>1.7055324409412487E-2</v>
      </c>
      <c r="CS49" s="152">
        <f>CS48/CM48-1</f>
        <v>1.6792209993130802E-2</v>
      </c>
      <c r="CU49" s="151">
        <f>CU48/CO48-1</f>
        <v>1.7345273388199578E-2</v>
      </c>
      <c r="CV49" s="133">
        <f>CV48/CP48-1</f>
        <v>1.6935147743644352E-2</v>
      </c>
      <c r="CW49" s="133">
        <f>CW48/CQ48-1</f>
        <v>1.6871303097873991E-2</v>
      </c>
      <c r="CX49" s="152">
        <f>CX48/CR48-1</f>
        <v>1.7372688885823218E-2</v>
      </c>
      <c r="CY49" s="152">
        <f>CY48/CS48-1</f>
        <v>1.7131061824438243E-2</v>
      </c>
      <c r="DA49" s="151">
        <f>DA48/CU48-1</f>
        <v>1.3032668170454453E-2</v>
      </c>
      <c r="DB49" s="133">
        <f>DB48/CV48-1</f>
        <v>1.2796335826421146E-2</v>
      </c>
      <c r="DC49" s="133">
        <f>DC48/CW48-1</f>
        <v>1.2863356578472374E-2</v>
      </c>
      <c r="DD49" s="152">
        <f>DD48/CX48-1</f>
        <v>1.3381651721679599E-2</v>
      </c>
      <c r="DE49" s="152">
        <f>DE48/CY48-1</f>
        <v>1.3026839920670108E-2</v>
      </c>
      <c r="DG49" s="151">
        <f>DG48/DA48-1</f>
        <v>1.3385353498709174E-2</v>
      </c>
      <c r="DH49" s="133">
        <f>DH48/DB48-1</f>
        <v>1.3152498979611682E-2</v>
      </c>
      <c r="DI49" s="133">
        <f>DI48/DC48-1</f>
        <v>1.3214288501510518E-2</v>
      </c>
      <c r="DJ49" s="152">
        <f>DJ48/DD48-1</f>
        <v>1.3703836695863281E-2</v>
      </c>
      <c r="DK49" s="152">
        <f>DK48/DE48-1</f>
        <v>1.3371645290062961E-2</v>
      </c>
    </row>
    <row r="50" spans="2:115" ht="15" x14ac:dyDescent="0.3">
      <c r="B50" s="105"/>
      <c r="C50" s="203"/>
      <c r="D50" s="204"/>
      <c r="E50" s="204"/>
      <c r="F50" s="204"/>
      <c r="G50" s="213"/>
      <c r="H50" s="197"/>
      <c r="I50" s="203"/>
      <c r="J50" s="204"/>
      <c r="K50" s="204"/>
      <c r="L50" s="204"/>
      <c r="M50" s="213"/>
      <c r="N50" s="197"/>
      <c r="O50" s="203"/>
      <c r="P50" s="204"/>
      <c r="Q50" s="204"/>
      <c r="R50" s="204"/>
      <c r="S50" s="213"/>
      <c r="T50" s="114"/>
      <c r="U50" s="203"/>
      <c r="V50" s="204"/>
      <c r="W50" s="204"/>
      <c r="X50" s="204"/>
      <c r="Y50" s="213"/>
      <c r="AA50" s="203"/>
      <c r="AB50" s="204"/>
      <c r="AC50" s="204"/>
      <c r="AD50" s="204"/>
      <c r="AE50" s="213"/>
      <c r="AG50" s="203"/>
      <c r="AH50" s="204"/>
      <c r="AI50" s="204"/>
      <c r="AJ50" s="204"/>
      <c r="AK50" s="213"/>
      <c r="AM50" s="203"/>
      <c r="AN50" s="204"/>
      <c r="AO50" s="204"/>
      <c r="AP50" s="204"/>
      <c r="AQ50" s="213"/>
      <c r="AS50" s="203"/>
      <c r="AT50" s="204"/>
      <c r="AU50" s="204"/>
      <c r="AV50" s="204"/>
      <c r="AW50" s="213"/>
      <c r="AY50" s="203"/>
      <c r="AZ50" s="204"/>
      <c r="BA50" s="204"/>
      <c r="BB50" s="204"/>
      <c r="BC50" s="213"/>
      <c r="BE50" s="203"/>
      <c r="BF50" s="204"/>
      <c r="BG50" s="204"/>
      <c r="BH50" s="204"/>
      <c r="BI50" s="213"/>
      <c r="BK50" s="203"/>
      <c r="BL50" s="204"/>
      <c r="BM50" s="204"/>
      <c r="BN50" s="204"/>
      <c r="BO50" s="213"/>
      <c r="BQ50" s="203"/>
      <c r="BR50" s="204"/>
      <c r="BS50" s="204"/>
      <c r="BT50" s="204"/>
      <c r="BU50" s="213"/>
      <c r="BW50" s="203"/>
      <c r="BX50" s="204"/>
      <c r="BY50" s="204"/>
      <c r="BZ50" s="204"/>
      <c r="CA50" s="213"/>
      <c r="CC50" s="203"/>
      <c r="CD50" s="204"/>
      <c r="CE50" s="204"/>
      <c r="CF50" s="204"/>
      <c r="CG50" s="213"/>
      <c r="CI50" s="203"/>
      <c r="CJ50" s="204"/>
      <c r="CK50" s="204"/>
      <c r="CL50" s="204"/>
      <c r="CM50" s="213"/>
      <c r="CO50" s="203"/>
      <c r="CP50" s="204"/>
      <c r="CQ50" s="204"/>
      <c r="CR50" s="204"/>
      <c r="CS50" s="213"/>
      <c r="CU50" s="203"/>
      <c r="CV50" s="204"/>
      <c r="CW50" s="204"/>
      <c r="CX50" s="204"/>
      <c r="CY50" s="213"/>
      <c r="DA50" s="203"/>
      <c r="DB50" s="204"/>
      <c r="DC50" s="204"/>
      <c r="DD50" s="204"/>
      <c r="DE50" s="213"/>
      <c r="DG50" s="203"/>
      <c r="DH50" s="204"/>
      <c r="DI50" s="204"/>
      <c r="DJ50" s="204"/>
      <c r="DK50" s="213"/>
    </row>
    <row r="51" spans="2:115" ht="15" x14ac:dyDescent="0.3">
      <c r="B51" s="5" t="s">
        <v>54</v>
      </c>
      <c r="C51" s="151">
        <f>C48/C40</f>
        <v>0.49555553962264148</v>
      </c>
      <c r="D51" s="133">
        <f>D48/D40</f>
        <v>0.51717545921985819</v>
      </c>
      <c r="E51" s="133">
        <f>E48/E40</f>
        <v>0.5297641204013378</v>
      </c>
      <c r="F51" s="133">
        <f>F48/F40</f>
        <v>0.57668077230769221</v>
      </c>
      <c r="G51" s="153">
        <f>G48/G40</f>
        <v>0.53201231468830046</v>
      </c>
      <c r="I51" s="151">
        <f>I48/I40</f>
        <v>0.46681723472668812</v>
      </c>
      <c r="J51" s="133">
        <f>J48/J40</f>
        <v>0.49514863554216865</v>
      </c>
      <c r="K51" s="133">
        <f>K48/K40</f>
        <v>0.48088453781512608</v>
      </c>
      <c r="L51" s="133">
        <f>L48/L40</f>
        <v>0.53544273556231003</v>
      </c>
      <c r="M51" s="153">
        <f>M48/M40</f>
        <v>0.49466211211437167</v>
      </c>
      <c r="O51" s="151">
        <f>O48/O40</f>
        <v>0.51533073636363647</v>
      </c>
      <c r="P51" s="133">
        <f>P48/P40</f>
        <v>0.39160735483870968</v>
      </c>
      <c r="Q51" s="133">
        <f>Q48/Q40</f>
        <v>0.45160867092651752</v>
      </c>
      <c r="R51" s="133">
        <f>R48/R40</f>
        <v>0.49299539249146762</v>
      </c>
      <c r="S51" s="153">
        <f>S48/S40</f>
        <v>0.46088614315701093</v>
      </c>
      <c r="U51" s="151">
        <f>U48/U40</f>
        <v>0.4920239462365591</v>
      </c>
      <c r="V51" s="133">
        <f>V48/V40</f>
        <v>0.4980690429553265</v>
      </c>
      <c r="W51" s="133">
        <f>W48/W40</f>
        <v>0.49480839189189185</v>
      </c>
      <c r="X51" s="133">
        <f>X48/X40</f>
        <v>0.51261745704467354</v>
      </c>
      <c r="Y51" s="153">
        <f>Y48/Y40</f>
        <v>0.49943624589455488</v>
      </c>
      <c r="AA51" s="151">
        <f>AA48/AA40</f>
        <v>0.47125841604477614</v>
      </c>
      <c r="AB51" s="133">
        <f>AB48/AB40</f>
        <v>0.48474294858156025</v>
      </c>
      <c r="AC51" s="133">
        <f>AC48/AC40</f>
        <v>0.55515869117647054</v>
      </c>
      <c r="AD51" s="133">
        <f>AD48/AD40</f>
        <v>0.53804685185185186</v>
      </c>
      <c r="AE51" s="153">
        <f>AE48/AE40</f>
        <v>0.51215254670329668</v>
      </c>
      <c r="AG51" s="151">
        <f>AG48/AG40</f>
        <v>0.50330564705882352</v>
      </c>
      <c r="AH51" s="133">
        <f>AH48/AH40</f>
        <v>0.52508821428571428</v>
      </c>
      <c r="AI51" s="133">
        <f>AI48/AI40</f>
        <v>0.47650484981684982</v>
      </c>
      <c r="AJ51" s="133">
        <f>AJ48/AJ40</f>
        <v>0.53585007101167315</v>
      </c>
      <c r="AK51" s="153">
        <f>AK48/AK40</f>
        <v>0.50971272006704982</v>
      </c>
      <c r="AM51" s="151">
        <f>AM48/AM40</f>
        <v>0.508851756302521</v>
      </c>
      <c r="AN51" s="133">
        <f>AN48/AN40</f>
        <v>0.52359404216867478</v>
      </c>
      <c r="AO51" s="133">
        <f>AO48/AO40</f>
        <v>0.55161652892561985</v>
      </c>
      <c r="AP51" s="133">
        <f>AP48/AP40</f>
        <v>0.55135262295081966</v>
      </c>
      <c r="AQ51" s="153">
        <f>AQ48/AQ40</f>
        <v>0.53391867882836586</v>
      </c>
      <c r="AS51" s="151">
        <f>AS48/AS40</f>
        <v>0.54257111448598128</v>
      </c>
      <c r="AT51" s="133">
        <f>AT48/AT40</f>
        <v>0.55619990783410134</v>
      </c>
      <c r="AU51" s="133">
        <f>AU48/AU40</f>
        <v>0.53271938388625595</v>
      </c>
      <c r="AV51" s="133">
        <f>AV48/AV40</f>
        <v>0.58085239999999994</v>
      </c>
      <c r="AW51" s="153">
        <f>AW48/AW40</f>
        <v>0.55336069199535964</v>
      </c>
      <c r="AY51" s="151">
        <f>AY48/AY40</f>
        <v>0.5817712721238939</v>
      </c>
      <c r="AZ51" s="133">
        <f>AZ48/AZ40</f>
        <v>0.55672644155844153</v>
      </c>
      <c r="BA51" s="133">
        <f>BA48/BA40</f>
        <v>0.56153892561983465</v>
      </c>
      <c r="BB51" s="133">
        <f>BB48/BB40</f>
        <v>0.56962162162162167</v>
      </c>
      <c r="BC51" s="153">
        <f>BC48/BC40</f>
        <v>0.56733667588726511</v>
      </c>
      <c r="BE51" s="151">
        <f>BE48/BE40</f>
        <v>0.54569166593886465</v>
      </c>
      <c r="BF51" s="133">
        <f>BF48/BF40</f>
        <v>0.54745297854077257</v>
      </c>
      <c r="BG51" s="133">
        <f>BG48/BG40</f>
        <v>0.55049464435146445</v>
      </c>
      <c r="BH51" s="133">
        <f>BH48/BH40</f>
        <v>0.60058192829457369</v>
      </c>
      <c r="BI51" s="153">
        <f>BI48/BI40</f>
        <v>0.56208372575599574</v>
      </c>
      <c r="BK51" s="151">
        <f>BK48/BK40</f>
        <v>0.55443380590717295</v>
      </c>
      <c r="BL51" s="133">
        <f>BL48/BL40</f>
        <v>0.56981909677419351</v>
      </c>
      <c r="BM51" s="133">
        <f>BM48/BM40</f>
        <v>0.5823900215686274</v>
      </c>
      <c r="BN51" s="133">
        <f>BN48/BN40</f>
        <v>0.5838311439114392</v>
      </c>
      <c r="BO51" s="153">
        <f>BO48/BO40</f>
        <v>0.57313911325420375</v>
      </c>
      <c r="BQ51" s="214">
        <f>BK51+BQ52</f>
        <v>0.53443380590717293</v>
      </c>
      <c r="BR51" s="215">
        <f>BL51+BR52</f>
        <v>0.5548190967741935</v>
      </c>
      <c r="BS51" s="215">
        <f>BM51+BS52</f>
        <v>0.57239002156862739</v>
      </c>
      <c r="BT51" s="215">
        <f>BN51+BT52</f>
        <v>0.57883114391143919</v>
      </c>
      <c r="BU51" s="153">
        <f>BU48/BU40</f>
        <v>0.56074461589341595</v>
      </c>
      <c r="BW51" s="214">
        <f>BQ51+BW52</f>
        <v>0.53443380590717293</v>
      </c>
      <c r="BX51" s="215">
        <f>BR51+BX52</f>
        <v>0.5548190967741935</v>
      </c>
      <c r="BY51" s="215">
        <f>BS51+BY52</f>
        <v>0.57239002156862739</v>
      </c>
      <c r="BZ51" s="215">
        <f>BT51+BZ52</f>
        <v>0.57883114391143919</v>
      </c>
      <c r="CA51" s="153">
        <f>CA48/CA40</f>
        <v>0.56076666538963627</v>
      </c>
      <c r="CC51" s="214">
        <f>BW51+CC52</f>
        <v>0.53693380590717288</v>
      </c>
      <c r="CD51" s="215">
        <f>BX51+CD52</f>
        <v>0.55731909677419345</v>
      </c>
      <c r="CE51" s="215">
        <f>BY51+CE52</f>
        <v>0.57489002156862734</v>
      </c>
      <c r="CF51" s="215">
        <f>BZ51+CF52</f>
        <v>0.58133114391143914</v>
      </c>
      <c r="CG51" s="153">
        <f>CG48/CG40</f>
        <v>0.56324531941794109</v>
      </c>
      <c r="CI51" s="214">
        <f>CC51+CI52</f>
        <v>0.53943380590717283</v>
      </c>
      <c r="CJ51" s="215">
        <f>CD51+CJ52</f>
        <v>0.55981909677419339</v>
      </c>
      <c r="CK51" s="215">
        <f>CE51+CK52</f>
        <v>0.57739002156862729</v>
      </c>
      <c r="CL51" s="215">
        <f>CF51+CL52</f>
        <v>0.58383114391143909</v>
      </c>
      <c r="CM51" s="153">
        <f>CM48/CM40</f>
        <v>0.56574542884954859</v>
      </c>
      <c r="CO51" s="214">
        <f>CI51+CO52</f>
        <v>0.54193380590717277</v>
      </c>
      <c r="CP51" s="215">
        <f>CJ51+CP52</f>
        <v>0.56231909677419334</v>
      </c>
      <c r="CQ51" s="215">
        <f>CK51+CQ52</f>
        <v>0.57989002156862723</v>
      </c>
      <c r="CR51" s="215">
        <f>CL51+CR52</f>
        <v>0.58633114391143903</v>
      </c>
      <c r="CS51" s="153">
        <f>CS48/CS40</f>
        <v>0.56824724310380426</v>
      </c>
      <c r="CU51" s="214">
        <f>CO51+CU52</f>
        <v>0.54443380590717272</v>
      </c>
      <c r="CV51" s="215">
        <f>CP51+CV52</f>
        <v>0.56481909677419329</v>
      </c>
      <c r="CW51" s="215">
        <f>CQ51+CW52</f>
        <v>0.58239002156862718</v>
      </c>
      <c r="CX51" s="215">
        <f>CR51+CX52</f>
        <v>0.58883114391143898</v>
      </c>
      <c r="CY51" s="153">
        <f>CY48/CY40</f>
        <v>0.57074890289391478</v>
      </c>
      <c r="DA51" s="214">
        <f>CU51+DA52</f>
        <v>0.54443380590717272</v>
      </c>
      <c r="DB51" s="215">
        <f>CV51+DB52</f>
        <v>0.56481909677419329</v>
      </c>
      <c r="DC51" s="215">
        <f>CW51+DC52</f>
        <v>0.58239002156862718</v>
      </c>
      <c r="DD51" s="215">
        <f>CX51+DD52</f>
        <v>0.58883114391143898</v>
      </c>
      <c r="DE51" s="153">
        <f>DE48/DE40</f>
        <v>0.57075040817305078</v>
      </c>
      <c r="DG51" s="214">
        <f>DA51+DG52</f>
        <v>0.54443380590717272</v>
      </c>
      <c r="DH51" s="215">
        <f>DB51+DH52</f>
        <v>0.56481909677419329</v>
      </c>
      <c r="DI51" s="215">
        <f>DC51+DI52</f>
        <v>0.58239002156862718</v>
      </c>
      <c r="DJ51" s="215">
        <f>DD51+DJ52</f>
        <v>0.58883114391143898</v>
      </c>
      <c r="DK51" s="153">
        <f>DK48/DK40</f>
        <v>0.57075175925660415</v>
      </c>
    </row>
    <row r="52" spans="2:115" ht="15.75" thickBot="1" x14ac:dyDescent="0.35">
      <c r="B52" s="140" t="s">
        <v>23</v>
      </c>
      <c r="C52" s="155" t="s">
        <v>35</v>
      </c>
      <c r="D52" s="106" t="s">
        <v>35</v>
      </c>
      <c r="E52" s="106" t="s">
        <v>35</v>
      </c>
      <c r="F52" s="106" t="s">
        <v>35</v>
      </c>
      <c r="G52" s="108" t="s">
        <v>35</v>
      </c>
      <c r="I52" s="109">
        <f>I51-C51</f>
        <v>-2.8738304895953359E-2</v>
      </c>
      <c r="J52" s="110">
        <f>J51-D51</f>
        <v>-2.2026823677689544E-2</v>
      </c>
      <c r="K52" s="110">
        <f>K51-E51</f>
        <v>-4.8879582586211723E-2</v>
      </c>
      <c r="L52" s="110">
        <f>L51-F51</f>
        <v>-4.1238036745382178E-2</v>
      </c>
      <c r="M52" s="122">
        <f>M51-G51</f>
        <v>-3.7350202573928792E-2</v>
      </c>
      <c r="O52" s="109">
        <f>O51-I51</f>
        <v>4.8513501636948342E-2</v>
      </c>
      <c r="P52" s="110">
        <f>P51-J51</f>
        <v>-0.10354128070345897</v>
      </c>
      <c r="Q52" s="110">
        <f>Q51-K51</f>
        <v>-2.9275866888608559E-2</v>
      </c>
      <c r="R52" s="110">
        <f>R51-L51</f>
        <v>-4.2447343070842414E-2</v>
      </c>
      <c r="S52" s="122">
        <f>S51-M51</f>
        <v>-3.3775968957360736E-2</v>
      </c>
      <c r="U52" s="109">
        <f>U51-O51</f>
        <v>-2.330679012707737E-2</v>
      </c>
      <c r="V52" s="110">
        <f>V51-P51</f>
        <v>0.10646168811661683</v>
      </c>
      <c r="W52" s="110">
        <f>W51-Q51</f>
        <v>4.3199720965374333E-2</v>
      </c>
      <c r="X52" s="110">
        <f>X51-R51</f>
        <v>1.962206455320592E-2</v>
      </c>
      <c r="Y52" s="122">
        <f>Y51-S51</f>
        <v>3.8550102737543945E-2</v>
      </c>
      <c r="AA52" s="109">
        <f>AA51-U51</f>
        <v>-2.0765530191782955E-2</v>
      </c>
      <c r="AB52" s="110">
        <f>AB51-V51</f>
        <v>-1.3326094373766251E-2</v>
      </c>
      <c r="AC52" s="110">
        <f>AC51-W51</f>
        <v>6.035029928457869E-2</v>
      </c>
      <c r="AD52" s="110">
        <f>AD51-X51</f>
        <v>2.5429394807178318E-2</v>
      </c>
      <c r="AE52" s="122">
        <f>AE51-Y51</f>
        <v>1.2716300808741809E-2</v>
      </c>
      <c r="AG52" s="109">
        <f>AG51-AA51</f>
        <v>3.2047231014047384E-2</v>
      </c>
      <c r="AH52" s="110">
        <f>AH51-AB51</f>
        <v>4.0345265704154032E-2</v>
      </c>
      <c r="AI52" s="110">
        <f>AI51-AC51</f>
        <v>-7.8653841359620724E-2</v>
      </c>
      <c r="AJ52" s="110">
        <f>AJ51-AD51</f>
        <v>-2.1967808401787137E-3</v>
      </c>
      <c r="AK52" s="122">
        <f>AK51-AE51</f>
        <v>-2.4398266362468668E-3</v>
      </c>
      <c r="AM52" s="109">
        <f>AM51-AG51</f>
        <v>5.5461092436974724E-3</v>
      </c>
      <c r="AN52" s="110">
        <f>AN51-AH51</f>
        <v>-1.494172117039505E-3</v>
      </c>
      <c r="AO52" s="110">
        <f>AO51-AI51</f>
        <v>7.5111679108770035E-2</v>
      </c>
      <c r="AP52" s="110">
        <f>AP51-AJ51</f>
        <v>1.5502551939146514E-2</v>
      </c>
      <c r="AQ52" s="122">
        <f>AQ51-AK51</f>
        <v>2.4205958761316038E-2</v>
      </c>
      <c r="AS52" s="109">
        <f>AS51-AM51</f>
        <v>3.371935818346028E-2</v>
      </c>
      <c r="AT52" s="110">
        <f>AT51-AN51</f>
        <v>3.2605865665426559E-2</v>
      </c>
      <c r="AU52" s="110">
        <f>AU51-AO51</f>
        <v>-1.8897145039363905E-2</v>
      </c>
      <c r="AV52" s="110">
        <f>AV51-AP51</f>
        <v>2.9499777049180276E-2</v>
      </c>
      <c r="AW52" s="122">
        <f>AW51-AQ51</f>
        <v>1.9442013166993788E-2</v>
      </c>
      <c r="AY52" s="109">
        <f>AY51-AS51</f>
        <v>3.9200157637912625E-2</v>
      </c>
      <c r="AZ52" s="110">
        <f>AZ51-AT51</f>
        <v>5.2653372434019463E-4</v>
      </c>
      <c r="BA52" s="110">
        <f>BA51-AU51</f>
        <v>2.8819541733578702E-2</v>
      </c>
      <c r="BB52" s="110">
        <f>BB51-AV51</f>
        <v>-1.123077837837827E-2</v>
      </c>
      <c r="BC52" s="122">
        <f>BC51-AW51</f>
        <v>1.3975983891905464E-2</v>
      </c>
      <c r="BE52" s="109">
        <f>BE51-AY51</f>
        <v>-3.6079606185029256E-2</v>
      </c>
      <c r="BF52" s="110">
        <f>BF51-AZ51</f>
        <v>-9.2734630176689592E-3</v>
      </c>
      <c r="BG52" s="110">
        <f>BG51-BA51</f>
        <v>-1.1044281268370204E-2</v>
      </c>
      <c r="BH52" s="110">
        <f>BH51-BB51</f>
        <v>3.096030667295202E-2</v>
      </c>
      <c r="BI52" s="122">
        <f>BI51-BC51</f>
        <v>-5.2529501312693627E-3</v>
      </c>
      <c r="BK52" s="109">
        <f>BK51-BE51</f>
        <v>8.7421399683083045E-3</v>
      </c>
      <c r="BL52" s="110">
        <f>BL51-BF51</f>
        <v>2.236611823342094E-2</v>
      </c>
      <c r="BM52" s="110">
        <f>BM51-BG51</f>
        <v>3.1895377217162957E-2</v>
      </c>
      <c r="BN52" s="110">
        <f>BN51-BH51</f>
        <v>-1.6750784383134487E-2</v>
      </c>
      <c r="BO52" s="122">
        <f>BO51-BI51</f>
        <v>1.1055387498208002E-2</v>
      </c>
      <c r="BQ52" s="109">
        <v>-0.02</v>
      </c>
      <c r="BR52" s="110">
        <v>-1.4999999999999999E-2</v>
      </c>
      <c r="BS52" s="110">
        <v>-0.01</v>
      </c>
      <c r="BT52" s="110">
        <v>-5.0000000000000001E-3</v>
      </c>
      <c r="BU52" s="122">
        <f>BU51-BO51</f>
        <v>-1.2394497360787793E-2</v>
      </c>
      <c r="BW52" s="109">
        <v>0</v>
      </c>
      <c r="BX52" s="110">
        <v>0</v>
      </c>
      <c r="BY52" s="110">
        <v>0</v>
      </c>
      <c r="BZ52" s="110">
        <v>0</v>
      </c>
      <c r="CA52" s="122">
        <f>CA51-BU51</f>
        <v>2.2049496220311049E-5</v>
      </c>
      <c r="CC52" s="109">
        <v>2.5000000000000001E-3</v>
      </c>
      <c r="CD52" s="110">
        <v>2.5000000000000001E-3</v>
      </c>
      <c r="CE52" s="110">
        <v>2.5000000000000001E-3</v>
      </c>
      <c r="CF52" s="110">
        <v>2.5000000000000001E-3</v>
      </c>
      <c r="CG52" s="122">
        <f>CG51-CA51</f>
        <v>2.4786540283048275E-3</v>
      </c>
      <c r="CI52" s="109">
        <v>2.5000000000000001E-3</v>
      </c>
      <c r="CJ52" s="110">
        <v>2.5000000000000001E-3</v>
      </c>
      <c r="CK52" s="110">
        <v>2.5000000000000001E-3</v>
      </c>
      <c r="CL52" s="110">
        <v>2.5000000000000001E-3</v>
      </c>
      <c r="CM52" s="122">
        <f>CM51-CG51</f>
        <v>2.5001094316075001E-3</v>
      </c>
      <c r="CO52" s="109">
        <v>2.5000000000000001E-3</v>
      </c>
      <c r="CP52" s="110">
        <v>2.5000000000000001E-3</v>
      </c>
      <c r="CQ52" s="110">
        <v>2.5000000000000001E-3</v>
      </c>
      <c r="CR52" s="110">
        <v>2.5000000000000001E-3</v>
      </c>
      <c r="CS52" s="122">
        <f>CS51-CM51</f>
        <v>2.5018142542556632E-3</v>
      </c>
      <c r="CU52" s="109">
        <v>2.5000000000000001E-3</v>
      </c>
      <c r="CV52" s="110">
        <v>2.5000000000000001E-3</v>
      </c>
      <c r="CW52" s="110">
        <v>2.5000000000000001E-3</v>
      </c>
      <c r="CX52" s="110">
        <v>2.5000000000000001E-3</v>
      </c>
      <c r="CY52" s="122">
        <f>CY51-CS51</f>
        <v>2.501659790110522E-3</v>
      </c>
      <c r="DA52" s="109">
        <v>0</v>
      </c>
      <c r="DB52" s="110">
        <v>0</v>
      </c>
      <c r="DC52" s="110">
        <v>0</v>
      </c>
      <c r="DD52" s="110">
        <v>0</v>
      </c>
      <c r="DE52" s="122">
        <f>DE51-CY51</f>
        <v>1.5052791360048445E-6</v>
      </c>
      <c r="DG52" s="109">
        <v>0</v>
      </c>
      <c r="DH52" s="110">
        <v>0</v>
      </c>
      <c r="DI52" s="110">
        <v>0</v>
      </c>
      <c r="DJ52" s="110">
        <v>0</v>
      </c>
      <c r="DK52" s="122">
        <f>DK51-DE51</f>
        <v>1.3510835533692145E-6</v>
      </c>
    </row>
    <row r="53" spans="2:115" ht="15.75" thickBot="1" x14ac:dyDescent="0.35">
      <c r="B53" s="1"/>
      <c r="AA53" s="103"/>
      <c r="AB53" s="103"/>
      <c r="AC53" s="103"/>
      <c r="AD53" s="103"/>
      <c r="AE53" s="103"/>
      <c r="AG53" s="103"/>
      <c r="AH53" s="103"/>
      <c r="AI53" s="103"/>
      <c r="AJ53" s="103"/>
      <c r="AK53" s="103"/>
      <c r="AM53" s="103"/>
      <c r="AN53" s="103"/>
      <c r="AO53" s="103"/>
      <c r="AP53" s="103"/>
      <c r="AQ53" s="103"/>
      <c r="AS53" s="103"/>
      <c r="AT53" s="103"/>
      <c r="AU53" s="103"/>
      <c r="AV53" s="103"/>
      <c r="AW53" s="103"/>
      <c r="AY53" s="103"/>
      <c r="AZ53" s="103"/>
      <c r="BA53" s="103"/>
      <c r="BB53" s="103"/>
      <c r="BC53" s="103"/>
      <c r="BE53" s="103"/>
      <c r="BF53" s="103"/>
      <c r="BG53" s="103"/>
      <c r="BH53" s="103"/>
      <c r="BI53" s="103"/>
      <c r="BK53" s="103"/>
      <c r="BL53" s="103"/>
      <c r="BM53" s="103"/>
      <c r="BN53" s="103"/>
      <c r="BO53" s="103"/>
      <c r="BQ53" s="103"/>
      <c r="BR53" s="103"/>
      <c r="BS53" s="103"/>
      <c r="BT53" s="103"/>
      <c r="BU53" s="103"/>
      <c r="BW53" s="103"/>
      <c r="BX53" s="103"/>
      <c r="BY53" s="103"/>
      <c r="BZ53" s="103"/>
      <c r="CA53" s="103"/>
      <c r="CC53" s="103"/>
      <c r="CD53" s="103"/>
      <c r="CE53" s="103"/>
      <c r="CF53" s="103"/>
      <c r="CG53" s="103"/>
      <c r="CI53" s="103"/>
      <c r="CJ53" s="103"/>
      <c r="CK53" s="103"/>
      <c r="CL53" s="103"/>
      <c r="CM53" s="103"/>
      <c r="CO53" s="103"/>
      <c r="CP53" s="103"/>
      <c r="CQ53" s="103"/>
      <c r="CR53" s="103"/>
      <c r="CS53" s="103"/>
      <c r="CU53" s="103"/>
      <c r="CV53" s="103"/>
      <c r="CW53" s="103"/>
      <c r="CX53" s="103"/>
      <c r="CY53" s="103"/>
      <c r="DA53" s="103"/>
      <c r="DB53" s="103"/>
      <c r="DC53" s="103"/>
      <c r="DD53" s="103"/>
      <c r="DE53" s="103"/>
      <c r="DG53" s="103"/>
      <c r="DH53" s="103"/>
      <c r="DI53" s="103"/>
      <c r="DJ53" s="103"/>
      <c r="DK53" s="103"/>
    </row>
    <row r="54" spans="2:115" ht="15" x14ac:dyDescent="0.3">
      <c r="B54" s="42" t="s">
        <v>61</v>
      </c>
      <c r="C54" s="198">
        <v>128</v>
      </c>
      <c r="D54" s="199">
        <v>129</v>
      </c>
      <c r="E54" s="199">
        <v>132</v>
      </c>
      <c r="F54" s="200">
        <v>124</v>
      </c>
      <c r="G54" s="184">
        <f>C54+D54+E54+F54</f>
        <v>513</v>
      </c>
      <c r="H54" s="197"/>
      <c r="I54" s="198">
        <v>158</v>
      </c>
      <c r="J54" s="199">
        <v>158</v>
      </c>
      <c r="K54" s="199">
        <v>175</v>
      </c>
      <c r="L54" s="199">
        <v>143</v>
      </c>
      <c r="M54" s="184">
        <f>I54+J54+K54+L54</f>
        <v>634</v>
      </c>
      <c r="N54" s="197"/>
      <c r="O54" s="198">
        <v>127</v>
      </c>
      <c r="P54" s="199">
        <v>181</v>
      </c>
      <c r="Q54" s="199">
        <v>165</v>
      </c>
      <c r="R54" s="199">
        <v>141</v>
      </c>
      <c r="S54" s="184">
        <f>O54+P54+Q54+R54</f>
        <v>614</v>
      </c>
      <c r="T54" s="197"/>
      <c r="U54" s="198">
        <v>135</v>
      </c>
      <c r="V54" s="199">
        <v>139</v>
      </c>
      <c r="W54" s="199">
        <v>143</v>
      </c>
      <c r="X54" s="199">
        <v>134</v>
      </c>
      <c r="Y54" s="184">
        <f>U54+V54+W54+X54</f>
        <v>551</v>
      </c>
      <c r="AA54" s="198">
        <v>136</v>
      </c>
      <c r="AB54" s="199">
        <v>139</v>
      </c>
      <c r="AC54" s="199">
        <v>116</v>
      </c>
      <c r="AD54" s="199">
        <v>118</v>
      </c>
      <c r="AE54" s="184">
        <f>AA54+AB54+AC54+AD54</f>
        <v>509</v>
      </c>
      <c r="AG54" s="198">
        <v>123</v>
      </c>
      <c r="AH54" s="199">
        <v>116</v>
      </c>
      <c r="AI54" s="199">
        <v>136</v>
      </c>
      <c r="AJ54" s="199">
        <v>111</v>
      </c>
      <c r="AK54" s="184">
        <f>AG54+AH54+AI54+AJ54</f>
        <v>486</v>
      </c>
      <c r="AM54" s="198">
        <v>109</v>
      </c>
      <c r="AN54" s="199">
        <v>111</v>
      </c>
      <c r="AO54" s="199">
        <v>102</v>
      </c>
      <c r="AP54" s="199">
        <v>103</v>
      </c>
      <c r="AQ54" s="184">
        <f>AM54+AN54+AO54+AP54</f>
        <v>425</v>
      </c>
      <c r="AS54" s="198">
        <v>92</v>
      </c>
      <c r="AT54" s="199">
        <v>91</v>
      </c>
      <c r="AU54" s="199">
        <v>93</v>
      </c>
      <c r="AV54" s="199">
        <v>86</v>
      </c>
      <c r="AW54" s="184">
        <f>AS54+AT54+AU54+AV54</f>
        <v>362</v>
      </c>
      <c r="AY54" s="198">
        <v>89</v>
      </c>
      <c r="AZ54" s="199">
        <v>96</v>
      </c>
      <c r="BA54" s="199">
        <v>100</v>
      </c>
      <c r="BB54" s="199">
        <v>105</v>
      </c>
      <c r="BC54" s="184">
        <f>AY54+AZ54+BA54+BB54</f>
        <v>390</v>
      </c>
      <c r="BE54" s="198">
        <v>99</v>
      </c>
      <c r="BF54" s="199">
        <v>100</v>
      </c>
      <c r="BG54" s="199">
        <v>103</v>
      </c>
      <c r="BH54" s="199">
        <v>96</v>
      </c>
      <c r="BI54" s="184">
        <f>BE54+BF54+BG54+BH54</f>
        <v>398</v>
      </c>
      <c r="BK54" s="198">
        <v>100</v>
      </c>
      <c r="BL54" s="199">
        <v>100</v>
      </c>
      <c r="BM54" s="199">
        <v>101</v>
      </c>
      <c r="BN54" s="199">
        <v>105</v>
      </c>
      <c r="BO54" s="184">
        <f>BK54+BL54+BM54+BN54</f>
        <v>406</v>
      </c>
      <c r="BQ54" s="198">
        <f>BQ40-BQ45-BQ48</f>
        <v>106.20674338895159</v>
      </c>
      <c r="BR54" s="199">
        <f>BR40-BR45-BR48</f>
        <v>105.46489422530095</v>
      </c>
      <c r="BS54" s="199">
        <f>BS40-BS45-BS48</f>
        <v>102.98886007085872</v>
      </c>
      <c r="BT54" s="199">
        <f>BT40-BT45-BT48</f>
        <v>104.56510031994779</v>
      </c>
      <c r="BU54" s="184">
        <f>BQ54+BR54+BS54+BT54</f>
        <v>419.22559800505906</v>
      </c>
      <c r="BW54" s="198">
        <f>BW40-BW45-BW48</f>
        <v>107.81574354011795</v>
      </c>
      <c r="BX54" s="199">
        <f>BX40-BX45-BX48</f>
        <v>106.90923602463485</v>
      </c>
      <c r="BY54" s="199">
        <f>BY40-BY45-BY48</f>
        <v>104.92791106768667</v>
      </c>
      <c r="BZ54" s="199">
        <f>BZ40-BZ45-BZ48</f>
        <v>106.57234919549302</v>
      </c>
      <c r="CA54" s="184">
        <f>BW54+BX54+BY54+BZ54</f>
        <v>426.22523982793251</v>
      </c>
      <c r="CC54" s="198">
        <f>CC40-CC45-CC48</f>
        <v>109.13785560541501</v>
      </c>
      <c r="CD54" s="199">
        <f>CD40-CD45-CD48</f>
        <v>108.32565629724243</v>
      </c>
      <c r="CE54" s="199">
        <f>CE40-CE45-CE48</f>
        <v>106.01344912220247</v>
      </c>
      <c r="CF54" s="199">
        <f>CF40-CF45-CF48</f>
        <v>107.62887452723052</v>
      </c>
      <c r="CG54" s="184">
        <f>CC54+CD54+CE54+CF54</f>
        <v>431.10583555209041</v>
      </c>
      <c r="CI54" s="198">
        <f>CI40-CI45-CI48</f>
        <v>110.13672221282482</v>
      </c>
      <c r="CJ54" s="199">
        <f>CJ40-CJ45-CJ48</f>
        <v>109.23354160753439</v>
      </c>
      <c r="CK54" s="199">
        <f>CK40-CK45-CK48</f>
        <v>106.90013608529301</v>
      </c>
      <c r="CL54" s="199">
        <f>CL40-CL45-CL48</f>
        <v>108.49401024730287</v>
      </c>
      <c r="CM54" s="184">
        <f>CI54+CJ54+CK54+CL54</f>
        <v>434.76441015295507</v>
      </c>
      <c r="CO54" s="198">
        <f>CO40-CO45-CO48</f>
        <v>110.69873028734324</v>
      </c>
      <c r="CP54" s="199">
        <f>CP40-CP45-CP48</f>
        <v>109.70892415878356</v>
      </c>
      <c r="CQ54" s="199">
        <f>CQ40-CQ45-CQ48</f>
        <v>107.37315742664904</v>
      </c>
      <c r="CR54" s="199">
        <f>CR40-CR45-CR48</f>
        <v>108.95038230260971</v>
      </c>
      <c r="CS54" s="184">
        <f>CO54+CP54+CQ54+CR54</f>
        <v>436.73119417538555</v>
      </c>
      <c r="CU54" s="198">
        <f>CU40-CU45-CU48</f>
        <v>111.29783851775156</v>
      </c>
      <c r="CV54" s="199">
        <f>CV40-CV45-CV48</f>
        <v>110.21973136120454</v>
      </c>
      <c r="CW54" s="199">
        <f>CW40-CW45-CW48</f>
        <v>107.88037742260761</v>
      </c>
      <c r="CX54" s="199">
        <f>CX40-CX45-CX48</f>
        <v>109.43663879812377</v>
      </c>
      <c r="CY54" s="184">
        <f>CU54+CV54+CW54+CX54</f>
        <v>438.8345860996875</v>
      </c>
      <c r="DA54" s="198">
        <f>DA40-DA45-DA48</f>
        <v>112.59276030264598</v>
      </c>
      <c r="DB54" s="199">
        <f>DB40-DB45-DB48</f>
        <v>111.45407434693965</v>
      </c>
      <c r="DC54" s="199">
        <f>DC40-DC45-DC48</f>
        <v>109.1177295579719</v>
      </c>
      <c r="DD54" s="199">
        <f>DD40-DD45-DD48</f>
        <v>110.68901944636005</v>
      </c>
      <c r="DE54" s="184">
        <f>DA54+DB54+DC54+DD54</f>
        <v>443.85358365391755</v>
      </c>
      <c r="DG54" s="198">
        <f>DG40-DG45-DG48</f>
        <v>113.9421815822071</v>
      </c>
      <c r="DH54" s="199">
        <f>DH40-DH45-DH48</f>
        <v>112.7415394979426</v>
      </c>
      <c r="DI54" s="199">
        <f>DI40-DI45-DI48</f>
        <v>110.40724394763257</v>
      </c>
      <c r="DJ54" s="199">
        <f>DJ40-DJ45-DJ48</f>
        <v>111.9907880210155</v>
      </c>
      <c r="DK54" s="184">
        <f>DG54+DH54+DI54+DJ54</f>
        <v>449.08175304879774</v>
      </c>
    </row>
    <row r="55" spans="2:115" ht="15.75" thickBot="1" x14ac:dyDescent="0.35">
      <c r="B55" s="41" t="s">
        <v>23</v>
      </c>
      <c r="C55" s="155" t="s">
        <v>35</v>
      </c>
      <c r="D55" s="106" t="s">
        <v>35</v>
      </c>
      <c r="E55" s="106" t="s">
        <v>35</v>
      </c>
      <c r="F55" s="154" t="s">
        <v>35</v>
      </c>
      <c r="G55" s="108" t="s">
        <v>35</v>
      </c>
      <c r="I55" s="109">
        <f>I54/C54-1</f>
        <v>0.234375</v>
      </c>
      <c r="J55" s="110">
        <f>J54/D54-1</f>
        <v>0.22480620155038755</v>
      </c>
      <c r="K55" s="110">
        <f>K54/E54-1</f>
        <v>0.32575757575757569</v>
      </c>
      <c r="L55" s="110">
        <f>L54/F54-1</f>
        <v>0.15322580645161299</v>
      </c>
      <c r="M55" s="122">
        <f>M54/G54-1</f>
        <v>0.23586744639376223</v>
      </c>
      <c r="O55" s="109">
        <f>O54/I54-1</f>
        <v>-0.19620253164556967</v>
      </c>
      <c r="P55" s="110">
        <f>P54/J54-1</f>
        <v>0.14556962025316467</v>
      </c>
      <c r="Q55" s="110">
        <f>Q54/K54-1</f>
        <v>-5.7142857142857162E-2</v>
      </c>
      <c r="R55" s="110">
        <f>R54/L54-1</f>
        <v>-1.3986013986013957E-2</v>
      </c>
      <c r="S55" s="122">
        <f>S54/M54-1</f>
        <v>-3.1545741324921162E-2</v>
      </c>
      <c r="U55" s="109">
        <f>U54/O54-1</f>
        <v>6.2992125984252079E-2</v>
      </c>
      <c r="V55" s="110">
        <f>V54/P54-1</f>
        <v>-0.23204419889502759</v>
      </c>
      <c r="W55" s="110">
        <f>W54/Q54-1</f>
        <v>-0.1333333333333333</v>
      </c>
      <c r="X55" s="110">
        <f>X54/R54-1</f>
        <v>-4.9645390070921946E-2</v>
      </c>
      <c r="Y55" s="122">
        <f>Y54/S54-1</f>
        <v>-0.10260586319218246</v>
      </c>
      <c r="AA55" s="109">
        <f>AA54/U54-1</f>
        <v>7.4074074074073071E-3</v>
      </c>
      <c r="AB55" s="110">
        <f>AB54/V54-1</f>
        <v>0</v>
      </c>
      <c r="AC55" s="110">
        <f>AC54/W54-1</f>
        <v>-0.18881118881118886</v>
      </c>
      <c r="AD55" s="110">
        <f>AD54/X54-1</f>
        <v>-0.11940298507462688</v>
      </c>
      <c r="AE55" s="122">
        <f>AE54/Y54-1</f>
        <v>-7.622504537205077E-2</v>
      </c>
      <c r="AG55" s="109">
        <f>AG54/AA54-1</f>
        <v>-9.5588235294117641E-2</v>
      </c>
      <c r="AH55" s="110">
        <f>AH54/AB54-1</f>
        <v>-0.16546762589928055</v>
      </c>
      <c r="AI55" s="110">
        <f>AI54/AC54-1</f>
        <v>0.17241379310344818</v>
      </c>
      <c r="AJ55" s="110">
        <f>AJ54/AD54-1</f>
        <v>-5.9322033898305038E-2</v>
      </c>
      <c r="AK55" s="122">
        <f>AK54/AE54-1</f>
        <v>-4.5186640471512773E-2</v>
      </c>
      <c r="AM55" s="109">
        <f>AM54/AG54-1</f>
        <v>-0.11382113821138207</v>
      </c>
      <c r="AN55" s="110">
        <f>AN54/AH54-1</f>
        <v>-4.31034482758621E-2</v>
      </c>
      <c r="AO55" s="110">
        <f>AO54/AI54-1</f>
        <v>-0.25</v>
      </c>
      <c r="AP55" s="110">
        <f>AP54/AJ54-1</f>
        <v>-7.2072072072072113E-2</v>
      </c>
      <c r="AQ55" s="122">
        <f>AQ54/AK54-1</f>
        <v>-0.12551440329218111</v>
      </c>
      <c r="AS55" s="109">
        <f>AS54/AM54-1</f>
        <v>-0.15596330275229353</v>
      </c>
      <c r="AT55" s="110">
        <f>AT54/AN54-1</f>
        <v>-0.18018018018018023</v>
      </c>
      <c r="AU55" s="110">
        <f>AU54/AO54-1</f>
        <v>-8.8235294117647078E-2</v>
      </c>
      <c r="AV55" s="110">
        <f>AV54/AP54-1</f>
        <v>-0.16504854368932043</v>
      </c>
      <c r="AW55" s="122">
        <f>AW54/AQ54-1</f>
        <v>-0.14823529411764702</v>
      </c>
      <c r="AY55" s="109">
        <f>AY54/AS54-1</f>
        <v>-3.2608695652173947E-2</v>
      </c>
      <c r="AZ55" s="110">
        <f>AZ54/AT54-1</f>
        <v>5.4945054945054972E-2</v>
      </c>
      <c r="BA55" s="110">
        <f>BA54/AU54-1</f>
        <v>7.5268817204301008E-2</v>
      </c>
      <c r="BB55" s="110">
        <f>BB54/AV54-1</f>
        <v>0.22093023255813948</v>
      </c>
      <c r="BC55" s="122">
        <f>BC54/AW54-1</f>
        <v>7.7348066298342566E-2</v>
      </c>
      <c r="BE55" s="109">
        <f>BE54/AY54-1</f>
        <v>0.11235955056179781</v>
      </c>
      <c r="BF55" s="110">
        <f>BF54/AZ54-1</f>
        <v>4.1666666666666741E-2</v>
      </c>
      <c r="BG55" s="110">
        <f>BG54/BA54-1</f>
        <v>3.0000000000000027E-2</v>
      </c>
      <c r="BH55" s="110">
        <f>BH54/BB54-1</f>
        <v>-8.5714285714285743E-2</v>
      </c>
      <c r="BI55" s="122">
        <f>BI54/BC54-1</f>
        <v>2.051282051282044E-2</v>
      </c>
      <c r="BK55" s="109">
        <f>BK54/BE54-1</f>
        <v>1.0101010101010166E-2</v>
      </c>
      <c r="BL55" s="110">
        <f>BL54/BF54-1</f>
        <v>0</v>
      </c>
      <c r="BM55" s="110">
        <f>BM54/BG54-1</f>
        <v>-1.9417475728155331E-2</v>
      </c>
      <c r="BN55" s="110">
        <f>BN54/BH54-1</f>
        <v>9.375E-2</v>
      </c>
      <c r="BO55" s="122">
        <f>BO54/BI54-1</f>
        <v>2.0100502512562901E-2</v>
      </c>
      <c r="BQ55" s="109">
        <f>BQ54/BK54-1</f>
        <v>6.2067433889515966E-2</v>
      </c>
      <c r="BR55" s="110">
        <f>BR54/BL54-1</f>
        <v>5.4648942253009425E-2</v>
      </c>
      <c r="BS55" s="110">
        <f>BS54/BM54-1</f>
        <v>1.9691683869888399E-2</v>
      </c>
      <c r="BT55" s="110">
        <f>BT54/BN54-1</f>
        <v>-4.1419017147830139E-3</v>
      </c>
      <c r="BU55" s="122">
        <f>BU54/BO54-1</f>
        <v>3.2575364544480401E-2</v>
      </c>
      <c r="BW55" s="109">
        <f>BW54/BQ54-1</f>
        <v>1.5149698595632977E-2</v>
      </c>
      <c r="BX55" s="110">
        <f>BX54/BR54-1</f>
        <v>1.3695000691399839E-2</v>
      </c>
      <c r="BY55" s="110">
        <f>BY54/BS54-1</f>
        <v>1.8827774144638765E-2</v>
      </c>
      <c r="BZ55" s="110">
        <f>BZ54/BT54-1</f>
        <v>1.919616458458373E-2</v>
      </c>
      <c r="CA55" s="122">
        <f>CA54/BU54-1</f>
        <v>1.6696599292080894E-2</v>
      </c>
      <c r="CC55" s="109">
        <f>CC54/BW54-1</f>
        <v>1.2262699508306163E-2</v>
      </c>
      <c r="CD55" s="110">
        <f>CD54/BX54-1</f>
        <v>1.3248811096930879E-2</v>
      </c>
      <c r="CE55" s="110">
        <f>CE54/BY54-1</f>
        <v>1.0345560523124853E-2</v>
      </c>
      <c r="CF55" s="110">
        <f>CF54/BZ54-1</f>
        <v>9.9136909312136368E-3</v>
      </c>
      <c r="CG55" s="122">
        <f>CG54/CA54-1</f>
        <v>1.145074310035743E-2</v>
      </c>
      <c r="CI55" s="109">
        <f>CI54/CC54-1</f>
        <v>9.1523385892899878E-3</v>
      </c>
      <c r="CJ55" s="110">
        <f>CJ54/CD54-1</f>
        <v>8.3810737116676304E-3</v>
      </c>
      <c r="CK55" s="110">
        <f>CK54/CE54-1</f>
        <v>8.3639101494419332E-3</v>
      </c>
      <c r="CL55" s="110">
        <f>CL54/CF54-1</f>
        <v>8.0381377569218593E-3</v>
      </c>
      <c r="CM55" s="122">
        <f>CM54/CG54-1</f>
        <v>8.4864882336359582E-3</v>
      </c>
      <c r="CO55" s="109">
        <f>CO54/CI54-1</f>
        <v>5.1028218674640247E-3</v>
      </c>
      <c r="CP55" s="110">
        <f>CP54/CJ54-1</f>
        <v>4.3519833217271486E-3</v>
      </c>
      <c r="CQ55" s="110">
        <f>CQ54/CK54-1</f>
        <v>4.4248899831018651E-3</v>
      </c>
      <c r="CR55" s="110">
        <f>CR54/CL54-1</f>
        <v>4.2064262742853575E-3</v>
      </c>
      <c r="CS55" s="122">
        <f>CS54/CM54-1</f>
        <v>4.5237926023855568E-3</v>
      </c>
      <c r="CU55" s="109">
        <f>CU54/CO54-1</f>
        <v>5.41206054354193E-3</v>
      </c>
      <c r="CV55" s="110">
        <f>CV54/CP54-1</f>
        <v>4.656022345836508E-3</v>
      </c>
      <c r="CW55" s="110">
        <f>CW54/CQ54-1</f>
        <v>4.7238994187637218E-3</v>
      </c>
      <c r="CX55" s="110">
        <f>CX54/CR54-1</f>
        <v>4.4631004062334334E-3</v>
      </c>
      <c r="CY55" s="122">
        <f>CY54/CS54-1</f>
        <v>4.8162163645615319E-3</v>
      </c>
      <c r="DA55" s="109">
        <f>DA54/CU54-1</f>
        <v>1.163474333500103E-2</v>
      </c>
      <c r="DB55" s="110">
        <f>DB54/CV54-1</f>
        <v>1.119892936129574E-2</v>
      </c>
      <c r="DC55" s="110">
        <f>DC54/CW54-1</f>
        <v>1.1469668209605155E-2</v>
      </c>
      <c r="DD55" s="110">
        <f>DD54/CX54-1</f>
        <v>1.1443888098085164E-2</v>
      </c>
      <c r="DE55" s="122">
        <f>DE54/CY54-1</f>
        <v>1.1437105718667961E-2</v>
      </c>
      <c r="DG55" s="109">
        <f>DG54/DA54-1</f>
        <v>1.1984973775702068E-2</v>
      </c>
      <c r="DH55" s="110">
        <f>DH54/DB54-1</f>
        <v>1.1551530606187299E-2</v>
      </c>
      <c r="DI55" s="110">
        <f>DI54/DC54-1</f>
        <v>1.1817643153724022E-2</v>
      </c>
      <c r="DJ55" s="110">
        <f>DJ54/DD54-1</f>
        <v>1.1760593608711956E-2</v>
      </c>
      <c r="DK55" s="122">
        <f>DK54/DE54-1</f>
        <v>1.1779040628309367E-2</v>
      </c>
    </row>
    <row r="56" spans="2:115" ht="15.75" thickBot="1" x14ac:dyDescent="0.35">
      <c r="B56" s="1"/>
      <c r="AA56" s="103"/>
      <c r="AB56" s="103"/>
      <c r="AC56" s="103"/>
      <c r="AD56" s="103"/>
      <c r="AE56" s="103"/>
      <c r="AG56" s="103"/>
      <c r="AH56" s="103"/>
      <c r="AI56" s="103"/>
      <c r="AJ56" s="103"/>
      <c r="AK56" s="103"/>
      <c r="AM56" s="103"/>
      <c r="AN56" s="103"/>
      <c r="AO56" s="103"/>
      <c r="AP56" s="103"/>
      <c r="AQ56" s="103"/>
      <c r="AS56" s="103"/>
      <c r="AT56" s="103"/>
      <c r="AU56" s="103"/>
      <c r="AV56" s="103"/>
      <c r="AW56" s="103"/>
      <c r="AY56" s="103"/>
      <c r="AZ56" s="103"/>
      <c r="BA56" s="103"/>
      <c r="BB56" s="103"/>
      <c r="BC56" s="103"/>
      <c r="BE56" s="103"/>
      <c r="BF56" s="103"/>
      <c r="BG56" s="103"/>
      <c r="BH56" s="103"/>
      <c r="BI56" s="103"/>
      <c r="BK56" s="103"/>
      <c r="BL56" s="103"/>
      <c r="BM56" s="103"/>
      <c r="BN56" s="103"/>
      <c r="BO56" s="103"/>
      <c r="BQ56" s="103"/>
      <c r="BR56" s="103"/>
      <c r="BS56" s="103"/>
      <c r="BT56" s="103"/>
      <c r="BU56" s="103"/>
      <c r="BW56" s="103"/>
      <c r="BX56" s="103"/>
      <c r="BY56" s="103"/>
      <c r="BZ56" s="103"/>
      <c r="CA56" s="103"/>
      <c r="CC56" s="103"/>
      <c r="CD56" s="103"/>
      <c r="CE56" s="103"/>
      <c r="CF56" s="103"/>
      <c r="CG56" s="103"/>
      <c r="CI56" s="103"/>
      <c r="CJ56" s="103"/>
      <c r="CK56" s="103"/>
      <c r="CL56" s="103"/>
      <c r="CM56" s="103"/>
      <c r="CO56" s="103"/>
      <c r="CP56" s="103"/>
      <c r="CQ56" s="103"/>
      <c r="CR56" s="103"/>
      <c r="CS56" s="103"/>
      <c r="CU56" s="103"/>
      <c r="CV56" s="103"/>
      <c r="CW56" s="103"/>
      <c r="CX56" s="103"/>
      <c r="CY56" s="103"/>
      <c r="DA56" s="103"/>
      <c r="DB56" s="103"/>
      <c r="DC56" s="103"/>
      <c r="DD56" s="103"/>
      <c r="DE56" s="103"/>
      <c r="DG56" s="103"/>
      <c r="DH56" s="103"/>
      <c r="DI56" s="103"/>
      <c r="DJ56" s="103"/>
      <c r="DK56" s="103"/>
    </row>
    <row r="57" spans="2:115" ht="15" x14ac:dyDescent="0.3">
      <c r="B57" s="42" t="s">
        <v>36</v>
      </c>
      <c r="C57" s="209">
        <f>C54/C40</f>
        <v>0.48301886792452831</v>
      </c>
      <c r="D57" s="206">
        <f>D54/D40</f>
        <v>0.45744680851063829</v>
      </c>
      <c r="E57" s="206">
        <f>E54/E40</f>
        <v>0.4414715719063545</v>
      </c>
      <c r="F57" s="206">
        <f>F54/F40</f>
        <v>0.38153846153846155</v>
      </c>
      <c r="G57" s="208">
        <f>G54/G40</f>
        <v>0.43808710503842868</v>
      </c>
      <c r="H57" s="129"/>
      <c r="I57" s="209">
        <f>I54/I40</f>
        <v>0.50803858520900325</v>
      </c>
      <c r="J57" s="206">
        <f>J54/J40</f>
        <v>0.4759036144578313</v>
      </c>
      <c r="K57" s="206">
        <f>K54/K40</f>
        <v>0.49019607843137253</v>
      </c>
      <c r="L57" s="206">
        <f>L54/L40</f>
        <v>0.43465045592705165</v>
      </c>
      <c r="M57" s="208">
        <f>M54/M40</f>
        <v>0.47705041384499625</v>
      </c>
      <c r="N57" s="129"/>
      <c r="O57" s="209">
        <f>O54/O40</f>
        <v>0.46181818181818179</v>
      </c>
      <c r="P57" s="206">
        <f>P54/P40</f>
        <v>0.58387096774193548</v>
      </c>
      <c r="Q57" s="206">
        <f>Q54/Q40</f>
        <v>0.52715654952076674</v>
      </c>
      <c r="R57" s="206">
        <f>R54/R40</f>
        <v>0.48122866894197952</v>
      </c>
      <c r="S57" s="208">
        <f>S54/S40</f>
        <v>0.51553316540722083</v>
      </c>
      <c r="U57" s="209">
        <f>U54/U40</f>
        <v>0.4838709677419355</v>
      </c>
      <c r="V57" s="206">
        <f>V54/V40</f>
        <v>0.47766323024054985</v>
      </c>
      <c r="W57" s="206">
        <f>W54/W40</f>
        <v>0.48310810810810811</v>
      </c>
      <c r="X57" s="206">
        <f>X54/X40</f>
        <v>0.46048109965635736</v>
      </c>
      <c r="Y57" s="208">
        <f>Y54/Y40</f>
        <v>0.47623163353500431</v>
      </c>
      <c r="AA57" s="209">
        <f>AA54/AA40</f>
        <v>0.5074626865671642</v>
      </c>
      <c r="AB57" s="206">
        <f>AB54/AB40</f>
        <v>0.49290780141843971</v>
      </c>
      <c r="AC57" s="206">
        <f>AC54/AC40</f>
        <v>0.4264705882352941</v>
      </c>
      <c r="AD57" s="206">
        <f>AD54/AD40</f>
        <v>0.43703703703703706</v>
      </c>
      <c r="AE57" s="208">
        <f>AE54/AE40</f>
        <v>0.46611721611721613</v>
      </c>
      <c r="AG57" s="209">
        <f>AG54/AG40</f>
        <v>0.4823529411764706</v>
      </c>
      <c r="AH57" s="206">
        <f>AH54/AH40</f>
        <v>0.44787644787644787</v>
      </c>
      <c r="AI57" s="206">
        <f>AI54/AI40</f>
        <v>0.49816849816849818</v>
      </c>
      <c r="AJ57" s="206">
        <f>AJ54/AJ40</f>
        <v>0.43190661478599224</v>
      </c>
      <c r="AK57" s="208">
        <f>AK54/AK40</f>
        <v>0.46551724137931033</v>
      </c>
      <c r="AM57" s="209">
        <f>AM54/AM40</f>
        <v>0.45798319327731091</v>
      </c>
      <c r="AN57" s="206">
        <f>AN54/AN40</f>
        <v>0.44578313253012047</v>
      </c>
      <c r="AO57" s="206">
        <f>AO54/AO40</f>
        <v>0.42148760330578511</v>
      </c>
      <c r="AP57" s="206">
        <f>AP54/AP40</f>
        <v>0.42213114754098363</v>
      </c>
      <c r="AQ57" s="208">
        <f>AQ54/AQ40</f>
        <v>0.43679342240493318</v>
      </c>
      <c r="AS57" s="209">
        <f>AS54/AS40</f>
        <v>0.42990654205607476</v>
      </c>
      <c r="AT57" s="206">
        <f>AT54/AT40</f>
        <v>0.41935483870967744</v>
      </c>
      <c r="AU57" s="206">
        <f>AU54/AU40</f>
        <v>0.44075829383886256</v>
      </c>
      <c r="AV57" s="206">
        <f>AV54/AV40</f>
        <v>0.39090909090909093</v>
      </c>
      <c r="AW57" s="208">
        <f>AW54/AW40</f>
        <v>0.41995359628770301</v>
      </c>
      <c r="AY57" s="209">
        <f>AY54/AY40</f>
        <v>0.39380530973451328</v>
      </c>
      <c r="AZ57" s="206">
        <f>AZ54/AZ40</f>
        <v>0.41558441558441561</v>
      </c>
      <c r="BA57" s="206">
        <f>BA54/BA40</f>
        <v>0.41322314049586778</v>
      </c>
      <c r="BB57" s="206">
        <f>BB54/BB40</f>
        <v>0.40540540540540543</v>
      </c>
      <c r="BC57" s="208">
        <f>BC54/BC40</f>
        <v>0.40709812108559501</v>
      </c>
      <c r="BE57" s="209">
        <f>BE54/BE40</f>
        <v>0.43231441048034935</v>
      </c>
      <c r="BF57" s="206">
        <f>BF54/BF40</f>
        <v>0.42918454935622319</v>
      </c>
      <c r="BG57" s="206">
        <f>BG54/BG40</f>
        <v>0.43096234309623432</v>
      </c>
      <c r="BH57" s="206">
        <f>BH54/BH40</f>
        <v>0.37209302325581395</v>
      </c>
      <c r="BI57" s="208">
        <f>BI54/BI40</f>
        <v>0.41501564129301355</v>
      </c>
      <c r="BK57" s="209">
        <f>BK54/BK40</f>
        <v>0.4219409282700422</v>
      </c>
      <c r="BL57" s="206">
        <f>BL54/BL40</f>
        <v>0.40322580645161288</v>
      </c>
      <c r="BM57" s="206">
        <f>BM54/BM40</f>
        <v>0.396078431372549</v>
      </c>
      <c r="BN57" s="206">
        <f>BN54/BN40</f>
        <v>0.38745387453874541</v>
      </c>
      <c r="BO57" s="208">
        <f>BO54/BO40</f>
        <v>0.40158259149357073</v>
      </c>
      <c r="BQ57" s="209">
        <f>BQ54/BQ40</f>
        <v>0.44121724934735002</v>
      </c>
      <c r="BR57" s="206">
        <f>BR54/BR40</f>
        <v>0.41906605829408405</v>
      </c>
      <c r="BS57" s="206">
        <f>BS54/BS40</f>
        <v>0.40541022012833056</v>
      </c>
      <c r="BT57" s="206">
        <f>BT54/BT40</f>
        <v>0.38863961236497607</v>
      </c>
      <c r="BU57" s="208">
        <f>BU54/BU40</f>
        <v>0.41283903165744817</v>
      </c>
      <c r="BW57" s="209">
        <f>BW54/BW40</f>
        <v>0.43993933059145229</v>
      </c>
      <c r="BX57" s="206">
        <f>BX54/BX40</f>
        <v>0.41768660421377662</v>
      </c>
      <c r="BY57" s="206">
        <f>BY54/BY40</f>
        <v>0.40392711216444638</v>
      </c>
      <c r="BZ57" s="206">
        <f>BZ54/BZ40</f>
        <v>0.38842936184540061</v>
      </c>
      <c r="CA57" s="208">
        <f>CA54/CA40</f>
        <v>0.41174737707321923</v>
      </c>
      <c r="CC57" s="209">
        <f>CC54/CC40</f>
        <v>0.43700030616733238</v>
      </c>
      <c r="CD57" s="206">
        <f>CD54/CD40</f>
        <v>0.41475313765578153</v>
      </c>
      <c r="CE57" s="206">
        <f>CE54/CE40</f>
        <v>0.40142709153485834</v>
      </c>
      <c r="CF57" s="206">
        <f>CF54/CF40</f>
        <v>0.38594037209372489</v>
      </c>
      <c r="CG57" s="208">
        <f>CG54/CG40</f>
        <v>0.40906150307971401</v>
      </c>
      <c r="CI57" s="209">
        <f>CI54/CI40</f>
        <v>0.43401817336441867</v>
      </c>
      <c r="CJ57" s="206">
        <f>CJ54/CJ40</f>
        <v>0.41172881999518218</v>
      </c>
      <c r="CK57" s="206">
        <f>CK54/CK40</f>
        <v>0.39848355804335239</v>
      </c>
      <c r="CL57" s="206">
        <f>CL54/CL40</f>
        <v>0.38284631896510102</v>
      </c>
      <c r="CM57" s="208">
        <f>CM54/CM40</f>
        <v>0.40604847428346857</v>
      </c>
      <c r="CO57" s="209">
        <f>CO54/CO40</f>
        <v>0.4309286993623776</v>
      </c>
      <c r="CP57" s="206">
        <f>CP54/CP40</f>
        <v>0.40859069082684202</v>
      </c>
      <c r="CQ57" s="206">
        <f>CQ54/CQ40</f>
        <v>0.39544484282075371</v>
      </c>
      <c r="CR57" s="206">
        <f>CR54/CR40</f>
        <v>0.37962831649664858</v>
      </c>
      <c r="CS57" s="208">
        <f>CS54/CS40</f>
        <v>0.40292311624337307</v>
      </c>
      <c r="CU57" s="209">
        <f>CU54/CU40</f>
        <v>0.42783861388582844</v>
      </c>
      <c r="CV57" s="206">
        <f>CV54/CV40</f>
        <v>0.40545171423075049</v>
      </c>
      <c r="CW57" s="206">
        <f>CW54/CW40</f>
        <v>0.39240537479794219</v>
      </c>
      <c r="CX57" s="206">
        <f>CX54/CX40</f>
        <v>0.37640927877582764</v>
      </c>
      <c r="CY57" s="208">
        <f>CY54/CY40</f>
        <v>0.39979710980444449</v>
      </c>
      <c r="DA57" s="209">
        <f>DA54/DA40</f>
        <v>0.42724822204289103</v>
      </c>
      <c r="DB57" s="206">
        <f>DB54/DB40</f>
        <v>0.40481222614543866</v>
      </c>
      <c r="DC57" s="206">
        <f>DC54/DC40</f>
        <v>0.39186542950010428</v>
      </c>
      <c r="DD57" s="206">
        <f>DD54/DD40</f>
        <v>0.37568951815379936</v>
      </c>
      <c r="DE57" s="208">
        <f>DE54/DE40</f>
        <v>0.39917076444045163</v>
      </c>
      <c r="DG57" s="209">
        <f>DG54/DG40</f>
        <v>0.42665781510166756</v>
      </c>
      <c r="DH57" s="206">
        <f>DH54/DH40</f>
        <v>0.40417254794113366</v>
      </c>
      <c r="DI57" s="206">
        <f>DI54/DI40</f>
        <v>0.39132527029066488</v>
      </c>
      <c r="DJ57" s="206">
        <f>DJ54/DJ40</f>
        <v>0.37496933141617472</v>
      </c>
      <c r="DK57" s="208">
        <f>DK54/DK40</f>
        <v>0.3985443751254073</v>
      </c>
    </row>
    <row r="58" spans="2:115" ht="15.75" thickBot="1" x14ac:dyDescent="0.35">
      <c r="B58" s="41" t="s">
        <v>37</v>
      </c>
      <c r="C58" s="155" t="s">
        <v>35</v>
      </c>
      <c r="D58" s="106" t="s">
        <v>35</v>
      </c>
      <c r="E58" s="106" t="s">
        <v>35</v>
      </c>
      <c r="F58" s="154" t="s">
        <v>35</v>
      </c>
      <c r="G58" s="108" t="s">
        <v>35</v>
      </c>
      <c r="I58" s="174">
        <f>I57-C57</f>
        <v>2.501971728447494E-2</v>
      </c>
      <c r="J58" s="175">
        <f>J57-D57</f>
        <v>1.8456805947193011E-2</v>
      </c>
      <c r="K58" s="175">
        <f>K57-E57</f>
        <v>4.872450652501803E-2</v>
      </c>
      <c r="L58" s="175">
        <f>L57-F57</f>
        <v>5.31119943885901E-2</v>
      </c>
      <c r="M58" s="177">
        <f>M57-G57</f>
        <v>3.8963308806567565E-2</v>
      </c>
      <c r="O58" s="174">
        <f>O57-I57</f>
        <v>-4.6220403390821452E-2</v>
      </c>
      <c r="P58" s="175">
        <f>P57-J57</f>
        <v>0.10796735328410417</v>
      </c>
      <c r="Q58" s="175">
        <f>Q57-K57</f>
        <v>3.6960471089394209E-2</v>
      </c>
      <c r="R58" s="175">
        <f>R57-L57</f>
        <v>4.6578213014927872E-2</v>
      </c>
      <c r="S58" s="177">
        <f>S57-M57</f>
        <v>3.8482751562224582E-2</v>
      </c>
      <c r="U58" s="174">
        <f>U57-O57</f>
        <v>2.2052785923753704E-2</v>
      </c>
      <c r="V58" s="175">
        <f>V57-P57</f>
        <v>-0.10620773750138562</v>
      </c>
      <c r="W58" s="175">
        <f>W57-Q57</f>
        <v>-4.4048441412658623E-2</v>
      </c>
      <c r="X58" s="175">
        <f>X57-R57</f>
        <v>-2.0747569285622158E-2</v>
      </c>
      <c r="Y58" s="177">
        <f>Y57-S57</f>
        <v>-3.9301531872216522E-2</v>
      </c>
      <c r="AA58" s="174">
        <f>AA57-U57</f>
        <v>2.3591718825228702E-2</v>
      </c>
      <c r="AB58" s="175">
        <f>AB57-V57</f>
        <v>1.5244571177889854E-2</v>
      </c>
      <c r="AC58" s="175">
        <f>AC57-W57</f>
        <v>-5.6637519872814013E-2</v>
      </c>
      <c r="AD58" s="175">
        <f>AD57-X57</f>
        <v>-2.3444062619320305E-2</v>
      </c>
      <c r="AE58" s="177">
        <f>AE57-Y57</f>
        <v>-1.011441741778818E-2</v>
      </c>
      <c r="AG58" s="174">
        <f>AG57-AA57</f>
        <v>-2.5109745390693605E-2</v>
      </c>
      <c r="AH58" s="175">
        <f>AH57-AB57</f>
        <v>-4.5031353541991836E-2</v>
      </c>
      <c r="AI58" s="175">
        <f>AI57-AC57</f>
        <v>7.1697909933204074E-2</v>
      </c>
      <c r="AJ58" s="175">
        <f>AJ57-AD57</f>
        <v>-5.1304222510448194E-3</v>
      </c>
      <c r="AK58" s="177">
        <f>AK57-AE57</f>
        <v>-5.9997473790579514E-4</v>
      </c>
      <c r="AM58" s="174">
        <f>AM57-AG57</f>
        <v>-2.4369747899159688E-2</v>
      </c>
      <c r="AN58" s="175">
        <f>AN57-AH57</f>
        <v>-2.0933153463273957E-3</v>
      </c>
      <c r="AO58" s="175">
        <f>AO57-AI57</f>
        <v>-7.6680894862713067E-2</v>
      </c>
      <c r="AP58" s="175">
        <f>AP57-AJ57</f>
        <v>-9.7754672450086066E-3</v>
      </c>
      <c r="AQ58" s="177">
        <f>AQ57-AK57</f>
        <v>-2.8723818974377147E-2</v>
      </c>
      <c r="AS58" s="174">
        <f>AS57-AM57</f>
        <v>-2.8076651221236149E-2</v>
      </c>
      <c r="AT58" s="175">
        <f>AT57-AN57</f>
        <v>-2.6428293820443038E-2</v>
      </c>
      <c r="AU58" s="175">
        <f>AU57-AO57</f>
        <v>1.927069053307745E-2</v>
      </c>
      <c r="AV58" s="175">
        <f>AV57-AP57</f>
        <v>-3.1222056631892703E-2</v>
      </c>
      <c r="AW58" s="177">
        <f>AW57-AQ57</f>
        <v>-1.6839826117230172E-2</v>
      </c>
      <c r="AY58" s="174">
        <f>AY57-AS57</f>
        <v>-3.6101232321561483E-2</v>
      </c>
      <c r="AZ58" s="175">
        <f>AZ57-AT57</f>
        <v>-3.7704231252618237E-3</v>
      </c>
      <c r="BA58" s="175">
        <f>BA57-AU57</f>
        <v>-2.7535153342994778E-2</v>
      </c>
      <c r="BB58" s="175">
        <f>BB57-AV57</f>
        <v>1.44963144963145E-2</v>
      </c>
      <c r="BC58" s="177">
        <f>BC57-AW57</f>
        <v>-1.2855475202108002E-2</v>
      </c>
      <c r="BE58" s="174">
        <f>BE57-AY57</f>
        <v>3.8509100745836078E-2</v>
      </c>
      <c r="BF58" s="175">
        <f>BF57-AZ57</f>
        <v>1.3600133771807577E-2</v>
      </c>
      <c r="BG58" s="175">
        <f>BG57-BA57</f>
        <v>1.7739202600366544E-2</v>
      </c>
      <c r="BH58" s="175">
        <f>BH57-BB57</f>
        <v>-3.331238214959148E-2</v>
      </c>
      <c r="BI58" s="177">
        <f>BI57-BC57</f>
        <v>7.917520207418538E-3</v>
      </c>
      <c r="BK58" s="174">
        <f>BK57-BE57</f>
        <v>-1.037348221030715E-2</v>
      </c>
      <c r="BL58" s="175">
        <f>BL57-BF57</f>
        <v>-2.595874290461031E-2</v>
      </c>
      <c r="BM58" s="175">
        <f>BM57-BG57</f>
        <v>-3.4883911723685324E-2</v>
      </c>
      <c r="BN58" s="175">
        <f>BN57-BH57</f>
        <v>1.5360851282931465E-2</v>
      </c>
      <c r="BO58" s="177">
        <f>BO57-BI57</f>
        <v>-1.343304979944282E-2</v>
      </c>
      <c r="BQ58" s="174">
        <f>BQ57-BK57</f>
        <v>1.9276321077307812E-2</v>
      </c>
      <c r="BR58" s="175">
        <f>BR57-BL57</f>
        <v>1.5840251842471176E-2</v>
      </c>
      <c r="BS58" s="175">
        <f>BS57-BM57</f>
        <v>9.331788755781556E-3</v>
      </c>
      <c r="BT58" s="175">
        <f>BT57-BN57</f>
        <v>1.1857378262306595E-3</v>
      </c>
      <c r="BU58" s="177">
        <f>BU57-BO57</f>
        <v>1.1256440163877446E-2</v>
      </c>
      <c r="BW58" s="174">
        <f>BW57-BQ57</f>
        <v>-1.2779187558977223E-3</v>
      </c>
      <c r="BX58" s="175">
        <f>BX57-BR57</f>
        <v>-1.3794540803074296E-3</v>
      </c>
      <c r="BY58" s="175">
        <f>BY57-BS57</f>
        <v>-1.4831079638841782E-3</v>
      </c>
      <c r="BZ58" s="175">
        <f>BZ57-BT57</f>
        <v>-2.1025051957546115E-4</v>
      </c>
      <c r="CA58" s="177">
        <f>CA57-BU57</f>
        <v>-1.0916545842289405E-3</v>
      </c>
      <c r="CC58" s="174">
        <f>CC57-BW57</f>
        <v>-2.9390244241199182E-3</v>
      </c>
      <c r="CD58" s="175">
        <f>CD57-BX57</f>
        <v>-2.9334665579950903E-3</v>
      </c>
      <c r="CE58" s="175">
        <f>CE57-BY57</f>
        <v>-2.5000206295880401E-3</v>
      </c>
      <c r="CF58" s="175">
        <f>CF57-BZ57</f>
        <v>-2.4889897516757187E-3</v>
      </c>
      <c r="CG58" s="177">
        <f>CG57-CA57</f>
        <v>-2.6858739935052278E-3</v>
      </c>
      <c r="CI58" s="174">
        <f>CI57-CC57</f>
        <v>-2.9821328029137062E-3</v>
      </c>
      <c r="CJ58" s="175">
        <f>CJ57-CD57</f>
        <v>-3.0243176605993516E-3</v>
      </c>
      <c r="CK58" s="175">
        <f>CK57-CE57</f>
        <v>-2.9435334915059452E-3</v>
      </c>
      <c r="CL58" s="175">
        <f>CL57-CF57</f>
        <v>-3.0940531286238748E-3</v>
      </c>
      <c r="CM58" s="177">
        <f>CM57-CG57</f>
        <v>-3.0130287962454316E-3</v>
      </c>
      <c r="CO58" s="174">
        <f>CO57-CI57</f>
        <v>-3.0894740020410705E-3</v>
      </c>
      <c r="CP58" s="175">
        <f>CP57-CJ57</f>
        <v>-3.1381291683401646E-3</v>
      </c>
      <c r="CQ58" s="175">
        <f>CQ57-CK57</f>
        <v>-3.0387152225986869E-3</v>
      </c>
      <c r="CR58" s="175">
        <f>CR57-CL57</f>
        <v>-3.2180024684524411E-3</v>
      </c>
      <c r="CS58" s="177">
        <f>CS57-CM57</f>
        <v>-3.125358040095505E-3</v>
      </c>
      <c r="CU58" s="174">
        <f>CU57-CO57</f>
        <v>-3.0900854765491537E-3</v>
      </c>
      <c r="CV58" s="175">
        <f>CV57-CP57</f>
        <v>-3.138976596091525E-3</v>
      </c>
      <c r="CW58" s="175">
        <f>CW57-CQ57</f>
        <v>-3.0394680228115201E-3</v>
      </c>
      <c r="CX58" s="175">
        <f>CX57-CR57</f>
        <v>-3.2190377208209386E-3</v>
      </c>
      <c r="CY58" s="177">
        <f>CY57-CS57</f>
        <v>-3.1260064389285747E-3</v>
      </c>
      <c r="DA58" s="174">
        <f>DA57-CU57</f>
        <v>-5.9039184293740998E-4</v>
      </c>
      <c r="DB58" s="175">
        <f>DB57-CV57</f>
        <v>-6.3948808531183454E-4</v>
      </c>
      <c r="DC58" s="175">
        <f>DC57-CW57</f>
        <v>-5.3994529783790712E-4</v>
      </c>
      <c r="DD58" s="175">
        <f>DD57-CX57</f>
        <v>-7.1976062202827595E-4</v>
      </c>
      <c r="DE58" s="177">
        <f>DE57-CY57</f>
        <v>-6.26345363992864E-4</v>
      </c>
      <c r="DG58" s="174">
        <f>DG57-DA57</f>
        <v>-5.9040694122347581E-4</v>
      </c>
      <c r="DH58" s="175">
        <f>DH57-DB57</f>
        <v>-6.3967820430499422E-4</v>
      </c>
      <c r="DI58" s="175">
        <f>DI57-DC57</f>
        <v>-5.4015920943939477E-4</v>
      </c>
      <c r="DJ58" s="175">
        <f>DJ57-DD57</f>
        <v>-7.2018673762463958E-4</v>
      </c>
      <c r="DK58" s="177">
        <f>DK57-DE57</f>
        <v>-6.2638931504432893E-4</v>
      </c>
    </row>
    <row r="59" spans="2:115" ht="15.75" thickBot="1" x14ac:dyDescent="0.35">
      <c r="B59" s="1"/>
      <c r="AA59" s="103"/>
      <c r="AB59" s="103"/>
      <c r="AC59" s="103"/>
      <c r="AD59" s="103"/>
      <c r="AE59" s="103"/>
      <c r="AG59" s="103"/>
      <c r="AH59" s="103"/>
      <c r="AI59" s="103"/>
      <c r="AJ59" s="103"/>
      <c r="AK59" s="103"/>
      <c r="AM59" s="103"/>
      <c r="AN59" s="103"/>
      <c r="AO59" s="103"/>
      <c r="AP59" s="103"/>
      <c r="AQ59" s="103"/>
      <c r="AS59" s="103"/>
      <c r="AT59" s="103"/>
      <c r="AU59" s="103"/>
      <c r="AV59" s="103"/>
      <c r="AW59" s="103"/>
      <c r="AY59" s="103"/>
      <c r="AZ59" s="103"/>
      <c r="BA59" s="103"/>
      <c r="BB59" s="103"/>
      <c r="BC59" s="103"/>
      <c r="BE59" s="103"/>
      <c r="BF59" s="103"/>
      <c r="BG59" s="103"/>
      <c r="BH59" s="103"/>
      <c r="BI59" s="103"/>
      <c r="BK59" s="103"/>
      <c r="BL59" s="103"/>
      <c r="BM59" s="103"/>
      <c r="BN59" s="103"/>
      <c r="BO59" s="103"/>
      <c r="BQ59" s="103"/>
      <c r="BR59" s="103"/>
      <c r="BS59" s="103"/>
      <c r="BT59" s="103"/>
      <c r="BU59" s="103"/>
      <c r="BW59" s="103"/>
      <c r="BX59" s="103"/>
      <c r="BY59" s="103"/>
      <c r="BZ59" s="103"/>
      <c r="CA59" s="103"/>
      <c r="CC59" s="103"/>
      <c r="CD59" s="103"/>
      <c r="CE59" s="103"/>
      <c r="CF59" s="103"/>
      <c r="CG59" s="103"/>
      <c r="CI59" s="103"/>
      <c r="CJ59" s="103"/>
      <c r="CK59" s="103"/>
      <c r="CL59" s="103"/>
      <c r="CM59" s="103"/>
      <c r="CO59" s="103"/>
      <c r="CP59" s="103"/>
      <c r="CQ59" s="103"/>
      <c r="CR59" s="103"/>
      <c r="CS59" s="103"/>
      <c r="CU59" s="103"/>
      <c r="CV59" s="103"/>
      <c r="CW59" s="103"/>
      <c r="CX59" s="103"/>
      <c r="CY59" s="103"/>
      <c r="DA59" s="103"/>
      <c r="DB59" s="103"/>
      <c r="DC59" s="103"/>
      <c r="DD59" s="103"/>
      <c r="DE59" s="103"/>
      <c r="DG59" s="103"/>
      <c r="DH59" s="103"/>
      <c r="DI59" s="103"/>
      <c r="DJ59" s="103"/>
      <c r="DK59" s="103"/>
    </row>
    <row r="60" spans="2:115" ht="15" x14ac:dyDescent="0.3">
      <c r="B60" s="139" t="s">
        <v>62</v>
      </c>
      <c r="C60" s="126">
        <v>39</v>
      </c>
      <c r="D60" s="127">
        <v>13</v>
      </c>
      <c r="E60" s="127">
        <v>20</v>
      </c>
      <c r="F60" s="128">
        <v>27</v>
      </c>
      <c r="G60" s="201">
        <f>C60+D60+E60+F60</f>
        <v>99</v>
      </c>
      <c r="H60" s="129"/>
      <c r="I60" s="126">
        <v>25</v>
      </c>
      <c r="J60" s="127">
        <v>11</v>
      </c>
      <c r="K60" s="127">
        <v>24</v>
      </c>
      <c r="L60" s="127">
        <v>30</v>
      </c>
      <c r="M60" s="201">
        <f>I60+J60+K60+L60</f>
        <v>90</v>
      </c>
      <c r="N60" s="129"/>
      <c r="O60" s="126">
        <v>27</v>
      </c>
      <c r="P60" s="127">
        <v>20</v>
      </c>
      <c r="Q60" s="127">
        <v>15</v>
      </c>
      <c r="R60" s="128">
        <v>37</v>
      </c>
      <c r="S60" s="201">
        <f>O60+P60+Q60+R60</f>
        <v>99</v>
      </c>
      <c r="T60" s="129"/>
      <c r="U60" s="126">
        <v>44</v>
      </c>
      <c r="V60" s="252">
        <v>18</v>
      </c>
      <c r="W60" s="252">
        <v>18</v>
      </c>
      <c r="X60" s="258">
        <v>38</v>
      </c>
      <c r="Y60" s="201">
        <f>U60+V60+W60+X60</f>
        <v>118</v>
      </c>
      <c r="Z60" s="254"/>
      <c r="AA60" s="251">
        <v>70</v>
      </c>
      <c r="AB60" s="252">
        <v>17</v>
      </c>
      <c r="AC60" s="252">
        <v>22</v>
      </c>
      <c r="AD60" s="252">
        <v>39</v>
      </c>
      <c r="AE60" s="201">
        <f>AA60+AB60+AC60+AD60</f>
        <v>148</v>
      </c>
      <c r="AF60" s="254"/>
      <c r="AG60" s="251">
        <v>55</v>
      </c>
      <c r="AH60" s="252">
        <v>22</v>
      </c>
      <c r="AI60" s="252">
        <v>20</v>
      </c>
      <c r="AJ60" s="252">
        <v>32</v>
      </c>
      <c r="AK60" s="201">
        <f>AG60+AH60+AI60+AJ60</f>
        <v>129</v>
      </c>
      <c r="AL60" s="254"/>
      <c r="AM60" s="251">
        <v>46</v>
      </c>
      <c r="AN60" s="252">
        <v>20</v>
      </c>
      <c r="AO60" s="252">
        <v>23</v>
      </c>
      <c r="AP60" s="252">
        <v>31</v>
      </c>
      <c r="AQ60" s="201">
        <f>AM60+AN60+AO60+AP60</f>
        <v>120</v>
      </c>
      <c r="AR60" s="254"/>
      <c r="AS60" s="251">
        <v>133</v>
      </c>
      <c r="AT60" s="252">
        <v>14</v>
      </c>
      <c r="AU60" s="252">
        <v>18</v>
      </c>
      <c r="AV60" s="252">
        <v>21</v>
      </c>
      <c r="AW60" s="201">
        <f>AS60+AT60+AU60+AV60</f>
        <v>186</v>
      </c>
      <c r="AX60" s="254"/>
      <c r="AY60" s="251">
        <v>66</v>
      </c>
      <c r="AZ60" s="252">
        <v>-27</v>
      </c>
      <c r="BA60" s="252">
        <v>29</v>
      </c>
      <c r="BB60" s="252">
        <v>36</v>
      </c>
      <c r="BC60" s="201">
        <f>AY60+AZ60+BA60+BB60</f>
        <v>104</v>
      </c>
      <c r="BD60" s="254"/>
      <c r="BE60" s="251">
        <v>42</v>
      </c>
      <c r="BF60" s="252">
        <v>42</v>
      </c>
      <c r="BG60" s="252">
        <v>51</v>
      </c>
      <c r="BH60" s="252">
        <v>25</v>
      </c>
      <c r="BI60" s="201">
        <f>BE60+BF60+BG60+BH60</f>
        <v>160</v>
      </c>
      <c r="BJ60" s="254"/>
      <c r="BK60" s="251">
        <v>37</v>
      </c>
      <c r="BL60" s="252">
        <v>28</v>
      </c>
      <c r="BM60" s="252">
        <v>25</v>
      </c>
      <c r="BN60" s="252">
        <v>32</v>
      </c>
      <c r="BO60" s="201">
        <f>BK60+BL60+BM60+BN60</f>
        <v>122</v>
      </c>
      <c r="BP60" s="254"/>
      <c r="BQ60" s="251">
        <f>BQ63*BQ40</f>
        <v>36.10695531942131</v>
      </c>
      <c r="BR60" s="252">
        <f>BR63*BR40</f>
        <v>26.424984019787718</v>
      </c>
      <c r="BS60" s="252">
        <f>BS63*BS40</f>
        <v>24.133436260276124</v>
      </c>
      <c r="BT60" s="252">
        <f>BT63*BT40</f>
        <v>32.286497925512379</v>
      </c>
      <c r="BU60" s="201">
        <f>BQ60+BR60+BS60+BT60</f>
        <v>118.95187352499754</v>
      </c>
      <c r="BV60" s="254"/>
      <c r="BW60" s="251">
        <f>BW63*BW40</f>
        <v>29.408348663486208</v>
      </c>
      <c r="BX60" s="252">
        <f>BX63*BX40</f>
        <v>28.155118799766267</v>
      </c>
      <c r="BY60" s="252">
        <f>BY63*BY40</f>
        <v>28.574636041629553</v>
      </c>
      <c r="BZ60" s="252">
        <f>BZ63*BZ40</f>
        <v>32.924086486925276</v>
      </c>
      <c r="CA60" s="201">
        <f>BW60+BX60+BY60+BZ60</f>
        <v>119.0621899918073</v>
      </c>
      <c r="CB60" s="254"/>
      <c r="CC60" s="251">
        <f>CC63*CC40</f>
        <v>29.969184203809199</v>
      </c>
      <c r="CD60" s="252">
        <f>CD63*CD40</f>
        <v>28.729914522276705</v>
      </c>
      <c r="CE60" s="252">
        <f>CE63*CE40</f>
        <v>29.050055786854227</v>
      </c>
      <c r="CF60" s="252">
        <f>CF63*CF40</f>
        <v>33.464923281286481</v>
      </c>
      <c r="CG60" s="201">
        <f>CC60+CD60+CE60+CF60</f>
        <v>121.21407779422663</v>
      </c>
      <c r="CH60" s="254"/>
      <c r="CI60" s="251">
        <f>CI63*CI40</f>
        <v>30.451274800518465</v>
      </c>
      <c r="CJ60" s="252">
        <f>CJ63*CJ40</f>
        <v>29.183503785256967</v>
      </c>
      <c r="CK60" s="252">
        <f>CK63*CK40</f>
        <v>29.509410694689009</v>
      </c>
      <c r="CL60" s="252">
        <f>CL63*CL40</f>
        <v>34.006546712711469</v>
      </c>
      <c r="CM60" s="201">
        <f>CI60+CJ60+CK60+CL60</f>
        <v>123.15073599317591</v>
      </c>
      <c r="CN60" s="254"/>
      <c r="CO60" s="251">
        <f>CO63*CO40</f>
        <v>30.826091773735644</v>
      </c>
      <c r="CP60" s="252">
        <f>CP63*CP40</f>
        <v>29.535625574446875</v>
      </c>
      <c r="CQ60" s="252">
        <f>CQ63*CQ40</f>
        <v>29.867749020778298</v>
      </c>
      <c r="CR60" s="252">
        <f>CR63*CR40</f>
        <v>34.439069237419716</v>
      </c>
      <c r="CS60" s="201">
        <f>CO60+CP60+CQ60+CR60</f>
        <v>124.66853560638054</v>
      </c>
      <c r="CT60" s="254"/>
      <c r="CU60" s="251">
        <f>CU63*CU40</f>
        <v>31.216772373178671</v>
      </c>
      <c r="CV60" s="252">
        <f>CV63*CV40</f>
        <v>29.902871351118268</v>
      </c>
      <c r="CW60" s="252">
        <f>CW63*CW40</f>
        <v>30.241281793342726</v>
      </c>
      <c r="CX60" s="252">
        <f>CX63*CX40</f>
        <v>34.888610340543472</v>
      </c>
      <c r="CY60" s="201">
        <f>CU60+CV60+CW60+CX60</f>
        <v>126.24953585818312</v>
      </c>
      <c r="CZ60" s="254"/>
      <c r="DA60" s="251">
        <f>DA63*DA40</f>
        <v>31.623610208870918</v>
      </c>
      <c r="DB60" s="252">
        <f>DB63*DB40</f>
        <v>30.285518535101449</v>
      </c>
      <c r="DC60" s="252">
        <f>DC63*DC40</f>
        <v>30.630286184440557</v>
      </c>
      <c r="DD60" s="252">
        <f>DD63*DD40</f>
        <v>35.355477573174014</v>
      </c>
      <c r="DE60" s="201">
        <f>DA60+DB60+DC60+DD60</f>
        <v>127.89489250158694</v>
      </c>
      <c r="DF60" s="254"/>
      <c r="DG60" s="251">
        <f>DG63*DG40</f>
        <v>32.046903410422047</v>
      </c>
      <c r="DH60" s="252">
        <f>DH63*DH40</f>
        <v>30.683848786731382</v>
      </c>
      <c r="DI60" s="252">
        <f>DI63*DI40</f>
        <v>31.035043622965581</v>
      </c>
      <c r="DJ60" s="252">
        <f>DJ63*DJ40</f>
        <v>35.839983264141047</v>
      </c>
      <c r="DK60" s="201">
        <f>DG60+DH60+DI60+DJ60</f>
        <v>129.60577908426006</v>
      </c>
    </row>
    <row r="61" spans="2:115" ht="15" x14ac:dyDescent="0.3">
      <c r="B61" s="5" t="s">
        <v>40</v>
      </c>
      <c r="C61" s="144" t="s">
        <v>35</v>
      </c>
      <c r="D61" s="107" t="s">
        <v>35</v>
      </c>
      <c r="E61" s="107" t="s">
        <v>35</v>
      </c>
      <c r="F61" s="145" t="s">
        <v>35</v>
      </c>
      <c r="G61" s="138" t="s">
        <v>35</v>
      </c>
      <c r="H61" s="107"/>
      <c r="I61" s="151">
        <f>I60/C60-1</f>
        <v>-0.35897435897435892</v>
      </c>
      <c r="J61" s="133">
        <f>J60/D60-1</f>
        <v>-0.15384615384615385</v>
      </c>
      <c r="K61" s="133">
        <f>K60/E60-1</f>
        <v>0.19999999999999996</v>
      </c>
      <c r="L61" s="133">
        <f>L60/F60-1</f>
        <v>0.11111111111111116</v>
      </c>
      <c r="M61" s="153">
        <f>M60/G60-1</f>
        <v>-9.0909090909090939E-2</v>
      </c>
      <c r="N61" s="107"/>
      <c r="O61" s="151">
        <f>O60/I60-1</f>
        <v>8.0000000000000071E-2</v>
      </c>
      <c r="P61" s="133">
        <f>P60/J60-1</f>
        <v>0.81818181818181812</v>
      </c>
      <c r="Q61" s="133">
        <f>Q60/K60-1</f>
        <v>-0.375</v>
      </c>
      <c r="R61" s="152">
        <f>R60/L60-1</f>
        <v>0.23333333333333339</v>
      </c>
      <c r="S61" s="153">
        <f>S60/M60-1</f>
        <v>0.10000000000000009</v>
      </c>
      <c r="T61" s="107"/>
      <c r="U61" s="151">
        <f>U60/O60-1</f>
        <v>0.62962962962962954</v>
      </c>
      <c r="V61" s="133">
        <f>V60/P60-1</f>
        <v>-9.9999999999999978E-2</v>
      </c>
      <c r="W61" s="133">
        <f>W60/Q60-1</f>
        <v>0.19999999999999996</v>
      </c>
      <c r="X61" s="152">
        <f>X60/R60-1</f>
        <v>2.7027027027026973E-2</v>
      </c>
      <c r="Y61" s="153">
        <f>Y60/S60-1</f>
        <v>0.19191919191919182</v>
      </c>
      <c r="AA61" s="151">
        <f>AA60/U60-1</f>
        <v>0.59090909090909083</v>
      </c>
      <c r="AB61" s="133">
        <f>AB60/V60-1</f>
        <v>-5.555555555555558E-2</v>
      </c>
      <c r="AC61" s="133">
        <f>AC60/W60-1</f>
        <v>0.22222222222222232</v>
      </c>
      <c r="AD61" s="133">
        <f>AD60/X60-1</f>
        <v>2.6315789473684292E-2</v>
      </c>
      <c r="AE61" s="153">
        <f>AE60/Y60-1</f>
        <v>0.25423728813559321</v>
      </c>
      <c r="AG61" s="151">
        <f>AG60/AA60-1</f>
        <v>-0.2142857142857143</v>
      </c>
      <c r="AH61" s="133">
        <f>AH60/AB60-1</f>
        <v>0.29411764705882359</v>
      </c>
      <c r="AI61" s="133">
        <f>AI60/AC60-1</f>
        <v>-9.0909090909090939E-2</v>
      </c>
      <c r="AJ61" s="152">
        <f>AJ60/AD60-1</f>
        <v>-0.17948717948717952</v>
      </c>
      <c r="AK61" s="153">
        <f>AK60/AE60-1</f>
        <v>-0.1283783783783784</v>
      </c>
      <c r="AM61" s="151">
        <f>AM60/AG60-1</f>
        <v>-0.16363636363636369</v>
      </c>
      <c r="AN61" s="133">
        <f>AN60/AH60-1</f>
        <v>-9.0909090909090939E-2</v>
      </c>
      <c r="AO61" s="133">
        <f>AO60/AI60-1</f>
        <v>0.14999999999999991</v>
      </c>
      <c r="AP61" s="133">
        <f>AP60/AJ60-1</f>
        <v>-3.125E-2</v>
      </c>
      <c r="AQ61" s="153">
        <f>AQ60/AK60-1</f>
        <v>-6.9767441860465129E-2</v>
      </c>
      <c r="AS61" s="151">
        <f>AS60/AM60-1</f>
        <v>1.8913043478260869</v>
      </c>
      <c r="AT61" s="133">
        <f>AT60/AN60-1</f>
        <v>-0.30000000000000004</v>
      </c>
      <c r="AU61" s="133">
        <f>AU60/AO60-1</f>
        <v>-0.21739130434782605</v>
      </c>
      <c r="AV61" s="133">
        <f>AV60/AP60-1</f>
        <v>-0.32258064516129037</v>
      </c>
      <c r="AW61" s="153">
        <f>AW60/AQ60-1</f>
        <v>0.55000000000000004</v>
      </c>
      <c r="AY61" s="151">
        <f>AY60/AS60-1</f>
        <v>-0.50375939849624063</v>
      </c>
      <c r="AZ61" s="133">
        <f>AZ60/AT60-1</f>
        <v>-2.9285714285714288</v>
      </c>
      <c r="BA61" s="133">
        <f>BA60/AU60-1</f>
        <v>0.61111111111111116</v>
      </c>
      <c r="BB61" s="133">
        <f>BB60/AV60-1</f>
        <v>0.71428571428571419</v>
      </c>
      <c r="BC61" s="153">
        <f>BC60/AW60-1</f>
        <v>-0.44086021505376349</v>
      </c>
      <c r="BE61" s="151">
        <f>BE60/AY60-1</f>
        <v>-0.36363636363636365</v>
      </c>
      <c r="BF61" s="133">
        <f>BF60/AZ60-1</f>
        <v>-2.5555555555555554</v>
      </c>
      <c r="BG61" s="133">
        <f>BG60/BA60-1</f>
        <v>0.75862068965517238</v>
      </c>
      <c r="BH61" s="133">
        <f>BH60/BB60-1</f>
        <v>-0.30555555555555558</v>
      </c>
      <c r="BI61" s="153">
        <f>BI60/BC60-1</f>
        <v>0.53846153846153855</v>
      </c>
      <c r="BK61" s="151">
        <f>BK60/BE60-1</f>
        <v>-0.11904761904761907</v>
      </c>
      <c r="BL61" s="133">
        <f>BL60/BF60-1</f>
        <v>-0.33333333333333337</v>
      </c>
      <c r="BM61" s="133">
        <f>BM60/BG60-1</f>
        <v>-0.50980392156862742</v>
      </c>
      <c r="BN61" s="133">
        <f>BN60/BH60-1</f>
        <v>0.28000000000000003</v>
      </c>
      <c r="BO61" s="153">
        <f>BO60/BI60-1</f>
        <v>-0.23750000000000004</v>
      </c>
      <c r="BQ61" s="151">
        <f>BQ60/BK60-1</f>
        <v>-2.4136342718342974E-2</v>
      </c>
      <c r="BR61" s="133">
        <f>BR60/BL60-1</f>
        <v>-5.6250570721867232E-2</v>
      </c>
      <c r="BS61" s="133">
        <f>BS60/BM60-1</f>
        <v>-3.4662549588955094E-2</v>
      </c>
      <c r="BT61" s="152">
        <f>BT60/BN60-1</f>
        <v>8.9530601722618286E-3</v>
      </c>
      <c r="BU61" s="153">
        <f>BU60/BO60-1</f>
        <v>-2.498464323772509E-2</v>
      </c>
      <c r="BW61" s="151">
        <f>BW60/BQ60-1</f>
        <v>-0.18552122705101182</v>
      </c>
      <c r="BX61" s="133">
        <f>BX60/BR60-1</f>
        <v>6.5473446594441764E-2</v>
      </c>
      <c r="BY61" s="133">
        <f>BY60/BS60-1</f>
        <v>0.18402683038816514</v>
      </c>
      <c r="BZ61" s="152">
        <f>BZ60/BT60-1</f>
        <v>1.9747838953728225E-2</v>
      </c>
      <c r="CA61" s="153">
        <f>CA60/BU60-1</f>
        <v>9.2740419751846659E-4</v>
      </c>
      <c r="CC61" s="151">
        <f>CC60/BW60-1</f>
        <v>1.90706233369482E-2</v>
      </c>
      <c r="CD61" s="133">
        <f>CD60/BX60-1</f>
        <v>2.0415318670763627E-2</v>
      </c>
      <c r="CE61" s="133">
        <f>CE60/BY60-1</f>
        <v>1.663782329657848E-2</v>
      </c>
      <c r="CF61" s="152">
        <f>CF60/BZ60-1</f>
        <v>1.6426782093892811E-2</v>
      </c>
      <c r="CG61" s="153">
        <f>CG60/CA60-1</f>
        <v>1.8073645399663718E-2</v>
      </c>
      <c r="CI61" s="151">
        <f>CI60/CC60-1</f>
        <v>1.6086210202811868E-2</v>
      </c>
      <c r="CJ61" s="133">
        <f>CJ60/CD60-1</f>
        <v>1.578804777259446E-2</v>
      </c>
      <c r="CK61" s="133">
        <f>CK60/CE60-1</f>
        <v>1.5812531005281238E-2</v>
      </c>
      <c r="CL61" s="152">
        <f>CL60/CF60-1</f>
        <v>1.6184810192822585E-2</v>
      </c>
      <c r="CM61" s="153">
        <f>CM60/CG60-1</f>
        <v>1.5977172240974946E-2</v>
      </c>
      <c r="CO61" s="151">
        <f>CO60/CI60-1</f>
        <v>1.2308744894016677E-2</v>
      </c>
      <c r="CP61" s="133">
        <f>CP60/CJ60-1</f>
        <v>1.2065781812250931E-2</v>
      </c>
      <c r="CQ61" s="133">
        <f>CQ60/CK60-1</f>
        <v>1.2143188144173367E-2</v>
      </c>
      <c r="CR61" s="152">
        <f>CR60/CL60-1</f>
        <v>1.2718801716687489E-2</v>
      </c>
      <c r="CS61" s="153">
        <f>CS60/CM60-1</f>
        <v>1.2324730347439639E-2</v>
      </c>
      <c r="CU61" s="151">
        <f>CU60/CO60-1</f>
        <v>1.2673698706622716E-2</v>
      </c>
      <c r="CV61" s="133">
        <f>CV60/CP60-1</f>
        <v>1.2433993508812691E-2</v>
      </c>
      <c r="CW61" s="133">
        <f>CW60/CQ60-1</f>
        <v>1.2506224433068924E-2</v>
      </c>
      <c r="CX61" s="152">
        <f>CX60/CR60-1</f>
        <v>1.3053230330490662E-2</v>
      </c>
      <c r="CY61" s="153">
        <f>CY60/CS60-1</f>
        <v>1.2681630085030537E-2</v>
      </c>
      <c r="DA61" s="151">
        <f>DA60/CU60-1</f>
        <v>1.3032668170454453E-2</v>
      </c>
      <c r="DB61" s="133">
        <f>DB60/CV60-1</f>
        <v>1.2796335826421368E-2</v>
      </c>
      <c r="DC61" s="133">
        <f>DC60/CW60-1</f>
        <v>1.2863356578472374E-2</v>
      </c>
      <c r="DD61" s="152">
        <f>DD60/CX60-1</f>
        <v>1.3381651721679599E-2</v>
      </c>
      <c r="DE61" s="153">
        <f>DE60/CY60-1</f>
        <v>1.3032575781126488E-2</v>
      </c>
      <c r="DG61" s="151">
        <f>DG60/DA60-1</f>
        <v>1.3385353498709174E-2</v>
      </c>
      <c r="DH61" s="133">
        <f>DH60/DB60-1</f>
        <v>1.3152498979611682E-2</v>
      </c>
      <c r="DI61" s="133">
        <f>DI60/DC60-1</f>
        <v>1.3214288501510296E-2</v>
      </c>
      <c r="DJ61" s="152">
        <f>DJ60/DD60-1</f>
        <v>1.3703836695863281E-2</v>
      </c>
      <c r="DK61" s="153">
        <f>DK60/DE60-1</f>
        <v>1.3377286216897932E-2</v>
      </c>
    </row>
    <row r="62" spans="2:115" ht="15" x14ac:dyDescent="0.3">
      <c r="B62" s="105"/>
      <c r="C62" s="144"/>
      <c r="D62" s="107"/>
      <c r="E62" s="107"/>
      <c r="F62" s="145"/>
      <c r="G62" s="138"/>
      <c r="H62" s="107"/>
      <c r="I62" s="144"/>
      <c r="J62" s="107"/>
      <c r="K62" s="107"/>
      <c r="L62" s="107"/>
      <c r="M62" s="138"/>
      <c r="N62" s="107"/>
      <c r="O62" s="144"/>
      <c r="P62" s="107"/>
      <c r="Q62" s="107"/>
      <c r="R62" s="145"/>
      <c r="S62" s="138"/>
      <c r="T62" s="107"/>
      <c r="U62" s="144"/>
      <c r="V62" s="107"/>
      <c r="W62" s="107"/>
      <c r="X62" s="145"/>
      <c r="Y62" s="138"/>
      <c r="AA62" s="144"/>
      <c r="AB62" s="107"/>
      <c r="AC62" s="107"/>
      <c r="AD62" s="145"/>
      <c r="AE62" s="138"/>
      <c r="AG62" s="144"/>
      <c r="AH62" s="107"/>
      <c r="AI62" s="107"/>
      <c r="AJ62" s="145"/>
      <c r="AK62" s="138"/>
      <c r="AM62" s="144"/>
      <c r="AN62" s="107"/>
      <c r="AO62" s="107"/>
      <c r="AP62" s="107"/>
      <c r="AQ62" s="138"/>
      <c r="AS62" s="144"/>
      <c r="AT62" s="107"/>
      <c r="AU62" s="107"/>
      <c r="AV62" s="107"/>
      <c r="AW62" s="138"/>
      <c r="AY62" s="144"/>
      <c r="AZ62" s="107"/>
      <c r="BA62" s="107"/>
      <c r="BB62" s="107"/>
      <c r="BC62" s="138"/>
      <c r="BE62" s="144"/>
      <c r="BF62" s="107"/>
      <c r="BG62" s="107"/>
      <c r="BH62" s="107"/>
      <c r="BI62" s="138"/>
      <c r="BK62" s="144"/>
      <c r="BL62" s="107"/>
      <c r="BM62" s="107"/>
      <c r="BN62" s="145"/>
      <c r="BO62" s="138"/>
      <c r="BQ62" s="144"/>
      <c r="BR62" s="107"/>
      <c r="BS62" s="107"/>
      <c r="BT62" s="145"/>
      <c r="BU62" s="138"/>
      <c r="BW62" s="144"/>
      <c r="BX62" s="107"/>
      <c r="BY62" s="107"/>
      <c r="BZ62" s="145"/>
      <c r="CA62" s="138"/>
      <c r="CC62" s="144"/>
      <c r="CD62" s="107"/>
      <c r="CE62" s="107"/>
      <c r="CF62" s="145"/>
      <c r="CG62" s="138"/>
      <c r="CI62" s="144"/>
      <c r="CJ62" s="107"/>
      <c r="CK62" s="107"/>
      <c r="CL62" s="145"/>
      <c r="CM62" s="138"/>
      <c r="CO62" s="144"/>
      <c r="CP62" s="107"/>
      <c r="CQ62" s="107"/>
      <c r="CR62" s="145"/>
      <c r="CS62" s="138"/>
      <c r="CU62" s="144"/>
      <c r="CV62" s="107"/>
      <c r="CW62" s="107"/>
      <c r="CX62" s="145"/>
      <c r="CY62" s="138"/>
      <c r="DA62" s="144"/>
      <c r="DB62" s="107"/>
      <c r="DC62" s="107"/>
      <c r="DD62" s="145"/>
      <c r="DE62" s="138"/>
      <c r="DG62" s="144"/>
      <c r="DH62" s="107"/>
      <c r="DI62" s="107"/>
      <c r="DJ62" s="145"/>
      <c r="DK62" s="138"/>
    </row>
    <row r="63" spans="2:115" ht="15" x14ac:dyDescent="0.3">
      <c r="B63" s="105" t="s">
        <v>24</v>
      </c>
      <c r="C63" s="171">
        <f>C60/C40</f>
        <v>0.14716981132075471</v>
      </c>
      <c r="D63" s="165">
        <f>D60/D40</f>
        <v>4.6099290780141841E-2</v>
      </c>
      <c r="E63" s="165">
        <f>E60/E40</f>
        <v>6.6889632107023408E-2</v>
      </c>
      <c r="F63" s="172">
        <f>F60/F40</f>
        <v>8.3076923076923076E-2</v>
      </c>
      <c r="G63" s="173">
        <f>G60/G40</f>
        <v>8.4543125533731847E-2</v>
      </c>
      <c r="H63" s="166"/>
      <c r="I63" s="171">
        <f>I60/I40</f>
        <v>8.0385852090032156E-2</v>
      </c>
      <c r="J63" s="165">
        <f>J60/J40</f>
        <v>3.313253012048193E-2</v>
      </c>
      <c r="K63" s="165">
        <f>K60/K40</f>
        <v>6.7226890756302518E-2</v>
      </c>
      <c r="L63" s="165">
        <f>L60/L40</f>
        <v>9.1185410334346503E-2</v>
      </c>
      <c r="M63" s="173">
        <f>M60/M40</f>
        <v>6.772009029345373E-2</v>
      </c>
      <c r="N63" s="166"/>
      <c r="O63" s="171">
        <f>O60/O40</f>
        <v>9.8181818181818176E-2</v>
      </c>
      <c r="P63" s="165">
        <f>P60/P40</f>
        <v>6.4516129032258063E-2</v>
      </c>
      <c r="Q63" s="165">
        <f>Q60/Q40</f>
        <v>4.7923322683706068E-2</v>
      </c>
      <c r="R63" s="172">
        <f>R60/R40</f>
        <v>0.12627986348122866</v>
      </c>
      <c r="S63" s="173">
        <f>S60/S40</f>
        <v>8.3123425692695208E-2</v>
      </c>
      <c r="T63" s="166"/>
      <c r="U63" s="171">
        <f>U60/U40</f>
        <v>0.15770609318996415</v>
      </c>
      <c r="V63" s="165">
        <f>V60/V40</f>
        <v>6.1855670103092786E-2</v>
      </c>
      <c r="W63" s="165">
        <f>W60/W40</f>
        <v>6.0810810810810814E-2</v>
      </c>
      <c r="X63" s="165">
        <f>X60/X40</f>
        <v>0.13058419243986255</v>
      </c>
      <c r="Y63" s="173">
        <f>Y60/Y40</f>
        <v>0.10198789974070872</v>
      </c>
      <c r="AA63" s="171">
        <f>AA60/AA40</f>
        <v>0.26119402985074625</v>
      </c>
      <c r="AB63" s="165">
        <f>AB60/AB40</f>
        <v>6.0283687943262408E-2</v>
      </c>
      <c r="AC63" s="165">
        <f>AC60/AC40</f>
        <v>8.0882352941176475E-2</v>
      </c>
      <c r="AD63" s="165">
        <f>AD60/AD40</f>
        <v>0.14444444444444443</v>
      </c>
      <c r="AE63" s="173">
        <f>AE60/AE40</f>
        <v>0.13553113553113552</v>
      </c>
      <c r="AG63" s="171">
        <f>AG60/AG40</f>
        <v>0.21568627450980393</v>
      </c>
      <c r="AH63" s="165">
        <f>AH60/AH40</f>
        <v>8.4942084942084939E-2</v>
      </c>
      <c r="AI63" s="165">
        <f>AI60/AI40</f>
        <v>7.3260073260073263E-2</v>
      </c>
      <c r="AJ63" s="165">
        <f>AJ60/AJ40</f>
        <v>0.1245136186770428</v>
      </c>
      <c r="AK63" s="173">
        <f>AK60/AK40</f>
        <v>0.1235632183908046</v>
      </c>
      <c r="AM63" s="171">
        <f>AM60/AM40</f>
        <v>0.19327731092436976</v>
      </c>
      <c r="AN63" s="165">
        <f>AN60/AN40</f>
        <v>8.0321285140562249E-2</v>
      </c>
      <c r="AO63" s="165">
        <f>AO60/AO40</f>
        <v>9.5041322314049589E-2</v>
      </c>
      <c r="AP63" s="165">
        <f>AP60/AP40</f>
        <v>0.12704918032786885</v>
      </c>
      <c r="AQ63" s="173">
        <f>AQ60/AQ40</f>
        <v>0.12332990750256938</v>
      </c>
      <c r="AS63" s="171">
        <f>AS60/AS40</f>
        <v>0.62149532710280375</v>
      </c>
      <c r="AT63" s="165">
        <f>AT60/AT40</f>
        <v>6.4516129032258063E-2</v>
      </c>
      <c r="AU63" s="165">
        <f>AU60/AU40</f>
        <v>8.5308056872037921E-2</v>
      </c>
      <c r="AV63" s="165">
        <f>AV60/AV40</f>
        <v>9.5454545454545459E-2</v>
      </c>
      <c r="AW63" s="173">
        <f>AW60/AW40</f>
        <v>0.21577726218097448</v>
      </c>
      <c r="AY63" s="171">
        <f>AY60/AY40</f>
        <v>0.29203539823008851</v>
      </c>
      <c r="AZ63" s="165">
        <f>AZ60/AZ40</f>
        <v>-0.11688311688311688</v>
      </c>
      <c r="BA63" s="165">
        <f>BA60/BA40</f>
        <v>0.11983471074380166</v>
      </c>
      <c r="BB63" s="165">
        <f>BB60/BB40</f>
        <v>0.138996138996139</v>
      </c>
      <c r="BC63" s="173">
        <f>BC60/BC40</f>
        <v>0.10855949895615867</v>
      </c>
      <c r="BE63" s="171">
        <f>BE60/BE40</f>
        <v>0.18340611353711792</v>
      </c>
      <c r="BF63" s="165">
        <f>BF60/BF40</f>
        <v>0.18025751072961374</v>
      </c>
      <c r="BG63" s="165">
        <f>BG60/BG40</f>
        <v>0.21338912133891214</v>
      </c>
      <c r="BH63" s="165">
        <f>BH60/BH40</f>
        <v>9.6899224806201556E-2</v>
      </c>
      <c r="BI63" s="173">
        <f>BI60/BI40</f>
        <v>0.16684045881126172</v>
      </c>
      <c r="BK63" s="171">
        <f>BK60/BK40</f>
        <v>0.15611814345991562</v>
      </c>
      <c r="BL63" s="165">
        <f>BL60/BL40</f>
        <v>0.11290322580645161</v>
      </c>
      <c r="BM63" s="165">
        <f>BM60/BM40</f>
        <v>9.8039215686274508E-2</v>
      </c>
      <c r="BN63" s="165">
        <f>BN60/BN40</f>
        <v>0.11808118081180811</v>
      </c>
      <c r="BO63" s="173">
        <f>BO60/BO40</f>
        <v>0.12067260138476756</v>
      </c>
      <c r="BQ63" s="171">
        <v>0.15</v>
      </c>
      <c r="BR63" s="165">
        <v>0.105</v>
      </c>
      <c r="BS63" s="165">
        <v>9.5000000000000001E-2</v>
      </c>
      <c r="BT63" s="165">
        <v>0.12</v>
      </c>
      <c r="BU63" s="173">
        <f>BU60/BU40</f>
        <v>0.11713973696641161</v>
      </c>
      <c r="BW63" s="171">
        <v>0.12</v>
      </c>
      <c r="BX63" s="165">
        <v>0.11</v>
      </c>
      <c r="BY63" s="165">
        <v>0.11</v>
      </c>
      <c r="BZ63" s="165">
        <v>0.12</v>
      </c>
      <c r="CA63" s="173">
        <f>CA60/CA40</f>
        <v>0.11501792915293051</v>
      </c>
      <c r="CC63" s="171">
        <v>0.12</v>
      </c>
      <c r="CD63" s="165">
        <v>0.11</v>
      </c>
      <c r="CE63" s="165">
        <v>0.11</v>
      </c>
      <c r="CF63" s="165">
        <v>0.12</v>
      </c>
      <c r="CG63" s="173">
        <f>CG60/CG40</f>
        <v>0.11501587027563329</v>
      </c>
      <c r="CI63" s="171">
        <v>0.12</v>
      </c>
      <c r="CJ63" s="165">
        <v>0.11</v>
      </c>
      <c r="CK63" s="165">
        <v>0.11</v>
      </c>
      <c r="CL63" s="165">
        <v>0.12</v>
      </c>
      <c r="CM63" s="173">
        <f>CM60/CM40</f>
        <v>0.11501670166452431</v>
      </c>
      <c r="CO63" s="171">
        <v>0.12</v>
      </c>
      <c r="CP63" s="165">
        <v>0.11</v>
      </c>
      <c r="CQ63" s="165">
        <v>0.11</v>
      </c>
      <c r="CR63" s="165">
        <v>0.12</v>
      </c>
      <c r="CS63" s="173">
        <f>CS60/CS40</f>
        <v>0.11501773982246918</v>
      </c>
      <c r="CU63" s="171">
        <v>0.12</v>
      </c>
      <c r="CV63" s="165">
        <v>0.11</v>
      </c>
      <c r="CW63" s="165">
        <v>0.11</v>
      </c>
      <c r="CX63" s="165">
        <v>0.12</v>
      </c>
      <c r="CY63" s="173">
        <f>CY60/CY40</f>
        <v>0.11501873632810761</v>
      </c>
      <c r="DA63" s="171">
        <v>0.12</v>
      </c>
      <c r="DB63" s="165">
        <v>0.11</v>
      </c>
      <c r="DC63" s="165">
        <v>0.11</v>
      </c>
      <c r="DD63" s="165">
        <v>0.12</v>
      </c>
      <c r="DE63" s="173">
        <f>DE60/DE40</f>
        <v>0.11501969092513656</v>
      </c>
      <c r="DG63" s="171">
        <v>0.12</v>
      </c>
      <c r="DH63" s="165">
        <v>0.11</v>
      </c>
      <c r="DI63" s="165">
        <v>0.11</v>
      </c>
      <c r="DJ63" s="165">
        <v>0.12</v>
      </c>
      <c r="DK63" s="173">
        <f>DK60/DK40</f>
        <v>0.11502060345828671</v>
      </c>
    </row>
    <row r="64" spans="2:115" ht="15.75" thickBot="1" x14ac:dyDescent="0.35">
      <c r="B64" s="140" t="s">
        <v>40</v>
      </c>
      <c r="C64" s="155" t="s">
        <v>35</v>
      </c>
      <c r="D64" s="106" t="s">
        <v>35</v>
      </c>
      <c r="E64" s="106" t="s">
        <v>35</v>
      </c>
      <c r="F64" s="154" t="s">
        <v>35</v>
      </c>
      <c r="G64" s="108" t="s">
        <v>35</v>
      </c>
      <c r="I64" s="174">
        <f>I63-C63</f>
        <v>-6.6783959230722556E-2</v>
      </c>
      <c r="J64" s="175">
        <f>J63-D63</f>
        <v>-1.2966760659659911E-2</v>
      </c>
      <c r="K64" s="175">
        <f>K63-E63</f>
        <v>3.3725864927910965E-4</v>
      </c>
      <c r="L64" s="175">
        <f>L63-F63</f>
        <v>8.1084872574234274E-3</v>
      </c>
      <c r="M64" s="177">
        <f>M63-G63</f>
        <v>-1.6823035240278117E-2</v>
      </c>
      <c r="O64" s="174">
        <f>O63-I63</f>
        <v>1.779596609178602E-2</v>
      </c>
      <c r="P64" s="175">
        <f>P63-J63</f>
        <v>3.1383598911776132E-2</v>
      </c>
      <c r="Q64" s="175">
        <f>Q63-K63</f>
        <v>-1.930356807259645E-2</v>
      </c>
      <c r="R64" s="176">
        <f>R63-L63</f>
        <v>3.5094453146882157E-2</v>
      </c>
      <c r="S64" s="177">
        <f>S63-M63</f>
        <v>1.5403335399241477E-2</v>
      </c>
      <c r="U64" s="174">
        <f>U63-O63</f>
        <v>5.9524275008145971E-2</v>
      </c>
      <c r="V64" s="175">
        <f>V63-P63</f>
        <v>-2.6604589291652769E-3</v>
      </c>
      <c r="W64" s="175">
        <f>W63-Q63</f>
        <v>1.2887488127104746E-2</v>
      </c>
      <c r="X64" s="175">
        <f>X63-R63</f>
        <v>4.3043289586338906E-3</v>
      </c>
      <c r="Y64" s="177">
        <f>Y63-S63</f>
        <v>1.8864474048013516E-2</v>
      </c>
      <c r="AA64" s="174">
        <f>AA63-U63</f>
        <v>0.1034879366607821</v>
      </c>
      <c r="AB64" s="175">
        <f>AB63-V63</f>
        <v>-1.5719821598303776E-3</v>
      </c>
      <c r="AC64" s="175">
        <f>AC63-W63</f>
        <v>2.007154213036566E-2</v>
      </c>
      <c r="AD64" s="175">
        <f>AD63-X63</f>
        <v>1.386025200458188E-2</v>
      </c>
      <c r="AE64" s="177">
        <f>AE63-Y63</f>
        <v>3.3543235790426798E-2</v>
      </c>
      <c r="AG64" s="174">
        <f>AG63-AA63</f>
        <v>-4.5507755340942313E-2</v>
      </c>
      <c r="AH64" s="175">
        <f>AH63-AB63</f>
        <v>2.4658396998822531E-2</v>
      </c>
      <c r="AI64" s="175">
        <f>AI63-AC63</f>
        <v>-7.6222796811032112E-3</v>
      </c>
      <c r="AJ64" s="175">
        <f>AJ63-AD63</f>
        <v>-1.9930825767401628E-2</v>
      </c>
      <c r="AK64" s="177">
        <f>AK63-AE63</f>
        <v>-1.1967917140330922E-2</v>
      </c>
      <c r="AM64" s="174">
        <f>AM63-AG63</f>
        <v>-2.2408963585434177E-2</v>
      </c>
      <c r="AN64" s="175">
        <f>AN63-AH63</f>
        <v>-4.6207998015226903E-3</v>
      </c>
      <c r="AO64" s="175">
        <f>AO63-AI63</f>
        <v>2.1781249053976326E-2</v>
      </c>
      <c r="AP64" s="175">
        <f>AP63-AJ63</f>
        <v>2.5355616508260514E-3</v>
      </c>
      <c r="AQ64" s="177">
        <f>AQ63-AK63</f>
        <v>-2.3331088823522195E-4</v>
      </c>
      <c r="AS64" s="174">
        <f>AS63-AM63</f>
        <v>0.42821801617843402</v>
      </c>
      <c r="AT64" s="175">
        <f>AT63-AN63</f>
        <v>-1.5805156108304186E-2</v>
      </c>
      <c r="AU64" s="175">
        <f>AU63-AO63</f>
        <v>-9.7332654420116682E-3</v>
      </c>
      <c r="AV64" s="175">
        <f>AV63-AP63</f>
        <v>-3.1594634873323396E-2</v>
      </c>
      <c r="AW64" s="177">
        <f>AW63-AQ63</f>
        <v>9.2447354678405105E-2</v>
      </c>
      <c r="AY64" s="174">
        <f>AY63-AS63</f>
        <v>-0.32945992887271525</v>
      </c>
      <c r="AZ64" s="175">
        <f>AZ63-AT63</f>
        <v>-0.18139924591537493</v>
      </c>
      <c r="BA64" s="175">
        <f>BA63-AU63</f>
        <v>3.4526653871763735E-2</v>
      </c>
      <c r="BB64" s="175">
        <f>BB63-AV63</f>
        <v>4.3541593541593537E-2</v>
      </c>
      <c r="BC64" s="177">
        <f>BC63-AW63</f>
        <v>-0.10721776322481581</v>
      </c>
      <c r="BE64" s="174">
        <f>BE63-AY63</f>
        <v>-0.10862928469297059</v>
      </c>
      <c r="BF64" s="175">
        <f>BF63-AZ63</f>
        <v>0.29714062761273063</v>
      </c>
      <c r="BG64" s="175">
        <f>BG63-BA63</f>
        <v>9.3554410595110479E-2</v>
      </c>
      <c r="BH64" s="175">
        <f>BH63-BB63</f>
        <v>-4.209691418993744E-2</v>
      </c>
      <c r="BI64" s="177">
        <f>BI63-BC63</f>
        <v>5.8280959855103051E-2</v>
      </c>
      <c r="BK64" s="174">
        <f>BK63-BE63</f>
        <v>-2.7287970077202295E-2</v>
      </c>
      <c r="BL64" s="175">
        <f>BL63-BF63</f>
        <v>-6.735428492316213E-2</v>
      </c>
      <c r="BM64" s="175">
        <f>BM63-BG63</f>
        <v>-0.11534990565263763</v>
      </c>
      <c r="BN64" s="175">
        <f>BN63-BH63</f>
        <v>2.1181956005606559E-2</v>
      </c>
      <c r="BO64" s="177">
        <f>BO63-BI63</f>
        <v>-4.6167857426494166E-2</v>
      </c>
      <c r="BQ64" s="174">
        <f>BQ63-BK63</f>
        <v>-6.1181434599156259E-3</v>
      </c>
      <c r="BR64" s="175">
        <f>BR63-BL63</f>
        <v>-7.9032258064516137E-3</v>
      </c>
      <c r="BS64" s="175">
        <f>BS63-BM63</f>
        <v>-3.0392156862745073E-3</v>
      </c>
      <c r="BT64" s="176">
        <f>BT63-BN63</f>
        <v>1.9188191881918809E-3</v>
      </c>
      <c r="BU64" s="177">
        <f>BU63-BO63</f>
        <v>-3.5328644183559438E-3</v>
      </c>
      <c r="BW64" s="174">
        <f>BW63-BQ63</f>
        <v>-0.03</v>
      </c>
      <c r="BX64" s="175">
        <f>BX63-BR63</f>
        <v>5.0000000000000044E-3</v>
      </c>
      <c r="BY64" s="175">
        <f>BY63-BS63</f>
        <v>1.4999999999999999E-2</v>
      </c>
      <c r="BZ64" s="176">
        <f>BZ63-BT63</f>
        <v>0</v>
      </c>
      <c r="CA64" s="177">
        <f>CA63-BU63</f>
        <v>-2.1218078134811053E-3</v>
      </c>
      <c r="CC64" s="174">
        <f>CC63-BW63</f>
        <v>0</v>
      </c>
      <c r="CD64" s="175">
        <f>CD63-BX63</f>
        <v>0</v>
      </c>
      <c r="CE64" s="175">
        <f>CE63-BY63</f>
        <v>0</v>
      </c>
      <c r="CF64" s="176">
        <f>CF63-BZ63</f>
        <v>0</v>
      </c>
      <c r="CG64" s="177">
        <f>CG63-CA63</f>
        <v>-2.0588772972202074E-6</v>
      </c>
      <c r="CI64" s="174">
        <f>CI63-CC63</f>
        <v>0</v>
      </c>
      <c r="CJ64" s="175">
        <f>CJ63-CD63</f>
        <v>0</v>
      </c>
      <c r="CK64" s="175">
        <f>CK63-CE63</f>
        <v>0</v>
      </c>
      <c r="CL64" s="176">
        <f>CL63-CF63</f>
        <v>0</v>
      </c>
      <c r="CM64" s="177">
        <f>CM63-CG63</f>
        <v>8.3138889102329916E-7</v>
      </c>
      <c r="CO64" s="174">
        <f>CO63-CI63</f>
        <v>0</v>
      </c>
      <c r="CP64" s="175">
        <f>CP63-CJ63</f>
        <v>0</v>
      </c>
      <c r="CQ64" s="175">
        <f>CQ63-CK63</f>
        <v>0</v>
      </c>
      <c r="CR64" s="176">
        <f>CR63-CL63</f>
        <v>0</v>
      </c>
      <c r="CS64" s="177">
        <f>CS63-CM63</f>
        <v>1.0381579448742739E-6</v>
      </c>
      <c r="CU64" s="174">
        <f>CU63-CO63</f>
        <v>0</v>
      </c>
      <c r="CV64" s="175">
        <f>CV63-CP63</f>
        <v>0</v>
      </c>
      <c r="CW64" s="175">
        <f>CW63-CQ63</f>
        <v>0</v>
      </c>
      <c r="CX64" s="176">
        <f>CX63-CR63</f>
        <v>0</v>
      </c>
      <c r="CY64" s="177">
        <f>CY63-CS63</f>
        <v>9.9650563842312856E-7</v>
      </c>
      <c r="DA64" s="174">
        <f>DA63-CU63</f>
        <v>0</v>
      </c>
      <c r="DB64" s="175">
        <f>DB63-CV63</f>
        <v>0</v>
      </c>
      <c r="DC64" s="175">
        <f>DC63-CW63</f>
        <v>0</v>
      </c>
      <c r="DD64" s="176">
        <f>DD63-CX63</f>
        <v>0</v>
      </c>
      <c r="DE64" s="177">
        <f>DE63-CY63</f>
        <v>9.5459702895150933E-7</v>
      </c>
      <c r="DG64" s="174">
        <f>DG63-DA63</f>
        <v>0</v>
      </c>
      <c r="DH64" s="175">
        <f>DH63-DB63</f>
        <v>0</v>
      </c>
      <c r="DI64" s="175">
        <f>DI63-DC63</f>
        <v>0</v>
      </c>
      <c r="DJ64" s="176">
        <f>DJ63-DD63</f>
        <v>0</v>
      </c>
      <c r="DK64" s="177">
        <f>DK63-DE63</f>
        <v>9.1253315015471514E-7</v>
      </c>
    </row>
    <row r="65" spans="2:115" ht="15.75" thickBot="1" x14ac:dyDescent="0.35">
      <c r="B65" s="1"/>
      <c r="AA65" s="103"/>
      <c r="AB65" s="103"/>
      <c r="AC65" s="103"/>
      <c r="AD65" s="103"/>
      <c r="AE65" s="103"/>
      <c r="AG65" s="103"/>
      <c r="AH65" s="103"/>
      <c r="AI65" s="103"/>
      <c r="AJ65" s="103"/>
      <c r="AK65" s="103"/>
      <c r="AM65" s="103"/>
      <c r="AN65" s="103"/>
      <c r="AO65" s="103"/>
      <c r="AP65" s="103"/>
      <c r="AQ65" s="103"/>
      <c r="AS65" s="103"/>
      <c r="AT65" s="103"/>
      <c r="AU65" s="103"/>
      <c r="AV65" s="103"/>
      <c r="AW65" s="103"/>
      <c r="AY65" s="103"/>
      <c r="AZ65" s="103"/>
      <c r="BA65" s="103"/>
      <c r="BB65" s="103"/>
      <c r="BC65" s="103"/>
      <c r="BE65" s="103"/>
      <c r="BF65" s="103"/>
      <c r="BG65" s="103"/>
      <c r="BH65" s="103"/>
      <c r="BI65" s="103"/>
      <c r="BK65" s="103"/>
      <c r="BL65" s="103"/>
      <c r="BM65" s="103"/>
      <c r="BN65" s="103"/>
      <c r="BO65" s="103"/>
      <c r="BQ65" s="103"/>
      <c r="BR65" s="103"/>
      <c r="BS65" s="103"/>
      <c r="BT65" s="103"/>
      <c r="BU65" s="103"/>
      <c r="BW65" s="103"/>
      <c r="BX65" s="103"/>
      <c r="BY65" s="103"/>
      <c r="BZ65" s="103"/>
      <c r="CA65" s="103"/>
      <c r="CC65" s="103"/>
      <c r="CD65" s="103"/>
      <c r="CE65" s="103"/>
      <c r="CF65" s="103"/>
      <c r="CG65" s="103"/>
      <c r="CI65" s="103"/>
      <c r="CJ65" s="103"/>
      <c r="CK65" s="103"/>
      <c r="CL65" s="103"/>
      <c r="CM65" s="103"/>
      <c r="CO65" s="103"/>
      <c r="CP65" s="103"/>
      <c r="CQ65" s="103"/>
      <c r="CR65" s="103"/>
      <c r="CS65" s="103"/>
      <c r="CU65" s="103"/>
      <c r="CV65" s="103"/>
      <c r="CW65" s="103"/>
      <c r="CX65" s="103"/>
      <c r="CY65" s="103"/>
      <c r="DA65" s="103"/>
      <c r="DB65" s="103"/>
      <c r="DC65" s="103"/>
      <c r="DD65" s="103"/>
      <c r="DE65" s="103"/>
      <c r="DG65" s="103"/>
      <c r="DH65" s="103"/>
      <c r="DI65" s="103"/>
      <c r="DJ65" s="103"/>
      <c r="DK65" s="103"/>
    </row>
    <row r="66" spans="2:115" ht="15" x14ac:dyDescent="0.3">
      <c r="B66" s="42" t="s">
        <v>38</v>
      </c>
      <c r="C66" s="198">
        <f>C54-C60</f>
        <v>89</v>
      </c>
      <c r="D66" s="199">
        <f>D54-D60</f>
        <v>116</v>
      </c>
      <c r="E66" s="199">
        <f>E54-E60</f>
        <v>112</v>
      </c>
      <c r="F66" s="200">
        <f>F54-F60</f>
        <v>97</v>
      </c>
      <c r="G66" s="167">
        <f>C66+D66+E66+F66</f>
        <v>414</v>
      </c>
      <c r="H66" s="197"/>
      <c r="I66" s="198">
        <f>I54-I60</f>
        <v>133</v>
      </c>
      <c r="J66" s="199">
        <f>J54-J60</f>
        <v>147</v>
      </c>
      <c r="K66" s="199">
        <f>K54-K60</f>
        <v>151</v>
      </c>
      <c r="L66" s="200">
        <f>L54-L60</f>
        <v>113</v>
      </c>
      <c r="M66" s="167">
        <f>I66+J66+K66+L66</f>
        <v>544</v>
      </c>
      <c r="N66" s="197"/>
      <c r="O66" s="198">
        <f>O54-O60</f>
        <v>100</v>
      </c>
      <c r="P66" s="199">
        <f>P54-P60</f>
        <v>161</v>
      </c>
      <c r="Q66" s="199">
        <f>Q54-Q60</f>
        <v>150</v>
      </c>
      <c r="R66" s="200">
        <f>R54-R60</f>
        <v>104</v>
      </c>
      <c r="S66" s="167">
        <f>O66+P66+Q66+R66</f>
        <v>515</v>
      </c>
      <c r="T66" s="197"/>
      <c r="U66" s="198">
        <f>U54-U60</f>
        <v>91</v>
      </c>
      <c r="V66" s="199">
        <f>V54-V60</f>
        <v>121</v>
      </c>
      <c r="W66" s="199">
        <f>W54-W60</f>
        <v>125</v>
      </c>
      <c r="X66" s="199">
        <f>X54-X60</f>
        <v>96</v>
      </c>
      <c r="Y66" s="201">
        <f>U66+V66+W66+X66</f>
        <v>433</v>
      </c>
      <c r="Z66" s="259"/>
      <c r="AA66" s="198">
        <f>AA54-AA60</f>
        <v>66</v>
      </c>
      <c r="AB66" s="199">
        <f>AB54-AB60</f>
        <v>122</v>
      </c>
      <c r="AC66" s="199">
        <f>AC54-AC60</f>
        <v>94</v>
      </c>
      <c r="AD66" s="199">
        <f>AD54-AD60</f>
        <v>79</v>
      </c>
      <c r="AE66" s="201">
        <f>AA66+AB66+AC66+AD66</f>
        <v>361</v>
      </c>
      <c r="AF66" s="259"/>
      <c r="AG66" s="198">
        <f>AG54-AG60</f>
        <v>68</v>
      </c>
      <c r="AH66" s="199">
        <f>AH54-AH60</f>
        <v>94</v>
      </c>
      <c r="AI66" s="199">
        <f>AI54-AI60</f>
        <v>116</v>
      </c>
      <c r="AJ66" s="199">
        <f>AJ54-AJ60</f>
        <v>79</v>
      </c>
      <c r="AK66" s="201">
        <f>AG66+AH66+AI66+AJ66</f>
        <v>357</v>
      </c>
      <c r="AL66" s="259"/>
      <c r="AM66" s="198">
        <f>AM54-AM60</f>
        <v>63</v>
      </c>
      <c r="AN66" s="199">
        <f>AN54-AN60</f>
        <v>91</v>
      </c>
      <c r="AO66" s="199">
        <f>AO54-AO60</f>
        <v>79</v>
      </c>
      <c r="AP66" s="199">
        <f>AP54-AP60</f>
        <v>72</v>
      </c>
      <c r="AQ66" s="201">
        <f>AM66+AN66+AO66+AP66</f>
        <v>305</v>
      </c>
      <c r="AR66" s="259"/>
      <c r="AS66" s="198">
        <f>AS54-AS60</f>
        <v>-41</v>
      </c>
      <c r="AT66" s="199">
        <f>AT54-AT60</f>
        <v>77</v>
      </c>
      <c r="AU66" s="199">
        <f>AU54-AU60</f>
        <v>75</v>
      </c>
      <c r="AV66" s="199">
        <f>AV54-AV60</f>
        <v>65</v>
      </c>
      <c r="AW66" s="201">
        <f>AS66+AT66+AU66+AV66</f>
        <v>176</v>
      </c>
      <c r="AX66" s="259"/>
      <c r="AY66" s="198">
        <f>AY54-AY60</f>
        <v>23</v>
      </c>
      <c r="AZ66" s="199">
        <f>AZ54-AZ60</f>
        <v>123</v>
      </c>
      <c r="BA66" s="199">
        <f>BA54-BA60</f>
        <v>71</v>
      </c>
      <c r="BB66" s="199">
        <f>BB54-BB60</f>
        <v>69</v>
      </c>
      <c r="BC66" s="201">
        <f>AY66+AZ66+BA66+BB66</f>
        <v>286</v>
      </c>
      <c r="BD66" s="259"/>
      <c r="BE66" s="198">
        <f>BE54-BE60</f>
        <v>57</v>
      </c>
      <c r="BF66" s="199">
        <f>BF54-BF60</f>
        <v>58</v>
      </c>
      <c r="BG66" s="199">
        <f>BG54-BG60</f>
        <v>52</v>
      </c>
      <c r="BH66" s="199">
        <f>BH54-BH60</f>
        <v>71</v>
      </c>
      <c r="BI66" s="201">
        <f>BE66+BF66+BG66+BH66</f>
        <v>238</v>
      </c>
      <c r="BJ66" s="259"/>
      <c r="BK66" s="198">
        <f>BK54-BK60</f>
        <v>63</v>
      </c>
      <c r="BL66" s="199">
        <f>BL54-BL60</f>
        <v>72</v>
      </c>
      <c r="BM66" s="199">
        <f>BM54-BM60</f>
        <v>76</v>
      </c>
      <c r="BN66" s="199">
        <f>BN54-BN60</f>
        <v>73</v>
      </c>
      <c r="BO66" s="201">
        <f>BK66+BL66+BM66+BN66</f>
        <v>284</v>
      </c>
      <c r="BP66" s="259"/>
      <c r="BQ66" s="198">
        <f>BQ54-BQ60</f>
        <v>70.099788069530291</v>
      </c>
      <c r="BR66" s="199">
        <f>BR54-BR60</f>
        <v>79.039910205513237</v>
      </c>
      <c r="BS66" s="199">
        <f>BS54-BS60</f>
        <v>78.855423810582593</v>
      </c>
      <c r="BT66" s="199">
        <f>BT54-BT60</f>
        <v>72.27860239443541</v>
      </c>
      <c r="BU66" s="201">
        <f>BQ66+BR66+BS66+BT66</f>
        <v>300.27372448006156</v>
      </c>
      <c r="BV66" s="259"/>
      <c r="BW66" s="198">
        <f>BW54-BW60</f>
        <v>78.407394876631741</v>
      </c>
      <c r="BX66" s="199">
        <f>BX54-BX60</f>
        <v>78.75411722486858</v>
      </c>
      <c r="BY66" s="199">
        <f>BY54-BY60</f>
        <v>76.353275026057105</v>
      </c>
      <c r="BZ66" s="199">
        <f>BZ54-BZ60</f>
        <v>73.648262708567742</v>
      </c>
      <c r="CA66" s="201">
        <f>BW66+BX66+BY66+BZ66</f>
        <v>307.16304983612514</v>
      </c>
      <c r="CB66" s="259"/>
      <c r="CC66" s="198">
        <f>CC54-CC60</f>
        <v>79.16867140160582</v>
      </c>
      <c r="CD66" s="199">
        <f>CD54-CD60</f>
        <v>79.595741774965731</v>
      </c>
      <c r="CE66" s="199">
        <f>CE54-CE60</f>
        <v>76.963393335348243</v>
      </c>
      <c r="CF66" s="199">
        <f>CF54-CF60</f>
        <v>74.163951245944048</v>
      </c>
      <c r="CG66" s="201">
        <f>CC66+CD66+CE66+CF66</f>
        <v>309.89175775786384</v>
      </c>
      <c r="CH66" s="259"/>
      <c r="CI66" s="198">
        <f>CI54-CI60</f>
        <v>79.68544741230636</v>
      </c>
      <c r="CJ66" s="199">
        <f>CJ54-CJ60</f>
        <v>80.050037822277432</v>
      </c>
      <c r="CK66" s="199">
        <f>CK54-CK60</f>
        <v>77.390725390604004</v>
      </c>
      <c r="CL66" s="199">
        <f>CL54-CL60</f>
        <v>74.487463534591399</v>
      </c>
      <c r="CM66" s="201">
        <f>CI66+CJ66+CK66+CL66</f>
        <v>311.61367415977918</v>
      </c>
      <c r="CN66" s="259"/>
      <c r="CO66" s="198">
        <f>CO54-CO60</f>
        <v>79.872638513607598</v>
      </c>
      <c r="CP66" s="199">
        <f>CP54-CP60</f>
        <v>80.173298584336692</v>
      </c>
      <c r="CQ66" s="199">
        <f>CQ54-CQ60</f>
        <v>77.505408405870753</v>
      </c>
      <c r="CR66" s="199">
        <f>CR54-CR60</f>
        <v>74.511313065189995</v>
      </c>
      <c r="CS66" s="201">
        <f>CO66+CP66+CQ66+CR66</f>
        <v>312.06265856900507</v>
      </c>
      <c r="CT66" s="259"/>
      <c r="CU66" s="198">
        <f>CU54-CU60</f>
        <v>80.081066144572887</v>
      </c>
      <c r="CV66" s="199">
        <f>CV54-CV60</f>
        <v>80.316860010086273</v>
      </c>
      <c r="CW66" s="199">
        <f>CW54-CW60</f>
        <v>77.639095629264887</v>
      </c>
      <c r="CX66" s="199">
        <f>CX54-CX60</f>
        <v>74.548028457580301</v>
      </c>
      <c r="CY66" s="201">
        <f>CU66+CV66+CW66+CX66</f>
        <v>312.58505024150435</v>
      </c>
      <c r="CZ66" s="259"/>
      <c r="DA66" s="198">
        <f>DA54-DA60</f>
        <v>80.96915009377507</v>
      </c>
      <c r="DB66" s="199">
        <f>DB54-DB60</f>
        <v>81.168555811838203</v>
      </c>
      <c r="DC66" s="199">
        <f>DC54-DC60</f>
        <v>78.487443373531335</v>
      </c>
      <c r="DD66" s="199">
        <f>DD54-DD60</f>
        <v>75.333541873186036</v>
      </c>
      <c r="DE66" s="201">
        <f>DA66+DB66+DC66+DD66</f>
        <v>315.95869115233063</v>
      </c>
      <c r="DF66" s="259"/>
      <c r="DG66" s="198">
        <f>DG54-DG60</f>
        <v>81.895278171785051</v>
      </c>
      <c r="DH66" s="199">
        <f>DH54-DH60</f>
        <v>82.057690711211222</v>
      </c>
      <c r="DI66" s="199">
        <f>DI54-DI60</f>
        <v>79.372200324666977</v>
      </c>
      <c r="DJ66" s="199">
        <f>DJ54-DJ60</f>
        <v>76.150804756874464</v>
      </c>
      <c r="DK66" s="201">
        <f>DG66+DH66+DI66+DJ66</f>
        <v>319.47597396453773</v>
      </c>
    </row>
    <row r="67" spans="2:115" ht="15.75" thickBot="1" x14ac:dyDescent="0.35">
      <c r="B67" s="41" t="s">
        <v>23</v>
      </c>
      <c r="C67" s="155" t="s">
        <v>35</v>
      </c>
      <c r="D67" s="106" t="s">
        <v>35</v>
      </c>
      <c r="E67" s="106" t="s">
        <v>35</v>
      </c>
      <c r="F67" s="106" t="s">
        <v>35</v>
      </c>
      <c r="G67" s="108" t="s">
        <v>35</v>
      </c>
      <c r="I67" s="109">
        <f>I66/C66-1</f>
        <v>0.49438202247191021</v>
      </c>
      <c r="J67" s="110">
        <f>J66/D66-1</f>
        <v>0.26724137931034475</v>
      </c>
      <c r="K67" s="110">
        <f>K66/E66-1</f>
        <v>0.34821428571428581</v>
      </c>
      <c r="L67" s="120">
        <f>L66/F66-1</f>
        <v>0.1649484536082475</v>
      </c>
      <c r="M67" s="122">
        <f>M66/G66-1</f>
        <v>0.31400966183574885</v>
      </c>
      <c r="O67" s="109">
        <f>O66/I66-1</f>
        <v>-0.24812030075187974</v>
      </c>
      <c r="P67" s="110">
        <f>P66/J66-1</f>
        <v>9.5238095238095344E-2</v>
      </c>
      <c r="Q67" s="110">
        <f>Q66/K66-1</f>
        <v>-6.6225165562914245E-3</v>
      </c>
      <c r="R67" s="120">
        <f>R66/L66-1</f>
        <v>-7.9646017699115057E-2</v>
      </c>
      <c r="S67" s="122">
        <f>S66/M66-1</f>
        <v>-5.3308823529411797E-2</v>
      </c>
      <c r="T67" s="107"/>
      <c r="U67" s="109">
        <f>U66/O66-1</f>
        <v>-8.9999999999999969E-2</v>
      </c>
      <c r="V67" s="110">
        <f>V66/P66-1</f>
        <v>-0.24844720496894412</v>
      </c>
      <c r="W67" s="110">
        <f>W66/Q66-1</f>
        <v>-0.16666666666666663</v>
      </c>
      <c r="X67" s="120">
        <f>X66/R66-1</f>
        <v>-7.6923076923076872E-2</v>
      </c>
      <c r="Y67" s="122">
        <f>Y66/S66-1</f>
        <v>-0.15922330097087378</v>
      </c>
      <c r="AA67" s="109">
        <f>AA66/U66-1</f>
        <v>-0.27472527472527475</v>
      </c>
      <c r="AB67" s="110">
        <f>AB66/V66-1</f>
        <v>8.2644628099173278E-3</v>
      </c>
      <c r="AC67" s="110">
        <f>AC66/W66-1</f>
        <v>-0.248</v>
      </c>
      <c r="AD67" s="110">
        <f>AD66/X66-1</f>
        <v>-0.17708333333333337</v>
      </c>
      <c r="AE67" s="122">
        <f>AE66/Y66-1</f>
        <v>-0.16628175519630484</v>
      </c>
      <c r="AG67" s="109">
        <f>AG66/AA66-1</f>
        <v>3.0303030303030276E-2</v>
      </c>
      <c r="AH67" s="110">
        <f>AH66/AB66-1</f>
        <v>-0.22950819672131151</v>
      </c>
      <c r="AI67" s="110">
        <f>AI66/AC66-1</f>
        <v>0.23404255319148937</v>
      </c>
      <c r="AJ67" s="120">
        <f>AJ66/AD66-1</f>
        <v>0</v>
      </c>
      <c r="AK67" s="122">
        <f>AK66/AE66-1</f>
        <v>-1.1080332409972304E-2</v>
      </c>
      <c r="AM67" s="109">
        <f>AM66/AG66-1</f>
        <v>-7.3529411764705843E-2</v>
      </c>
      <c r="AN67" s="110">
        <f>AN66/AH66-1</f>
        <v>-3.1914893617021267E-2</v>
      </c>
      <c r="AO67" s="110">
        <f>AO66/AI66-1</f>
        <v>-0.31896551724137934</v>
      </c>
      <c r="AP67" s="120">
        <f>AP66/AJ66-1</f>
        <v>-8.8607594936708889E-2</v>
      </c>
      <c r="AQ67" s="122">
        <f>AQ66/AK66-1</f>
        <v>-0.14565826330532217</v>
      </c>
      <c r="AS67" s="109">
        <f>AS66/AM66-1</f>
        <v>-1.6507936507936507</v>
      </c>
      <c r="AT67" s="110">
        <f>AT66/AN66-1</f>
        <v>-0.15384615384615385</v>
      </c>
      <c r="AU67" s="110">
        <f>AU66/AO66-1</f>
        <v>-5.0632911392405111E-2</v>
      </c>
      <c r="AV67" s="120">
        <f>AV66/AP66-1</f>
        <v>-9.722222222222221E-2</v>
      </c>
      <c r="AW67" s="122">
        <f>AW66/AQ66-1</f>
        <v>-0.42295081967213111</v>
      </c>
      <c r="AY67" s="109">
        <f>AY66/AS66-1</f>
        <v>-1.5609756097560976</v>
      </c>
      <c r="AZ67" s="110">
        <f>AZ66/AT66-1</f>
        <v>0.59740259740259738</v>
      </c>
      <c r="BA67" s="110">
        <f>BA66/AU66-1</f>
        <v>-5.3333333333333344E-2</v>
      </c>
      <c r="BB67" s="120">
        <f>BB66/AV66-1</f>
        <v>6.1538461538461542E-2</v>
      </c>
      <c r="BC67" s="122">
        <f>BC66/AW66-1</f>
        <v>0.625</v>
      </c>
      <c r="BE67" s="109">
        <f>BE66/AY66-1</f>
        <v>1.4782608695652173</v>
      </c>
      <c r="BF67" s="110">
        <f>BF66/AZ66-1</f>
        <v>-0.52845528455284552</v>
      </c>
      <c r="BG67" s="110">
        <f>BG66/BA66-1</f>
        <v>-0.26760563380281688</v>
      </c>
      <c r="BH67" s="120">
        <f>BH66/BB66-1</f>
        <v>2.8985507246376718E-2</v>
      </c>
      <c r="BI67" s="122">
        <f>BI66/BC66-1</f>
        <v>-0.16783216783216781</v>
      </c>
      <c r="BK67" s="109">
        <f>BK66/BE66-1</f>
        <v>0.10526315789473695</v>
      </c>
      <c r="BL67" s="110">
        <f>BL66/BF66-1</f>
        <v>0.24137931034482762</v>
      </c>
      <c r="BM67" s="110">
        <f>BM66/BG66-1</f>
        <v>0.46153846153846145</v>
      </c>
      <c r="BN67" s="120">
        <f>BN66/BH66-1</f>
        <v>2.8169014084507005E-2</v>
      </c>
      <c r="BO67" s="122">
        <f>BO66/BI66-1</f>
        <v>0.19327731092436973</v>
      </c>
      <c r="BQ67" s="109">
        <f>BQ66/BK66-1</f>
        <v>0.11269504872270297</v>
      </c>
      <c r="BR67" s="110">
        <f>BR66/BL66-1</f>
        <v>9.7776530632128322E-2</v>
      </c>
      <c r="BS67" s="110">
        <f>BS66/BM66-1</f>
        <v>3.7571365928718237E-2</v>
      </c>
      <c r="BT67" s="120">
        <f>BT66/BN66-1</f>
        <v>-9.8821589803368415E-3</v>
      </c>
      <c r="BU67" s="122">
        <f>BU66/BO66-1</f>
        <v>5.7301846760780206E-2</v>
      </c>
      <c r="BW67" s="109">
        <f>BW66/BQ66-1</f>
        <v>0.11851115439694815</v>
      </c>
      <c r="BX67" s="110">
        <f>BX66/BR66-1</f>
        <v>-3.6158059884121574E-3</v>
      </c>
      <c r="BY67" s="110">
        <f>BY66/BS66-1</f>
        <v>-3.1730839346394979E-2</v>
      </c>
      <c r="BZ67" s="120">
        <f>BZ66/BT66-1</f>
        <v>1.8949734344030134E-2</v>
      </c>
      <c r="CA67" s="122">
        <f>CA66/BU66-1</f>
        <v>2.2943483876229243E-2</v>
      </c>
      <c r="CC67" s="109">
        <f>CC66/BW66-1</f>
        <v>9.7092439580717116E-3</v>
      </c>
      <c r="CD67" s="110">
        <f>CD66/BX66-1</f>
        <v>1.0686737147900915E-2</v>
      </c>
      <c r="CE67" s="110">
        <f>CE66/BY66-1</f>
        <v>7.9907287419291873E-3</v>
      </c>
      <c r="CF67" s="120">
        <f>CF66/BZ66-1</f>
        <v>7.0020461910544896E-3</v>
      </c>
      <c r="CG67" s="122">
        <f>CG66/CA66-1</f>
        <v>8.8835812875101006E-3</v>
      </c>
      <c r="CI67" s="109">
        <f>CI66/CC66-1</f>
        <v>6.5275316807964501E-3</v>
      </c>
      <c r="CJ67" s="110">
        <f>CJ66/CD66-1</f>
        <v>5.7075421018890626E-3</v>
      </c>
      <c r="CK67" s="110">
        <f>CK66/CE66-1</f>
        <v>5.5524066278336281E-3</v>
      </c>
      <c r="CL67" s="120">
        <f>CL66/CF66-1</f>
        <v>4.3621231502959379E-3</v>
      </c>
      <c r="CM67" s="122">
        <f>CM66/CG66-1</f>
        <v>5.5565091965459334E-3</v>
      </c>
      <c r="CO67" s="109">
        <f>CO66/CI66-1</f>
        <v>2.3491253093261832E-3</v>
      </c>
      <c r="CP67" s="110">
        <f>CP66/CJ66-1</f>
        <v>1.5397964249925788E-3</v>
      </c>
      <c r="CQ67" s="110">
        <f>CQ66/CK66-1</f>
        <v>1.4818702717660504E-3</v>
      </c>
      <c r="CR67" s="120">
        <f>CR66/CL66-1</f>
        <v>3.2018180599635571E-4</v>
      </c>
      <c r="CS67" s="122">
        <f>CS66/CM66-1</f>
        <v>1.440836671999346E-3</v>
      </c>
      <c r="CU67" s="109">
        <f>CU66/CO66-1</f>
        <v>2.6094997591670221E-3</v>
      </c>
      <c r="CV67" s="110">
        <f>CV66/CP66-1</f>
        <v>1.7906388820783103E-3</v>
      </c>
      <c r="CW67" s="110">
        <f>CW66/CQ66-1</f>
        <v>1.7248760588945977E-3</v>
      </c>
      <c r="CX67" s="120">
        <f>CX66/CR66-1</f>
        <v>4.9274923337061516E-4</v>
      </c>
      <c r="CY67" s="122">
        <f>CY66/CS66-1</f>
        <v>1.6739960971132728E-3</v>
      </c>
      <c r="DA67" s="109">
        <f>DA66/CU66-1</f>
        <v>1.1089811761483048E-2</v>
      </c>
      <c r="DB67" s="110">
        <f>DB66/CV66-1</f>
        <v>1.0604196947502365E-2</v>
      </c>
      <c r="DC67" s="110">
        <f>DC66/CW66-1</f>
        <v>1.0926811259077462E-2</v>
      </c>
      <c r="DD67" s="120">
        <f>DD66/CX66-1</f>
        <v>1.0537011264525997E-2</v>
      </c>
      <c r="DE67" s="122">
        <f>DE66/CY66-1</f>
        <v>1.0792713561380562E-2</v>
      </c>
      <c r="DG67" s="109">
        <f>DG66/DA66-1</f>
        <v>1.1438036300706944E-2</v>
      </c>
      <c r="DH67" s="110">
        <f>DH66/DB66-1</f>
        <v>1.0954179121212659E-2</v>
      </c>
      <c r="DI67" s="110">
        <f>DI66/DC66-1</f>
        <v>1.1272592316773133E-2</v>
      </c>
      <c r="DJ67" s="120">
        <f>DJ66/DD66-1</f>
        <v>1.084859231846802E-2</v>
      </c>
      <c r="DK67" s="122">
        <f>DK66/DE66-1</f>
        <v>1.1132097045279066E-2</v>
      </c>
    </row>
    <row r="68" spans="2:115" ht="15.75" thickBot="1" x14ac:dyDescent="0.35">
      <c r="B68" s="1"/>
      <c r="AA68" s="103"/>
      <c r="AB68" s="103"/>
      <c r="AC68" s="103"/>
      <c r="AD68" s="103"/>
      <c r="AE68" s="103"/>
      <c r="AG68" s="103"/>
      <c r="AH68" s="103"/>
      <c r="AI68" s="103"/>
      <c r="AJ68" s="103"/>
      <c r="AK68" s="103"/>
      <c r="AM68" s="103"/>
      <c r="AN68" s="103"/>
      <c r="AO68" s="103"/>
      <c r="AP68" s="103"/>
      <c r="AQ68" s="103"/>
      <c r="AS68" s="103"/>
      <c r="AT68" s="103"/>
      <c r="AU68" s="103"/>
      <c r="AV68" s="103"/>
      <c r="AW68" s="103"/>
      <c r="AY68" s="103"/>
      <c r="AZ68" s="103"/>
      <c r="BA68" s="103"/>
      <c r="BB68" s="103"/>
      <c r="BC68" s="103"/>
      <c r="BE68" s="103"/>
      <c r="BF68" s="103"/>
      <c r="BG68" s="103"/>
      <c r="BH68" s="103"/>
      <c r="BI68" s="103"/>
      <c r="BK68" s="103"/>
      <c r="BL68" s="103"/>
      <c r="BM68" s="103"/>
      <c r="BN68" s="103"/>
      <c r="BO68" s="103"/>
      <c r="BQ68" s="103"/>
      <c r="BR68" s="103"/>
      <c r="BS68" s="103"/>
      <c r="BT68" s="103"/>
      <c r="BU68" s="103"/>
      <c r="BW68" s="103"/>
      <c r="BX68" s="103"/>
      <c r="BY68" s="103"/>
      <c r="BZ68" s="103"/>
      <c r="CA68" s="103"/>
      <c r="CC68" s="103"/>
      <c r="CD68" s="103"/>
      <c r="CE68" s="103"/>
      <c r="CF68" s="103"/>
      <c r="CG68" s="103"/>
      <c r="CI68" s="103"/>
      <c r="CJ68" s="103"/>
      <c r="CK68" s="103"/>
      <c r="CL68" s="103"/>
      <c r="CM68" s="103"/>
      <c r="CO68" s="103"/>
      <c r="CP68" s="103"/>
      <c r="CQ68" s="103"/>
      <c r="CR68" s="103"/>
      <c r="CS68" s="103"/>
      <c r="CU68" s="103"/>
      <c r="CV68" s="103"/>
      <c r="CW68" s="103"/>
      <c r="CX68" s="103"/>
      <c r="CY68" s="103"/>
      <c r="DA68" s="103"/>
      <c r="DB68" s="103"/>
      <c r="DC68" s="103"/>
      <c r="DD68" s="103"/>
      <c r="DE68" s="103"/>
      <c r="DG68" s="103"/>
      <c r="DH68" s="103"/>
      <c r="DI68" s="103"/>
      <c r="DJ68" s="103"/>
      <c r="DK68" s="103"/>
    </row>
    <row r="69" spans="2:115" ht="15" x14ac:dyDescent="0.3">
      <c r="B69" s="42" t="s">
        <v>99</v>
      </c>
      <c r="C69" s="111">
        <f>C75-C72</f>
        <v>5720.6954570947846</v>
      </c>
      <c r="D69" s="112">
        <f>D75-D72</f>
        <v>6207.8619909502258</v>
      </c>
      <c r="E69" s="112">
        <f>E75-E72</f>
        <v>6370.4945515507125</v>
      </c>
      <c r="F69" s="112">
        <f>F75-F72</f>
        <v>6383.1499865843834</v>
      </c>
      <c r="G69" s="113">
        <f>C69+D69+E69+F69</f>
        <v>24682.201986180105</v>
      </c>
      <c r="I69" s="111">
        <f>I75-I72</f>
        <v>5964.7058823529405</v>
      </c>
      <c r="J69" s="112">
        <f>J75-J72</f>
        <v>6367.1641791044767</v>
      </c>
      <c r="K69" s="112">
        <f>K75-K72</f>
        <v>6503.1325301204824</v>
      </c>
      <c r="L69" s="112">
        <f>L75-L72</f>
        <v>6200.506329113924</v>
      </c>
      <c r="M69" s="113">
        <f>I69+J69+K69+L69</f>
        <v>25035.508920691824</v>
      </c>
      <c r="O69" s="111">
        <f>O75-O72</f>
        <v>5638.71</v>
      </c>
      <c r="P69" s="112">
        <f>P75-P72</f>
        <v>6314.47</v>
      </c>
      <c r="Q69" s="112">
        <f>Q75-Q72</f>
        <v>5922.07</v>
      </c>
      <c r="R69" s="112">
        <f>R75-R72</f>
        <v>5534.76</v>
      </c>
      <c r="S69" s="113">
        <f>O69+P69+Q69+R69</f>
        <v>23410.010000000002</v>
      </c>
      <c r="U69" s="111">
        <f>U75-U72</f>
        <v>5218.29</v>
      </c>
      <c r="V69" s="112">
        <f>V75-V72</f>
        <v>5378.6771949306712</v>
      </c>
      <c r="W69" s="112">
        <f>W75-W72</f>
        <v>5229.8141291746142</v>
      </c>
      <c r="X69" s="112">
        <f>X75-X72</f>
        <v>5065.7627387430248</v>
      </c>
      <c r="Y69" s="113">
        <f>U69+V69+W69+X69</f>
        <v>20892.544062848312</v>
      </c>
      <c r="AA69" s="111">
        <f>AA75-AA72</f>
        <v>4592.4695000864986</v>
      </c>
      <c r="AB69" s="112">
        <f>AB75-AB72</f>
        <v>4860.8003735335897</v>
      </c>
      <c r="AC69" s="112">
        <f>AC75-AC72</f>
        <v>4486.0961745275772</v>
      </c>
      <c r="AD69" s="112">
        <f>AD75-AD72</f>
        <v>4543.3987816556037</v>
      </c>
      <c r="AE69" s="113">
        <f>AA69+AB69+AC69+AD69</f>
        <v>18482.764829803269</v>
      </c>
      <c r="AG69" s="111">
        <f>AG75-AG72</f>
        <v>4211.4081754995877</v>
      </c>
      <c r="AH69" s="112">
        <f>AH75-AH72</f>
        <v>4314.0176530753979</v>
      </c>
      <c r="AI69" s="112">
        <f>AI75-AI72</f>
        <v>4539.9148389814782</v>
      </c>
      <c r="AJ69" s="112">
        <f>AJ75-AJ72</f>
        <v>4040.2820346353028</v>
      </c>
      <c r="AK69" s="113">
        <f>AG69+AH69+AI69+AJ69</f>
        <v>17105.622702191766</v>
      </c>
      <c r="AM69" s="111">
        <f>AM75-AM72</f>
        <v>3474.497855437578</v>
      </c>
      <c r="AN69" s="112">
        <f>AN75-AN72</f>
        <v>3459.3801728657127</v>
      </c>
      <c r="AO69" s="112">
        <f>AO75-AO72</f>
        <v>3110.0886602734772</v>
      </c>
      <c r="AP69" s="112">
        <f>AP75-AP72</f>
        <v>2992.3230662906026</v>
      </c>
      <c r="AQ69" s="113">
        <f>AM69+AN69+AO69+AP69</f>
        <v>13036.28975486737</v>
      </c>
      <c r="AS69" s="111">
        <f>AS75-AS72</f>
        <v>2974.1695188794984</v>
      </c>
      <c r="AT69" s="112">
        <f>AT75-AT72</f>
        <v>2974.0225878607407</v>
      </c>
      <c r="AU69" s="112">
        <f>AU75-AU72</f>
        <v>2914.6378176535409</v>
      </c>
      <c r="AV69" s="112">
        <f>AV75-AV72</f>
        <v>2848.5926973898722</v>
      </c>
      <c r="AW69" s="113">
        <f>AS69+AT69+AU69+AV69</f>
        <v>11711.422621783651</v>
      </c>
      <c r="AY69" s="111">
        <f>AY75-AY72</f>
        <v>2599.6629250614114</v>
      </c>
      <c r="AZ69" s="112">
        <f>AZ75-AZ72</f>
        <v>2499.3365869999998</v>
      </c>
      <c r="BA69" s="112">
        <f>BA75-BA72</f>
        <v>2468.2281048</v>
      </c>
      <c r="BB69" s="112">
        <f>BB75-BB72</f>
        <v>2409.1855536000003</v>
      </c>
      <c r="BC69" s="113">
        <f>AY69+AZ69+BA69+BB69</f>
        <v>9976.4131704614119</v>
      </c>
      <c r="BE69" s="111">
        <f>BE75-BE72</f>
        <v>2319.9058740000005</v>
      </c>
      <c r="BF69" s="112">
        <f>BF75-BF72</f>
        <v>2436.2012860000004</v>
      </c>
      <c r="BG69" s="112">
        <f>BG75-BG72</f>
        <v>2384.7898452000004</v>
      </c>
      <c r="BH69" s="112">
        <f>BH75-BH72</f>
        <v>2343.3059250000001</v>
      </c>
      <c r="BI69" s="113">
        <f>BE69+BF69+BG69+BH69</f>
        <v>9484.2029302000028</v>
      </c>
      <c r="BK69" s="111">
        <f>BK75-BK72</f>
        <v>2283.244925</v>
      </c>
      <c r="BL69" s="112">
        <f>BL75-BL72</f>
        <v>2372.9805900000001</v>
      </c>
      <c r="BM69" s="112">
        <f>BM75-BM72</f>
        <v>2386.7903099999999</v>
      </c>
      <c r="BN69" s="112">
        <f>BN75-BN72</f>
        <v>2372.3789499999998</v>
      </c>
      <c r="BO69" s="113">
        <f>BK69+BL69+BM69+BN69</f>
        <v>9415.3947750000007</v>
      </c>
      <c r="BQ69" s="111">
        <f>BQ75-BQ72</f>
        <v>2302.471854929935</v>
      </c>
      <c r="BR69" s="112">
        <f>BR75-BR72</f>
        <v>2403.9695627717938</v>
      </c>
      <c r="BS69" s="112">
        <f>BS75-BS72</f>
        <v>2362.0068673520072</v>
      </c>
      <c r="BT69" s="112">
        <f>BT75-BT72</f>
        <v>2282.9537849158028</v>
      </c>
      <c r="BU69" s="113">
        <f>BQ69+BR69+BS69+BT69</f>
        <v>9351.4020699695393</v>
      </c>
      <c r="BW69" s="111">
        <f>BW75-BW72</f>
        <v>2151.6610650527105</v>
      </c>
      <c r="BX69" s="112">
        <f>BX75-BX72</f>
        <v>2269.0145231614351</v>
      </c>
      <c r="BY69" s="112">
        <f>BY75-BY72</f>
        <v>2252.3818264927013</v>
      </c>
      <c r="BZ69" s="112">
        <f>BZ75-BZ72</f>
        <v>2197.406879380495</v>
      </c>
      <c r="CA69" s="113">
        <f>BW69+BX69+BY69+BZ69</f>
        <v>8870.4642940873418</v>
      </c>
      <c r="CC69" s="111">
        <f>CC75-CC72</f>
        <v>2090.2496072017429</v>
      </c>
      <c r="CD69" s="112">
        <f>CD75-CD72</f>
        <v>2215.6718776139519</v>
      </c>
      <c r="CE69" s="112">
        <f>CE75-CE72</f>
        <v>2209.8893381241551</v>
      </c>
      <c r="CF69" s="112">
        <f>CF75-CF72</f>
        <v>2154.1832949802179</v>
      </c>
      <c r="CG69" s="113">
        <f>CC69+CD69+CE69+CF69</f>
        <v>8669.9941179200687</v>
      </c>
      <c r="CI69" s="111">
        <f>CI75-CI72</f>
        <v>2048.268742833151</v>
      </c>
      <c r="CJ69" s="112">
        <f>CJ75-CJ72</f>
        <v>2171.1203079151023</v>
      </c>
      <c r="CK69" s="112">
        <f>CK75-CK72</f>
        <v>2165.4027108517976</v>
      </c>
      <c r="CL69" s="112">
        <f>CL75-CL72</f>
        <v>2110.7599904405984</v>
      </c>
      <c r="CM69" s="113">
        <f>CI69+CJ69+CK69+CL69</f>
        <v>8495.5517520406502</v>
      </c>
      <c r="CO69" s="111">
        <f>CO75-CO72</f>
        <v>2006.9255056801908</v>
      </c>
      <c r="CP69" s="112">
        <f>CP75-CP72</f>
        <v>2127.2477277083317</v>
      </c>
      <c r="CQ69" s="112">
        <f>CQ75-CQ72</f>
        <v>2121.5963808114693</v>
      </c>
      <c r="CR69" s="112">
        <f>CR75-CR72</f>
        <v>2068.0033192078758</v>
      </c>
      <c r="CS69" s="113">
        <f>CO69+CP69+CQ69+CR69</f>
        <v>8323.7729334078685</v>
      </c>
      <c r="CU69" s="111">
        <f>CU75-CU72</f>
        <v>1966.2194208878605</v>
      </c>
      <c r="CV69" s="112">
        <f>CV75-CV72</f>
        <v>2084.0534940368429</v>
      </c>
      <c r="CW69" s="112">
        <f>CW75-CW72</f>
        <v>2078.4695681337944</v>
      </c>
      <c r="CX69" s="112">
        <f>CX75-CX72</f>
        <v>2025.9123642577188</v>
      </c>
      <c r="CY69" s="113">
        <f>CU69+CV69+CW69+CX69</f>
        <v>8154.6548473162165</v>
      </c>
      <c r="DA69" s="111">
        <f>DA75-DA72</f>
        <v>1926.1494682279572</v>
      </c>
      <c r="DB69" s="112">
        <f>DB75-DB72</f>
        <v>2041.5363914307072</v>
      </c>
      <c r="DC69" s="112">
        <f>DC75-DC72</f>
        <v>2036.0209274740496</v>
      </c>
      <c r="DD69" s="112">
        <f>DD75-DD72</f>
        <v>1984.4856636172831</v>
      </c>
      <c r="DE69" s="113">
        <f>DA69+DB69+DC69+DD69</f>
        <v>7988.1924507499971</v>
      </c>
      <c r="DG69" s="111">
        <f>DG75-DG72</f>
        <v>1886.7141152488489</v>
      </c>
      <c r="DH69" s="112">
        <f>DH75-DH72</f>
        <v>1999.6946668363053</v>
      </c>
      <c r="DI69" s="112">
        <f>DI75-DI72</f>
        <v>1994.2485826425691</v>
      </c>
      <c r="DJ69" s="112">
        <f>DJ75-DJ72</f>
        <v>1943.7212438874444</v>
      </c>
      <c r="DK69" s="113">
        <f>DG69+DH69+DI69+DJ69</f>
        <v>7824.3786086151686</v>
      </c>
    </row>
    <row r="70" spans="2:115" ht="15" x14ac:dyDescent="0.3">
      <c r="B70" s="40" t="s">
        <v>23</v>
      </c>
      <c r="C70" s="144" t="s">
        <v>35</v>
      </c>
      <c r="D70" s="107" t="s">
        <v>35</v>
      </c>
      <c r="E70" s="107" t="s">
        <v>35</v>
      </c>
      <c r="F70" s="107" t="s">
        <v>35</v>
      </c>
      <c r="G70" s="138" t="s">
        <v>35</v>
      </c>
      <c r="I70" s="151">
        <f>I69/C69-1</f>
        <v>4.2653979238754136E-2</v>
      </c>
      <c r="J70" s="133">
        <f>J69/D69-1</f>
        <v>2.5661361091222856E-2</v>
      </c>
      <c r="K70" s="133">
        <f>K69/E69-1</f>
        <v>2.0820672162333631E-2</v>
      </c>
      <c r="L70" s="133">
        <f>L69/F69-1</f>
        <v>-2.8613405270802916E-2</v>
      </c>
      <c r="M70" s="153">
        <f>M69/G69-1</f>
        <v>1.4314238847471517E-2</v>
      </c>
      <c r="N70" s="107"/>
      <c r="O70" s="151">
        <f>O69/I69-1</f>
        <v>-5.4654142011834161E-2</v>
      </c>
      <c r="P70" s="133">
        <f>P69/J69-1</f>
        <v>-8.2759259259257423E-3</v>
      </c>
      <c r="Q70" s="133">
        <f>Q69/K69-1</f>
        <v>-8.9351174596116856E-2</v>
      </c>
      <c r="R70" s="152">
        <f>R69/L69-1</f>
        <v>-0.10736967172954426</v>
      </c>
      <c r="S70" s="153">
        <f>S69/M69-1</f>
        <v>-6.4927736274150494E-2</v>
      </c>
      <c r="T70" s="107"/>
      <c r="U70" s="151">
        <f>U69/O69-1</f>
        <v>-7.4559606718557991E-2</v>
      </c>
      <c r="V70" s="133">
        <f>V69/P69-1</f>
        <v>-0.14819815520056778</v>
      </c>
      <c r="W70" s="133">
        <f>W69/Q69-1</f>
        <v>-0.11689423982245828</v>
      </c>
      <c r="X70" s="152">
        <f>X69/R69-1</f>
        <v>-8.4736693417054254E-2</v>
      </c>
      <c r="Y70" s="153">
        <f>Y69/S69-1</f>
        <v>-0.10753801203637636</v>
      </c>
      <c r="AA70" s="151">
        <f>AA69/U69-1</f>
        <v>-0.11992827150532093</v>
      </c>
      <c r="AB70" s="133">
        <f>AB69/V69-1</f>
        <v>-9.6283305844264699E-2</v>
      </c>
      <c r="AC70" s="133">
        <f>AC69/W69-1</f>
        <v>-0.14220733974046851</v>
      </c>
      <c r="AD70" s="152">
        <f>AD69/X69-1</f>
        <v>-0.10311654612095711</v>
      </c>
      <c r="AE70" s="153">
        <f>AE69/Y69-1</f>
        <v>-0.11534158912366144</v>
      </c>
      <c r="AG70" s="151">
        <f>AG69/AA69-1</f>
        <v>-8.2975254289600286E-2</v>
      </c>
      <c r="AH70" s="133">
        <f>AH69/AB69-1</f>
        <v>-0.11248820738151499</v>
      </c>
      <c r="AI70" s="133">
        <f>AI69/AC69-1</f>
        <v>1.1996770100357601E-2</v>
      </c>
      <c r="AJ70" s="152">
        <f>AJ69/AD69-1</f>
        <v>-0.11073576659211193</v>
      </c>
      <c r="AK70" s="153">
        <f>AK69/AE69-1</f>
        <v>-7.4509530381021594E-2</v>
      </c>
      <c r="AM70" s="151">
        <f>AM69/AG69-1</f>
        <v>-0.17497955300297918</v>
      </c>
      <c r="AN70" s="133">
        <f>AN69/AH69-1</f>
        <v>-0.19810708924670883</v>
      </c>
      <c r="AO70" s="133">
        <f>AO69/AI69-1</f>
        <v>-0.31494559466863914</v>
      </c>
      <c r="AP70" s="152">
        <f>AP69/AJ69-1</f>
        <v>-0.25937767694459835</v>
      </c>
      <c r="AQ70" s="153">
        <f>AQ69/AK69-1</f>
        <v>-0.23789446418708782</v>
      </c>
      <c r="AS70" s="151">
        <f>AS69/AM69-1</f>
        <v>-0.14400018574628481</v>
      </c>
      <c r="AT70" s="133">
        <f>AT69/AN69-1</f>
        <v>-0.14030189246384761</v>
      </c>
      <c r="AU70" s="133">
        <f>AU69/AO69-1</f>
        <v>-6.2844138534220995E-2</v>
      </c>
      <c r="AV70" s="152">
        <f>AV69/AP69-1</f>
        <v>-4.8033038450926324E-2</v>
      </c>
      <c r="AW70" s="153">
        <f>AW69/AQ69-1</f>
        <v>-0.10162915660792615</v>
      </c>
      <c r="AY70" s="151">
        <f>AY69/AS69-1</f>
        <v>-0.125919720258306</v>
      </c>
      <c r="AZ70" s="133">
        <f>AZ69/AT69-1</f>
        <v>-0.15961075843818318</v>
      </c>
      <c r="BA70" s="133">
        <f>BA69/AU69-1</f>
        <v>-0.15316129851527405</v>
      </c>
      <c r="BB70" s="152">
        <f>BB69/AV69-1</f>
        <v>-0.15425411438865755</v>
      </c>
      <c r="BC70" s="153">
        <f>BC69/AW69-1</f>
        <v>-0.14814677151988875</v>
      </c>
      <c r="BE70" s="151">
        <f>BE69/AY69-1</f>
        <v>-0.10761281717121163</v>
      </c>
      <c r="BF70" s="133">
        <f>BF69/AZ69-1</f>
        <v>-2.5260823743544658E-2</v>
      </c>
      <c r="BG70" s="133">
        <f>BG69/BA69-1</f>
        <v>-3.3804922420961003E-2</v>
      </c>
      <c r="BH70" s="152">
        <f>BH69/BB69-1</f>
        <v>-2.7345186634361807E-2</v>
      </c>
      <c r="BI70" s="153">
        <f>BI69/BC69-1</f>
        <v>-4.9337395299421494E-2</v>
      </c>
      <c r="BK70" s="151">
        <f>BK69/BE69-1</f>
        <v>-1.5802774332731584E-2</v>
      </c>
      <c r="BL70" s="133">
        <f>BL69/BF69-1</f>
        <v>-2.5950522382246377E-2</v>
      </c>
      <c r="BM70" s="133">
        <f>BM69/BG69-1</f>
        <v>8.3884322303107162E-4</v>
      </c>
      <c r="BN70" s="152">
        <f>BN69/BH69-1</f>
        <v>1.2406841415723235E-2</v>
      </c>
      <c r="BO70" s="153">
        <f>BO69/BI69-1</f>
        <v>-7.2550277241433259E-3</v>
      </c>
      <c r="BQ70" s="151">
        <f>BQ69/BK69-1</f>
        <v>8.4208793018274442E-3</v>
      </c>
      <c r="BR70" s="133">
        <f>BR69/BL69-1</f>
        <v>1.3059092393079341E-2</v>
      </c>
      <c r="BS70" s="133">
        <f>BS69/BM69-1</f>
        <v>-1.0383586083853591E-2</v>
      </c>
      <c r="BT70" s="152">
        <f>BT69/BN69-1</f>
        <v>-3.7694300518134827E-2</v>
      </c>
      <c r="BU70" s="153">
        <f>BU69/BO69-1</f>
        <v>-6.79660349456368E-3</v>
      </c>
      <c r="BW70" s="151">
        <f>BW69/BQ69-1</f>
        <v>-6.5499515033947686E-2</v>
      </c>
      <c r="BX70" s="133">
        <f>BX69/BR69-1</f>
        <v>-5.6138414437641448E-2</v>
      </c>
      <c r="BY70" s="133">
        <f>BY69/BS69-1</f>
        <v>-4.6411821394153785E-2</v>
      </c>
      <c r="BZ70" s="152">
        <f>BZ69/BT69-1</f>
        <v>-3.7472026854219798E-2</v>
      </c>
      <c r="CA70" s="153">
        <f>CA69/BU69-1</f>
        <v>-5.1429483224408545E-2</v>
      </c>
      <c r="CC70" s="151">
        <f>CC69/BW69-1</f>
        <v>-2.85414179995227E-2</v>
      </c>
      <c r="CD70" s="133">
        <f>CD69/BX69-1</f>
        <v>-2.3509168849726203E-2</v>
      </c>
      <c r="CE70" s="133">
        <f>CE69/BY69-1</f>
        <v>-1.8865579480684014E-2</v>
      </c>
      <c r="CF70" s="152">
        <f>CF69/BZ69-1</f>
        <v>-1.9670268991085926E-2</v>
      </c>
      <c r="CG70" s="153">
        <f>CG69/CA69-1</f>
        <v>-2.2599738809714554E-2</v>
      </c>
      <c r="CI70" s="151">
        <f>CI69/CC69-1</f>
        <v>-2.0084139341039031E-2</v>
      </c>
      <c r="CJ70" s="133">
        <f>CJ69/CD69-1</f>
        <v>-2.0107476268926172E-2</v>
      </c>
      <c r="CK70" s="133">
        <f>CK69/CE69-1</f>
        <v>-2.0130703608045586E-2</v>
      </c>
      <c r="CL70" s="152">
        <f>CL69/CF69-1</f>
        <v>-2.0157664689354204E-2</v>
      </c>
      <c r="CM70" s="153">
        <f>CM69/CG69-1</f>
        <v>-2.012024039541882E-2</v>
      </c>
      <c r="CO70" s="151">
        <f>CO69/CI69-1</f>
        <v>-2.0184478866662081E-2</v>
      </c>
      <c r="CP70" s="133">
        <f>CP69/CJ69-1</f>
        <v>-2.0207346431622142E-2</v>
      </c>
      <c r="CQ70" s="133">
        <f>CQ69/CK69-1</f>
        <v>-2.0230107693499755E-2</v>
      </c>
      <c r="CR70" s="152">
        <f>CR69/CL69-1</f>
        <v>-2.0256529129964007E-2</v>
      </c>
      <c r="CS70" s="153">
        <f>CS69/CM69-1</f>
        <v>-2.0219854300989937E-2</v>
      </c>
      <c r="CU70" s="151">
        <f>CU69/CO69-1</f>
        <v>-2.0282808045002265E-2</v>
      </c>
      <c r="CV70" s="133">
        <f>CV69/CP69-1</f>
        <v>-2.0305220266010893E-2</v>
      </c>
      <c r="CW70" s="133">
        <f>CW69/CQ69-1</f>
        <v>-2.0327529339572048E-2</v>
      </c>
      <c r="CX70" s="152">
        <f>CX69/CR69-1</f>
        <v>-2.0353427172582816E-2</v>
      </c>
      <c r="CY70" s="153">
        <f>CY69/CS69-1</f>
        <v>-2.0317479518559223E-2</v>
      </c>
      <c r="DA70" s="151">
        <f>DA69/CU69-1</f>
        <v>-2.0379186694132745E-2</v>
      </c>
      <c r="DB70" s="133">
        <f>DB69/CV69-1</f>
        <v>-2.0401157037374995E-2</v>
      </c>
      <c r="DC70" s="133">
        <f>DC69/CW69-1</f>
        <v>-2.0423027265132565E-2</v>
      </c>
      <c r="DD70" s="152">
        <f>DD69/CX69-1</f>
        <v>-2.0448416906529987E-2</v>
      </c>
      <c r="DE70" s="153">
        <f>DE69/CY69-1</f>
        <v>-2.0413175012674367E-2</v>
      </c>
      <c r="DG70" s="151">
        <f>DG69/DA69-1</f>
        <v>-2.0473672282239064E-2</v>
      </c>
      <c r="DH70" s="133">
        <f>DH69/DB69-1</f>
        <v>-2.049521368809859E-2</v>
      </c>
      <c r="DI70" s="133">
        <f>DI69/DC69-1</f>
        <v>-2.0516657892757806E-2</v>
      </c>
      <c r="DJ70" s="152">
        <f>DJ69/DD69-1</f>
        <v>-2.054155415541481E-2</v>
      </c>
      <c r="DK70" s="153">
        <f>DK69/DE69-1</f>
        <v>-2.0506997439633357E-2</v>
      </c>
    </row>
    <row r="71" spans="2:115" ht="15" x14ac:dyDescent="0.3">
      <c r="B71" s="40"/>
      <c r="C71" s="144"/>
      <c r="D71" s="107"/>
      <c r="E71" s="107"/>
      <c r="F71" s="107"/>
      <c r="G71" s="138"/>
      <c r="I71" s="144"/>
      <c r="J71" s="107"/>
      <c r="K71" s="107"/>
      <c r="L71" s="107"/>
      <c r="M71" s="138"/>
      <c r="O71" s="144"/>
      <c r="P71" s="107"/>
      <c r="Q71" s="107"/>
      <c r="R71" s="107"/>
      <c r="S71" s="138"/>
      <c r="U71" s="144"/>
      <c r="V71" s="107"/>
      <c r="W71" s="107"/>
      <c r="X71" s="107"/>
      <c r="Y71" s="138"/>
      <c r="AA71" s="144"/>
      <c r="AB71" s="107"/>
      <c r="AC71" s="107"/>
      <c r="AD71" s="107"/>
      <c r="AE71" s="138"/>
      <c r="AG71" s="144"/>
      <c r="AH71" s="107"/>
      <c r="AI71" s="107"/>
      <c r="AJ71" s="107"/>
      <c r="AK71" s="138"/>
      <c r="AM71" s="144"/>
      <c r="AN71" s="107"/>
      <c r="AO71" s="107"/>
      <c r="AP71" s="107"/>
      <c r="AQ71" s="138"/>
      <c r="AS71" s="144"/>
      <c r="AT71" s="107"/>
      <c r="AU71" s="107"/>
      <c r="AV71" s="107"/>
      <c r="AW71" s="138"/>
      <c r="AY71" s="144"/>
      <c r="AZ71" s="107"/>
      <c r="BA71" s="107"/>
      <c r="BB71" s="107"/>
      <c r="BC71" s="138"/>
      <c r="BE71" s="144"/>
      <c r="BF71" s="107"/>
      <c r="BG71" s="107"/>
      <c r="BH71" s="107"/>
      <c r="BI71" s="138"/>
      <c r="BK71" s="144"/>
      <c r="BL71" s="107"/>
      <c r="BM71" s="107"/>
      <c r="BN71" s="107"/>
      <c r="BO71" s="138"/>
      <c r="BQ71" s="144"/>
      <c r="BR71" s="107"/>
      <c r="BS71" s="107"/>
      <c r="BT71" s="107"/>
      <c r="BU71" s="138"/>
      <c r="BW71" s="144"/>
      <c r="BX71" s="107"/>
      <c r="BY71" s="107"/>
      <c r="BZ71" s="107"/>
      <c r="CA71" s="138"/>
      <c r="CC71" s="144"/>
      <c r="CD71" s="107"/>
      <c r="CE71" s="107"/>
      <c r="CF71" s="107"/>
      <c r="CG71" s="138"/>
      <c r="CI71" s="144"/>
      <c r="CJ71" s="107"/>
      <c r="CK71" s="107"/>
      <c r="CL71" s="107"/>
      <c r="CM71" s="138"/>
      <c r="CO71" s="144"/>
      <c r="CP71" s="107"/>
      <c r="CQ71" s="107"/>
      <c r="CR71" s="107"/>
      <c r="CS71" s="138"/>
      <c r="CU71" s="144"/>
      <c r="CV71" s="107"/>
      <c r="CW71" s="107"/>
      <c r="CX71" s="107"/>
      <c r="CY71" s="138"/>
      <c r="DA71" s="144"/>
      <c r="DB71" s="107"/>
      <c r="DC71" s="107"/>
      <c r="DD71" s="107"/>
      <c r="DE71" s="138"/>
      <c r="DG71" s="144"/>
      <c r="DH71" s="107"/>
      <c r="DI71" s="107"/>
      <c r="DJ71" s="107"/>
      <c r="DK71" s="138"/>
    </row>
    <row r="72" spans="2:115" ht="15" x14ac:dyDescent="0.3">
      <c r="B72" s="39" t="s">
        <v>98</v>
      </c>
      <c r="C72" s="116">
        <f>C75*C15</f>
        <v>1430.1738642736964</v>
      </c>
      <c r="D72" s="117">
        <f>D75*D15</f>
        <v>1456.1651583710407</v>
      </c>
      <c r="E72" s="117">
        <f>E75*E15</f>
        <v>1592.6236378876783</v>
      </c>
      <c r="F72" s="117">
        <f>F75*F15</f>
        <v>1800.3756372417492</v>
      </c>
      <c r="G72" s="118">
        <f>C72+D72+E72+F72</f>
        <v>6279.3382977741649</v>
      </c>
      <c r="I72" s="116">
        <f>I75*I15</f>
        <v>1682.3529411764705</v>
      </c>
      <c r="J72" s="117">
        <f>J75*J15</f>
        <v>1692.5373134328356</v>
      </c>
      <c r="K72" s="117">
        <f>K75*K15</f>
        <v>1834.2168674698796</v>
      </c>
      <c r="L72" s="117">
        <f>L75*L15</f>
        <v>1748.8607594936709</v>
      </c>
      <c r="M72" s="118">
        <f>I72+J72+K72+L72</f>
        <v>6957.9678815728566</v>
      </c>
      <c r="O72" s="116">
        <f>O75*O15</f>
        <v>1684.29</v>
      </c>
      <c r="P72" s="117">
        <f>P75*P15</f>
        <v>1678.53</v>
      </c>
      <c r="Q72" s="117">
        <f>Q75*Q15</f>
        <v>1768.93</v>
      </c>
      <c r="R72" s="117">
        <f>R75*R15</f>
        <v>1653.24</v>
      </c>
      <c r="S72" s="118">
        <f>O72+P72+Q72+R72</f>
        <v>6784.99</v>
      </c>
      <c r="U72" s="116">
        <f>U75*U15</f>
        <v>1558.71</v>
      </c>
      <c r="V72" s="117">
        <f>V75*V15</f>
        <v>1606.61786342085</v>
      </c>
      <c r="W72" s="117">
        <f>W75*W15</f>
        <v>1651.5202513182992</v>
      </c>
      <c r="X72" s="117">
        <f>X75*X15</f>
        <v>1599.7145490767446</v>
      </c>
      <c r="Y72" s="118">
        <f>U72+V72+W72+X72</f>
        <v>6416.5626638158938</v>
      </c>
      <c r="AA72" s="116">
        <f>AA75*AA15</f>
        <v>1450.2535263431048</v>
      </c>
      <c r="AB72" s="117">
        <f>AB75*AB15</f>
        <v>1534.989591642186</v>
      </c>
      <c r="AC72" s="117">
        <f>AC75*AC15</f>
        <v>1659.2410508526657</v>
      </c>
      <c r="AD72" s="117">
        <f>AD75*AD15</f>
        <v>1596.3293016627799</v>
      </c>
      <c r="AE72" s="118">
        <f>AA72+AB72+AC72+AD72</f>
        <v>6240.813470500736</v>
      </c>
      <c r="AG72" s="116">
        <f>AG75*AG15</f>
        <v>1557.6441197053268</v>
      </c>
      <c r="AH72" s="117">
        <f>AH75*AH15</f>
        <v>1595.5955703155585</v>
      </c>
      <c r="AI72" s="117">
        <f>AI75*AI15</f>
        <v>1679.1465842808207</v>
      </c>
      <c r="AJ72" s="117">
        <f>AJ75*AJ15</f>
        <v>1571.2207912470624</v>
      </c>
      <c r="AK72" s="118">
        <f>AG72+AH72+AI72+AJ72</f>
        <v>6403.6070655487674</v>
      </c>
      <c r="AM72" s="116">
        <f>AM75*AM15</f>
        <v>1561.0062828777523</v>
      </c>
      <c r="AN72" s="117">
        <f>AN75*AN15</f>
        <v>1627.9436107603353</v>
      </c>
      <c r="AO72" s="117">
        <f>AO75*AO15</f>
        <v>1749.4248714038306</v>
      </c>
      <c r="AP72" s="117">
        <f>AP75*AP15</f>
        <v>1757.3960865516237</v>
      </c>
      <c r="AQ72" s="118">
        <f>AM72+AN72+AO72+AP72</f>
        <v>6695.7708515935419</v>
      </c>
      <c r="AS72" s="116">
        <f>AS75*AS15</f>
        <v>1746.7344793419277</v>
      </c>
      <c r="AT72" s="117">
        <f>AT75*AT15</f>
        <v>1746.6481865213873</v>
      </c>
      <c r="AU72" s="117">
        <f>AU75*AU15</f>
        <v>1863.456965385051</v>
      </c>
      <c r="AV72" s="117">
        <f>AV75*AV15</f>
        <v>1821.2313966918855</v>
      </c>
      <c r="AW72" s="118">
        <f>AS72+AT72+AU72+AV72</f>
        <v>7178.071027940252</v>
      </c>
      <c r="AY72" s="116">
        <f>AY75*AY15</f>
        <v>1806.5454225003029</v>
      </c>
      <c r="AZ72" s="117">
        <f>AZ75*AZ15</f>
        <v>2044.9117530000001</v>
      </c>
      <c r="BA72" s="117">
        <f>BA75*BA15</f>
        <v>2188.8060552000002</v>
      </c>
      <c r="BB72" s="117">
        <f>BB75*BB15</f>
        <v>2136.4475664000001</v>
      </c>
      <c r="BC72" s="118">
        <f>AY72+AZ72+BA72+BB72</f>
        <v>8176.7107971003034</v>
      </c>
      <c r="BE72" s="116">
        <f>BE75*BE15</f>
        <v>2141.4515759999999</v>
      </c>
      <c r="BF72" s="117">
        <f>BF75*BF15</f>
        <v>2160.4049139999997</v>
      </c>
      <c r="BG72" s="117">
        <f>BG75*BG15</f>
        <v>2291.2686748000001</v>
      </c>
      <c r="BH72" s="117">
        <f>BH75*BH15</f>
        <v>2251.4115749999996</v>
      </c>
      <c r="BI72" s="118">
        <f>BE72+BF72+BG72+BH72</f>
        <v>8844.5367397999999</v>
      </c>
      <c r="BK72" s="116">
        <f>BK75*BK15</f>
        <v>2283.244925</v>
      </c>
      <c r="BL72" s="117">
        <f>BL75*BL15</f>
        <v>2372.9805900000001</v>
      </c>
      <c r="BM72" s="117">
        <f>BM75*BM15</f>
        <v>2386.7903099999999</v>
      </c>
      <c r="BN72" s="117">
        <f>BN75*BN15</f>
        <v>2372.3789499999998</v>
      </c>
      <c r="BO72" s="118">
        <f>BK72+BL72+BM72+BN72</f>
        <v>9415.3947750000007</v>
      </c>
      <c r="BQ72" s="116">
        <f>BQ75*BQ15</f>
        <v>2442.0156037135685</v>
      </c>
      <c r="BR72" s="117">
        <f>BR75*BR15</f>
        <v>2548.207736538101</v>
      </c>
      <c r="BS72" s="117">
        <f>BS75*BS15</f>
        <v>2590.9769208198031</v>
      </c>
      <c r="BT72" s="117">
        <f>BT75*BT15</f>
        <v>2607.3735332985748</v>
      </c>
      <c r="BU72" s="118">
        <f>BQ72+BR72+BS72+BT72</f>
        <v>10188.573794370048</v>
      </c>
      <c r="BW72" s="116">
        <f>BW75*BW15</f>
        <v>2678.9455948284744</v>
      </c>
      <c r="BX72" s="117">
        <f>BX75*BX15</f>
        <v>2767.2217980319356</v>
      </c>
      <c r="BY72" s="117">
        <f>BY75*BY15</f>
        <v>2786.1366601046821</v>
      </c>
      <c r="BZ72" s="117">
        <f>BZ75*BZ15</f>
        <v>2773.8457477387578</v>
      </c>
      <c r="CA72" s="118">
        <f>BW72+BX72+BY72+BZ72</f>
        <v>11006.149800703852</v>
      </c>
      <c r="CC72" s="116">
        <f>CC75*CC15</f>
        <v>2819.3584128758703</v>
      </c>
      <c r="CD72" s="117">
        <f>CD75*CD15</f>
        <v>2912.179670548036</v>
      </c>
      <c r="CE72" s="117">
        <f>CE75*CE15</f>
        <v>2902.6616647674355</v>
      </c>
      <c r="CF72" s="117">
        <f>CF75*CF15</f>
        <v>2887.4865560960666</v>
      </c>
      <c r="CG72" s="118">
        <f>CC72+CD72+CE72+CF72</f>
        <v>11521.686304287408</v>
      </c>
      <c r="CI72" s="116">
        <f>CI75*CI15</f>
        <v>2933.6247901331126</v>
      </c>
      <c r="CJ72" s="117">
        <f>CJ75*CJ15</f>
        <v>3030.1358551954559</v>
      </c>
      <c r="CK72" s="117">
        <f>CK75*CK15</f>
        <v>3020.1607365084055</v>
      </c>
      <c r="CL72" s="117">
        <f>CL75*CL15</f>
        <v>3004.2886777447043</v>
      </c>
      <c r="CM72" s="118">
        <f>CI72+CJ72+CK72+CL72</f>
        <v>11988.210059581677</v>
      </c>
      <c r="CO72" s="116">
        <f>CO75*CO15</f>
        <v>3022.5766233041609</v>
      </c>
      <c r="CP72" s="117">
        <f>CP75*CP15</f>
        <v>3121.9411827209633</v>
      </c>
      <c r="CQ72" s="117">
        <f>CQ75*CQ15</f>
        <v>3111.5915574724786</v>
      </c>
      <c r="CR72" s="117">
        <f>CR75*CR15</f>
        <v>3095.1555267646695</v>
      </c>
      <c r="CS72" s="118">
        <f>CO72+CP72+CQ72+CR72</f>
        <v>12351.264890262271</v>
      </c>
      <c r="CU72" s="116">
        <f>CU75*CU15</f>
        <v>3113.9130798859974</v>
      </c>
      <c r="CV72" s="117">
        <f>CV75*CV15</f>
        <v>3216.2066690054121</v>
      </c>
      <c r="CW72" s="117">
        <f>CW75*CW15</f>
        <v>3205.4715469805114</v>
      </c>
      <c r="CX72" s="117">
        <f>CX75*CX15</f>
        <v>3188.4553342743347</v>
      </c>
      <c r="CY72" s="118">
        <f>CU72+CV72+CW72+CX72</f>
        <v>12724.046630146255</v>
      </c>
      <c r="DA72" s="116">
        <f>DA75*DA15</f>
        <v>3207.6939640817855</v>
      </c>
      <c r="DB72" s="117">
        <f>DB75*DB15</f>
        <v>3312.9939982681508</v>
      </c>
      <c r="DC72" s="117">
        <f>DC75*DC15</f>
        <v>3301.8620994458765</v>
      </c>
      <c r="DD72" s="117">
        <f>DD75*DD15</f>
        <v>3284.2490718736813</v>
      </c>
      <c r="DE72" s="118">
        <f>DA72+DB72+DC72+DD72</f>
        <v>13106.799133669494</v>
      </c>
      <c r="DG72" s="116">
        <f>DG75*DG15</f>
        <v>3303.9805184134516</v>
      </c>
      <c r="DH72" s="117">
        <f>DH75*DH15</f>
        <v>3412.3663380337966</v>
      </c>
      <c r="DI72" s="117">
        <f>DI75*DI15</f>
        <v>3400.8260853910642</v>
      </c>
      <c r="DJ72" s="117">
        <f>DJ75*DJ15</f>
        <v>3382.5991768432918</v>
      </c>
      <c r="DK72" s="118">
        <f>DG72+DH72+DI72+DJ72</f>
        <v>13499.772118681603</v>
      </c>
    </row>
    <row r="73" spans="2:115" ht="15" x14ac:dyDescent="0.3">
      <c r="B73" s="40" t="s">
        <v>23</v>
      </c>
      <c r="C73" s="144" t="s">
        <v>35</v>
      </c>
      <c r="D73" s="107" t="s">
        <v>35</v>
      </c>
      <c r="E73" s="107" t="s">
        <v>35</v>
      </c>
      <c r="F73" s="107" t="s">
        <v>35</v>
      </c>
      <c r="G73" s="138" t="s">
        <v>35</v>
      </c>
      <c r="I73" s="151">
        <f>I72/C72-1</f>
        <v>0.17632756632064561</v>
      </c>
      <c r="J73" s="133">
        <f>J72/D72-1</f>
        <v>0.16232510007739509</v>
      </c>
      <c r="K73" s="133">
        <f>K72/E72-1</f>
        <v>0.15169511731135055</v>
      </c>
      <c r="L73" s="133">
        <f>L72/F72-1</f>
        <v>-2.8613405270803027E-2</v>
      </c>
      <c r="M73" s="153">
        <f>M72/G72-1</f>
        <v>0.10807342296548117</v>
      </c>
      <c r="N73" s="107"/>
      <c r="O73" s="151">
        <f>O72/I72-1</f>
        <v>1.1513986013986788E-3</v>
      </c>
      <c r="P73" s="133">
        <f>P72/J72-1</f>
        <v>-8.2759259259258533E-3</v>
      </c>
      <c r="Q73" s="133">
        <f>Q72/K72-1</f>
        <v>-3.559386495007888E-2</v>
      </c>
      <c r="R73" s="152">
        <f>R72/L72-1</f>
        <v>-5.4676027793862159E-2</v>
      </c>
      <c r="S73" s="153">
        <f>S72/M72-1</f>
        <v>-2.486040242165577E-2</v>
      </c>
      <c r="T73" s="107"/>
      <c r="U73" s="151">
        <f>U72/O72-1</f>
        <v>-7.455960671855788E-2</v>
      </c>
      <c r="V73" s="133">
        <f>V72/P72-1</f>
        <v>-4.2842330240835724E-2</v>
      </c>
      <c r="W73" s="133">
        <f>W72/Q72-1</f>
        <v>-6.6373315327175719E-2</v>
      </c>
      <c r="X73" s="152">
        <f>X72/R72-1</f>
        <v>-3.2376092353956776E-2</v>
      </c>
      <c r="Y73" s="153">
        <f>Y72/S72-1</f>
        <v>-5.4300350654032825E-2</v>
      </c>
      <c r="AA73" s="151">
        <f>AA72/U72-1</f>
        <v>-6.9580918616609422E-2</v>
      </c>
      <c r="AB73" s="133">
        <f>AB72/V72-1</f>
        <v>-4.4583266132838362E-2</v>
      </c>
      <c r="AC73" s="133">
        <f>AC72/W72-1</f>
        <v>4.6749650984925228E-3</v>
      </c>
      <c r="AD73" s="152">
        <f>AD72/X72-1</f>
        <v>-2.1161571706141968E-3</v>
      </c>
      <c r="AE73" s="153">
        <f>AE72/Y72-1</f>
        <v>-2.7389928614932391E-2</v>
      </c>
      <c r="AG73" s="151">
        <f>AG72/AA72-1</f>
        <v>7.4049530934783059E-2</v>
      </c>
      <c r="AH73" s="133">
        <f>AH72/AB72-1</f>
        <v>3.9482989984664263E-2</v>
      </c>
      <c r="AI73" s="133">
        <f>AI72/AC72-1</f>
        <v>1.1996770100357379E-2</v>
      </c>
      <c r="AJ73" s="152">
        <f>AJ72/AD72-1</f>
        <v>-1.572890404853422E-2</v>
      </c>
      <c r="AK73" s="153">
        <f>AK72/AE72-1</f>
        <v>2.6085316572515671E-2</v>
      </c>
      <c r="AM73" s="151">
        <f>AM72/AG72-1</f>
        <v>2.158492514362953E-3</v>
      </c>
      <c r="AN73" s="133">
        <f>AN72/AH72-1</f>
        <v>2.0273333071725297E-2</v>
      </c>
      <c r="AO73" s="133">
        <f>AO72/AI72-1</f>
        <v>4.1853574774777691E-2</v>
      </c>
      <c r="AP73" s="152">
        <f>AP72/AJ72-1</f>
        <v>0.11849085522652469</v>
      </c>
      <c r="AQ73" s="153">
        <f>AQ72/AK72-1</f>
        <v>4.562487720656816E-2</v>
      </c>
      <c r="AS73" s="151">
        <f>AS72/AM72-1</f>
        <v>0.11897978791077057</v>
      </c>
      <c r="AT73" s="133">
        <f>AT72/AN72-1</f>
        <v>7.2916884206825072E-2</v>
      </c>
      <c r="AU73" s="133">
        <f>AU72/AO72-1</f>
        <v>6.5182618496623546E-2</v>
      </c>
      <c r="AV73" s="152">
        <f>AV72/AP72-1</f>
        <v>3.6323803511773889E-2</v>
      </c>
      <c r="AW73" s="153">
        <f>AW72/AQ72-1</f>
        <v>7.2030567807129575E-2</v>
      </c>
      <c r="AY73" s="151">
        <f>AY72/AS72-1</f>
        <v>3.424157699166086E-2</v>
      </c>
      <c r="AZ73" s="133">
        <f>AZ72/AT72-1</f>
        <v>0.17076339057874756</v>
      </c>
      <c r="BA73" s="133">
        <f>BA72/AU72-1</f>
        <v>0.17459436727465372</v>
      </c>
      <c r="BB73" s="152">
        <f>BB72/AV72-1</f>
        <v>0.17307859412081217</v>
      </c>
      <c r="BC73" s="153">
        <f>BC72/AW72-1</f>
        <v>0.13912369566599447</v>
      </c>
      <c r="BE73" s="151">
        <f>BE72/AY72-1</f>
        <v>0.18538485073692668</v>
      </c>
      <c r="BF73" s="133">
        <f>BF72/AZ72-1</f>
        <v>5.6478310533725873E-2</v>
      </c>
      <c r="BG73" s="133">
        <f>BG72/BA72-1</f>
        <v>4.6812105328645659E-2</v>
      </c>
      <c r="BH73" s="152">
        <f>BH72/BB72-1</f>
        <v>5.3810826162103531E-2</v>
      </c>
      <c r="BI73" s="153">
        <f>BI72/BC72-1</f>
        <v>8.167415471469619E-2</v>
      </c>
      <c r="BK73" s="151">
        <f>BK72/BE72-1</f>
        <v>6.6213661139540969E-2</v>
      </c>
      <c r="BL73" s="133">
        <f>BL72/BF72-1</f>
        <v>9.8396219441297061E-2</v>
      </c>
      <c r="BM73" s="133">
        <f>BM72/BG72-1</f>
        <v>4.1689408252542748E-2</v>
      </c>
      <c r="BN73" s="152">
        <f>BN72/BH72-1</f>
        <v>5.3729569636773444E-2</v>
      </c>
      <c r="BO73" s="153">
        <f>BO72/BI72-1</f>
        <v>6.4543576672723368E-2</v>
      </c>
      <c r="BQ73" s="151">
        <f>BQ72/BK72-1</f>
        <v>6.9537296229211343E-2</v>
      </c>
      <c r="BR73" s="133">
        <f>BR72/BL72-1</f>
        <v>7.3842637936663902E-2</v>
      </c>
      <c r="BS73" s="133">
        <f>BS72/BM72-1</f>
        <v>8.5548617305976515E-2</v>
      </c>
      <c r="BT73" s="152">
        <f>BT72/BN72-1</f>
        <v>9.9054404145077601E-2</v>
      </c>
      <c r="BU73" s="153">
        <f>BU72/BO72-1</f>
        <v>8.2118598088208872E-2</v>
      </c>
      <c r="BW73" s="151">
        <f>BW72/BQ72-1</f>
        <v>9.7022308438409199E-2</v>
      </c>
      <c r="BX73" s="133">
        <f>BX72/BR72-1</f>
        <v>8.5948275862068879E-2</v>
      </c>
      <c r="BY73" s="133">
        <f>BY72/BS72-1</f>
        <v>7.5322839704465183E-2</v>
      </c>
      <c r="BZ73" s="152">
        <f>BZ72/BT72-1</f>
        <v>6.3846707161125504E-2</v>
      </c>
      <c r="CA73" s="153">
        <f>CA72/BU72-1</f>
        <v>8.0244401506477381E-2</v>
      </c>
      <c r="CC73" s="151">
        <f>CC72/BW72-1</f>
        <v>5.2413463833850704E-2</v>
      </c>
      <c r="CD73" s="133">
        <f>CD72/BX72-1</f>
        <v>5.2383900928792748E-2</v>
      </c>
      <c r="CE73" s="133">
        <f>CE72/BY72-1</f>
        <v>4.1823147561747875E-2</v>
      </c>
      <c r="CF73" s="152">
        <f>CF72/BZ72-1</f>
        <v>4.0968683442454967E-2</v>
      </c>
      <c r="CG73" s="153">
        <f>CG72/CA72-1</f>
        <v>4.6840767472616784E-2</v>
      </c>
      <c r="CI73" s="151">
        <f>CI72/CC72-1</f>
        <v>4.0529212864669262E-2</v>
      </c>
      <c r="CJ73" s="133">
        <f>CJ72/CD72-1</f>
        <v>4.0504432415470415E-2</v>
      </c>
      <c r="CK73" s="133">
        <f>CK72/CE72-1</f>
        <v>4.0479768333725019E-2</v>
      </c>
      <c r="CL73" s="152">
        <f>CL72/CF72-1</f>
        <v>4.0451139556665572E-2</v>
      </c>
      <c r="CM73" s="153">
        <f>CM72/CG72-1</f>
        <v>4.0490926672831495E-2</v>
      </c>
      <c r="CO73" s="151">
        <f>CO72/CI72-1</f>
        <v>3.0321475830933364E-2</v>
      </c>
      <c r="CP73" s="133">
        <f>CP72/CJ72-1</f>
        <v>3.0297429525510733E-2</v>
      </c>
      <c r="CQ73" s="133">
        <f>CQ72/CK72-1</f>
        <v>3.0273495002711703E-2</v>
      </c>
      <c r="CR73" s="152">
        <f>CR72/CL72-1</f>
        <v>3.0245711636532224E-2</v>
      </c>
      <c r="CS73" s="153">
        <f>CS72/CM72-1</f>
        <v>3.0284323420777914E-2</v>
      </c>
      <c r="CU73" s="151">
        <f>CU72/CO72-1</f>
        <v>3.021807813824462E-2</v>
      </c>
      <c r="CV73" s="133">
        <f>CV72/CP72-1</f>
        <v>3.0194510648112516E-2</v>
      </c>
      <c r="CW73" s="133">
        <f>CW72/CQ72-1</f>
        <v>3.0171051622305711E-2</v>
      </c>
      <c r="CX73" s="152">
        <f>CX72/CR72-1</f>
        <v>3.0143818849448945E-2</v>
      </c>
      <c r="CY73" s="153">
        <f>CY72/CS72-1</f>
        <v>3.0181665051802531E-2</v>
      </c>
      <c r="DA73" s="151">
        <f>DA72/CU72-1</f>
        <v>3.0116731517509709E-2</v>
      </c>
      <c r="DB73" s="133">
        <f>DB72/CV72-1</f>
        <v>3.009362868234744E-2</v>
      </c>
      <c r="DC73" s="133">
        <f>DC72/CW72-1</f>
        <v>3.0070631123262581E-2</v>
      </c>
      <c r="DD73" s="152">
        <f>DD72/CX72-1</f>
        <v>3.0043932737463974E-2</v>
      </c>
      <c r="DE73" s="153">
        <f>DE72/CY72-1</f>
        <v>3.008103590381439E-2</v>
      </c>
      <c r="DG73" s="151">
        <f>DG72/DA72-1</f>
        <v>3.0017375538264224E-2</v>
      </c>
      <c r="DH73" s="133">
        <f>DH72/DB72-1</f>
        <v>2.999472375065948E-2</v>
      </c>
      <c r="DI73" s="133">
        <f>DI72/DC72-1</f>
        <v>2.9972174174625943E-2</v>
      </c>
      <c r="DJ73" s="152">
        <f>DJ72/DD72-1</f>
        <v>2.9945994599460013E-2</v>
      </c>
      <c r="DK73" s="153">
        <f>DK72/DE72-1</f>
        <v>2.9982376399026123E-2</v>
      </c>
    </row>
    <row r="74" spans="2:115" ht="15" x14ac:dyDescent="0.3">
      <c r="B74" s="40"/>
      <c r="C74" s="144"/>
      <c r="D74" s="107"/>
      <c r="E74" s="107"/>
      <c r="F74" s="107"/>
      <c r="G74" s="138"/>
      <c r="I74" s="144"/>
      <c r="J74" s="107"/>
      <c r="K74" s="107"/>
      <c r="L74" s="107"/>
      <c r="M74" s="138"/>
      <c r="O74" s="144"/>
      <c r="P74" s="107"/>
      <c r="Q74" s="107"/>
      <c r="R74" s="107"/>
      <c r="S74" s="138"/>
      <c r="U74" s="144"/>
      <c r="V74" s="107"/>
      <c r="W74" s="107"/>
      <c r="X74" s="107"/>
      <c r="Y74" s="138"/>
      <c r="AA74" s="144"/>
      <c r="AB74" s="107"/>
      <c r="AC74" s="107"/>
      <c r="AD74" s="107"/>
      <c r="AE74" s="138"/>
      <c r="AG74" s="144"/>
      <c r="AH74" s="107"/>
      <c r="AI74" s="107"/>
      <c r="AJ74" s="107"/>
      <c r="AK74" s="138"/>
      <c r="AM74" s="144"/>
      <c r="AN74" s="107"/>
      <c r="AO74" s="107"/>
      <c r="AP74" s="107"/>
      <c r="AQ74" s="138"/>
      <c r="AS74" s="144"/>
      <c r="AT74" s="107"/>
      <c r="AU74" s="107"/>
      <c r="AV74" s="107"/>
      <c r="AW74" s="138"/>
      <c r="AY74" s="144"/>
      <c r="AZ74" s="107"/>
      <c r="BA74" s="107"/>
      <c r="BB74" s="107"/>
      <c r="BC74" s="138"/>
      <c r="BE74" s="144"/>
      <c r="BF74" s="107"/>
      <c r="BG74" s="107"/>
      <c r="BH74" s="107"/>
      <c r="BI74" s="138"/>
      <c r="BK74" s="144"/>
      <c r="BL74" s="107"/>
      <c r="BM74" s="107"/>
      <c r="BN74" s="107"/>
      <c r="BO74" s="138"/>
      <c r="BQ74" s="144"/>
      <c r="BR74" s="107"/>
      <c r="BS74" s="107"/>
      <c r="BT74" s="107"/>
      <c r="BU74" s="138"/>
      <c r="BW74" s="144"/>
      <c r="BX74" s="107"/>
      <c r="BY74" s="107"/>
      <c r="BZ74" s="107"/>
      <c r="CA74" s="138"/>
      <c r="CC74" s="144"/>
      <c r="CD74" s="107"/>
      <c r="CE74" s="107"/>
      <c r="CF74" s="107"/>
      <c r="CG74" s="138"/>
      <c r="CI74" s="144"/>
      <c r="CJ74" s="107"/>
      <c r="CK74" s="107"/>
      <c r="CL74" s="107"/>
      <c r="CM74" s="138"/>
      <c r="CO74" s="144"/>
      <c r="CP74" s="107"/>
      <c r="CQ74" s="107"/>
      <c r="CR74" s="107"/>
      <c r="CS74" s="138"/>
      <c r="CU74" s="144"/>
      <c r="CV74" s="107"/>
      <c r="CW74" s="107"/>
      <c r="CX74" s="107"/>
      <c r="CY74" s="138"/>
      <c r="DA74" s="144"/>
      <c r="DB74" s="107"/>
      <c r="DC74" s="107"/>
      <c r="DD74" s="107"/>
      <c r="DE74" s="138"/>
      <c r="DG74" s="144"/>
      <c r="DH74" s="107"/>
      <c r="DI74" s="107"/>
      <c r="DJ74" s="107"/>
      <c r="DK74" s="138"/>
    </row>
    <row r="75" spans="2:115" ht="15.75" thickBot="1" x14ac:dyDescent="0.35">
      <c r="B75" s="76" t="s">
        <v>97</v>
      </c>
      <c r="C75" s="124">
        <f>C25</f>
        <v>7150.869321368481</v>
      </c>
      <c r="D75" s="124">
        <f>D25</f>
        <v>7664.0271493212667</v>
      </c>
      <c r="E75" s="124">
        <f>E25</f>
        <v>7963.1181894383908</v>
      </c>
      <c r="F75" s="124">
        <f>F25</f>
        <v>8183.5256238261327</v>
      </c>
      <c r="G75" s="121">
        <f>G25</f>
        <v>30961.540283954269</v>
      </c>
      <c r="I75" s="123">
        <f>I25</f>
        <v>7647.0588235294108</v>
      </c>
      <c r="J75" s="124">
        <f>J25</f>
        <v>8059.7014925373123</v>
      </c>
      <c r="K75" s="124">
        <f>K25</f>
        <v>8337.3493975903621</v>
      </c>
      <c r="L75" s="124">
        <f>L25</f>
        <v>7949.3670886075952</v>
      </c>
      <c r="M75" s="121">
        <f>M25</f>
        <v>31993.476802264682</v>
      </c>
      <c r="O75" s="123">
        <f>O25</f>
        <v>7323</v>
      </c>
      <c r="P75" s="124">
        <f>P25</f>
        <v>7993</v>
      </c>
      <c r="Q75" s="124">
        <f>Q25</f>
        <v>7691</v>
      </c>
      <c r="R75" s="124">
        <f>R25</f>
        <v>7188</v>
      </c>
      <c r="S75" s="121">
        <f>S25</f>
        <v>30195</v>
      </c>
      <c r="U75" s="123">
        <f>U25</f>
        <v>6777</v>
      </c>
      <c r="V75" s="124">
        <f>V25</f>
        <v>6985.2950583515212</v>
      </c>
      <c r="W75" s="124">
        <f>W25</f>
        <v>6881.3343804929136</v>
      </c>
      <c r="X75" s="124">
        <f>X25</f>
        <v>6665.4772878197691</v>
      </c>
      <c r="Y75" s="121">
        <f>Y25</f>
        <v>27309.106726664206</v>
      </c>
      <c r="AA75" s="123">
        <f>AA25</f>
        <v>6042.7230264296031</v>
      </c>
      <c r="AB75" s="124">
        <f>AB25</f>
        <v>6395.7899651757753</v>
      </c>
      <c r="AC75" s="124">
        <f>AC25</f>
        <v>6145.3372253802427</v>
      </c>
      <c r="AD75" s="124">
        <f>AD25</f>
        <v>6139.7280833183841</v>
      </c>
      <c r="AE75" s="121">
        <f>AE25</f>
        <v>24723.578300304005</v>
      </c>
      <c r="AG75" s="123">
        <f>AG25</f>
        <v>5769.0522952049141</v>
      </c>
      <c r="AH75" s="124">
        <f>AH25</f>
        <v>5909.6132233909566</v>
      </c>
      <c r="AI75" s="124">
        <f>AI25</f>
        <v>6219.0614232622984</v>
      </c>
      <c r="AJ75" s="124">
        <f>AJ25</f>
        <v>5611.502825882365</v>
      </c>
      <c r="AK75" s="121">
        <f>AK25</f>
        <v>23509.229767740533</v>
      </c>
      <c r="AM75" s="123">
        <f>AM25</f>
        <v>5035.5041383153302</v>
      </c>
      <c r="AN75" s="124">
        <f>AN25</f>
        <v>5087.3237836260478</v>
      </c>
      <c r="AO75" s="124">
        <f>AO25</f>
        <v>4859.5135316773076</v>
      </c>
      <c r="AP75" s="124">
        <f>AP25</f>
        <v>4749.7191528422263</v>
      </c>
      <c r="AQ75" s="121">
        <f>AQ25</f>
        <v>19732.060606460913</v>
      </c>
      <c r="AS75" s="123">
        <f>AS25</f>
        <v>4720.9039982214263</v>
      </c>
      <c r="AT75" s="124">
        <f>AT25</f>
        <v>4720.670774382128</v>
      </c>
      <c r="AU75" s="124">
        <f>AU25</f>
        <v>4778.0947830385921</v>
      </c>
      <c r="AV75" s="124">
        <f>AV25</f>
        <v>4669.8240940817577</v>
      </c>
      <c r="AW75" s="121">
        <f>AW25</f>
        <v>18889.493649723903</v>
      </c>
      <c r="AY75" s="123">
        <f>AY25</f>
        <v>4406.2083475617146</v>
      </c>
      <c r="AZ75" s="124">
        <f>AZ25</f>
        <v>4544.2483400000001</v>
      </c>
      <c r="BA75" s="124">
        <f>BA25</f>
        <v>4657.0341600000002</v>
      </c>
      <c r="BB75" s="124">
        <f>BB25</f>
        <v>4545.6331200000004</v>
      </c>
      <c r="BC75" s="121">
        <f>BC25</f>
        <v>18153.123967561718</v>
      </c>
      <c r="BE75" s="123">
        <f>BE25</f>
        <v>4461.3574500000004</v>
      </c>
      <c r="BF75" s="124">
        <f>BF25</f>
        <v>4596.6062000000002</v>
      </c>
      <c r="BG75" s="124">
        <f>BG25</f>
        <v>4676.0585200000005</v>
      </c>
      <c r="BH75" s="124">
        <f>BH25</f>
        <v>4594.7174999999997</v>
      </c>
      <c r="BI75" s="121">
        <f>BI25</f>
        <v>18328.739670000003</v>
      </c>
      <c r="BK75" s="123">
        <f>BK25</f>
        <v>4566.4898499999999</v>
      </c>
      <c r="BL75" s="124">
        <f>BL25</f>
        <v>4745.9611800000002</v>
      </c>
      <c r="BM75" s="124">
        <f>BM25</f>
        <v>4773.5806199999997</v>
      </c>
      <c r="BN75" s="124">
        <f>BN25</f>
        <v>4744.7578999999996</v>
      </c>
      <c r="BO75" s="121">
        <f>BO25</f>
        <v>18830.789550000001</v>
      </c>
      <c r="BQ75" s="123">
        <f>BQ25</f>
        <v>4744.4874586435035</v>
      </c>
      <c r="BR75" s="124">
        <f>BR25</f>
        <v>4952.1772993098948</v>
      </c>
      <c r="BS75" s="124">
        <f>BS25</f>
        <v>4952.9837881718104</v>
      </c>
      <c r="BT75" s="124">
        <f>BT25</f>
        <v>4890.3273182143776</v>
      </c>
      <c r="BU75" s="121">
        <f>BU25</f>
        <v>19539.975864339587</v>
      </c>
      <c r="BW75" s="123">
        <f>BW25</f>
        <v>4830.6066598811849</v>
      </c>
      <c r="BX75" s="124">
        <f>BX25</f>
        <v>5036.2363211933707</v>
      </c>
      <c r="BY75" s="124">
        <f>BY25</f>
        <v>5038.5184865973833</v>
      </c>
      <c r="BZ75" s="124">
        <f>BZ25</f>
        <v>4971.2526271192528</v>
      </c>
      <c r="CA75" s="121">
        <f>CA25</f>
        <v>19876.614094791192</v>
      </c>
      <c r="CC75" s="123">
        <f>CC25</f>
        <v>4909.6080200776132</v>
      </c>
      <c r="CD75" s="124">
        <f>CD25</f>
        <v>5127.8515481619879</v>
      </c>
      <c r="CE75" s="124">
        <f>CE25</f>
        <v>5112.5510028915905</v>
      </c>
      <c r="CF75" s="124">
        <f>CF25</f>
        <v>5041.6698510762844</v>
      </c>
      <c r="CG75" s="121">
        <f>CG25</f>
        <v>20191.680422207475</v>
      </c>
      <c r="CI75" s="123">
        <f>CI25</f>
        <v>4981.8935329662636</v>
      </c>
      <c r="CJ75" s="124">
        <f>CJ25</f>
        <v>5201.2561631105582</v>
      </c>
      <c r="CK75" s="124">
        <f>CK25</f>
        <v>5185.5634473602031</v>
      </c>
      <c r="CL75" s="124">
        <f>CL25</f>
        <v>5115.0486681853026</v>
      </c>
      <c r="CM75" s="121">
        <f>CM25</f>
        <v>20483.761811622328</v>
      </c>
      <c r="CO75" s="123">
        <f>CO25</f>
        <v>5029.5021289843517</v>
      </c>
      <c r="CP75" s="124">
        <f>CP25</f>
        <v>5249.188910429295</v>
      </c>
      <c r="CQ75" s="124">
        <f>CQ25</f>
        <v>5233.1879382839479</v>
      </c>
      <c r="CR75" s="124">
        <f>CR25</f>
        <v>5163.1588459725454</v>
      </c>
      <c r="CS75" s="121">
        <f>CS25</f>
        <v>20675.03782367014</v>
      </c>
      <c r="CU75" s="123">
        <f>CU25</f>
        <v>5080.1325007738578</v>
      </c>
      <c r="CV75" s="124">
        <f>CV25</f>
        <v>5300.260163042255</v>
      </c>
      <c r="CW75" s="124">
        <f>CW25</f>
        <v>5283.9411151143058</v>
      </c>
      <c r="CX75" s="124">
        <f>CX25</f>
        <v>5214.3676985320535</v>
      </c>
      <c r="CY75" s="121">
        <f>CY25</f>
        <v>20878.701477462473</v>
      </c>
      <c r="DA75" s="123">
        <f>DA25</f>
        <v>5133.8434323097426</v>
      </c>
      <c r="DB75" s="124">
        <f>DB25</f>
        <v>5354.530389698858</v>
      </c>
      <c r="DC75" s="124">
        <f>DC25</f>
        <v>5337.8830269199261</v>
      </c>
      <c r="DD75" s="124">
        <f>DD25</f>
        <v>5268.7347354909643</v>
      </c>
      <c r="DE75" s="121">
        <f>DE25</f>
        <v>21094.991584419491</v>
      </c>
      <c r="DG75" s="123">
        <f>DG25</f>
        <v>5190.6946336623005</v>
      </c>
      <c r="DH75" s="124">
        <f>DH25</f>
        <v>5412.0610048701019</v>
      </c>
      <c r="DI75" s="124">
        <f>DI25</f>
        <v>5395.0746680336333</v>
      </c>
      <c r="DJ75" s="124">
        <f>DJ25</f>
        <v>5326.3204207307363</v>
      </c>
      <c r="DK75" s="121">
        <f>DK25</f>
        <v>21324.150727296772</v>
      </c>
    </row>
    <row r="79" spans="2:115" ht="15" x14ac:dyDescent="0.3">
      <c r="B79" s="226" t="s">
        <v>2</v>
      </c>
      <c r="C79" s="114">
        <f>C54*C23</f>
        <v>3589.4559730790806</v>
      </c>
      <c r="D79" s="114">
        <f>D54*D23</f>
        <v>3648.1900452488685</v>
      </c>
      <c r="E79" s="114">
        <f>E54*E23</f>
        <v>3688.1810561609386</v>
      </c>
      <c r="F79" s="114">
        <f>F54*F23</f>
        <v>3327.07271263751</v>
      </c>
      <c r="G79" s="98">
        <f>C79+D79+E79+F79</f>
        <v>14252.899787126396</v>
      </c>
      <c r="H79" s="2"/>
      <c r="I79" s="114">
        <f>I54*I23</f>
        <v>4040.9207161125314</v>
      </c>
      <c r="J79" s="114">
        <f>J54*J23</f>
        <v>3930.3482587064673</v>
      </c>
      <c r="K79" s="114">
        <f>K54*K23</f>
        <v>4216.8674698795185</v>
      </c>
      <c r="L79" s="114">
        <f>L54*L23</f>
        <v>3620.253164556962</v>
      </c>
      <c r="M79" s="98">
        <f>I79+J79+K79+L79</f>
        <v>15808.389609255479</v>
      </c>
      <c r="N79" s="1"/>
      <c r="O79" s="114">
        <f>O54*O23</f>
        <v>3509.5132075471702</v>
      </c>
      <c r="P79" s="114">
        <f>P54*P23</f>
        <v>4822.4433333333336</v>
      </c>
      <c r="Q79" s="114">
        <f>Q54*Q23</f>
        <v>4230.05</v>
      </c>
      <c r="R79" s="114">
        <f>R54*R23</f>
        <v>3658.8736462093862</v>
      </c>
      <c r="S79" s="98">
        <f>O79+P79+Q79+R79</f>
        <v>16220.880187089888</v>
      </c>
      <c r="U79" s="114">
        <f>U54*U23</f>
        <v>3491.9656488549617</v>
      </c>
      <c r="V79" s="114">
        <f>V54*V23</f>
        <v>3556.6154326405181</v>
      </c>
      <c r="W79" s="114">
        <f>W54*W23</f>
        <v>3565.3290449655315</v>
      </c>
      <c r="X79" s="114">
        <f>X54*X23</f>
        <v>3320.3492809213722</v>
      </c>
      <c r="Y79" s="98">
        <f>U79+V79+W79+X79</f>
        <v>13934.259407382382</v>
      </c>
      <c r="AA79" s="114">
        <f>AA54*AA23</f>
        <v>3313.7513370742981</v>
      </c>
      <c r="AB79" s="114">
        <f>AB54*AB23</f>
        <v>3380.2844302640028</v>
      </c>
      <c r="AC79" s="114">
        <f>AC54*AC23</f>
        <v>2828.8060243813816</v>
      </c>
      <c r="AD79" s="114">
        <f>AD54*AD23</f>
        <v>2981.4317441628364</v>
      </c>
      <c r="AE79" s="98">
        <f>AA79+AB79+AC79+AD79</f>
        <v>12504.273535882519</v>
      </c>
      <c r="AG79" s="114">
        <f>AG54*AG23</f>
        <v>3085.1888361313236</v>
      </c>
      <c r="AH79" s="114">
        <f>AH54*AH23</f>
        <v>2929.5518543305598</v>
      </c>
      <c r="AI79" s="114">
        <f>AI54*AI23</f>
        <v>3410.4530385631961</v>
      </c>
      <c r="AJ79" s="114">
        <f>AJ54*AJ23</f>
        <v>2793.1695680401008</v>
      </c>
      <c r="AK79" s="98">
        <f>AG79+AH79+AI79+AJ79</f>
        <v>12218.36329706518</v>
      </c>
      <c r="AM79" s="114">
        <f>AM54*AM23</f>
        <v>2786.141883636401</v>
      </c>
      <c r="AN79" s="114">
        <f>AN54*AN23</f>
        <v>2866.4616242766056</v>
      </c>
      <c r="AO79" s="114">
        <f>AO54*AO23</f>
        <v>2636.5445756972626</v>
      </c>
      <c r="AP79" s="114">
        <f>AP54*AP23</f>
        <v>2748.4329929367937</v>
      </c>
      <c r="AQ79" s="98">
        <f>AM79+AN79+AO79+AP79</f>
        <v>11037.581076547063</v>
      </c>
      <c r="AS79" s="114">
        <f>AS54*AS23</f>
        <v>2525.1346967230888</v>
      </c>
      <c r="AT79" s="114">
        <f>AT54*AT23</f>
        <v>2497.5641887719398</v>
      </c>
      <c r="AU79" s="114">
        <f>AU54*AU23</f>
        <v>2568.5711839456017</v>
      </c>
      <c r="AV79" s="114">
        <f>AV54*AV23</f>
        <v>2376.3601898877582</v>
      </c>
      <c r="AW79" s="98">
        <f>AS79+AT79+AU79+AV79</f>
        <v>9967.630259328389</v>
      </c>
      <c r="AY79" s="114">
        <f>AY54*AY23</f>
        <v>2450.9533933312036</v>
      </c>
      <c r="AZ79" s="114">
        <f>AZ54*AZ23</f>
        <v>2627.9990400000002</v>
      </c>
      <c r="BA79" s="114">
        <f>BA54*BA23</f>
        <v>2707.578</v>
      </c>
      <c r="BB79" s="114">
        <f>BB54*BB23</f>
        <v>2841.0207</v>
      </c>
      <c r="BC79" s="98">
        <f>AY79+AZ79+BA79+BB79</f>
        <v>10627.551133331202</v>
      </c>
      <c r="BE79" s="114">
        <f>BE54*BE23</f>
        <v>2676.8144700000003</v>
      </c>
      <c r="BF79" s="114">
        <f>BF54*BF23</f>
        <v>2703.886</v>
      </c>
      <c r="BG79" s="114">
        <f>BG54*BG23</f>
        <v>2784.01172</v>
      </c>
      <c r="BH79" s="114">
        <f>BH54*BH23</f>
        <v>2594.6640000000002</v>
      </c>
      <c r="BI79" s="98">
        <f>BE79+BF79+BG79+BH79</f>
        <v>10759.376190000001</v>
      </c>
      <c r="BK79" s="114">
        <f>BK54*BK23</f>
        <v>2702.0650000000001</v>
      </c>
      <c r="BL79" s="114">
        <f>BL54*BL23</f>
        <v>2681.3339999999998</v>
      </c>
      <c r="BM79" s="114">
        <f>BM54*BM23</f>
        <v>2634.5991399999998</v>
      </c>
      <c r="BN79" s="114">
        <f>BN54*BN23</f>
        <v>2692.9706999999999</v>
      </c>
    </row>
    <row r="80" spans="2:115" ht="15" x14ac:dyDescent="0.3">
      <c r="B80" s="40" t="s">
        <v>23</v>
      </c>
      <c r="C80" s="144" t="s">
        <v>35</v>
      </c>
      <c r="D80" s="107" t="s">
        <v>35</v>
      </c>
      <c r="E80" s="107" t="s">
        <v>35</v>
      </c>
      <c r="F80" s="107" t="s">
        <v>35</v>
      </c>
      <c r="G80" s="138" t="s">
        <v>35</v>
      </c>
      <c r="I80" s="151">
        <f>I79/C79-1</f>
        <v>0.12577525575447535</v>
      </c>
      <c r="J80" s="133">
        <f>J79/D79-1</f>
        <v>7.7341972308997642E-2</v>
      </c>
      <c r="K80" s="133">
        <f>K79/E79-1</f>
        <v>0.14334611171960576</v>
      </c>
      <c r="L80" s="133">
        <f>L79/F79-1</f>
        <v>8.8119640669661159E-2</v>
      </c>
      <c r="M80" s="153">
        <f>M79/G79-1</f>
        <v>0.10913497220643076</v>
      </c>
      <c r="N80" s="107"/>
      <c r="O80" s="151">
        <f>O79/I79-1</f>
        <v>-0.13150654167661791</v>
      </c>
      <c r="P80" s="133">
        <f>P79/J79-1</f>
        <v>0.22697608860759511</v>
      </c>
      <c r="Q80" s="133">
        <f>Q79/K79-1</f>
        <v>3.1261428571427441E-3</v>
      </c>
      <c r="R80" s="152">
        <f>R79/L79-1</f>
        <v>1.0667895281613715E-2</v>
      </c>
      <c r="S80" s="153">
        <f>S79/M79-1</f>
        <v>2.6093143452948775E-2</v>
      </c>
      <c r="T80" s="107"/>
      <c r="U80" s="151">
        <f>U79/O79-1</f>
        <v>-4.9999979069669243E-3</v>
      </c>
      <c r="V80" s="133">
        <f>V79/P79-1</f>
        <v>-0.26248683772876169</v>
      </c>
      <c r="W80" s="133">
        <f>W79/Q79-1</f>
        <v>-0.15714257633703355</v>
      </c>
      <c r="X80" s="152">
        <f>X79/R79-1</f>
        <v>-9.2521469179108529E-2</v>
      </c>
      <c r="Y80" s="153">
        <f>Y79/S79-1</f>
        <v>-0.14096773746762614</v>
      </c>
      <c r="AA80" s="151">
        <f>AA79/U79-1</f>
        <v>-5.10355283245989E-2</v>
      </c>
      <c r="AB80" s="133">
        <f>AB79/V79-1</f>
        <v>-4.9578315596972677E-2</v>
      </c>
      <c r="AC80" s="133">
        <f>AC79/W79-1</f>
        <v>-0.20657925574195368</v>
      </c>
      <c r="AD80" s="152">
        <f>AD79/X79-1</f>
        <v>-0.1020728568244148</v>
      </c>
      <c r="AE80" s="153">
        <f>AE79/Y79-1</f>
        <v>-0.10262374408949604</v>
      </c>
      <c r="AG80" s="151">
        <f>AG79/AA79-1</f>
        <v>-6.8973944540078769E-2</v>
      </c>
      <c r="AH80" s="133">
        <f>AH79/AB79-1</f>
        <v>-0.13334161229096353</v>
      </c>
      <c r="AI80" s="133">
        <f>AI79/AC79-1</f>
        <v>0.20561572945215012</v>
      </c>
      <c r="AJ80" s="133">
        <f>AJ79/AD79-1</f>
        <v>-6.3144888857953108E-2</v>
      </c>
      <c r="AK80" s="153">
        <f>AK79/AE79-1</f>
        <v>-2.2865001952883213E-2</v>
      </c>
      <c r="AM80" s="151">
        <f>AM79/AG79-1</f>
        <v>-9.6929869897335985E-2</v>
      </c>
      <c r="AN80" s="133">
        <f>AN79/AH79-1</f>
        <v>-2.1535795640787891E-2</v>
      </c>
      <c r="AO80" s="133">
        <f>AO79/AI79-1</f>
        <v>-0.22692248041977925</v>
      </c>
      <c r="AP80" s="152">
        <f>AP79/AJ79-1</f>
        <v>-1.6016419344958566E-2</v>
      </c>
      <c r="AQ80" s="153">
        <f>AQ79/AK79-1</f>
        <v>-9.6639966565876922E-2</v>
      </c>
      <c r="AS80" s="151">
        <f>AS79/AM79-1</f>
        <v>-9.3680507962018211E-2</v>
      </c>
      <c r="AT80" s="133">
        <f>AT79/AN79-1</f>
        <v>-0.12869435696623444</v>
      </c>
      <c r="AU80" s="133">
        <f>AU79/AO79-1</f>
        <v>-2.5781241242122666E-2</v>
      </c>
      <c r="AV80" s="152">
        <f>AV79/AP79-1</f>
        <v>-0.13537634135713927</v>
      </c>
      <c r="AW80" s="153">
        <f>AW79/AQ79-1</f>
        <v>-9.6937074328009576E-2</v>
      </c>
      <c r="AY80" s="151">
        <f>AY79/AS79-1</f>
        <v>-2.9377166884662298E-2</v>
      </c>
      <c r="AZ80" s="133">
        <f>AZ79/AT79-1</f>
        <v>5.2224824416703175E-2</v>
      </c>
      <c r="BA80" s="133">
        <f>BA79/AU79-1</f>
        <v>5.4118342883870962E-2</v>
      </c>
      <c r="BB80" s="152">
        <f>BB79/AV79-1</f>
        <v>0.19553454568441864</v>
      </c>
      <c r="BC80" s="153">
        <f>BC79/AW79-1</f>
        <v>6.6206395786522432E-2</v>
      </c>
      <c r="BE80" s="151">
        <f>BE79/AY79-1</f>
        <v>9.2152334386831569E-2</v>
      </c>
      <c r="BF80" s="133">
        <f>BF79/AZ79-1</f>
        <v>2.887632713899313E-2</v>
      </c>
      <c r="BG80" s="133">
        <f>BG79/BA79-1</f>
        <v>2.8229554236295362E-2</v>
      </c>
      <c r="BH80" s="152">
        <f>BH79/BB79-1</f>
        <v>-8.6714151713150112E-2</v>
      </c>
      <c r="BI80" s="153">
        <f>BI79/BC79-1</f>
        <v>1.2404085853358504E-2</v>
      </c>
      <c r="BK80" s="151">
        <f>BK79/BE79-1</f>
        <v>9.4330519664291845E-3</v>
      </c>
      <c r="BL80" s="151">
        <f>BL79/BF79-1</f>
        <v>-8.3405883236201683E-3</v>
      </c>
      <c r="BM80" s="151">
        <f>BM79/BG79-1</f>
        <v>-5.3668085851305336E-2</v>
      </c>
      <c r="BN80" s="151">
        <f>BN79/BH79-1</f>
        <v>3.7888027120274392E-2</v>
      </c>
    </row>
    <row r="81" spans="7:21" ht="15" x14ac:dyDescent="0.3">
      <c r="G81" s="2"/>
      <c r="H81" s="2"/>
      <c r="I81" s="2"/>
      <c r="J81" s="2"/>
      <c r="K81" s="2"/>
      <c r="L81" s="1"/>
      <c r="M81" s="1"/>
      <c r="N81" s="1"/>
      <c r="O81" s="1"/>
      <c r="P81" s="1"/>
      <c r="Q81" s="1"/>
      <c r="R81" s="1"/>
      <c r="S81" s="1"/>
      <c r="U81" s="1"/>
    </row>
    <row r="82" spans="7:21" ht="15" x14ac:dyDescent="0.3">
      <c r="G82" s="2"/>
      <c r="H82" s="2"/>
      <c r="I82" s="2"/>
      <c r="J82" s="2"/>
      <c r="K82" s="1"/>
      <c r="L82" s="1"/>
      <c r="M82" s="1"/>
      <c r="N82" s="1"/>
      <c r="O82" s="1"/>
      <c r="P82" s="1"/>
      <c r="Q82" s="1"/>
      <c r="R82" s="1"/>
      <c r="S82" s="1"/>
      <c r="U82" s="1"/>
    </row>
    <row r="83" spans="7:21" ht="15" x14ac:dyDescent="0.3">
      <c r="G83" s="2"/>
      <c r="H83" s="2"/>
      <c r="I83" s="2"/>
      <c r="J83" s="2"/>
      <c r="K83" s="2"/>
      <c r="L83" s="1"/>
      <c r="M83" s="1"/>
      <c r="N83" s="1"/>
      <c r="O83" s="97"/>
      <c r="P83" s="97"/>
      <c r="Q83" s="97"/>
      <c r="R83" s="97"/>
      <c r="S83" s="97"/>
      <c r="U83" s="97"/>
    </row>
    <row r="84" spans="7:21" ht="15" x14ac:dyDescent="0.3">
      <c r="G84" s="2"/>
      <c r="H84" s="2"/>
      <c r="I84" s="2"/>
      <c r="J84" s="2"/>
      <c r="K84" s="2"/>
      <c r="L84" s="1"/>
      <c r="M84" s="1"/>
      <c r="N84" s="1"/>
      <c r="O84" s="1"/>
      <c r="P84" s="1"/>
      <c r="Q84" s="1"/>
      <c r="R84" s="1"/>
      <c r="S84" s="1"/>
      <c r="U84" s="1"/>
    </row>
    <row r="85" spans="7:21" ht="15" x14ac:dyDescent="0.3">
      <c r="G85" s="2"/>
      <c r="H85" s="2"/>
      <c r="I85" s="2"/>
      <c r="J85" s="2"/>
      <c r="K85" s="1"/>
      <c r="L85" s="1"/>
      <c r="M85" s="1"/>
      <c r="N85" s="1"/>
      <c r="O85" s="1"/>
      <c r="P85" s="1"/>
      <c r="Q85" s="1"/>
      <c r="R85" s="1"/>
      <c r="S85" s="1"/>
      <c r="U85" s="1"/>
    </row>
    <row r="86" spans="7:21" ht="15" x14ac:dyDescent="0.3">
      <c r="G86" s="2"/>
      <c r="H86" s="2"/>
      <c r="I86" s="2"/>
      <c r="J86" s="2"/>
      <c r="K86" s="2"/>
      <c r="L86" s="1"/>
      <c r="M86" s="1"/>
      <c r="N86" s="1"/>
      <c r="O86" s="1"/>
      <c r="P86" s="1"/>
      <c r="Q86" s="97"/>
      <c r="R86" s="97"/>
      <c r="S86" s="1"/>
      <c r="U86" s="97"/>
    </row>
    <row r="88" spans="7:21" x14ac:dyDescent="0.2">
      <c r="Q88" s="245"/>
      <c r="R88" s="245"/>
      <c r="U88" s="245"/>
    </row>
  </sheetData>
  <mergeCells count="19">
    <mergeCell ref="BE2:BI2"/>
    <mergeCell ref="BK2:BO2"/>
    <mergeCell ref="BQ2:BU2"/>
    <mergeCell ref="AA2:AE2"/>
    <mergeCell ref="AG2:AK2"/>
    <mergeCell ref="AM2:AQ2"/>
    <mergeCell ref="AS2:AW2"/>
    <mergeCell ref="C2:G2"/>
    <mergeCell ref="I2:M2"/>
    <mergeCell ref="O2:S2"/>
    <mergeCell ref="U2:Y2"/>
    <mergeCell ref="AY2:BC2"/>
    <mergeCell ref="DA2:DE2"/>
    <mergeCell ref="DG2:DK2"/>
    <mergeCell ref="BW2:CA2"/>
    <mergeCell ref="CC2:CG2"/>
    <mergeCell ref="CI2:CM2"/>
    <mergeCell ref="CO2:CS2"/>
    <mergeCell ref="CU2:CY2"/>
  </mergeCells>
  <phoneticPr fontId="3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K125"/>
  <sheetViews>
    <sheetView zoomScale="50" workbookViewId="0">
      <pane xSplit="2" ySplit="8" topLeftCell="BE34" activePane="bottomRight" state="frozen"/>
      <selection pane="topRight" activeCell="C1" sqref="C1"/>
      <selection pane="bottomLeft" activeCell="A9" sqref="A9"/>
      <selection pane="bottomRight" sqref="A1:XFD1048576"/>
    </sheetView>
  </sheetViews>
  <sheetFormatPr defaultRowHeight="12.75" x14ac:dyDescent="0.2"/>
  <cols>
    <col min="1" max="1" width="4.5703125" customWidth="1"/>
    <col min="2" max="2" width="35.5703125" customWidth="1"/>
    <col min="3" max="3" width="10.140625" style="103" bestFit="1" customWidth="1"/>
    <col min="4" max="4" width="9.85546875" style="103" customWidth="1"/>
    <col min="5" max="5" width="10.42578125" style="103" bestFit="1" customWidth="1"/>
    <col min="6" max="6" width="10.140625" style="103" bestFit="1" customWidth="1"/>
    <col min="7" max="7" width="10.140625" style="103" customWidth="1"/>
    <col min="8" max="8" width="9.140625" style="103"/>
    <col min="9" max="9" width="11" style="103" bestFit="1" customWidth="1"/>
    <col min="10" max="11" width="10.42578125" style="103" bestFit="1" customWidth="1"/>
    <col min="12" max="12" width="9.42578125" style="103" customWidth="1"/>
    <col min="13" max="13" width="11" style="103" bestFit="1" customWidth="1"/>
    <col min="14" max="14" width="9.140625" style="103"/>
    <col min="15" max="15" width="9.85546875" style="103" bestFit="1" customWidth="1"/>
    <col min="16" max="16" width="10.140625" style="103" customWidth="1"/>
    <col min="17" max="17" width="9.85546875" style="103" bestFit="1" customWidth="1"/>
    <col min="18" max="18" width="10.140625" style="103" bestFit="1" customWidth="1"/>
    <col min="19" max="19" width="10.5703125" style="103" customWidth="1"/>
    <col min="20" max="20" width="9.140625" style="103"/>
    <col min="21" max="21" width="11.140625" style="103" bestFit="1" customWidth="1"/>
    <col min="22" max="22" width="11.5703125" style="103" bestFit="1" customWidth="1"/>
    <col min="23" max="23" width="10.5703125" style="103" bestFit="1" customWidth="1"/>
    <col min="24" max="24" width="11" style="103" bestFit="1" customWidth="1"/>
    <col min="25" max="25" width="10.7109375" style="103" bestFit="1" customWidth="1"/>
    <col min="27" max="27" width="10.7109375" bestFit="1" customWidth="1"/>
    <col min="28" max="30" width="11.42578125" bestFit="1" customWidth="1"/>
    <col min="31" max="31" width="10.7109375" customWidth="1"/>
    <col min="33" max="34" width="10.7109375" bestFit="1" customWidth="1"/>
    <col min="35" max="35" width="11.28515625" bestFit="1" customWidth="1"/>
    <col min="36" max="36" width="11.42578125" bestFit="1" customWidth="1"/>
    <col min="37" max="37" width="10.7109375" bestFit="1" customWidth="1"/>
    <col min="39" max="39" width="11.42578125" bestFit="1" customWidth="1"/>
    <col min="40" max="40" width="11.28515625" bestFit="1" customWidth="1"/>
    <col min="41" max="41" width="11" bestFit="1" customWidth="1"/>
    <col min="42" max="42" width="11.28515625" bestFit="1" customWidth="1"/>
    <col min="43" max="43" width="11" bestFit="1" customWidth="1"/>
    <col min="45" max="45" width="10.5703125" bestFit="1" customWidth="1"/>
    <col min="46" max="46" width="10.7109375" bestFit="1" customWidth="1"/>
    <col min="47" max="47" width="11.28515625" bestFit="1" customWidth="1"/>
    <col min="48" max="48" width="10.28515625" bestFit="1" customWidth="1"/>
    <col min="49" max="49" width="11" bestFit="1" customWidth="1"/>
    <col min="51" max="51" width="11.28515625" bestFit="1" customWidth="1"/>
    <col min="52" max="52" width="10.5703125" bestFit="1" customWidth="1"/>
    <col min="53" max="53" width="11.28515625" bestFit="1" customWidth="1"/>
    <col min="54" max="54" width="11.42578125" bestFit="1" customWidth="1"/>
    <col min="55" max="55" width="11" bestFit="1" customWidth="1"/>
    <col min="57" max="57" width="10.5703125" bestFit="1" customWidth="1"/>
    <col min="58" max="58" width="10.7109375" bestFit="1" customWidth="1"/>
    <col min="59" max="59" width="11" bestFit="1" customWidth="1"/>
    <col min="60" max="60" width="11.42578125" bestFit="1" customWidth="1"/>
    <col min="61" max="61" width="11" bestFit="1" customWidth="1"/>
    <col min="63" max="63" width="11.42578125" bestFit="1" customWidth="1"/>
    <col min="64" max="64" width="10.7109375" bestFit="1" customWidth="1"/>
    <col min="65" max="65" width="10.28515625" bestFit="1" customWidth="1"/>
    <col min="66" max="66" width="11" bestFit="1" customWidth="1"/>
    <col min="67" max="67" width="11.28515625" bestFit="1" customWidth="1"/>
    <col min="69" max="69" width="10.7109375" bestFit="1" customWidth="1"/>
    <col min="70" max="70" width="11.42578125" bestFit="1" customWidth="1"/>
    <col min="71" max="71" width="11" bestFit="1" customWidth="1"/>
    <col min="72" max="72" width="10.7109375" bestFit="1" customWidth="1"/>
    <col min="73" max="73" width="11" bestFit="1" customWidth="1"/>
    <col min="75" max="75" width="10.7109375" bestFit="1" customWidth="1"/>
    <col min="76" max="76" width="11.42578125" bestFit="1" customWidth="1"/>
    <col min="77" max="77" width="11" bestFit="1" customWidth="1"/>
    <col min="78" max="78" width="10.7109375" bestFit="1" customWidth="1"/>
    <col min="79" max="79" width="11" bestFit="1" customWidth="1"/>
    <col min="81" max="81" width="10.7109375" bestFit="1" customWidth="1"/>
    <col min="82" max="82" width="11.42578125" bestFit="1" customWidth="1"/>
    <col min="83" max="83" width="11" bestFit="1" customWidth="1"/>
    <col min="84" max="84" width="10.7109375" bestFit="1" customWidth="1"/>
    <col min="85" max="85" width="11" bestFit="1" customWidth="1"/>
    <col min="87" max="87" width="10.7109375" bestFit="1" customWidth="1"/>
    <col min="88" max="88" width="11.42578125" bestFit="1" customWidth="1"/>
    <col min="89" max="89" width="11" bestFit="1" customWidth="1"/>
    <col min="90" max="90" width="10.7109375" bestFit="1" customWidth="1"/>
    <col min="91" max="91" width="11" bestFit="1" customWidth="1"/>
    <col min="93" max="93" width="10.7109375" bestFit="1" customWidth="1"/>
    <col min="94" max="94" width="11.42578125" bestFit="1" customWidth="1"/>
    <col min="95" max="95" width="11" bestFit="1" customWidth="1"/>
    <col min="96" max="96" width="10.7109375" bestFit="1" customWidth="1"/>
    <col min="97" max="97" width="11" bestFit="1" customWidth="1"/>
    <col min="99" max="99" width="10.7109375" bestFit="1" customWidth="1"/>
    <col min="100" max="100" width="11.42578125" bestFit="1" customWidth="1"/>
    <col min="101" max="101" width="11" bestFit="1" customWidth="1"/>
    <col min="102" max="102" width="10.7109375" bestFit="1" customWidth="1"/>
    <col min="103" max="103" width="11" customWidth="1"/>
    <col min="105" max="115" width="11.140625" customWidth="1"/>
  </cols>
  <sheetData>
    <row r="1" spans="2:115" ht="13.5" thickBot="1" x14ac:dyDescent="0.25"/>
    <row r="2" spans="2:115" x14ac:dyDescent="0.2">
      <c r="B2" s="281" t="s">
        <v>157</v>
      </c>
      <c r="C2" s="712">
        <v>2007</v>
      </c>
      <c r="D2" s="713"/>
      <c r="E2" s="713"/>
      <c r="F2" s="713"/>
      <c r="G2" s="714"/>
      <c r="H2" s="129"/>
      <c r="I2" s="712">
        <v>2008</v>
      </c>
      <c r="J2" s="713"/>
      <c r="K2" s="713"/>
      <c r="L2" s="713"/>
      <c r="M2" s="714"/>
      <c r="N2" s="129"/>
      <c r="O2" s="712">
        <v>2009</v>
      </c>
      <c r="P2" s="713"/>
      <c r="Q2" s="713"/>
      <c r="R2" s="713"/>
      <c r="S2" s="714"/>
      <c r="T2" s="129"/>
      <c r="U2" s="712">
        <v>2010</v>
      </c>
      <c r="V2" s="713"/>
      <c r="W2" s="713"/>
      <c r="X2" s="713"/>
      <c r="Y2" s="714"/>
      <c r="AA2" s="712">
        <v>2011</v>
      </c>
      <c r="AB2" s="713"/>
      <c r="AC2" s="713"/>
      <c r="AD2" s="713"/>
      <c r="AE2" s="714"/>
      <c r="AG2" s="712">
        <v>2012</v>
      </c>
      <c r="AH2" s="713"/>
      <c r="AI2" s="713"/>
      <c r="AJ2" s="713"/>
      <c r="AK2" s="714"/>
      <c r="AM2" s="712">
        <v>2013</v>
      </c>
      <c r="AN2" s="713"/>
      <c r="AO2" s="713"/>
      <c r="AP2" s="713"/>
      <c r="AQ2" s="714"/>
      <c r="AS2" s="712">
        <v>2014</v>
      </c>
      <c r="AT2" s="713"/>
      <c r="AU2" s="713"/>
      <c r="AV2" s="713"/>
      <c r="AW2" s="714"/>
      <c r="AY2" s="712">
        <v>2015</v>
      </c>
      <c r="AZ2" s="713"/>
      <c r="BA2" s="713"/>
      <c r="BB2" s="713"/>
      <c r="BC2" s="714"/>
      <c r="BE2" s="712">
        <v>2016</v>
      </c>
      <c r="BF2" s="713"/>
      <c r="BG2" s="713"/>
      <c r="BH2" s="713"/>
      <c r="BI2" s="714"/>
      <c r="BK2" s="712">
        <v>2017</v>
      </c>
      <c r="BL2" s="713"/>
      <c r="BM2" s="713"/>
      <c r="BN2" s="713"/>
      <c r="BO2" s="714"/>
      <c r="BQ2" s="712">
        <v>2018</v>
      </c>
      <c r="BR2" s="713"/>
      <c r="BS2" s="713"/>
      <c r="BT2" s="713"/>
      <c r="BU2" s="714"/>
      <c r="BW2" s="712">
        <v>2019</v>
      </c>
      <c r="BX2" s="713"/>
      <c r="BY2" s="713"/>
      <c r="BZ2" s="713"/>
      <c r="CA2" s="714"/>
      <c r="CC2" s="712">
        <v>2020</v>
      </c>
      <c r="CD2" s="713"/>
      <c r="CE2" s="713"/>
      <c r="CF2" s="713"/>
      <c r="CG2" s="714"/>
      <c r="CI2" s="712">
        <v>2021</v>
      </c>
      <c r="CJ2" s="713"/>
      <c r="CK2" s="713"/>
      <c r="CL2" s="713"/>
      <c r="CM2" s="714"/>
      <c r="CO2" s="712">
        <v>2022</v>
      </c>
      <c r="CP2" s="713"/>
      <c r="CQ2" s="713"/>
      <c r="CR2" s="713"/>
      <c r="CS2" s="714"/>
      <c r="CU2" s="712">
        <v>2023</v>
      </c>
      <c r="CV2" s="713"/>
      <c r="CW2" s="713"/>
      <c r="CX2" s="713"/>
      <c r="CY2" s="714"/>
      <c r="DA2" s="712">
        <v>2024</v>
      </c>
      <c r="DB2" s="713"/>
      <c r="DC2" s="713"/>
      <c r="DD2" s="713"/>
      <c r="DE2" s="714"/>
      <c r="DG2" s="712">
        <v>2025</v>
      </c>
      <c r="DH2" s="713"/>
      <c r="DI2" s="713"/>
      <c r="DJ2" s="713"/>
      <c r="DK2" s="714"/>
    </row>
    <row r="3" spans="2:115" ht="13.5" thickBot="1" x14ac:dyDescent="0.25">
      <c r="C3" s="130" t="s">
        <v>20</v>
      </c>
      <c r="D3" s="131" t="s">
        <v>19</v>
      </c>
      <c r="E3" s="131" t="s">
        <v>22</v>
      </c>
      <c r="F3" s="131" t="s">
        <v>21</v>
      </c>
      <c r="G3" s="132" t="s">
        <v>39</v>
      </c>
      <c r="H3" s="129"/>
      <c r="I3" s="130" t="s">
        <v>20</v>
      </c>
      <c r="J3" s="131" t="s">
        <v>19</v>
      </c>
      <c r="K3" s="131" t="s">
        <v>22</v>
      </c>
      <c r="L3" s="131" t="s">
        <v>21</v>
      </c>
      <c r="M3" s="132" t="s">
        <v>39</v>
      </c>
      <c r="N3" s="129"/>
      <c r="O3" s="130" t="s">
        <v>20</v>
      </c>
      <c r="P3" s="131" t="s">
        <v>19</v>
      </c>
      <c r="Q3" s="131" t="s">
        <v>22</v>
      </c>
      <c r="R3" s="131" t="s">
        <v>21</v>
      </c>
      <c r="S3" s="132" t="s">
        <v>39</v>
      </c>
      <c r="T3" s="129"/>
      <c r="U3" s="130" t="s">
        <v>20</v>
      </c>
      <c r="V3" s="131" t="s">
        <v>19</v>
      </c>
      <c r="W3" s="131" t="s">
        <v>22</v>
      </c>
      <c r="X3" s="131" t="s">
        <v>21</v>
      </c>
      <c r="Y3" s="132" t="s">
        <v>39</v>
      </c>
      <c r="AA3" s="130" t="s">
        <v>20</v>
      </c>
      <c r="AB3" s="131" t="s">
        <v>19</v>
      </c>
      <c r="AC3" s="131" t="s">
        <v>22</v>
      </c>
      <c r="AD3" s="131" t="s">
        <v>21</v>
      </c>
      <c r="AE3" s="132" t="s">
        <v>39</v>
      </c>
      <c r="AG3" s="130" t="s">
        <v>20</v>
      </c>
      <c r="AH3" s="131" t="s">
        <v>19</v>
      </c>
      <c r="AI3" s="131" t="s">
        <v>22</v>
      </c>
      <c r="AJ3" s="131" t="s">
        <v>21</v>
      </c>
      <c r="AK3" s="132" t="s">
        <v>39</v>
      </c>
      <c r="AM3" s="130" t="s">
        <v>20</v>
      </c>
      <c r="AN3" s="131" t="s">
        <v>19</v>
      </c>
      <c r="AO3" s="131" t="s">
        <v>22</v>
      </c>
      <c r="AP3" s="131" t="s">
        <v>21</v>
      </c>
      <c r="AQ3" s="132" t="s">
        <v>39</v>
      </c>
      <c r="AS3" s="130" t="s">
        <v>20</v>
      </c>
      <c r="AT3" s="131" t="s">
        <v>19</v>
      </c>
      <c r="AU3" s="131" t="s">
        <v>22</v>
      </c>
      <c r="AV3" s="131" t="s">
        <v>21</v>
      </c>
      <c r="AW3" s="132" t="s">
        <v>39</v>
      </c>
      <c r="AY3" s="130" t="s">
        <v>20</v>
      </c>
      <c r="AZ3" s="131" t="s">
        <v>19</v>
      </c>
      <c r="BA3" s="131" t="s">
        <v>22</v>
      </c>
      <c r="BB3" s="131" t="s">
        <v>21</v>
      </c>
      <c r="BC3" s="132" t="s">
        <v>39</v>
      </c>
      <c r="BE3" s="130" t="s">
        <v>20</v>
      </c>
      <c r="BF3" s="131" t="s">
        <v>19</v>
      </c>
      <c r="BG3" s="131" t="s">
        <v>22</v>
      </c>
      <c r="BH3" s="131" t="s">
        <v>21</v>
      </c>
      <c r="BI3" s="132" t="s">
        <v>39</v>
      </c>
      <c r="BK3" s="130" t="s">
        <v>20</v>
      </c>
      <c r="BL3" s="131" t="s">
        <v>19</v>
      </c>
      <c r="BM3" s="131" t="s">
        <v>22</v>
      </c>
      <c r="BN3" s="131" t="s">
        <v>21</v>
      </c>
      <c r="BO3" s="132" t="s">
        <v>39</v>
      </c>
      <c r="BQ3" s="130" t="s">
        <v>20</v>
      </c>
      <c r="BR3" s="131" t="s">
        <v>19</v>
      </c>
      <c r="BS3" s="131" t="s">
        <v>22</v>
      </c>
      <c r="BT3" s="131" t="s">
        <v>21</v>
      </c>
      <c r="BU3" s="132" t="s">
        <v>39</v>
      </c>
      <c r="BW3" s="130" t="s">
        <v>20</v>
      </c>
      <c r="BX3" s="131" t="s">
        <v>19</v>
      </c>
      <c r="BY3" s="131" t="s">
        <v>22</v>
      </c>
      <c r="BZ3" s="131" t="s">
        <v>21</v>
      </c>
      <c r="CA3" s="132" t="s">
        <v>39</v>
      </c>
      <c r="CC3" s="130" t="s">
        <v>20</v>
      </c>
      <c r="CD3" s="131" t="s">
        <v>19</v>
      </c>
      <c r="CE3" s="131" t="s">
        <v>22</v>
      </c>
      <c r="CF3" s="131" t="s">
        <v>21</v>
      </c>
      <c r="CG3" s="132" t="s">
        <v>39</v>
      </c>
      <c r="CI3" s="130" t="s">
        <v>20</v>
      </c>
      <c r="CJ3" s="131" t="s">
        <v>19</v>
      </c>
      <c r="CK3" s="131" t="s">
        <v>22</v>
      </c>
      <c r="CL3" s="131" t="s">
        <v>21</v>
      </c>
      <c r="CM3" s="132" t="s">
        <v>39</v>
      </c>
      <c r="CO3" s="130" t="s">
        <v>20</v>
      </c>
      <c r="CP3" s="131" t="s">
        <v>19</v>
      </c>
      <c r="CQ3" s="131" t="s">
        <v>22</v>
      </c>
      <c r="CR3" s="131" t="s">
        <v>21</v>
      </c>
      <c r="CS3" s="132" t="s">
        <v>39</v>
      </c>
      <c r="CU3" s="130" t="s">
        <v>20</v>
      </c>
      <c r="CV3" s="131" t="s">
        <v>19</v>
      </c>
      <c r="CW3" s="131" t="s">
        <v>22</v>
      </c>
      <c r="CX3" s="131" t="s">
        <v>21</v>
      </c>
      <c r="CY3" s="132" t="s">
        <v>39</v>
      </c>
      <c r="DA3" s="130" t="s">
        <v>20</v>
      </c>
      <c r="DB3" s="131" t="s">
        <v>19</v>
      </c>
      <c r="DC3" s="131" t="s">
        <v>22</v>
      </c>
      <c r="DD3" s="131" t="s">
        <v>21</v>
      </c>
      <c r="DE3" s="132" t="s">
        <v>39</v>
      </c>
      <c r="DG3" s="130" t="s">
        <v>20</v>
      </c>
      <c r="DH3" s="131" t="s">
        <v>19</v>
      </c>
      <c r="DI3" s="131" t="s">
        <v>22</v>
      </c>
      <c r="DJ3" s="131" t="s">
        <v>21</v>
      </c>
      <c r="DK3" s="132" t="s">
        <v>39</v>
      </c>
    </row>
    <row r="4" spans="2:115" ht="15" x14ac:dyDescent="0.3">
      <c r="B4" s="104" t="s">
        <v>25</v>
      </c>
      <c r="C4" s="111">
        <v>2158</v>
      </c>
      <c r="D4" s="112">
        <f>C6</f>
        <v>2192</v>
      </c>
      <c r="E4" s="112">
        <f>D6</f>
        <v>2222</v>
      </c>
      <c r="F4" s="112">
        <f>E6</f>
        <v>2278</v>
      </c>
      <c r="G4" s="113">
        <f>C4</f>
        <v>2158</v>
      </c>
      <c r="H4" s="114"/>
      <c r="I4" s="111">
        <f>G6</f>
        <v>2385</v>
      </c>
      <c r="J4" s="112">
        <f>I6</f>
        <v>2453</v>
      </c>
      <c r="K4" s="112">
        <f>J6</f>
        <v>2543</v>
      </c>
      <c r="L4" s="115">
        <f>K6</f>
        <v>2620</v>
      </c>
      <c r="M4" s="113">
        <f>I4</f>
        <v>2385</v>
      </c>
      <c r="N4" s="114"/>
      <c r="O4" s="111">
        <f>M6</f>
        <v>2690</v>
      </c>
      <c r="P4" s="112">
        <f>O6</f>
        <v>2781</v>
      </c>
      <c r="Q4" s="112">
        <f>P6</f>
        <v>2867</v>
      </c>
      <c r="R4" s="115">
        <f>Q6</f>
        <v>2885</v>
      </c>
      <c r="S4" s="113">
        <f>O4</f>
        <v>2690</v>
      </c>
      <c r="T4" s="114"/>
      <c r="U4" s="111">
        <f>S6</f>
        <v>2859</v>
      </c>
      <c r="V4" s="112">
        <f>U6</f>
        <v>2798</v>
      </c>
      <c r="W4" s="112">
        <f>V6</f>
        <v>2779</v>
      </c>
      <c r="X4" s="115">
        <f>W6</f>
        <v>2774</v>
      </c>
      <c r="Y4" s="113">
        <f>U4</f>
        <v>2859</v>
      </c>
      <c r="AA4" s="111">
        <f>Y6</f>
        <v>2901</v>
      </c>
      <c r="AB4" s="112">
        <f>AA6</f>
        <v>3006</v>
      </c>
      <c r="AC4" s="112">
        <f>AB6</f>
        <v>2988</v>
      </c>
      <c r="AD4" s="112">
        <f>AC6</f>
        <v>2485</v>
      </c>
      <c r="AE4" s="113">
        <f>AA4</f>
        <v>2901</v>
      </c>
      <c r="AG4" s="111">
        <f>AE6</f>
        <v>2418</v>
      </c>
      <c r="AH4" s="112">
        <f>AG6</f>
        <v>2350</v>
      </c>
      <c r="AI4" s="112">
        <f>AH6</f>
        <v>2378</v>
      </c>
      <c r="AJ4" s="112">
        <f>AI6</f>
        <v>2443</v>
      </c>
      <c r="AK4" s="113">
        <f>AG4</f>
        <v>2418</v>
      </c>
      <c r="AM4" s="111">
        <f>AK6</f>
        <v>2326</v>
      </c>
      <c r="AN4" s="112">
        <f>AM6</f>
        <v>2309</v>
      </c>
      <c r="AO4" s="112">
        <f>AN6</f>
        <v>2350</v>
      </c>
      <c r="AP4" s="112">
        <f>AO6</f>
        <v>2392</v>
      </c>
      <c r="AQ4" s="113">
        <f>AM4</f>
        <v>2326</v>
      </c>
      <c r="AS4" s="111">
        <f>AQ6</f>
        <v>2303</v>
      </c>
      <c r="AT4" s="112">
        <f>AS6</f>
        <v>2272</v>
      </c>
      <c r="AU4" s="112">
        <f>AT6</f>
        <v>2308</v>
      </c>
      <c r="AV4" s="112">
        <f>AU6</f>
        <v>2332</v>
      </c>
      <c r="AW4" s="113">
        <f>AS4</f>
        <v>2303</v>
      </c>
      <c r="AY4" s="111">
        <f>AW6</f>
        <v>2352</v>
      </c>
      <c r="AZ4" s="112">
        <f>AY6</f>
        <v>2314</v>
      </c>
      <c r="BA4" s="112">
        <f>AZ6</f>
        <v>2241</v>
      </c>
      <c r="BB4" s="112">
        <f>BA6</f>
        <v>2323</v>
      </c>
      <c r="BC4" s="113">
        <f>AY4</f>
        <v>2352</v>
      </c>
      <c r="BE4" s="111">
        <f>BC6</f>
        <v>2233</v>
      </c>
      <c r="BF4" s="112">
        <f>BE6</f>
        <v>2206</v>
      </c>
      <c r="BG4" s="112">
        <f>BF6</f>
        <v>2246</v>
      </c>
      <c r="BH4" s="112">
        <f>BG6</f>
        <v>2332</v>
      </c>
      <c r="BI4" s="113">
        <f>BE4</f>
        <v>2233</v>
      </c>
      <c r="BK4" s="111">
        <f>BI6</f>
        <v>2235</v>
      </c>
      <c r="BL4" s="112">
        <f>BK6</f>
        <v>2210</v>
      </c>
      <c r="BM4" s="112">
        <f>BL6</f>
        <v>2237</v>
      </c>
      <c r="BN4" s="112">
        <f>BM6</f>
        <v>2297</v>
      </c>
      <c r="BO4" s="113">
        <f>BK4</f>
        <v>2235</v>
      </c>
      <c r="BQ4" s="111">
        <f>BO6</f>
        <v>2244</v>
      </c>
      <c r="BR4" s="112">
        <f>BQ6</f>
        <v>2234</v>
      </c>
      <c r="BS4" s="112">
        <f>BR6</f>
        <v>2229</v>
      </c>
      <c r="BT4" s="112">
        <f>BS6</f>
        <v>2234</v>
      </c>
      <c r="BU4" s="113">
        <f>BQ4</f>
        <v>2244</v>
      </c>
      <c r="BW4" s="111">
        <f>BU6</f>
        <v>2239</v>
      </c>
      <c r="BX4" s="112">
        <f>BW6</f>
        <v>2244</v>
      </c>
      <c r="BY4" s="112">
        <f>BX6</f>
        <v>2249</v>
      </c>
      <c r="BZ4" s="112">
        <f>BY6</f>
        <v>2259</v>
      </c>
      <c r="CA4" s="113">
        <f>BW4</f>
        <v>2239</v>
      </c>
      <c r="CC4" s="111">
        <f>CA6</f>
        <v>2279</v>
      </c>
      <c r="CD4" s="112">
        <f>CC6</f>
        <v>2284</v>
      </c>
      <c r="CE4" s="112">
        <f>CD6</f>
        <v>2289</v>
      </c>
      <c r="CF4" s="112">
        <f>CE6</f>
        <v>2294</v>
      </c>
      <c r="CG4" s="113">
        <f>CC4</f>
        <v>2279</v>
      </c>
      <c r="CI4" s="111">
        <f>CG6</f>
        <v>2314</v>
      </c>
      <c r="CJ4" s="112">
        <f>CI6</f>
        <v>2319</v>
      </c>
      <c r="CK4" s="112">
        <f>CJ6</f>
        <v>2324</v>
      </c>
      <c r="CL4" s="112">
        <f>CK6</f>
        <v>2329</v>
      </c>
      <c r="CM4" s="113">
        <f>CI4</f>
        <v>2314</v>
      </c>
      <c r="CO4" s="111">
        <f>CM6</f>
        <v>2349</v>
      </c>
      <c r="CP4" s="112">
        <f>CO6</f>
        <v>2354</v>
      </c>
      <c r="CQ4" s="112">
        <f>CP6</f>
        <v>2359</v>
      </c>
      <c r="CR4" s="112">
        <f>CQ6</f>
        <v>2364</v>
      </c>
      <c r="CS4" s="113">
        <f>CO4</f>
        <v>2349</v>
      </c>
      <c r="CU4" s="111">
        <f>CS6</f>
        <v>2389</v>
      </c>
      <c r="CV4" s="112">
        <f>CU6</f>
        <v>2394</v>
      </c>
      <c r="CW4" s="112">
        <f>CV6</f>
        <v>2399</v>
      </c>
      <c r="CX4" s="112">
        <f>CW6</f>
        <v>2404</v>
      </c>
      <c r="CY4" s="113">
        <f>CU4</f>
        <v>2389</v>
      </c>
      <c r="DA4" s="111">
        <f>CY6</f>
        <v>2429</v>
      </c>
      <c r="DB4" s="112">
        <f>DA6</f>
        <v>2434</v>
      </c>
      <c r="DC4" s="112">
        <f>DB6</f>
        <v>2439</v>
      </c>
      <c r="DD4" s="112">
        <f>DC6</f>
        <v>2444</v>
      </c>
      <c r="DE4" s="113">
        <f>DA4</f>
        <v>2429</v>
      </c>
      <c r="DG4" s="111">
        <f>DE6</f>
        <v>2469</v>
      </c>
      <c r="DH4" s="112">
        <f>DG6</f>
        <v>2474</v>
      </c>
      <c r="DI4" s="112">
        <f>DH6</f>
        <v>2479</v>
      </c>
      <c r="DJ4" s="112">
        <f>DI6</f>
        <v>2484</v>
      </c>
      <c r="DK4" s="113">
        <f>DG4</f>
        <v>2469</v>
      </c>
    </row>
    <row r="5" spans="2:115" ht="15" x14ac:dyDescent="0.3">
      <c r="B5" s="105" t="s">
        <v>26</v>
      </c>
      <c r="C5" s="116">
        <f>C6-C4</f>
        <v>34</v>
      </c>
      <c r="D5" s="117">
        <f>D6-D4</f>
        <v>30</v>
      </c>
      <c r="E5" s="117">
        <f>E6-E4</f>
        <v>56</v>
      </c>
      <c r="F5" s="117">
        <f>F6-F4</f>
        <v>107</v>
      </c>
      <c r="G5" s="118">
        <f>G6-G4</f>
        <v>227</v>
      </c>
      <c r="H5" s="114"/>
      <c r="I5" s="116">
        <f>I6-I4</f>
        <v>68</v>
      </c>
      <c r="J5" s="117">
        <f>J6-J4</f>
        <v>90</v>
      </c>
      <c r="K5" s="117">
        <f>K6-K4</f>
        <v>77</v>
      </c>
      <c r="L5" s="119">
        <f>L6-L4</f>
        <v>70</v>
      </c>
      <c r="M5" s="118">
        <f>M6-M4</f>
        <v>305</v>
      </c>
      <c r="N5" s="114"/>
      <c r="O5" s="116">
        <f>O6-O4</f>
        <v>91</v>
      </c>
      <c r="P5" s="117">
        <f>P6-P4</f>
        <v>86</v>
      </c>
      <c r="Q5" s="117">
        <f>Q6-Q4</f>
        <v>18</v>
      </c>
      <c r="R5" s="119">
        <f>R6-R4</f>
        <v>-26</v>
      </c>
      <c r="S5" s="118">
        <f>S6-S4</f>
        <v>169</v>
      </c>
      <c r="T5" s="114"/>
      <c r="U5" s="116">
        <f>U6-U4</f>
        <v>-61</v>
      </c>
      <c r="V5" s="117">
        <f>V6-V4</f>
        <v>-19</v>
      </c>
      <c r="W5" s="117">
        <v>-5</v>
      </c>
      <c r="X5" s="119">
        <v>127</v>
      </c>
      <c r="Y5" s="118">
        <f>Y6-Y4</f>
        <v>42</v>
      </c>
      <c r="AA5" s="116">
        <v>105</v>
      </c>
      <c r="AB5" s="117">
        <v>-18</v>
      </c>
      <c r="AC5" s="117">
        <v>-503</v>
      </c>
      <c r="AD5" s="117">
        <v>-67</v>
      </c>
      <c r="AE5" s="118">
        <f>AE6-AE4</f>
        <v>-483</v>
      </c>
      <c r="AG5" s="116">
        <v>-68</v>
      </c>
      <c r="AH5" s="117">
        <v>28</v>
      </c>
      <c r="AI5" s="117">
        <v>65</v>
      </c>
      <c r="AJ5" s="117">
        <v>-117</v>
      </c>
      <c r="AK5" s="118">
        <f>AK6-AK4</f>
        <v>-92</v>
      </c>
      <c r="AM5" s="116">
        <v>-17</v>
      </c>
      <c r="AN5" s="117">
        <v>41</v>
      </c>
      <c r="AO5" s="117">
        <v>42</v>
      </c>
      <c r="AP5" s="117">
        <v>-89</v>
      </c>
      <c r="AQ5" s="118">
        <f>AQ6-AQ4</f>
        <v>-23</v>
      </c>
      <c r="AS5" s="116">
        <v>-31</v>
      </c>
      <c r="AT5" s="117">
        <v>36</v>
      </c>
      <c r="AU5" s="117">
        <v>24</v>
      </c>
      <c r="AV5" s="117">
        <v>20</v>
      </c>
      <c r="AW5" s="118">
        <f>AW6-AW4</f>
        <v>49</v>
      </c>
      <c r="AY5" s="116">
        <v>-38</v>
      </c>
      <c r="AZ5" s="117">
        <v>-73</v>
      </c>
      <c r="BA5" s="117">
        <v>82</v>
      </c>
      <c r="BB5" s="117">
        <v>-90</v>
      </c>
      <c r="BC5" s="118">
        <f>BC6-BC4</f>
        <v>-119</v>
      </c>
      <c r="BE5" s="116">
        <v>-27</v>
      </c>
      <c r="BF5" s="117">
        <v>40</v>
      </c>
      <c r="BG5" s="117">
        <v>86</v>
      </c>
      <c r="BH5" s="117">
        <v>-97</v>
      </c>
      <c r="BI5" s="118">
        <f>BI6-BI4</f>
        <v>2</v>
      </c>
      <c r="BK5" s="116">
        <v>-25</v>
      </c>
      <c r="BL5" s="117">
        <v>27</v>
      </c>
      <c r="BM5" s="117">
        <v>60</v>
      </c>
      <c r="BN5" s="117">
        <v>-53</v>
      </c>
      <c r="BO5" s="118">
        <f>BO6-BO4</f>
        <v>9</v>
      </c>
      <c r="BQ5" s="116">
        <v>-10</v>
      </c>
      <c r="BR5" s="117">
        <v>-5</v>
      </c>
      <c r="BS5" s="117">
        <v>5</v>
      </c>
      <c r="BT5" s="117">
        <v>5</v>
      </c>
      <c r="BU5" s="118">
        <f>BU6-BU4</f>
        <v>-5</v>
      </c>
      <c r="BW5" s="116">
        <v>5</v>
      </c>
      <c r="BX5" s="117">
        <v>5</v>
      </c>
      <c r="BY5" s="117">
        <v>10</v>
      </c>
      <c r="BZ5" s="117">
        <v>20</v>
      </c>
      <c r="CA5" s="118">
        <f>CA6-CA4</f>
        <v>40</v>
      </c>
      <c r="CC5" s="116">
        <v>5</v>
      </c>
      <c r="CD5" s="117">
        <v>5</v>
      </c>
      <c r="CE5" s="117">
        <v>5</v>
      </c>
      <c r="CF5" s="117">
        <v>20</v>
      </c>
      <c r="CG5" s="118">
        <f>CG6-CG4</f>
        <v>35</v>
      </c>
      <c r="CI5" s="116">
        <v>5</v>
      </c>
      <c r="CJ5" s="117">
        <v>5</v>
      </c>
      <c r="CK5" s="117">
        <v>5</v>
      </c>
      <c r="CL5" s="117">
        <v>20</v>
      </c>
      <c r="CM5" s="118">
        <f>CM6-CM4</f>
        <v>35</v>
      </c>
      <c r="CO5" s="116">
        <v>5</v>
      </c>
      <c r="CP5" s="117">
        <v>5</v>
      </c>
      <c r="CQ5" s="117">
        <v>5</v>
      </c>
      <c r="CR5" s="117">
        <v>25</v>
      </c>
      <c r="CS5" s="118">
        <f>CS6-CS4</f>
        <v>40</v>
      </c>
      <c r="CU5" s="116">
        <v>5</v>
      </c>
      <c r="CV5" s="117">
        <v>5</v>
      </c>
      <c r="CW5" s="117">
        <v>5</v>
      </c>
      <c r="CX5" s="117">
        <v>25</v>
      </c>
      <c r="CY5" s="118">
        <f>CY6-CY4</f>
        <v>40</v>
      </c>
      <c r="DA5" s="116">
        <v>5</v>
      </c>
      <c r="DB5" s="117">
        <v>5</v>
      </c>
      <c r="DC5" s="117">
        <v>5</v>
      </c>
      <c r="DD5" s="117">
        <v>25</v>
      </c>
      <c r="DE5" s="118">
        <f>DE6-DE4</f>
        <v>40</v>
      </c>
      <c r="DG5" s="116">
        <v>5</v>
      </c>
      <c r="DH5" s="117">
        <v>5</v>
      </c>
      <c r="DI5" s="117">
        <v>5</v>
      </c>
      <c r="DJ5" s="117">
        <v>25</v>
      </c>
      <c r="DK5" s="118">
        <f>DK6-DK4</f>
        <v>40</v>
      </c>
    </row>
    <row r="6" spans="2:115" ht="15.75" thickBot="1" x14ac:dyDescent="0.35">
      <c r="B6" s="5" t="s">
        <v>27</v>
      </c>
      <c r="C6" s="116">
        <v>2192</v>
      </c>
      <c r="D6" s="117">
        <v>2222</v>
      </c>
      <c r="E6" s="117">
        <v>2278</v>
      </c>
      <c r="F6" s="117">
        <v>2385</v>
      </c>
      <c r="G6" s="121">
        <f>F6</f>
        <v>2385</v>
      </c>
      <c r="H6" s="114"/>
      <c r="I6" s="123">
        <v>2453</v>
      </c>
      <c r="J6" s="124">
        <v>2543</v>
      </c>
      <c r="K6" s="124">
        <v>2620</v>
      </c>
      <c r="L6" s="125">
        <v>2690</v>
      </c>
      <c r="M6" s="121">
        <f>L6</f>
        <v>2690</v>
      </c>
      <c r="N6" s="114"/>
      <c r="O6" s="123">
        <v>2781</v>
      </c>
      <c r="P6" s="124">
        <v>2867</v>
      </c>
      <c r="Q6" s="124">
        <v>2885</v>
      </c>
      <c r="R6" s="125">
        <v>2859</v>
      </c>
      <c r="S6" s="121">
        <f>R6</f>
        <v>2859</v>
      </c>
      <c r="T6" s="114"/>
      <c r="U6" s="123">
        <v>2798</v>
      </c>
      <c r="V6" s="124">
        <v>2779</v>
      </c>
      <c r="W6" s="124">
        <f>W4+W5</f>
        <v>2774</v>
      </c>
      <c r="X6" s="125">
        <f>X4+X5</f>
        <v>2901</v>
      </c>
      <c r="Y6" s="121">
        <f>X6</f>
        <v>2901</v>
      </c>
      <c r="AA6" s="123">
        <f>AA4+AA5</f>
        <v>3006</v>
      </c>
      <c r="AB6" s="124">
        <f>AB4+AB5</f>
        <v>2988</v>
      </c>
      <c r="AC6" s="124">
        <f>AC4+AC5</f>
        <v>2485</v>
      </c>
      <c r="AD6" s="124">
        <f>AD4+AD5</f>
        <v>2418</v>
      </c>
      <c r="AE6" s="121">
        <f>AD6</f>
        <v>2418</v>
      </c>
      <c r="AG6" s="123">
        <f>AG4+AG5</f>
        <v>2350</v>
      </c>
      <c r="AH6" s="124">
        <f>AH4+AH5</f>
        <v>2378</v>
      </c>
      <c r="AI6" s="124">
        <f>AI4+AI5</f>
        <v>2443</v>
      </c>
      <c r="AJ6" s="124">
        <f>AJ4+AJ5</f>
        <v>2326</v>
      </c>
      <c r="AK6" s="121">
        <f>AJ6</f>
        <v>2326</v>
      </c>
      <c r="AM6" s="123">
        <f>AM4+AM5</f>
        <v>2309</v>
      </c>
      <c r="AN6" s="124">
        <f>AN4+AN5</f>
        <v>2350</v>
      </c>
      <c r="AO6" s="124">
        <f>AO4+AO5</f>
        <v>2392</v>
      </c>
      <c r="AP6" s="124">
        <f>AP4+AP5</f>
        <v>2303</v>
      </c>
      <c r="AQ6" s="121">
        <f>AP6</f>
        <v>2303</v>
      </c>
      <c r="AS6" s="123">
        <f>AS4+AS5</f>
        <v>2272</v>
      </c>
      <c r="AT6" s="124">
        <f>AT4+AT5</f>
        <v>2308</v>
      </c>
      <c r="AU6" s="124">
        <f>AU4+AU5</f>
        <v>2332</v>
      </c>
      <c r="AV6" s="124">
        <f>AV4+AV5</f>
        <v>2352</v>
      </c>
      <c r="AW6" s="121">
        <f>AV6</f>
        <v>2352</v>
      </c>
      <c r="AY6" s="123">
        <f>AY4+AY5</f>
        <v>2314</v>
      </c>
      <c r="AZ6" s="124">
        <f>AZ4+AZ5</f>
        <v>2241</v>
      </c>
      <c r="BA6" s="124">
        <f>BA4+BA5</f>
        <v>2323</v>
      </c>
      <c r="BB6" s="124">
        <f>BB4+BB5</f>
        <v>2233</v>
      </c>
      <c r="BC6" s="121">
        <f>BB6</f>
        <v>2233</v>
      </c>
      <c r="BE6" s="123">
        <f>BE4+BE5</f>
        <v>2206</v>
      </c>
      <c r="BF6" s="124">
        <f>BF4+BF5</f>
        <v>2246</v>
      </c>
      <c r="BG6" s="124">
        <f>BG4+BG5</f>
        <v>2332</v>
      </c>
      <c r="BH6" s="124">
        <f>BH4+BH5</f>
        <v>2235</v>
      </c>
      <c r="BI6" s="121">
        <f>BH6</f>
        <v>2235</v>
      </c>
      <c r="BK6" s="123">
        <f>BK4+BK5</f>
        <v>2210</v>
      </c>
      <c r="BL6" s="124">
        <f>BL4+BL5</f>
        <v>2237</v>
      </c>
      <c r="BM6" s="124">
        <f>BM4+BM5</f>
        <v>2297</v>
      </c>
      <c r="BN6" s="124">
        <f>BN4+BN5</f>
        <v>2244</v>
      </c>
      <c r="BO6" s="121">
        <f>BN6</f>
        <v>2244</v>
      </c>
      <c r="BQ6" s="123">
        <f>BQ4+BQ5</f>
        <v>2234</v>
      </c>
      <c r="BR6" s="124">
        <f>BR4+BR5</f>
        <v>2229</v>
      </c>
      <c r="BS6" s="124">
        <f>BS4+BS5</f>
        <v>2234</v>
      </c>
      <c r="BT6" s="124">
        <f>BT4+BT5</f>
        <v>2239</v>
      </c>
      <c r="BU6" s="121">
        <f>BT6</f>
        <v>2239</v>
      </c>
      <c r="BW6" s="123">
        <f>BW4+BW5</f>
        <v>2244</v>
      </c>
      <c r="BX6" s="124">
        <f>BX4+BX5</f>
        <v>2249</v>
      </c>
      <c r="BY6" s="124">
        <f>BY4+BY5</f>
        <v>2259</v>
      </c>
      <c r="BZ6" s="124">
        <f>BZ4+BZ5</f>
        <v>2279</v>
      </c>
      <c r="CA6" s="121">
        <f>BZ6</f>
        <v>2279</v>
      </c>
      <c r="CC6" s="123">
        <f>CC4+CC5</f>
        <v>2284</v>
      </c>
      <c r="CD6" s="124">
        <f>CD4+CD5</f>
        <v>2289</v>
      </c>
      <c r="CE6" s="124">
        <f>CE4+CE5</f>
        <v>2294</v>
      </c>
      <c r="CF6" s="124">
        <f>CF4+CF5</f>
        <v>2314</v>
      </c>
      <c r="CG6" s="121">
        <f>CF6</f>
        <v>2314</v>
      </c>
      <c r="CI6" s="123">
        <f>CI4+CI5</f>
        <v>2319</v>
      </c>
      <c r="CJ6" s="124">
        <f>CJ4+CJ5</f>
        <v>2324</v>
      </c>
      <c r="CK6" s="124">
        <f>CK4+CK5</f>
        <v>2329</v>
      </c>
      <c r="CL6" s="124">
        <f>CL4+CL5</f>
        <v>2349</v>
      </c>
      <c r="CM6" s="121">
        <f>CL6</f>
        <v>2349</v>
      </c>
      <c r="CO6" s="123">
        <f>CO4+CO5</f>
        <v>2354</v>
      </c>
      <c r="CP6" s="124">
        <f>CP4+CP5</f>
        <v>2359</v>
      </c>
      <c r="CQ6" s="124">
        <f>CQ4+CQ5</f>
        <v>2364</v>
      </c>
      <c r="CR6" s="124">
        <f>CR4+CR5</f>
        <v>2389</v>
      </c>
      <c r="CS6" s="121">
        <f>CR6</f>
        <v>2389</v>
      </c>
      <c r="CU6" s="123">
        <f>CU4+CU5</f>
        <v>2394</v>
      </c>
      <c r="CV6" s="124">
        <f>CV4+CV5</f>
        <v>2399</v>
      </c>
      <c r="CW6" s="124">
        <f>CW4+CW5</f>
        <v>2404</v>
      </c>
      <c r="CX6" s="124">
        <f>CX4+CX5</f>
        <v>2429</v>
      </c>
      <c r="CY6" s="121">
        <f>CX6</f>
        <v>2429</v>
      </c>
      <c r="DA6" s="123">
        <f>DA4+DA5</f>
        <v>2434</v>
      </c>
      <c r="DB6" s="124">
        <f>DB4+DB5</f>
        <v>2439</v>
      </c>
      <c r="DC6" s="124">
        <f>DC4+DC5</f>
        <v>2444</v>
      </c>
      <c r="DD6" s="124">
        <f>DD4+DD5</f>
        <v>2469</v>
      </c>
      <c r="DE6" s="121">
        <f>DD6</f>
        <v>2469</v>
      </c>
      <c r="DG6" s="123">
        <f>DG4+DG5</f>
        <v>2474</v>
      </c>
      <c r="DH6" s="124">
        <f>DH4+DH5</f>
        <v>2479</v>
      </c>
      <c r="DI6" s="124">
        <f>DI4+DI5</f>
        <v>2484</v>
      </c>
      <c r="DJ6" s="124">
        <f>DJ4+DJ5</f>
        <v>2509</v>
      </c>
      <c r="DK6" s="121">
        <f>DJ6</f>
        <v>2509</v>
      </c>
    </row>
    <row r="7" spans="2:115" ht="15" x14ac:dyDescent="0.3">
      <c r="B7" s="38" t="s">
        <v>28</v>
      </c>
      <c r="C7" s="112">
        <f>C6-C5/2</f>
        <v>2175</v>
      </c>
      <c r="D7" s="112">
        <f>D6-D5/2</f>
        <v>2207</v>
      </c>
      <c r="E7" s="112">
        <f>E6-E5/2</f>
        <v>2250</v>
      </c>
      <c r="F7" s="112">
        <f>F6-F5/2</f>
        <v>2331.5</v>
      </c>
      <c r="G7" s="118">
        <f>(C7+D7+E7+F7)/4</f>
        <v>2240.875</v>
      </c>
      <c r="H7" s="114"/>
      <c r="I7" s="116">
        <f>I6-I5/2</f>
        <v>2419</v>
      </c>
      <c r="J7" s="117">
        <f>J6-J5/2</f>
        <v>2498</v>
      </c>
      <c r="K7" s="117">
        <f>K6-K5/2</f>
        <v>2581.5</v>
      </c>
      <c r="L7" s="119">
        <f>L6-L5/2</f>
        <v>2655</v>
      </c>
      <c r="M7" s="118">
        <f>(I7+J7+K7+L7)/4</f>
        <v>2538.375</v>
      </c>
      <c r="N7" s="114"/>
      <c r="O7" s="116">
        <f>O6-O5/2</f>
        <v>2735.5</v>
      </c>
      <c r="P7" s="117">
        <f>P6-P5/2</f>
        <v>2824</v>
      </c>
      <c r="Q7" s="117">
        <f>Q6-Q5/2</f>
        <v>2876</v>
      </c>
      <c r="R7" s="119">
        <f>R6-R5/2</f>
        <v>2872</v>
      </c>
      <c r="S7" s="118">
        <f>(O7+P7+Q7+R7)/4</f>
        <v>2826.875</v>
      </c>
      <c r="T7" s="114"/>
      <c r="U7" s="116">
        <f>U6-U5/2</f>
        <v>2828.5</v>
      </c>
      <c r="V7" s="117">
        <f>V6-V5/2</f>
        <v>2788.5</v>
      </c>
      <c r="W7" s="117">
        <f>W6-W5/2</f>
        <v>2776.5</v>
      </c>
      <c r="X7" s="119">
        <f>X6-X5/2</f>
        <v>2837.5</v>
      </c>
      <c r="Y7" s="118">
        <f>(U7+V7+W7+X7)/4</f>
        <v>2807.75</v>
      </c>
      <c r="AA7" s="116">
        <f>AA6-AA5/2</f>
        <v>2953.5</v>
      </c>
      <c r="AB7" s="117">
        <f>AB6-AB5/2</f>
        <v>2997</v>
      </c>
      <c r="AC7" s="117">
        <f>AC6-AC5/2</f>
        <v>2736.5</v>
      </c>
      <c r="AD7" s="117">
        <f>AD6-AD5/2</f>
        <v>2451.5</v>
      </c>
      <c r="AE7" s="118">
        <f>(AA7+AB7+AC7+AD7)/4</f>
        <v>2784.625</v>
      </c>
      <c r="AG7" s="116">
        <f>AG6-AG5/2</f>
        <v>2384</v>
      </c>
      <c r="AH7" s="117">
        <f>AH6-AH5/2</f>
        <v>2364</v>
      </c>
      <c r="AI7" s="117">
        <f>AI6-AI5/2</f>
        <v>2410.5</v>
      </c>
      <c r="AJ7" s="117">
        <f>AJ6-AJ5/2</f>
        <v>2384.5</v>
      </c>
      <c r="AK7" s="118">
        <f>(AG7+AH7+AI7+AJ7)/4</f>
        <v>2385.75</v>
      </c>
      <c r="AM7" s="116">
        <f>AM6-AM5/2</f>
        <v>2317.5</v>
      </c>
      <c r="AN7" s="117">
        <f>AN6-AN5/2</f>
        <v>2329.5</v>
      </c>
      <c r="AO7" s="117">
        <f>AO6-AO5/2</f>
        <v>2371</v>
      </c>
      <c r="AP7" s="117">
        <f>AP6-AP5/2</f>
        <v>2347.5</v>
      </c>
      <c r="AQ7" s="118">
        <f>(AM7+AN7+AO7+AP7)/4</f>
        <v>2341.375</v>
      </c>
      <c r="AS7" s="116">
        <f>AS6-AS5/2</f>
        <v>2287.5</v>
      </c>
      <c r="AT7" s="117">
        <f>AT6-AT5/2</f>
        <v>2290</v>
      </c>
      <c r="AU7" s="117">
        <f>AU6-AU5/2</f>
        <v>2320</v>
      </c>
      <c r="AV7" s="117">
        <f>AV6-AV5/2</f>
        <v>2342</v>
      </c>
      <c r="AW7" s="118">
        <f>(AS7+AT7+AU7+AV7)/4</f>
        <v>2309.875</v>
      </c>
      <c r="AY7" s="116">
        <f>AY6-AY5/2</f>
        <v>2333</v>
      </c>
      <c r="AZ7" s="117">
        <f>AZ6-AZ5/2</f>
        <v>2277.5</v>
      </c>
      <c r="BA7" s="117">
        <f>BA6-BA5/2</f>
        <v>2282</v>
      </c>
      <c r="BB7" s="117">
        <f>BB6-BB5/2</f>
        <v>2278</v>
      </c>
      <c r="BC7" s="118">
        <f>(AY7+AZ7+BA7+BB7)/4</f>
        <v>2292.625</v>
      </c>
      <c r="BE7" s="116">
        <f>BE6-BE5/2</f>
        <v>2219.5</v>
      </c>
      <c r="BF7" s="117">
        <f>BF6-BF5/2</f>
        <v>2226</v>
      </c>
      <c r="BG7" s="117">
        <f>BG6-BG5/2</f>
        <v>2289</v>
      </c>
      <c r="BH7" s="117">
        <f>BH6-BH5/2</f>
        <v>2283.5</v>
      </c>
      <c r="BI7" s="118">
        <f>(BE7+BF7+BG7+BH7)/4</f>
        <v>2254.5</v>
      </c>
      <c r="BK7" s="116">
        <f>BK6-BK5/2</f>
        <v>2222.5</v>
      </c>
      <c r="BL7" s="117">
        <f>BL6-BL5/2</f>
        <v>2223.5</v>
      </c>
      <c r="BM7" s="117">
        <f>BM6-BM5/2</f>
        <v>2267</v>
      </c>
      <c r="BN7" s="117">
        <f>BN6-BN5/2</f>
        <v>2270.5</v>
      </c>
      <c r="BO7" s="118">
        <f>(BK7+BL7+BM7+BN7)/4</f>
        <v>2245.875</v>
      </c>
      <c r="BQ7" s="116">
        <f>BQ6-BQ5/2</f>
        <v>2239</v>
      </c>
      <c r="BR7" s="117">
        <f>BR6-BR5/2</f>
        <v>2231.5</v>
      </c>
      <c r="BS7" s="117">
        <f>BS6-BS5/2</f>
        <v>2231.5</v>
      </c>
      <c r="BT7" s="117">
        <f>BT6-BT5/2</f>
        <v>2236.5</v>
      </c>
      <c r="BU7" s="118">
        <f>(BQ7+BR7+BS7+BT7)/4</f>
        <v>2234.625</v>
      </c>
      <c r="BW7" s="116">
        <f>BW6-BW5/2</f>
        <v>2241.5</v>
      </c>
      <c r="BX7" s="117">
        <f>BX6-BX5/2</f>
        <v>2246.5</v>
      </c>
      <c r="BY7" s="117">
        <f>BY6-BY5/2</f>
        <v>2254</v>
      </c>
      <c r="BZ7" s="117">
        <f>BZ6-BZ5/2</f>
        <v>2269</v>
      </c>
      <c r="CA7" s="118">
        <f>(BW7+BX7+BY7+BZ7)/4</f>
        <v>2252.75</v>
      </c>
      <c r="CC7" s="116">
        <f>CC6-CC5/2</f>
        <v>2281.5</v>
      </c>
      <c r="CD7" s="117">
        <f>CD6-CD5/2</f>
        <v>2286.5</v>
      </c>
      <c r="CE7" s="117">
        <f>CE6-CE5/2</f>
        <v>2291.5</v>
      </c>
      <c r="CF7" s="117">
        <f>CF6-CF5/2</f>
        <v>2304</v>
      </c>
      <c r="CG7" s="118">
        <f>(CC7+CD7+CE7+CF7)/4</f>
        <v>2290.875</v>
      </c>
      <c r="CI7" s="116">
        <f>CI6-CI5/2</f>
        <v>2316.5</v>
      </c>
      <c r="CJ7" s="117">
        <f>CJ6-CJ5/2</f>
        <v>2321.5</v>
      </c>
      <c r="CK7" s="117">
        <f>CK6-CK5/2</f>
        <v>2326.5</v>
      </c>
      <c r="CL7" s="117">
        <f>CL6-CL5/2</f>
        <v>2339</v>
      </c>
      <c r="CM7" s="118">
        <f>(CI7+CJ7+CK7+CL7)/4</f>
        <v>2325.875</v>
      </c>
      <c r="CO7" s="116">
        <f>CO6-CO5/2</f>
        <v>2351.5</v>
      </c>
      <c r="CP7" s="117">
        <f>CP6-CP5/2</f>
        <v>2356.5</v>
      </c>
      <c r="CQ7" s="117">
        <f>CQ6-CQ5/2</f>
        <v>2361.5</v>
      </c>
      <c r="CR7" s="117">
        <f>CR6-CR5/2</f>
        <v>2376.5</v>
      </c>
      <c r="CS7" s="118">
        <f>(CO7+CP7+CQ7+CR7)/4</f>
        <v>2361.5</v>
      </c>
      <c r="CU7" s="116">
        <f>CU6-CU5/2</f>
        <v>2391.5</v>
      </c>
      <c r="CV7" s="117">
        <f>CV6-CV5/2</f>
        <v>2396.5</v>
      </c>
      <c r="CW7" s="117">
        <f>CW6-CW5/2</f>
        <v>2401.5</v>
      </c>
      <c r="CX7" s="117">
        <f>CX6-CX5/2</f>
        <v>2416.5</v>
      </c>
      <c r="CY7" s="118">
        <f>(CU7+CV7+CW7+CX7)/4</f>
        <v>2401.5</v>
      </c>
      <c r="DA7" s="116">
        <f>DA6-DA5/2</f>
        <v>2431.5</v>
      </c>
      <c r="DB7" s="117">
        <f>DB6-DB5/2</f>
        <v>2436.5</v>
      </c>
      <c r="DC7" s="117">
        <f>DC6-DC5/2</f>
        <v>2441.5</v>
      </c>
      <c r="DD7" s="117">
        <f>DD6-DD5/2</f>
        <v>2456.5</v>
      </c>
      <c r="DE7" s="118">
        <f>(DA7+DB7+DC7+DD7)/4</f>
        <v>2441.5</v>
      </c>
      <c r="DG7" s="116">
        <f>DG6-DG5/2</f>
        <v>2471.5</v>
      </c>
      <c r="DH7" s="117">
        <f>DH6-DH5/2</f>
        <v>2476.5</v>
      </c>
      <c r="DI7" s="117">
        <f>DI6-DI5/2</f>
        <v>2481.5</v>
      </c>
      <c r="DJ7" s="117">
        <f>DJ6-DJ5/2</f>
        <v>2496.5</v>
      </c>
      <c r="DK7" s="118">
        <f>(DG7+DH7+DI7+DJ7)/4</f>
        <v>2481.5</v>
      </c>
    </row>
    <row r="8" spans="2:115" ht="15.75" thickBot="1" x14ac:dyDescent="0.35">
      <c r="B8" s="41" t="s">
        <v>56</v>
      </c>
      <c r="C8" s="106" t="s">
        <v>35</v>
      </c>
      <c r="D8" s="106" t="s">
        <v>35</v>
      </c>
      <c r="E8" s="106" t="s">
        <v>35</v>
      </c>
      <c r="F8" s="106" t="s">
        <v>35</v>
      </c>
      <c r="G8" s="122" t="s">
        <v>35</v>
      </c>
      <c r="I8" s="109">
        <f>I7/C7-1</f>
        <v>0.112183908045977</v>
      </c>
      <c r="J8" s="110">
        <f>J7/D7-1</f>
        <v>0.13185319438151333</v>
      </c>
      <c r="K8" s="110">
        <f>K7/E7-1</f>
        <v>0.14733333333333332</v>
      </c>
      <c r="L8" s="120">
        <f>L7/F7-1</f>
        <v>0.1387518764743727</v>
      </c>
      <c r="M8" s="122">
        <f>M7/G7-1</f>
        <v>0.13276064037485358</v>
      </c>
      <c r="O8" s="109">
        <f>O7/I7-1</f>
        <v>0.1308391897478296</v>
      </c>
      <c r="P8" s="110">
        <f>P7/J7-1</f>
        <v>0.13050440352281822</v>
      </c>
      <c r="Q8" s="110">
        <f>Q7/K7-1</f>
        <v>0.11408096068177409</v>
      </c>
      <c r="R8" s="120">
        <f>R7/L7-1</f>
        <v>8.1732580037664704E-2</v>
      </c>
      <c r="S8" s="122">
        <f>S7/M7-1</f>
        <v>0.11365538976707534</v>
      </c>
      <c r="U8" s="109">
        <f>U7/O7-1</f>
        <v>3.3997441052823874E-2</v>
      </c>
      <c r="V8" s="110">
        <f>V7/P7-1</f>
        <v>-1.2570821529745091E-2</v>
      </c>
      <c r="W8" s="110">
        <f>W7/Q7-1</f>
        <v>-3.459666203059808E-2</v>
      </c>
      <c r="X8" s="120">
        <f>X7/R7-1</f>
        <v>-1.2012534818941489E-2</v>
      </c>
      <c r="Y8" s="122">
        <f>Y7/S7-1</f>
        <v>-6.7654211806322806E-3</v>
      </c>
      <c r="AA8" s="109">
        <f>AA7/U7-1</f>
        <v>4.4193035177656048E-2</v>
      </c>
      <c r="AB8" s="110">
        <f>AB7/V7-1</f>
        <v>7.4771382463690195E-2</v>
      </c>
      <c r="AC8" s="110">
        <f>AC7/W7-1</f>
        <v>-1.4406627048442311E-2</v>
      </c>
      <c r="AD8" s="110">
        <f>AD7/X7-1</f>
        <v>-0.13603524229074893</v>
      </c>
      <c r="AE8" s="122">
        <f>AE7/Y7-1</f>
        <v>-8.2361321342712124E-3</v>
      </c>
      <c r="AG8" s="109">
        <f>AG7/AA7-1</f>
        <v>-0.19282207550363972</v>
      </c>
      <c r="AH8" s="110">
        <f>AH7/AB7-1</f>
        <v>-0.21121121121121122</v>
      </c>
      <c r="AI8" s="110">
        <f>AI7/AC7-1</f>
        <v>-0.11913027589987213</v>
      </c>
      <c r="AJ8" s="110">
        <f>AJ7/AD7-1</f>
        <v>-2.7330205996328738E-2</v>
      </c>
      <c r="AK8" s="122">
        <f>AK7/AE7-1</f>
        <v>-0.1432419086950667</v>
      </c>
      <c r="AM8" s="109">
        <f>AM7/AG7-1</f>
        <v>-2.7894295302013372E-2</v>
      </c>
      <c r="AN8" s="110">
        <f>AN7/AH7-1</f>
        <v>-1.4593908629441654E-2</v>
      </c>
      <c r="AO8" s="110">
        <f>AO7/AI7-1</f>
        <v>-1.6386641775565258E-2</v>
      </c>
      <c r="AP8" s="110">
        <f>AP7/AJ7-1</f>
        <v>-1.5516879849024945E-2</v>
      </c>
      <c r="AQ8" s="122">
        <f>AQ7/AK7-1</f>
        <v>-1.8600020957770136E-2</v>
      </c>
      <c r="AS8" s="109">
        <f>AS7/AM7-1</f>
        <v>-1.2944983818770184E-2</v>
      </c>
      <c r="AT8" s="110">
        <f>AT7/AN7-1</f>
        <v>-1.695642841811551E-2</v>
      </c>
      <c r="AU8" s="110">
        <f>AU7/AO7-1</f>
        <v>-2.1509911429776429E-2</v>
      </c>
      <c r="AV8" s="110">
        <f>AV7/AP7-1</f>
        <v>-2.3429179978701198E-3</v>
      </c>
      <c r="AW8" s="122">
        <f>AW7/AQ7-1</f>
        <v>-1.3453633014788302E-2</v>
      </c>
      <c r="AY8" s="109">
        <f>AY7/AS7-1</f>
        <v>1.9890710382513666E-2</v>
      </c>
      <c r="AZ8" s="110">
        <f>AZ7/AT7-1</f>
        <v>-5.4585152838427797E-3</v>
      </c>
      <c r="BA8" s="110">
        <f>BA7/AU7-1</f>
        <v>-1.6379310344827536E-2</v>
      </c>
      <c r="BB8" s="110">
        <f>BB7/AV7-1</f>
        <v>-2.7327070879590076E-2</v>
      </c>
      <c r="BC8" s="122">
        <f>BC7/AW7-1</f>
        <v>-7.4679365766545658E-3</v>
      </c>
      <c r="BE8" s="109">
        <f>BE7/AY7-1</f>
        <v>-4.8649807115302202E-2</v>
      </c>
      <c r="BF8" s="110">
        <f>BF7/AZ7-1</f>
        <v>-2.2612513721185556E-2</v>
      </c>
      <c r="BG8" s="110">
        <f>BG7/BA7-1</f>
        <v>3.0674846625766694E-3</v>
      </c>
      <c r="BH8" s="110">
        <f>BH7/BB7-1</f>
        <v>2.4143985952589375E-3</v>
      </c>
      <c r="BI8" s="122">
        <f>BI7/BC7-1</f>
        <v>-1.6629409519655414E-2</v>
      </c>
      <c r="BK8" s="109">
        <f>BK7/BE7-1</f>
        <v>1.3516557783284089E-3</v>
      </c>
      <c r="BL8" s="110">
        <f>BL7/BF7-1</f>
        <v>-1.123090745732247E-3</v>
      </c>
      <c r="BM8" s="110">
        <f>BM7/BG7-1</f>
        <v>-9.6111839231105556E-3</v>
      </c>
      <c r="BN8" s="110">
        <f>BN7/BH7-1</f>
        <v>-5.6930151083862679E-3</v>
      </c>
      <c r="BO8" s="122">
        <f>BO7/BI7-1</f>
        <v>-3.8256819693945898E-3</v>
      </c>
      <c r="BQ8" s="109">
        <f>BQ7/BK7-1</f>
        <v>7.4240719910010355E-3</v>
      </c>
      <c r="BR8" s="110">
        <f>BR7/BL7-1</f>
        <v>3.5979311895659727E-3</v>
      </c>
      <c r="BS8" s="110">
        <f>BS7/BM7-1</f>
        <v>-1.5659461843846478E-2</v>
      </c>
      <c r="BT8" s="110">
        <f>BT7/BN7-1</f>
        <v>-1.4974675181678054E-2</v>
      </c>
      <c r="BU8" s="122">
        <f>BU7/BO7-1</f>
        <v>-5.0091835030889875E-3</v>
      </c>
      <c r="BW8" s="109">
        <f>BW7/BQ7-1</f>
        <v>1.1165698972754878E-3</v>
      </c>
      <c r="BX8" s="110">
        <f>BX7/BR7-1</f>
        <v>6.7219359175443305E-3</v>
      </c>
      <c r="BY8" s="110">
        <f>BY7/BS7-1</f>
        <v>1.0082903876316385E-2</v>
      </c>
      <c r="BZ8" s="110">
        <f>BZ7/BT7-1</f>
        <v>1.4531634249944192E-2</v>
      </c>
      <c r="CA8" s="122">
        <f>CA7/BU7-1</f>
        <v>8.1109805895844822E-3</v>
      </c>
      <c r="CC8" s="109">
        <f>CC7/BW7-1</f>
        <v>1.7845192951148725E-2</v>
      </c>
      <c r="CD8" s="110">
        <f>CD7/BX7-1</f>
        <v>1.7805475183618968E-2</v>
      </c>
      <c r="CE8" s="110">
        <f>CE7/BY7-1</f>
        <v>1.6637089618456002E-2</v>
      </c>
      <c r="CF8" s="110">
        <f>CF7/BZ7-1</f>
        <v>1.542529748788013E-2</v>
      </c>
      <c r="CG8" s="122">
        <f>CG7/CA7-1</f>
        <v>1.6923759849073461E-2</v>
      </c>
      <c r="CI8" s="109">
        <f>CI7/CC7-1</f>
        <v>1.5340784571553856E-2</v>
      </c>
      <c r="CJ8" s="110">
        <f>CJ7/CD7-1</f>
        <v>1.5307238136890389E-2</v>
      </c>
      <c r="CK8" s="110">
        <f>CK7/CE7-1</f>
        <v>1.5273838097316084E-2</v>
      </c>
      <c r="CL8" s="110">
        <f>CL7/CF7-1</f>
        <v>1.5190972222222321E-2</v>
      </c>
      <c r="CM8" s="122">
        <f>CM7/CG7-1</f>
        <v>1.5278005129044647E-2</v>
      </c>
      <c r="CO8" s="109">
        <f>CO7/CI7-1</f>
        <v>1.5109000647528514E-2</v>
      </c>
      <c r="CP8" s="110">
        <f>CP7/CJ7-1</f>
        <v>1.5076459185871194E-2</v>
      </c>
      <c r="CQ8" s="110">
        <f>CQ7/CK7-1</f>
        <v>1.5044057597249028E-2</v>
      </c>
      <c r="CR8" s="110">
        <f>CR7/CL7-1</f>
        <v>1.6032492518170072E-2</v>
      </c>
      <c r="CS8" s="122">
        <f>CS7/CM7-1</f>
        <v>1.531681625194814E-2</v>
      </c>
      <c r="CU8" s="109">
        <f>CU7/CO7-1</f>
        <v>1.7010418881564959E-2</v>
      </c>
      <c r="CV8" s="110">
        <f>CV7/CP7-1</f>
        <v>1.6974326331423706E-2</v>
      </c>
      <c r="CW8" s="110">
        <f>CW7/CQ7-1</f>
        <v>1.6938386618674528E-2</v>
      </c>
      <c r="CX8" s="110">
        <f>CX7/CR7-1</f>
        <v>1.683147485798453E-2</v>
      </c>
      <c r="CY8" s="122">
        <f>CY7/CS7-1</f>
        <v>1.6938386618674528E-2</v>
      </c>
      <c r="DA8" s="109">
        <f>DA7/CU7-1</f>
        <v>1.6725904244198286E-2</v>
      </c>
      <c r="DB8" s="110">
        <f>DB7/CV7-1</f>
        <v>1.6691007719590978E-2</v>
      </c>
      <c r="DC8" s="110">
        <f>DC7/CW7-1</f>
        <v>1.6656256506350164E-2</v>
      </c>
      <c r="DD8" s="110">
        <f>DD7/CX7-1</f>
        <v>1.6552865714876797E-2</v>
      </c>
      <c r="DE8" s="122">
        <f>DE7/CY7-1</f>
        <v>1.6656256506350164E-2</v>
      </c>
      <c r="DG8" s="109">
        <f>DG7/DA7-1</f>
        <v>1.6450750565494499E-2</v>
      </c>
      <c r="DH8" s="110">
        <f>DH7/DB7-1</f>
        <v>1.6416991586291729E-2</v>
      </c>
      <c r="DI8" s="110">
        <f>DI7/DC7-1</f>
        <v>1.6383370878558345E-2</v>
      </c>
      <c r="DJ8" s="110">
        <f>DJ7/DD7-1</f>
        <v>1.6283329940973035E-2</v>
      </c>
      <c r="DK8" s="122">
        <f>DK7/DE7-1</f>
        <v>1.6383370878558345E-2</v>
      </c>
    </row>
    <row r="9" spans="2:115" ht="15.75" thickBot="1" x14ac:dyDescent="0.35">
      <c r="B9" s="1"/>
      <c r="AA9" s="103"/>
      <c r="AB9" s="103"/>
      <c r="AC9" s="103"/>
      <c r="AD9" s="103"/>
      <c r="AE9" s="103"/>
      <c r="AG9" s="103"/>
      <c r="AH9" s="103"/>
      <c r="AI9" s="103"/>
      <c r="AJ9" s="103"/>
      <c r="AK9" s="103"/>
      <c r="AM9" s="103"/>
      <c r="AN9" s="103"/>
      <c r="AO9" s="103"/>
      <c r="AP9" s="103"/>
      <c r="AQ9" s="103"/>
      <c r="AS9" s="103"/>
      <c r="AT9" s="103"/>
      <c r="AU9" s="103"/>
      <c r="AV9" s="103"/>
      <c r="AW9" s="103"/>
      <c r="AY9" s="103"/>
      <c r="AZ9" s="103"/>
      <c r="BA9" s="103"/>
      <c r="BB9" s="103"/>
      <c r="BC9" s="103"/>
      <c r="BE9" s="103"/>
      <c r="BF9" s="103"/>
      <c r="BG9" s="103"/>
      <c r="BH9" s="103"/>
      <c r="BI9" s="103"/>
      <c r="BK9" s="103"/>
      <c r="BL9" s="103"/>
      <c r="BM9" s="103"/>
      <c r="BN9" s="103"/>
      <c r="BO9" s="103"/>
      <c r="BQ9" s="103"/>
      <c r="BR9" s="103"/>
      <c r="BS9" s="103"/>
      <c r="BT9" s="103"/>
      <c r="BU9" s="103"/>
      <c r="BW9" s="103"/>
      <c r="BX9" s="103"/>
      <c r="BY9" s="103"/>
      <c r="BZ9" s="103"/>
      <c r="CA9" s="103"/>
      <c r="CC9" s="103"/>
      <c r="CD9" s="103"/>
      <c r="CE9" s="103"/>
      <c r="CF9" s="103"/>
      <c r="CG9" s="103"/>
      <c r="CI9" s="103"/>
      <c r="CJ9" s="103"/>
      <c r="CK9" s="103"/>
      <c r="CL9" s="103"/>
      <c r="CM9" s="103"/>
      <c r="CO9" s="103"/>
      <c r="CP9" s="103"/>
      <c r="CQ9" s="103"/>
      <c r="CR9" s="103"/>
      <c r="CS9" s="103"/>
      <c r="CU9" s="103"/>
      <c r="CV9" s="103"/>
      <c r="CW9" s="103"/>
      <c r="CX9" s="103"/>
      <c r="CY9" s="103"/>
      <c r="DA9" s="103"/>
      <c r="DB9" s="103"/>
      <c r="DC9" s="103"/>
      <c r="DD9" s="103"/>
      <c r="DE9" s="103"/>
      <c r="DG9" s="103"/>
      <c r="DH9" s="103"/>
      <c r="DI9" s="103"/>
      <c r="DJ9" s="103"/>
      <c r="DK9" s="103"/>
    </row>
    <row r="10" spans="2:115" s="135" customFormat="1" ht="15" x14ac:dyDescent="0.3">
      <c r="B10" s="139" t="s">
        <v>158</v>
      </c>
      <c r="C10" s="181">
        <f>C17-C13</f>
        <v>106.05781624010311</v>
      </c>
      <c r="D10" s="182">
        <f>D17-D13</f>
        <v>120.49994166843618</v>
      </c>
      <c r="E10" s="182">
        <f>E17-E13</f>
        <v>141.97918815057329</v>
      </c>
      <c r="F10" s="183">
        <f>F17-F13</f>
        <v>103.46137489404109</v>
      </c>
      <c r="G10" s="149">
        <f>G69*1000/(G7*12)</f>
        <v>117.95531773176882</v>
      </c>
      <c r="H10" s="160"/>
      <c r="I10" s="181">
        <f>I17-I13</f>
        <v>93.977133526039665</v>
      </c>
      <c r="J10" s="182">
        <f>J17-J13</f>
        <v>106.88451217336464</v>
      </c>
      <c r="K10" s="182">
        <f>K17-K13</f>
        <v>122.64479186623748</v>
      </c>
      <c r="L10" s="183">
        <f>L17-L13</f>
        <v>92.718633110139962</v>
      </c>
      <c r="M10" s="149">
        <f>M69*1000/(M7*12)</f>
        <v>104.11224686252706</v>
      </c>
      <c r="N10" s="160"/>
      <c r="O10" s="181">
        <f>O17-O13</f>
        <v>80.966169919577567</v>
      </c>
      <c r="P10" s="182">
        <f>P17-P13</f>
        <v>87.342681871786283</v>
      </c>
      <c r="Q10" s="182">
        <f>Q17-Q13</f>
        <v>91.67760575742696</v>
      </c>
      <c r="R10" s="183">
        <f>R17-R13</f>
        <v>70.512316844130254</v>
      </c>
      <c r="S10" s="149">
        <f>S69*1000/(S7*12)</f>
        <v>82.627889414603658</v>
      </c>
      <c r="T10" s="160"/>
      <c r="U10" s="330">
        <f>U17-U13</f>
        <v>68.521825099677187</v>
      </c>
      <c r="V10" s="331">
        <f>V17-V13</f>
        <v>79.393171967044879</v>
      </c>
      <c r="W10" s="331">
        <f>W17-W13</f>
        <v>92.069561303898368</v>
      </c>
      <c r="X10" s="331">
        <f>X17-X13</f>
        <v>66.432346814930412</v>
      </c>
      <c r="Y10" s="332">
        <f>Y69*1000/(Y7*12)</f>
        <v>76.514536850875302</v>
      </c>
      <c r="Z10" s="448"/>
      <c r="AA10" s="330">
        <f>AA17-AA13</f>
        <v>54.274128511768453</v>
      </c>
      <c r="AB10" s="331">
        <f>AB17-AB13</f>
        <v>60.839679444246563</v>
      </c>
      <c r="AC10" s="331">
        <f>AC17-AC13</f>
        <v>70.873412176336629</v>
      </c>
      <c r="AD10" s="331">
        <f>AD17-AD13</f>
        <v>62.283254402101406</v>
      </c>
      <c r="AE10" s="149">
        <f>AE69*1000/(AE7*12)</f>
        <v>61.881550338125578</v>
      </c>
      <c r="AG10" s="330">
        <f>AG17-AG13</f>
        <v>62.69821256968693</v>
      </c>
      <c r="AH10" s="331">
        <f>AH17-AH13</f>
        <v>68.572993770821171</v>
      </c>
      <c r="AI10" s="331">
        <f>AI17-AI13</f>
        <v>81.737354396592821</v>
      </c>
      <c r="AJ10" s="331">
        <f>AJ17-AJ13</f>
        <v>56.580579782874466</v>
      </c>
      <c r="AK10" s="149">
        <f>AK69*1000/(AK7*12)</f>
        <v>67.434075375207598</v>
      </c>
      <c r="AM10" s="330">
        <f>AM17-AM13</f>
        <v>53.752277361445778</v>
      </c>
      <c r="AN10" s="331">
        <f>AN17-AN13</f>
        <v>59.510483746704324</v>
      </c>
      <c r="AO10" s="331">
        <f>AO17-AO13</f>
        <v>56.000454596417562</v>
      </c>
      <c r="AP10" s="331">
        <f>AP17-AP13</f>
        <v>49.396734659728274</v>
      </c>
      <c r="AQ10" s="149">
        <f>AQ69*1000/(AQ7*12)</f>
        <v>54.661949403119586</v>
      </c>
      <c r="AS10" s="330">
        <f>AS17-AS13</f>
        <v>44.472208923749967</v>
      </c>
      <c r="AT10" s="331">
        <f>AT17-AT13</f>
        <v>49.602376223735916</v>
      </c>
      <c r="AU10" s="331">
        <f>AU17-AU13</f>
        <v>56.864505202138417</v>
      </c>
      <c r="AV10" s="331">
        <f>AV17-AV13</f>
        <v>47.787966703256316</v>
      </c>
      <c r="AW10" s="149">
        <f>AW69*1000/(AW7*12)</f>
        <v>49.695837388757049</v>
      </c>
      <c r="AY10" s="330">
        <f>AY17-AY13</f>
        <v>39.237903417822579</v>
      </c>
      <c r="AZ10" s="331">
        <f>AZ17-AZ13</f>
        <v>41.902759165751917</v>
      </c>
      <c r="BA10" s="331">
        <f>BA17-BA13</f>
        <v>46.290818229623142</v>
      </c>
      <c r="BB10" s="331">
        <f>BB17-BB13</f>
        <v>40.352082352941181</v>
      </c>
      <c r="BC10" s="149">
        <f>BC69*1000/(BC7*12)</f>
        <v>41.931547186498015</v>
      </c>
      <c r="BE10" s="330">
        <f>BE17-BE13</f>
        <v>38.506918675377342</v>
      </c>
      <c r="BF10" s="331">
        <f>BF17-BF13</f>
        <v>41.262436657681945</v>
      </c>
      <c r="BG10" s="331">
        <f>BG17-BG13</f>
        <v>46.747941284403687</v>
      </c>
      <c r="BH10" s="331">
        <f>BH17-BH13</f>
        <v>38.437260054010657</v>
      </c>
      <c r="BI10" s="149">
        <f>BI69*1000/(BI7*12)</f>
        <v>41.261234301766841</v>
      </c>
      <c r="BK10" s="330">
        <f>BK17-BK13</f>
        <v>38.637826771653543</v>
      </c>
      <c r="BL10" s="331">
        <f>BL17-BL13</f>
        <v>41.064302900832018</v>
      </c>
      <c r="BM10" s="331">
        <f>BM17-BM13</f>
        <v>46.698412865755039</v>
      </c>
      <c r="BN10" s="331">
        <f>BN17-BN13</f>
        <v>35.335109887689931</v>
      </c>
      <c r="BO10" s="149">
        <f>BO69*1000/(BO7*12)</f>
        <v>40.437771076603404</v>
      </c>
      <c r="BQ10" s="141">
        <f>BK10*(1+BQ11)</f>
        <v>34.001287559055122</v>
      </c>
      <c r="BR10" s="142">
        <f>BL10*(1+BR11)</f>
        <v>36.136586552732176</v>
      </c>
      <c r="BS10" s="142">
        <f>BM10*(1+BS11)</f>
        <v>42.028571579179534</v>
      </c>
      <c r="BT10" s="143">
        <f>BN10*(1+BT11)</f>
        <v>32.154949997797836</v>
      </c>
      <c r="BU10" s="149">
        <f>BU69*1000/(BU7*12)</f>
        <v>36.076408668810238</v>
      </c>
      <c r="BW10" s="141">
        <f>BQ10*(1+BW11)</f>
        <v>30.941171678740162</v>
      </c>
      <c r="BX10" s="142">
        <f>BR10*(1+BX11)</f>
        <v>33.2456596285136</v>
      </c>
      <c r="BY10" s="142">
        <f>BS10*(1+BY11)</f>
        <v>39.086571568636963</v>
      </c>
      <c r="BZ10" s="143">
        <f>BT10*(1+BZ11)</f>
        <v>29.904103497951986</v>
      </c>
      <c r="CA10" s="149">
        <f>CA69*1000/(CA7*12)</f>
        <v>33.292037934292821</v>
      </c>
      <c r="CC10" s="141">
        <f>BW10*(1+CC11)</f>
        <v>28.620583802834652</v>
      </c>
      <c r="CD10" s="142">
        <f>BX10*(1+CD11)</f>
        <v>30.752235156375082</v>
      </c>
      <c r="CE10" s="142">
        <f>BY10*(1+CE11)</f>
        <v>36.155078700989193</v>
      </c>
      <c r="CF10" s="143">
        <f>BZ10*(1+CF11)</f>
        <v>27.661295735605588</v>
      </c>
      <c r="CG10" s="149">
        <f>CG69*1000/(CG7*12)</f>
        <v>30.79542051065323</v>
      </c>
      <c r="CI10" s="141">
        <f>CC10*(1+CI11)</f>
        <v>26.617142936636224</v>
      </c>
      <c r="CJ10" s="142">
        <f>CD10*(1+CJ11)</f>
        <v>28.599578695428825</v>
      </c>
      <c r="CK10" s="142">
        <f>CE10*(1+CK11)</f>
        <v>33.624223191919945</v>
      </c>
      <c r="CL10" s="143">
        <f>CF10*(1+CL11)</f>
        <v>25.725005034113195</v>
      </c>
      <c r="CM10" s="149">
        <f>CM69*1000/(CM7*12)</f>
        <v>28.63976735475341</v>
      </c>
      <c r="CO10" s="141">
        <f>CI10*(1+CO11)</f>
        <v>24.753942931071688</v>
      </c>
      <c r="CP10" s="142">
        <f>CJ10*(1+CP11)</f>
        <v>26.597608186748804</v>
      </c>
      <c r="CQ10" s="142">
        <f>CK10*(1+CQ11)</f>
        <v>31.270527568485548</v>
      </c>
      <c r="CR10" s="143">
        <f>CL10*(1+CR11)</f>
        <v>23.924254681725269</v>
      </c>
      <c r="CS10" s="149">
        <f>CS69*1000/(CS7*12)</f>
        <v>26.634289921510419</v>
      </c>
      <c r="CU10" s="141">
        <f>CO10*(1+CU11)</f>
        <v>23.021166925896669</v>
      </c>
      <c r="CV10" s="142">
        <f>CP10*(1+CV11)</f>
        <v>24.735775613676385</v>
      </c>
      <c r="CW10" s="142">
        <f>CQ10*(1+CW11)</f>
        <v>29.081590638691559</v>
      </c>
      <c r="CX10" s="143">
        <f>CR10*(1+CX11)</f>
        <v>22.249556854004499</v>
      </c>
      <c r="CY10" s="149">
        <f>CY69*1000/(CY7*12)</f>
        <v>24.769925152818754</v>
      </c>
      <c r="DA10" s="141">
        <f>CU10*(1+DA11)</f>
        <v>21.409685241083899</v>
      </c>
      <c r="DB10" s="142">
        <f>CV10*(1+DB11)</f>
        <v>23.004271320719035</v>
      </c>
      <c r="DC10" s="142">
        <f>CW10*(1+DC11)</f>
        <v>27.045879293983148</v>
      </c>
      <c r="DD10" s="143">
        <f>CX10*(1+DD11)</f>
        <v>20.692087874224182</v>
      </c>
      <c r="DE10" s="149">
        <f>DE69*1000/(DE7*12)</f>
        <v>23.036062348547919</v>
      </c>
      <c r="DG10" s="141">
        <f>DA10*(1+DG11)</f>
        <v>19.911007274208025</v>
      </c>
      <c r="DH10" s="142">
        <f>DB10*(1+DH11)</f>
        <v>21.393972328268699</v>
      </c>
      <c r="DI10" s="142">
        <f>DC10*(1+DI11)</f>
        <v>25.152667743404326</v>
      </c>
      <c r="DJ10" s="143">
        <f>DD10*(1+DJ11)</f>
        <v>19.243641723028489</v>
      </c>
      <c r="DK10" s="149">
        <f>DK69*1000/(DK7*12)</f>
        <v>21.4235667455129</v>
      </c>
    </row>
    <row r="11" spans="2:115" ht="15" x14ac:dyDescent="0.3">
      <c r="B11" s="5" t="s">
        <v>23</v>
      </c>
      <c r="C11" s="144" t="s">
        <v>35</v>
      </c>
      <c r="D11" s="107" t="s">
        <v>35</v>
      </c>
      <c r="E11" s="107" t="s">
        <v>35</v>
      </c>
      <c r="F11" s="145" t="s">
        <v>35</v>
      </c>
      <c r="G11" s="153" t="s">
        <v>35</v>
      </c>
      <c r="H11" s="107"/>
      <c r="I11" s="151">
        <f>I10/C10-1</f>
        <v>-0.11390657607652532</v>
      </c>
      <c r="J11" s="133">
        <f>J10/D10-1</f>
        <v>-0.11299117083836707</v>
      </c>
      <c r="K11" s="133">
        <f>K10/E10-1</f>
        <v>-0.13617767882875265</v>
      </c>
      <c r="L11" s="133">
        <f>L10/F10-1</f>
        <v>-0.10383335611867905</v>
      </c>
      <c r="M11" s="153">
        <f>M10/G10-1</f>
        <v>-0.11735859930216108</v>
      </c>
      <c r="N11" s="107"/>
      <c r="O11" s="151">
        <f>O10/I10-1</f>
        <v>-0.13844818540732517</v>
      </c>
      <c r="P11" s="133">
        <f>P10/J10-1</f>
        <v>-0.18283126249275372</v>
      </c>
      <c r="Q11" s="133">
        <f>Q10/K10-1</f>
        <v>-0.25249491346183606</v>
      </c>
      <c r="R11" s="133">
        <f>R10/L10-1</f>
        <v>-0.23950219628055713</v>
      </c>
      <c r="S11" s="153">
        <f>S10/M10-1</f>
        <v>-0.20635763894608861</v>
      </c>
      <c r="T11" s="107"/>
      <c r="U11" s="151">
        <f>U10/O10-1</f>
        <v>-0.15369807948506342</v>
      </c>
      <c r="V11" s="133">
        <f>V10/P10-1</f>
        <v>-9.1015179914108901E-2</v>
      </c>
      <c r="W11" s="133">
        <f>W10/Q10-1</f>
        <v>4.2753684853911178E-3</v>
      </c>
      <c r="X11" s="133">
        <f>X10/R10-1</f>
        <v>-5.7861806444663433E-2</v>
      </c>
      <c r="Y11" s="153">
        <f>Y10/S10-1</f>
        <v>-7.3986551115365673E-2</v>
      </c>
      <c r="AA11" s="151">
        <f>AA10/U10-1</f>
        <v>-0.20792932131015085</v>
      </c>
      <c r="AB11" s="133">
        <f>AB10/V10-1</f>
        <v>-0.23369128683383045</v>
      </c>
      <c r="AC11" s="133">
        <f>AC10/W10-1</f>
        <v>-0.23021885656214436</v>
      </c>
      <c r="AD11" s="133">
        <f>AD10/X10-1</f>
        <v>-6.2455906072198419E-2</v>
      </c>
      <c r="AE11" s="153">
        <f>AE10/Y10-1</f>
        <v>-0.19124452836026451</v>
      </c>
      <c r="AG11" s="151">
        <f>AG10/AA10-1</f>
        <v>0.15521362182889509</v>
      </c>
      <c r="AH11" s="133">
        <f>AH10/AB10-1</f>
        <v>0.12710971519272074</v>
      </c>
      <c r="AI11" s="133">
        <f>AI10/AC10-1</f>
        <v>0.15328656948569308</v>
      </c>
      <c r="AJ11" s="133">
        <f>AJ10/AD10-1</f>
        <v>-9.1560318643762684E-2</v>
      </c>
      <c r="AK11" s="153">
        <f>AK10/AE10-1</f>
        <v>8.9728279377982556E-2</v>
      </c>
      <c r="AM11" s="151">
        <f>AM10/AG10-1</f>
        <v>-0.14268246001906437</v>
      </c>
      <c r="AN11" s="133">
        <f>AN10/AH10-1</f>
        <v>-0.13215858788964063</v>
      </c>
      <c r="AO11" s="133">
        <f>AO10/AI10-1</f>
        <v>-0.31487316894670725</v>
      </c>
      <c r="AP11" s="133">
        <f>AP10/AJ10-1</f>
        <v>-0.12696662265946879</v>
      </c>
      <c r="AQ11" s="153">
        <f>AQ10/AK10-1</f>
        <v>-0.1894016623053415</v>
      </c>
      <c r="AS11" s="151">
        <f>AS10/AM10-1</f>
        <v>-0.17264512116005726</v>
      </c>
      <c r="AT11" s="133">
        <f>AT10/AN10-1</f>
        <v>-0.1664934797898886</v>
      </c>
      <c r="AU11" s="133">
        <f>AU10/AO10-1</f>
        <v>1.5429349849887197E-2</v>
      </c>
      <c r="AV11" s="133">
        <f>AV10/AP10-1</f>
        <v>-3.2568305730207303E-2</v>
      </c>
      <c r="AW11" s="153">
        <f>AW10/AQ10-1</f>
        <v>-9.0851352148796916E-2</v>
      </c>
      <c r="AY11" s="151">
        <f>AY10/AS10-1</f>
        <v>-0.11769834763328013</v>
      </c>
      <c r="AZ11" s="133">
        <f>AZ10/AT10-1</f>
        <v>-0.15522677831509912</v>
      </c>
      <c r="BA11" s="133">
        <f>BA10/AU10-1</f>
        <v>-0.18594529109026081</v>
      </c>
      <c r="BB11" s="133">
        <f>BB10/AV10-1</f>
        <v>-0.155601605661294</v>
      </c>
      <c r="BC11" s="153">
        <f>BC10/AW10-1</f>
        <v>-0.15623622842937723</v>
      </c>
      <c r="BE11" s="151">
        <f>BE10/AY10-1</f>
        <v>-1.8629556596370334E-2</v>
      </c>
      <c r="BF11" s="133">
        <f>BF10/AZ10-1</f>
        <v>-1.5281153814647119E-2</v>
      </c>
      <c r="BG11" s="133">
        <f>BG10/BA10-1</f>
        <v>9.8750264580118596E-3</v>
      </c>
      <c r="BH11" s="133">
        <f>BH10/BB10-1</f>
        <v>-4.7452874480738094E-2</v>
      </c>
      <c r="BI11" s="153">
        <f>BI10/BC10-1</f>
        <v>-1.598588484583785E-2</v>
      </c>
      <c r="BK11" s="151">
        <f>BK10/BE10-1</f>
        <v>3.3995993649813538E-3</v>
      </c>
      <c r="BL11" s="133">
        <f>BL10/BF10-1</f>
        <v>-4.8017948744439876E-3</v>
      </c>
      <c r="BM11" s="133">
        <f>BM10/BG10-1</f>
        <v>-1.0594780708593765E-3</v>
      </c>
      <c r="BN11" s="133">
        <f>BN10/BH10-1</f>
        <v>-8.0706849602747321E-2</v>
      </c>
      <c r="BO11" s="153">
        <f>BO10/BI10-1</f>
        <v>-1.9957309544861968E-2</v>
      </c>
      <c r="BQ11" s="151">
        <v>-0.12</v>
      </c>
      <c r="BR11" s="133">
        <v>-0.12</v>
      </c>
      <c r="BS11" s="133">
        <v>-0.1</v>
      </c>
      <c r="BT11" s="133">
        <v>-0.09</v>
      </c>
      <c r="BU11" s="153">
        <f>BU10/BO10-1</f>
        <v>-0.10785367965833748</v>
      </c>
      <c r="BW11" s="151">
        <v>-0.09</v>
      </c>
      <c r="BX11" s="133">
        <v>-0.08</v>
      </c>
      <c r="BY11" s="133">
        <v>-7.0000000000000007E-2</v>
      </c>
      <c r="BZ11" s="133">
        <v>-7.0000000000000007E-2</v>
      </c>
      <c r="CA11" s="153">
        <f>CA10/BU10-1</f>
        <v>-7.717982019991465E-2</v>
      </c>
      <c r="CC11" s="151">
        <v>-7.4999999999999997E-2</v>
      </c>
      <c r="CD11" s="133">
        <f>CC11</f>
        <v>-7.4999999999999997E-2</v>
      </c>
      <c r="CE11" s="133">
        <f>CD11</f>
        <v>-7.4999999999999997E-2</v>
      </c>
      <c r="CF11" s="133">
        <f>CE11</f>
        <v>-7.4999999999999997E-2</v>
      </c>
      <c r="CG11" s="153">
        <f>CG10/CA10-1</f>
        <v>-7.499142673593806E-2</v>
      </c>
      <c r="CI11" s="151">
        <v>-7.0000000000000007E-2</v>
      </c>
      <c r="CJ11" s="133">
        <f>CI11</f>
        <v>-7.0000000000000007E-2</v>
      </c>
      <c r="CK11" s="133">
        <f>CJ11</f>
        <v>-7.0000000000000007E-2</v>
      </c>
      <c r="CL11" s="133">
        <f>CK11</f>
        <v>-7.0000000000000007E-2</v>
      </c>
      <c r="CM11" s="153">
        <f>CM10/CG10-1</f>
        <v>-6.9999146631366971E-2</v>
      </c>
      <c r="CO11" s="151">
        <v>-7.0000000000000007E-2</v>
      </c>
      <c r="CP11" s="133">
        <f>CO11</f>
        <v>-7.0000000000000007E-2</v>
      </c>
      <c r="CQ11" s="133">
        <f>CP11</f>
        <v>-7.0000000000000007E-2</v>
      </c>
      <c r="CR11" s="133">
        <f>CQ11</f>
        <v>-7.0000000000000007E-2</v>
      </c>
      <c r="CS11" s="153">
        <f>CS10/CM10-1</f>
        <v>-7.0024222208290299E-2</v>
      </c>
      <c r="CU11" s="151">
        <v>-7.0000000000000007E-2</v>
      </c>
      <c r="CV11" s="133">
        <f>CU11</f>
        <v>-7.0000000000000007E-2</v>
      </c>
      <c r="CW11" s="133">
        <f>CV11</f>
        <v>-7.0000000000000007E-2</v>
      </c>
      <c r="CX11" s="133">
        <f>CW11</f>
        <v>-7.0000000000000007E-2</v>
      </c>
      <c r="CY11" s="153">
        <f>CY10/CS10-1</f>
        <v>-6.999866616252326E-2</v>
      </c>
      <c r="DA11" s="151">
        <v>-7.0000000000000007E-2</v>
      </c>
      <c r="DB11" s="133">
        <f>DA11</f>
        <v>-7.0000000000000007E-2</v>
      </c>
      <c r="DC11" s="133">
        <f>DB11</f>
        <v>-7.0000000000000007E-2</v>
      </c>
      <c r="DD11" s="133">
        <f>DC11</f>
        <v>-7.0000000000000007E-2</v>
      </c>
      <c r="DE11" s="153">
        <f>DE10/CY10-1</f>
        <v>-6.9998709869881326E-2</v>
      </c>
      <c r="DG11" s="151">
        <v>-7.0000000000000007E-2</v>
      </c>
      <c r="DH11" s="133">
        <f>DG11</f>
        <v>-7.0000000000000007E-2</v>
      </c>
      <c r="DI11" s="133">
        <f>DH11</f>
        <v>-7.0000000000000007E-2</v>
      </c>
      <c r="DJ11" s="133">
        <f>DI11</f>
        <v>-7.0000000000000007E-2</v>
      </c>
      <c r="DK11" s="153">
        <f>DK10/DE10-1</f>
        <v>-6.9998751463557385E-2</v>
      </c>
    </row>
    <row r="12" spans="2:115" ht="15" x14ac:dyDescent="0.3">
      <c r="B12" s="5"/>
      <c r="C12" s="144"/>
      <c r="D12" s="107"/>
      <c r="E12" s="107"/>
      <c r="F12" s="145"/>
      <c r="G12" s="138"/>
      <c r="I12" s="144"/>
      <c r="J12" s="107"/>
      <c r="K12" s="107"/>
      <c r="L12" s="145"/>
      <c r="M12" s="138"/>
      <c r="O12" s="144"/>
      <c r="P12" s="107"/>
      <c r="Q12" s="107"/>
      <c r="R12" s="145"/>
      <c r="S12" s="145"/>
      <c r="U12" s="144"/>
      <c r="V12" s="107"/>
      <c r="W12" s="107"/>
      <c r="X12" s="145"/>
      <c r="Y12" s="138"/>
      <c r="AA12" s="144"/>
      <c r="AB12" s="107"/>
      <c r="AC12" s="107"/>
      <c r="AD12" s="145"/>
      <c r="AE12" s="138"/>
      <c r="AG12" s="144"/>
      <c r="AH12" s="107"/>
      <c r="AI12" s="107"/>
      <c r="AJ12" s="145"/>
      <c r="AK12" s="138"/>
      <c r="AM12" s="144"/>
      <c r="AN12" s="107"/>
      <c r="AO12" s="107"/>
      <c r="AP12" s="107"/>
      <c r="AQ12" s="138"/>
      <c r="AS12" s="144"/>
      <c r="AT12" s="107"/>
      <c r="AU12" s="107"/>
      <c r="AV12" s="107"/>
      <c r="AW12" s="138"/>
      <c r="AY12" s="144"/>
      <c r="AZ12" s="107"/>
      <c r="BA12" s="107"/>
      <c r="BB12" s="107"/>
      <c r="BC12" s="138"/>
      <c r="BE12" s="144"/>
      <c r="BF12" s="107"/>
      <c r="BG12" s="107"/>
      <c r="BH12" s="107"/>
      <c r="BI12" s="138"/>
      <c r="BK12" s="144"/>
      <c r="BL12" s="107"/>
      <c r="BM12" s="107"/>
      <c r="BN12" s="107"/>
      <c r="BO12" s="138"/>
      <c r="BQ12" s="144"/>
      <c r="BR12" s="107"/>
      <c r="BS12" s="107"/>
      <c r="BT12" s="145"/>
      <c r="BU12" s="138"/>
      <c r="BW12" s="144"/>
      <c r="BX12" s="107"/>
      <c r="BY12" s="107"/>
      <c r="BZ12" s="145"/>
      <c r="CA12" s="138"/>
      <c r="CC12" s="144"/>
      <c r="CD12" s="107"/>
      <c r="CE12" s="107"/>
      <c r="CF12" s="145"/>
      <c r="CG12" s="138"/>
      <c r="CI12" s="144"/>
      <c r="CJ12" s="107"/>
      <c r="CK12" s="107"/>
      <c r="CL12" s="145"/>
      <c r="CM12" s="138"/>
      <c r="CO12" s="144"/>
      <c r="CP12" s="107"/>
      <c r="CQ12" s="107"/>
      <c r="CR12" s="145"/>
      <c r="CS12" s="138"/>
      <c r="CU12" s="144"/>
      <c r="CV12" s="107"/>
      <c r="CW12" s="107"/>
      <c r="CX12" s="145"/>
      <c r="CY12" s="138"/>
      <c r="DA12" s="144"/>
      <c r="DB12" s="107"/>
      <c r="DC12" s="107"/>
      <c r="DD12" s="145"/>
      <c r="DE12" s="138"/>
      <c r="DG12" s="144"/>
      <c r="DH12" s="107"/>
      <c r="DI12" s="107"/>
      <c r="DJ12" s="145"/>
      <c r="DK12" s="138"/>
    </row>
    <row r="13" spans="2:115" ht="15" x14ac:dyDescent="0.3">
      <c r="B13" s="105" t="s">
        <v>159</v>
      </c>
      <c r="C13" s="188">
        <f>C17*C15</f>
        <v>24.877759364962458</v>
      </c>
      <c r="D13" s="189">
        <f>D17*D15</f>
        <v>28.265418416052931</v>
      </c>
      <c r="E13" s="189">
        <f>E17*E15</f>
        <v>37.741303179266325</v>
      </c>
      <c r="F13" s="190">
        <f>F17*F15</f>
        <v>27.502390794618517</v>
      </c>
      <c r="G13" s="164">
        <f>G72*1000/(G7*12)</f>
        <v>29.623546756738381</v>
      </c>
      <c r="H13" s="329"/>
      <c r="I13" s="188">
        <f>I17*I15</f>
        <v>26.506370994524012</v>
      </c>
      <c r="J13" s="189">
        <f>J17*J15</f>
        <v>26.721128043341164</v>
      </c>
      <c r="K13" s="189">
        <f>K17*K15</f>
        <v>38.729934273548679</v>
      </c>
      <c r="L13" s="190">
        <f>L17*L15</f>
        <v>26.151409338757428</v>
      </c>
      <c r="M13" s="164">
        <f>M72*1000/(M7*12)</f>
        <v>29.574196721286917</v>
      </c>
      <c r="N13" s="329"/>
      <c r="O13" s="188">
        <f>O17*O15</f>
        <v>25.568264185129756</v>
      </c>
      <c r="P13" s="189">
        <f>P17*P15</f>
        <v>24.635115399734595</v>
      </c>
      <c r="Q13" s="189">
        <f>Q17*Q15</f>
        <v>35.652402238999379</v>
      </c>
      <c r="R13" s="190">
        <f>R17*R15</f>
        <v>19.888089366293151</v>
      </c>
      <c r="S13" s="164">
        <f>S72*1000/(S7*12)</f>
        <v>26.457347253294635</v>
      </c>
      <c r="T13" s="246"/>
      <c r="U13" s="161">
        <f>U17*U15</f>
        <v>21.638471084108584</v>
      </c>
      <c r="V13" s="162">
        <f>V17*V15</f>
        <v>23.714843574571852</v>
      </c>
      <c r="W13" s="162">
        <f>W17*W15</f>
        <v>30.689853767966124</v>
      </c>
      <c r="X13" s="162">
        <f>X17*X15</f>
        <v>20.978635836293815</v>
      </c>
      <c r="Y13" s="164">
        <f>Y72*1000/(Y7*12)</f>
        <v>24.224959036714129</v>
      </c>
      <c r="Z13" s="449"/>
      <c r="AA13" s="161">
        <f>AA17*AA15</f>
        <v>20.073992737229432</v>
      </c>
      <c r="AB13" s="162">
        <f>AB17*AB15</f>
        <v>21.376103588519065</v>
      </c>
      <c r="AC13" s="162">
        <f>AC17*AC15</f>
        <v>31.841677934296168</v>
      </c>
      <c r="AD13" s="162">
        <f>AD17*AD15</f>
        <v>33.537136985746912</v>
      </c>
      <c r="AE13" s="164">
        <f>AE72*1000/(AE7*12)</f>
        <v>26.278562013911998</v>
      </c>
      <c r="AF13" s="260"/>
      <c r="AG13" s="161">
        <f>AG17*AG15</f>
        <v>28.168762168989783</v>
      </c>
      <c r="AH13" s="162">
        <f>AH17*AH15</f>
        <v>28.008687596532589</v>
      </c>
      <c r="AI13" s="162">
        <f>AI17*AI15</f>
        <v>35.030294741396922</v>
      </c>
      <c r="AJ13" s="162">
        <f>AJ17*AJ15</f>
        <v>31.826576127866886</v>
      </c>
      <c r="AK13" s="164">
        <f>AK72*1000/(AK7*12)</f>
        <v>30.776261420948394</v>
      </c>
      <c r="AL13" s="260"/>
      <c r="AM13" s="161">
        <f>AM17*AM15</f>
        <v>30.235656015813248</v>
      </c>
      <c r="AN13" s="162">
        <f>AN17*AN15</f>
        <v>33.474647107521179</v>
      </c>
      <c r="AO13" s="162">
        <f>AO17*AO15</f>
        <v>37.333636397611706</v>
      </c>
      <c r="AP13" s="162">
        <f>AP17*AP15</f>
        <v>32.931156439818857</v>
      </c>
      <c r="AQ13" s="164">
        <f>AQ72*1000/(AQ7*12)</f>
        <v>33.513882322869037</v>
      </c>
      <c r="AR13" s="260"/>
      <c r="AS13" s="161">
        <f>AS17*AS15</f>
        <v>33.54921024072366</v>
      </c>
      <c r="AT13" s="162">
        <f>AT17*AT15</f>
        <v>34.469447884291057</v>
      </c>
      <c r="AU13" s="162">
        <f>AU17*AU15</f>
        <v>39.516012089621611</v>
      </c>
      <c r="AV13" s="162">
        <f>AV17*AV15</f>
        <v>31.85864446883755</v>
      </c>
      <c r="AW13" s="164">
        <f>AW72*1000/(AW7*12)</f>
        <v>34.847009846271071</v>
      </c>
      <c r="AX13" s="260"/>
      <c r="AY13" s="161">
        <f>AY17*AY15</f>
        <v>32.103739160036653</v>
      </c>
      <c r="AZ13" s="162">
        <f>AZ17*AZ15</f>
        <v>35.694942993047931</v>
      </c>
      <c r="BA13" s="162">
        <f>BA17*BA15</f>
        <v>44.475492024539875</v>
      </c>
      <c r="BB13" s="162">
        <f>BB17*BB15</f>
        <v>34.373996078431375</v>
      </c>
      <c r="BC13" s="164">
        <f>BC72*1000/(BC7*12)</f>
        <v>36.638164984864382</v>
      </c>
      <c r="BD13" s="260"/>
      <c r="BE13" s="161">
        <f>BE17*BE15</f>
        <v>36.996843433205676</v>
      </c>
      <c r="BF13" s="162">
        <f>BF17*BF15</f>
        <v>39.644301886792462</v>
      </c>
      <c r="BG13" s="162">
        <f>BG17*BG15</f>
        <v>44.9146886850153</v>
      </c>
      <c r="BH13" s="162">
        <f>BH17*BH15</f>
        <v>38.437260054010657</v>
      </c>
      <c r="BI13" s="164">
        <f>BI72*1000/(BI7*12)</f>
        <v>40.024829866193542</v>
      </c>
      <c r="BJ13" s="260"/>
      <c r="BK13" s="161">
        <f>BK17*BK15</f>
        <v>38.637826771653543</v>
      </c>
      <c r="BL13" s="162">
        <f>BL17*BL15</f>
        <v>42.740396896784347</v>
      </c>
      <c r="BM13" s="162">
        <f>BM17*BM15</f>
        <v>52.659912380532283</v>
      </c>
      <c r="BN13" s="162">
        <f>BN17*BN15</f>
        <v>43.187356529398819</v>
      </c>
      <c r="BO13" s="164">
        <f>BO72*1000/(BO7*12)</f>
        <v>44.341599250477728</v>
      </c>
      <c r="BP13" s="260"/>
      <c r="BQ13" s="161">
        <f>BK13*(1+BQ14)</f>
        <v>42.887987716535434</v>
      </c>
      <c r="BR13" s="162">
        <f>BL13*(1+BR14)</f>
        <v>46.587032617494941</v>
      </c>
      <c r="BS13" s="162">
        <f>BM13*(1+BS14)</f>
        <v>56.87270537097487</v>
      </c>
      <c r="BT13" s="163">
        <f>BN13*(1+BT14)</f>
        <v>46.426408269103732</v>
      </c>
      <c r="BU13" s="164">
        <f>BU72*1000/(BU7*12)</f>
        <v>48.188093294450262</v>
      </c>
      <c r="BV13" s="260"/>
      <c r="BW13" s="161">
        <f>BQ13*(1+BW14)</f>
        <v>45.890146856692915</v>
      </c>
      <c r="BX13" s="162">
        <f>BR13*(1+BX14)</f>
        <v>49.382254574544639</v>
      </c>
      <c r="BY13" s="162">
        <f>BS13*(1+BY14)</f>
        <v>60.000704166378483</v>
      </c>
      <c r="BZ13" s="163">
        <f>BT13*(1+BZ14)</f>
        <v>48.747728682558922</v>
      </c>
      <c r="CA13" s="164">
        <f>CA72*1000/(CA7*12)</f>
        <v>51.009897087197317</v>
      </c>
      <c r="CB13" s="260"/>
      <c r="CC13" s="161">
        <f>BW13*(1+CC14)</f>
        <v>48.184654199527564</v>
      </c>
      <c r="CD13" s="162">
        <f>BX13*(1+CD14)</f>
        <v>51.851367303271871</v>
      </c>
      <c r="CE13" s="162">
        <f>BY13*(1+CE14)</f>
        <v>63.00073937469741</v>
      </c>
      <c r="CF13" s="163">
        <f>BZ13*(1+CF14)</f>
        <v>51.185115116686873</v>
      </c>
      <c r="CG13" s="164">
        <f>CG72*1000/(CG7*12)</f>
        <v>53.559026507460999</v>
      </c>
      <c r="CH13" s="260"/>
      <c r="CI13" s="161">
        <f>CC13*(1+CI14)</f>
        <v>50.593886909503944</v>
      </c>
      <c r="CJ13" s="162">
        <f>CD13*(1+CJ14)</f>
        <v>54.443935668435465</v>
      </c>
      <c r="CK13" s="162">
        <f>CE13*(1+CK14)</f>
        <v>66.150776343432284</v>
      </c>
      <c r="CL13" s="163">
        <f>CF13*(1+CL14)</f>
        <v>53.744370872521216</v>
      </c>
      <c r="CM13" s="164">
        <f>CM72*1000/(CM7*12)</f>
        <v>56.236921622395997</v>
      </c>
      <c r="CN13" s="260"/>
      <c r="CO13" s="161">
        <f>CI13*(1+CO14)</f>
        <v>53.123581254979143</v>
      </c>
      <c r="CP13" s="162">
        <f>CJ13*(1+CP14)</f>
        <v>57.166132451857237</v>
      </c>
      <c r="CQ13" s="162">
        <f>CK13*(1+CQ14)</f>
        <v>69.458315160603902</v>
      </c>
      <c r="CR13" s="163">
        <f>CL13*(1+CR14)</f>
        <v>56.431589416147283</v>
      </c>
      <c r="CS13" s="164">
        <f>CS72*1000/(CS7*12)</f>
        <v>59.048017779284912</v>
      </c>
      <c r="CT13" s="260"/>
      <c r="CU13" s="161">
        <f>CO13*(1+CU14)</f>
        <v>55.779760317728105</v>
      </c>
      <c r="CV13" s="162">
        <f>CP13*(1+CV14)</f>
        <v>60.0244390744501</v>
      </c>
      <c r="CW13" s="162">
        <f>CQ13*(1+CW14)</f>
        <v>72.9312309186341</v>
      </c>
      <c r="CX13" s="163">
        <f>CR13*(1+CX14)</f>
        <v>59.253168886954647</v>
      </c>
      <c r="CY13" s="164">
        <f>CY72*1000/(CY7*12)</f>
        <v>62.000364221131811</v>
      </c>
      <c r="CZ13" s="260"/>
      <c r="DA13" s="161">
        <f>CU13*(1+DA14)</f>
        <v>58.01095073043723</v>
      </c>
      <c r="DB13" s="162">
        <f>CV13*(1+DB14)</f>
        <v>62.425416637428107</v>
      </c>
      <c r="DC13" s="162">
        <f>CW13*(1+DC14)</f>
        <v>75.848480155379463</v>
      </c>
      <c r="DD13" s="163">
        <f>CX13*(1+DD14)</f>
        <v>61.623295642432836</v>
      </c>
      <c r="DE13" s="164">
        <f>DE72*1000/(DE7*12)</f>
        <v>64.480324020391848</v>
      </c>
      <c r="DF13" s="260"/>
      <c r="DG13" s="161">
        <f>DA13*(1+DG14)</f>
        <v>59.751279252350351</v>
      </c>
      <c r="DH13" s="162">
        <f>DB13*(1+DH14)</f>
        <v>64.298179136550957</v>
      </c>
      <c r="DI13" s="162">
        <f>DC13*(1+DI14)</f>
        <v>78.123934560040851</v>
      </c>
      <c r="DJ13" s="163">
        <f>DD13*(1+DJ14)</f>
        <v>63.471994511705823</v>
      </c>
      <c r="DK13" s="164">
        <f>DK72*1000/(DK7*12)</f>
        <v>66.414679146994473</v>
      </c>
    </row>
    <row r="14" spans="2:115" ht="15" x14ac:dyDescent="0.3">
      <c r="B14" s="5" t="s">
        <v>23</v>
      </c>
      <c r="C14" s="144" t="s">
        <v>35</v>
      </c>
      <c r="D14" s="107" t="s">
        <v>35</v>
      </c>
      <c r="E14" s="107" t="s">
        <v>35</v>
      </c>
      <c r="F14" s="145" t="s">
        <v>35</v>
      </c>
      <c r="G14" s="153" t="s">
        <v>35</v>
      </c>
      <c r="H14" s="107"/>
      <c r="I14" s="151">
        <f>I13/C13-1</f>
        <v>6.5464562369522472E-2</v>
      </c>
      <c r="J14" s="133">
        <f>J13/D13-1</f>
        <v>-5.463532681457528E-2</v>
      </c>
      <c r="K14" s="133">
        <f>K13/E13-1</f>
        <v>2.6194937932759954E-2</v>
      </c>
      <c r="L14" s="133">
        <f>L13/F13-1</f>
        <v>-4.9122327798695964E-2</v>
      </c>
      <c r="M14" s="153">
        <f>M13/G13-1</f>
        <v>-1.6659057018633128E-3</v>
      </c>
      <c r="N14" s="107"/>
      <c r="O14" s="151">
        <f>O13/I13-1</f>
        <v>-3.5391748255091615E-2</v>
      </c>
      <c r="P14" s="133">
        <f>P13/J13-1</f>
        <v>-7.8066039735414483E-2</v>
      </c>
      <c r="Q14" s="133">
        <f>Q13/K13-1</f>
        <v>-7.9461328615038629E-2</v>
      </c>
      <c r="R14" s="133">
        <f>R13/L13-1</f>
        <v>-0.23950219628055713</v>
      </c>
      <c r="S14" s="153">
        <f>S13/M13-1</f>
        <v>-0.10539084112295893</v>
      </c>
      <c r="T14" s="107"/>
      <c r="U14" s="151">
        <f>U13/O13-1</f>
        <v>-0.15369807948506331</v>
      </c>
      <c r="V14" s="133">
        <f>V13/P13-1</f>
        <v>-3.7356099625685424E-2</v>
      </c>
      <c r="W14" s="133">
        <f>W13/Q13-1</f>
        <v>-0.13919254129823633</v>
      </c>
      <c r="X14" s="133">
        <v>-7.4999999999999997E-2</v>
      </c>
      <c r="Y14" s="153">
        <f>Y13/S13-1</f>
        <v>-8.4376872526496949E-2</v>
      </c>
      <c r="AA14" s="151">
        <f>AA13/U13-1</f>
        <v>-7.2300780438600998E-2</v>
      </c>
      <c r="AB14" s="133">
        <f>AB13/V13-1</f>
        <v>-9.8619245735210859E-2</v>
      </c>
      <c r="AC14" s="133">
        <f>AC13/W13-1</f>
        <v>3.7531106372761913E-2</v>
      </c>
      <c r="AD14" s="133">
        <f>AD13/X13-1</f>
        <v>0.59863287810766153</v>
      </c>
      <c r="AE14" s="153">
        <f>AE13/Y13-1</f>
        <v>8.4772196067928629E-2</v>
      </c>
      <c r="AG14" s="151">
        <f>AG13/AA13-1</f>
        <v>0.40324660558174408</v>
      </c>
      <c r="AH14" s="133">
        <f>AH13/AB13-1</f>
        <v>0.31028030812761553</v>
      </c>
      <c r="AI14" s="133">
        <f>AI13/AC13-1</f>
        <v>0.10013972296561491</v>
      </c>
      <c r="AJ14" s="133">
        <f>AJ13/AD13-1</f>
        <v>-5.1004975726073543E-2</v>
      </c>
      <c r="AK14" s="153">
        <f>AK13/AE13-1</f>
        <v>0.17115470034681857</v>
      </c>
      <c r="AM14" s="151">
        <f>AM13/AG13-1</f>
        <v>7.3375387758388921E-2</v>
      </c>
      <c r="AN14" s="133">
        <f>AN13/AH13-1</f>
        <v>0.19515228952267161</v>
      </c>
      <c r="AO14" s="133">
        <f>AO13/AI13-1</f>
        <v>6.5752848305121958E-2</v>
      </c>
      <c r="AP14" s="133">
        <f>AP13/AJ13-1</f>
        <v>3.4706224996185364E-2</v>
      </c>
      <c r="AQ14" s="153">
        <f>AQ13/AK13-1</f>
        <v>8.8952354039247616E-2</v>
      </c>
      <c r="AS14" s="151">
        <f>AS13/AM13-1</f>
        <v>0.10959094861965046</v>
      </c>
      <c r="AT14" s="133">
        <f>AT13/AN13-1</f>
        <v>2.9718036267105674E-2</v>
      </c>
      <c r="AU14" s="133">
        <f>AU13/AO13-1</f>
        <v>5.8456017216407918E-2</v>
      </c>
      <c r="AV14" s="133">
        <f>AV13/AP13-1</f>
        <v>-3.2568305730207303E-2</v>
      </c>
      <c r="AW14" s="153">
        <f>AW13/AQ13-1</f>
        <v>3.9778367380980617E-2</v>
      </c>
      <c r="AY14" s="151">
        <f>AY13/AS13-1</f>
        <v>-4.3085100075840987E-2</v>
      </c>
      <c r="AZ14" s="133">
        <f>AZ13/AT13-1</f>
        <v>3.5553082047344864E-2</v>
      </c>
      <c r="BA14" s="133">
        <f>BA13/AU13-1</f>
        <v>0.12550557793307315</v>
      </c>
      <c r="BB14" s="133">
        <f>BB13/AV13-1</f>
        <v>7.895350387723532E-2</v>
      </c>
      <c r="BC14" s="153">
        <f>BC13/AW13-1</f>
        <v>5.1400540433599984E-2</v>
      </c>
      <c r="BE14" s="151">
        <f>BE13/AY13-1</f>
        <v>0.15241540085959993</v>
      </c>
      <c r="BF14" s="133">
        <f>BF13/AZ13-1</f>
        <v>0.11064197229601191</v>
      </c>
      <c r="BG14" s="133">
        <f>BG13/BA13-1</f>
        <v>9.8750264580118596E-3</v>
      </c>
      <c r="BH14" s="133">
        <f>BH13/BB13-1</f>
        <v>0.11820749517478579</v>
      </c>
      <c r="BI14" s="153">
        <f>BI13/BC13-1</f>
        <v>9.2435439458505408E-2</v>
      </c>
      <c r="BK14" s="151">
        <f>BK13/BE13-1</f>
        <v>4.4354685053348053E-2</v>
      </c>
      <c r="BL14" s="133">
        <f>BL13/BF13-1</f>
        <v>7.8096847784910883E-2</v>
      </c>
      <c r="BM14" s="133">
        <f>BM13/BG13-1</f>
        <v>0.17244300077050267</v>
      </c>
      <c r="BN14" s="133">
        <f>BN13/BH13-1</f>
        <v>0.12358051715219798</v>
      </c>
      <c r="BO14" s="153">
        <f>BO13/BI13-1</f>
        <v>0.10785228566156357</v>
      </c>
      <c r="BQ14" s="151">
        <v>0.11</v>
      </c>
      <c r="BR14" s="133">
        <v>0.09</v>
      </c>
      <c r="BS14" s="133">
        <v>0.08</v>
      </c>
      <c r="BT14" s="152">
        <v>7.4999999999999997E-2</v>
      </c>
      <c r="BU14" s="153">
        <f>BU13/BO13-1</f>
        <v>8.6746849662421521E-2</v>
      </c>
      <c r="BW14" s="151">
        <v>7.0000000000000007E-2</v>
      </c>
      <c r="BX14" s="133">
        <v>0.06</v>
      </c>
      <c r="BY14" s="133">
        <v>5.5E-2</v>
      </c>
      <c r="BZ14" s="152">
        <v>0.05</v>
      </c>
      <c r="CA14" s="153">
        <f>CA13/BU13-1</f>
        <v>5.8558112592349332E-2</v>
      </c>
      <c r="CC14" s="151">
        <v>0.05</v>
      </c>
      <c r="CD14" s="133">
        <v>0.05</v>
      </c>
      <c r="CE14" s="133">
        <v>0.05</v>
      </c>
      <c r="CF14" s="152">
        <v>0.05</v>
      </c>
      <c r="CG14" s="153">
        <f>CG13/CA13-1</f>
        <v>4.9973231977044508E-2</v>
      </c>
      <c r="CI14" s="151">
        <v>0.05</v>
      </c>
      <c r="CJ14" s="133">
        <v>0.05</v>
      </c>
      <c r="CK14" s="133">
        <v>0.05</v>
      </c>
      <c r="CL14" s="152">
        <v>0.05</v>
      </c>
      <c r="CM14" s="153">
        <f>CM13/CG13-1</f>
        <v>4.9998950495524053E-2</v>
      </c>
      <c r="CO14" s="151">
        <v>0.05</v>
      </c>
      <c r="CP14" s="133">
        <v>0.05</v>
      </c>
      <c r="CQ14" s="133">
        <v>0.05</v>
      </c>
      <c r="CR14" s="152">
        <v>0.05</v>
      </c>
      <c r="CS14" s="153">
        <f>CS13/CM13-1</f>
        <v>4.9986664913205692E-2</v>
      </c>
      <c r="CU14" s="151">
        <v>0.05</v>
      </c>
      <c r="CV14" s="133">
        <v>0.05</v>
      </c>
      <c r="CW14" s="133">
        <v>0.05</v>
      </c>
      <c r="CX14" s="152">
        <v>0.05</v>
      </c>
      <c r="CY14" s="153">
        <f>CY13/CS13-1</f>
        <v>4.9999077917948886E-2</v>
      </c>
      <c r="DA14" s="151">
        <v>0.04</v>
      </c>
      <c r="DB14" s="133">
        <v>0.04</v>
      </c>
      <c r="DC14" s="133">
        <v>0.04</v>
      </c>
      <c r="DD14" s="133">
        <v>0.04</v>
      </c>
      <c r="DE14" s="153">
        <f>DE13/CY13-1</f>
        <v>3.9999116624782394E-2</v>
      </c>
      <c r="DG14" s="151">
        <v>0.03</v>
      </c>
      <c r="DH14" s="133">
        <v>0.03</v>
      </c>
      <c r="DI14" s="133">
        <v>0.03</v>
      </c>
      <c r="DJ14" s="133">
        <v>0.03</v>
      </c>
      <c r="DK14" s="153">
        <f>DK13/DE13-1</f>
        <v>2.9999153322971539E-2</v>
      </c>
    </row>
    <row r="15" spans="2:115" ht="15.75" thickBot="1" x14ac:dyDescent="0.35">
      <c r="B15" s="140" t="s">
        <v>48</v>
      </c>
      <c r="C15" s="146">
        <v>0.19</v>
      </c>
      <c r="D15" s="147">
        <v>0.19</v>
      </c>
      <c r="E15" s="147">
        <v>0.21</v>
      </c>
      <c r="F15" s="148">
        <v>0.21</v>
      </c>
      <c r="G15" s="268">
        <f>G13/G17</f>
        <v>0.2007302797687899</v>
      </c>
      <c r="I15" s="146">
        <v>0.22</v>
      </c>
      <c r="J15" s="147">
        <v>0.2</v>
      </c>
      <c r="K15" s="147">
        <v>0.24</v>
      </c>
      <c r="L15" s="148">
        <v>0.22</v>
      </c>
      <c r="M15" s="268"/>
      <c r="O15" s="146">
        <v>0.24</v>
      </c>
      <c r="P15" s="147">
        <v>0.22</v>
      </c>
      <c r="Q15" s="147">
        <v>0.28000000000000003</v>
      </c>
      <c r="R15" s="148">
        <v>0.22</v>
      </c>
      <c r="S15" s="170"/>
      <c r="U15" s="168">
        <v>0.24</v>
      </c>
      <c r="V15" s="169">
        <v>0.23</v>
      </c>
      <c r="W15" s="169">
        <v>0.25</v>
      </c>
      <c r="X15" s="169">
        <v>0.24</v>
      </c>
      <c r="Y15" s="268">
        <f>Y13/Y17</f>
        <v>0.24047131488275109</v>
      </c>
      <c r="AA15" s="168">
        <v>0.27</v>
      </c>
      <c r="AB15" s="169">
        <v>0.26</v>
      </c>
      <c r="AC15" s="169">
        <v>0.31</v>
      </c>
      <c r="AD15" s="170">
        <v>0.35</v>
      </c>
      <c r="AE15" s="268">
        <f>AE13/AE17</f>
        <v>0.29807768289787839</v>
      </c>
      <c r="AG15" s="168">
        <v>0.31</v>
      </c>
      <c r="AH15" s="169">
        <v>0.28999999999999998</v>
      </c>
      <c r="AI15" s="169">
        <v>0.3</v>
      </c>
      <c r="AJ15" s="170">
        <v>0.36</v>
      </c>
      <c r="AK15" s="268">
        <f>AK13/AK17</f>
        <v>0.31337089786004063</v>
      </c>
      <c r="AM15" s="168">
        <v>0.36</v>
      </c>
      <c r="AN15" s="169">
        <v>0.36</v>
      </c>
      <c r="AO15" s="169">
        <v>0.4</v>
      </c>
      <c r="AP15" s="170">
        <v>0.4</v>
      </c>
      <c r="AQ15" s="268">
        <f>AQ13/AQ17</f>
        <v>0.38008013836507171</v>
      </c>
      <c r="AS15" s="168">
        <v>0.43</v>
      </c>
      <c r="AT15" s="169">
        <v>0.41</v>
      </c>
      <c r="AU15" s="169">
        <v>0.41</v>
      </c>
      <c r="AV15" s="170">
        <v>0.4</v>
      </c>
      <c r="AW15" s="268">
        <f>AW13/AW17</f>
        <v>0.41218164499944965</v>
      </c>
      <c r="AY15" s="168">
        <v>0.45</v>
      </c>
      <c r="AZ15" s="169">
        <v>0.46</v>
      </c>
      <c r="BA15" s="169">
        <v>0.49</v>
      </c>
      <c r="BB15" s="170">
        <v>0.46</v>
      </c>
      <c r="BC15" s="268">
        <f>BC13/BC17</f>
        <v>0.46631410466358425</v>
      </c>
      <c r="BE15" s="168">
        <v>0.49</v>
      </c>
      <c r="BF15" s="169">
        <v>0.49</v>
      </c>
      <c r="BG15" s="169">
        <v>0.49</v>
      </c>
      <c r="BH15" s="170">
        <v>0.5</v>
      </c>
      <c r="BI15" s="268">
        <f>BI13/BI17</f>
        <v>0.49239473304416287</v>
      </c>
      <c r="BK15" s="168">
        <v>0.5</v>
      </c>
      <c r="BL15" s="169">
        <v>0.51</v>
      </c>
      <c r="BM15" s="169">
        <v>0.53</v>
      </c>
      <c r="BN15" s="169">
        <v>0.55000000000000004</v>
      </c>
      <c r="BO15" s="268">
        <f>BO13/BO17</f>
        <v>0.52302345581721854</v>
      </c>
      <c r="BQ15" s="168">
        <f>BQ13/BQ17</f>
        <v>0.55778894472361806</v>
      </c>
      <c r="BR15" s="169">
        <f>BR13/BR17</f>
        <v>0.56316482625873765</v>
      </c>
      <c r="BS15" s="169">
        <f>BS13/BS17</f>
        <v>0.57504520795660041</v>
      </c>
      <c r="BT15" s="170">
        <f>BT13/BT17</f>
        <v>0.59080689482887849</v>
      </c>
      <c r="BU15" s="268">
        <f>BU13/BU17</f>
        <v>0.57186706349324146</v>
      </c>
      <c r="BW15" s="168">
        <f>BW13/BW17</f>
        <v>0.59728438521498617</v>
      </c>
      <c r="BX15" s="169">
        <f>BX13/BX17</f>
        <v>0.59764614719896791</v>
      </c>
      <c r="BY15" s="169">
        <f>BY13/BY17</f>
        <v>0.60553389646956901</v>
      </c>
      <c r="BZ15" s="170">
        <f>BZ13/BZ17</f>
        <v>0.61979139367891412</v>
      </c>
      <c r="CA15" s="268">
        <f>CA13/CA17</f>
        <v>0.60508572044276254</v>
      </c>
      <c r="CC15" s="168">
        <f>CC13/CC17</f>
        <v>0.62736156351791528</v>
      </c>
      <c r="CD15" s="169">
        <f>CD13/CD17</f>
        <v>0.62771314760275754</v>
      </c>
      <c r="CE15" s="169">
        <f>CE13/CE17</f>
        <v>0.63537108156990174</v>
      </c>
      <c r="CF15" s="170">
        <f>CF13/CF17</f>
        <v>0.64917495372839362</v>
      </c>
      <c r="CG15" s="268">
        <f>CG13/CG17</f>
        <v>0.63492831025209318</v>
      </c>
      <c r="CI15" s="168">
        <f>CI13/CI17</f>
        <v>0.6552676089196493</v>
      </c>
      <c r="CJ15" s="169">
        <f>CJ13/CJ17</f>
        <v>0.65560731726602239</v>
      </c>
      <c r="CK15" s="169">
        <f>CK13/CK17</f>
        <v>0.66299951542464075</v>
      </c>
      <c r="CL15" s="170">
        <f>CL13/CL17</f>
        <v>0.67629033523131554</v>
      </c>
      <c r="CM15" s="268">
        <f>CM13/CM17</f>
        <v>0.66257204775667156</v>
      </c>
      <c r="CO15" s="168">
        <f>CO13/CO17</f>
        <v>0.68214265682183128</v>
      </c>
      <c r="CP15" s="169">
        <f>CP13/CP17</f>
        <v>0.68246871517471153</v>
      </c>
      <c r="CQ15" s="169">
        <f>CQ13/CQ17</f>
        <v>0.68955736290361502</v>
      </c>
      <c r="CR15" s="170">
        <f>CR13/CR17</f>
        <v>0.70227112974401984</v>
      </c>
      <c r="CS15" s="268">
        <f>CS13/CS17</f>
        <v>0.68915064689296213</v>
      </c>
      <c r="CU15" s="168">
        <f>CU13/CU17</f>
        <v>0.70785664926602565</v>
      </c>
      <c r="CV15" s="169">
        <f>CV13/CV17</f>
        <v>0.70816761490410129</v>
      </c>
      <c r="CW15" s="169">
        <f>CW13/CW17</f>
        <v>0.7149222010063776</v>
      </c>
      <c r="CX15" s="170">
        <f>CX13/CX17</f>
        <v>0.72700843251892622</v>
      </c>
      <c r="CY15" s="268">
        <f>CY13/CY17</f>
        <v>0.71453448718986323</v>
      </c>
      <c r="DA15" s="168">
        <f>DA13/DA17</f>
        <v>0.73042667086220447</v>
      </c>
      <c r="DB15" s="169">
        <f>DB13/DB17</f>
        <v>0.73072275141647414</v>
      </c>
      <c r="DC15" s="169">
        <f>DC13/DC17</f>
        <v>0.73714905813381115</v>
      </c>
      <c r="DD15" s="170">
        <f>DD13/DD17</f>
        <v>0.74862429122939078</v>
      </c>
      <c r="DE15" s="268">
        <f>DE13/DE17</f>
        <v>0.73678000995795667</v>
      </c>
      <c r="DG15" s="168">
        <f>DG13/DG17</f>
        <v>0.7500572963397184</v>
      </c>
      <c r="DH15" s="169">
        <f>DH13/DH17</f>
        <v>0.75033918553145607</v>
      </c>
      <c r="DI15" s="169">
        <f>DI13/DI17</f>
        <v>0.75645337683068548</v>
      </c>
      <c r="DJ15" s="170">
        <f>DJ13/DJ17</f>
        <v>0.7673518260995057</v>
      </c>
      <c r="DK15" s="268">
        <f>DK13/DK17</f>
        <v>0.75610206547464354</v>
      </c>
    </row>
    <row r="16" spans="2:115" ht="15.75" thickBot="1" x14ac:dyDescent="0.35">
      <c r="B16" s="1"/>
      <c r="AA16" s="103"/>
      <c r="AB16" s="103"/>
      <c r="AC16" s="103"/>
      <c r="AD16" s="103"/>
      <c r="AE16" s="103"/>
      <c r="AG16" s="103"/>
      <c r="AH16" s="103"/>
      <c r="AI16" s="103"/>
      <c r="AJ16" s="103"/>
      <c r="AK16" s="103"/>
      <c r="AM16" s="103"/>
      <c r="AN16" s="103"/>
      <c r="AO16" s="103"/>
      <c r="AP16" s="103"/>
      <c r="AQ16" s="103"/>
      <c r="AS16" s="103"/>
      <c r="AT16" s="103"/>
      <c r="AU16" s="103"/>
      <c r="AV16" s="103"/>
      <c r="AW16" s="103"/>
      <c r="AY16" s="103"/>
      <c r="AZ16" s="103"/>
      <c r="BA16" s="103"/>
      <c r="BB16" s="103"/>
      <c r="BC16" s="103"/>
      <c r="BE16" s="103"/>
      <c r="BF16" s="103"/>
      <c r="BG16" s="103"/>
      <c r="BH16" s="103"/>
      <c r="BI16" s="103"/>
      <c r="BK16" s="103"/>
      <c r="BL16" s="103"/>
      <c r="BM16" s="103"/>
      <c r="BN16" s="103"/>
      <c r="BO16" s="103"/>
      <c r="BQ16" s="103"/>
      <c r="BR16" s="103"/>
      <c r="BS16" s="103"/>
      <c r="BT16" s="103"/>
      <c r="BU16" s="103"/>
      <c r="BW16" s="103"/>
      <c r="BX16" s="103"/>
      <c r="BY16" s="103"/>
      <c r="BZ16" s="103"/>
      <c r="CA16" s="103"/>
      <c r="CC16" s="103"/>
      <c r="CD16" s="103"/>
      <c r="CE16" s="103"/>
      <c r="CF16" s="103"/>
      <c r="CG16" s="103"/>
      <c r="CI16" s="103"/>
      <c r="CJ16" s="103"/>
      <c r="CK16" s="103"/>
      <c r="CL16" s="103"/>
      <c r="CM16" s="103"/>
      <c r="CO16" s="103"/>
      <c r="CP16" s="103"/>
      <c r="CQ16" s="103"/>
      <c r="CR16" s="103"/>
      <c r="CS16" s="103"/>
      <c r="CU16" s="103"/>
      <c r="CV16" s="103"/>
      <c r="CW16" s="103"/>
      <c r="CX16" s="103"/>
      <c r="CY16" s="103"/>
      <c r="DA16" s="103"/>
      <c r="DB16" s="103"/>
      <c r="DC16" s="103"/>
      <c r="DD16" s="103"/>
      <c r="DE16" s="103"/>
      <c r="DG16" s="103"/>
      <c r="DH16" s="103"/>
      <c r="DI16" s="103"/>
      <c r="DJ16" s="103"/>
      <c r="DK16" s="103"/>
    </row>
    <row r="17" spans="2:115" s="135" customFormat="1" ht="15" x14ac:dyDescent="0.3">
      <c r="B17" s="139" t="s">
        <v>160</v>
      </c>
      <c r="C17" s="181">
        <f>C25*1000/(C7*3)</f>
        <v>130.93557560506557</v>
      </c>
      <c r="D17" s="182">
        <f>D25*1000/(D7*3)</f>
        <v>148.76536008448912</v>
      </c>
      <c r="E17" s="182">
        <f>E25*1000/(E7*3)</f>
        <v>179.72049132983963</v>
      </c>
      <c r="F17" s="183">
        <f>F25*1000/(F7*3)</f>
        <v>130.96376568865961</v>
      </c>
      <c r="G17" s="253">
        <f>G25*1000/(G7*12)</f>
        <v>147.57886448850718</v>
      </c>
      <c r="H17" s="134"/>
      <c r="I17" s="181">
        <f>I25*1000/(I7*3)</f>
        <v>120.48350452056368</v>
      </c>
      <c r="J17" s="182">
        <f>J25*1000/(J7*3)</f>
        <v>133.60564021670581</v>
      </c>
      <c r="K17" s="182">
        <f>K25*1000/(K7*3)</f>
        <v>161.37472613978616</v>
      </c>
      <c r="L17" s="182">
        <f>L25*1000/(L7*3)</f>
        <v>118.87004244889739</v>
      </c>
      <c r="M17" s="253">
        <f>M25*1000/(M7*12)</f>
        <v>133.68644358381397</v>
      </c>
      <c r="N17" s="134"/>
      <c r="O17" s="181">
        <f>O25*1000/(O7*3)</f>
        <v>106.53443410470732</v>
      </c>
      <c r="P17" s="182">
        <f>P25*1000/(P7*3)</f>
        <v>111.97779727152088</v>
      </c>
      <c r="Q17" s="182">
        <f>Q25*1000/(Q7*3)</f>
        <v>127.33000799642635</v>
      </c>
      <c r="R17" s="183">
        <f>R25*1000/(R7*3)</f>
        <v>90.400406210423412</v>
      </c>
      <c r="S17" s="253">
        <f>S25*1000/(S7*12)</f>
        <v>109.08523666789831</v>
      </c>
      <c r="T17" s="103"/>
      <c r="U17" s="181">
        <f>U25*1000/(U7*3)</f>
        <v>90.160296183785775</v>
      </c>
      <c r="V17" s="182">
        <f>V25*1000/(V7*3)</f>
        <v>103.10801554161674</v>
      </c>
      <c r="W17" s="182">
        <f>W25*1000/(W7*3)</f>
        <v>122.7594150718645</v>
      </c>
      <c r="X17" s="182">
        <f>X25*1000/(X7*3)</f>
        <v>87.410982651224231</v>
      </c>
      <c r="Y17" s="272">
        <f>Y25*1000/(Y7*12)</f>
        <v>100.73949588758944</v>
      </c>
      <c r="AA17" s="181">
        <f>AA25*1000/(AA7*3)</f>
        <v>74.348121248997884</v>
      </c>
      <c r="AB17" s="182">
        <f>AB25*1000/(AB7*3)</f>
        <v>82.215783032765628</v>
      </c>
      <c r="AC17" s="182">
        <f>AC25*1000/(AC7*3)</f>
        <v>102.7150901106328</v>
      </c>
      <c r="AD17" s="182">
        <f>AD25*1000/(AD7*3)</f>
        <v>95.820391387848318</v>
      </c>
      <c r="AE17" s="272">
        <f>AE25*1000/(AE7*12)</f>
        <v>88.160112352037601</v>
      </c>
      <c r="AG17" s="181">
        <f>AG25*1000/(AG7*3)</f>
        <v>90.866974738676717</v>
      </c>
      <c r="AH17" s="182">
        <f>AH25*1000/(AH7*3)</f>
        <v>96.581681367353767</v>
      </c>
      <c r="AI17" s="182">
        <f>AI25*1000/(AI7*3)</f>
        <v>116.76764913798975</v>
      </c>
      <c r="AJ17" s="182">
        <f>AJ25*1000/(AJ7*3)</f>
        <v>88.407155910741352</v>
      </c>
      <c r="AK17" s="272">
        <f>AK25*1000/(AK7*12)</f>
        <v>98.210336796156</v>
      </c>
      <c r="AM17" s="181">
        <f>AM25*1000/(AM7*3)</f>
        <v>83.987933377259026</v>
      </c>
      <c r="AN17" s="182">
        <f>AN25*1000/(AN7*3)</f>
        <v>92.985130854225503</v>
      </c>
      <c r="AO17" s="182">
        <f>AO25*1000/(AO7*3)</f>
        <v>93.334090994029268</v>
      </c>
      <c r="AP17" s="182">
        <f>AP25*1000/(AP7*3)</f>
        <v>82.327891099547131</v>
      </c>
      <c r="AQ17" s="272">
        <f>AQ25*1000/(AQ7*12)</f>
        <v>88.17583172598863</v>
      </c>
      <c r="AS17" s="330">
        <f>AS25*1000/(AS7*3)</f>
        <v>78.021419164473627</v>
      </c>
      <c r="AT17" s="331">
        <f>AT25*1000/(AT7*3)</f>
        <v>84.071824108026973</v>
      </c>
      <c r="AU17" s="331">
        <f>AU25*1000/(AU7*3)</f>
        <v>96.380517291760029</v>
      </c>
      <c r="AV17" s="331">
        <f>AV25*1000/(AV7*3)</f>
        <v>79.64661117209387</v>
      </c>
      <c r="AW17" s="563">
        <f>AW25*1000/(AW7*12)</f>
        <v>84.542847235028134</v>
      </c>
      <c r="AX17" s="448"/>
      <c r="AY17" s="330">
        <f>AY25*1000/(AY7*3)</f>
        <v>71.341642577859233</v>
      </c>
      <c r="AZ17" s="331">
        <f>AZ25*1000/(AZ7*3)</f>
        <v>77.597702158799848</v>
      </c>
      <c r="BA17" s="331">
        <f>BA25*1000/(BA7*3)</f>
        <v>90.766310254163017</v>
      </c>
      <c r="BB17" s="331">
        <f>BB25*1000/(BB7*3)</f>
        <v>74.726078431372557</v>
      </c>
      <c r="BC17" s="272">
        <f>BC25*1000/(BC7*12)</f>
        <v>78.569712171362411</v>
      </c>
      <c r="BE17" s="330">
        <f>BE25*1000/(BE7*3)</f>
        <v>75.503762108583018</v>
      </c>
      <c r="BF17" s="331">
        <f>BF25*1000/(BF7*3)</f>
        <v>80.906738544474408</v>
      </c>
      <c r="BG17" s="331">
        <f>BG25*1000/(BG7*3)</f>
        <v>91.662629969418987</v>
      </c>
      <c r="BH17" s="331">
        <f>BH25*1000/(BH7*3)</f>
        <v>76.874520108021315</v>
      </c>
      <c r="BI17" s="272">
        <f>BI25*1000/(BI7*12)</f>
        <v>81.286064167960376</v>
      </c>
      <c r="BK17" s="330">
        <f>BK25*1000/(BK7*3)</f>
        <v>77.275653543307087</v>
      </c>
      <c r="BL17" s="331">
        <f>BL25*1000/(BL7*3)</f>
        <v>83.804699797616365</v>
      </c>
      <c r="BM17" s="331">
        <f>BM25*1000/(BM7*3)</f>
        <v>99.358325246287322</v>
      </c>
      <c r="BN17" s="331">
        <f>BN25*1000/(BN7*3)</f>
        <v>78.522466417088751</v>
      </c>
      <c r="BO17" s="272">
        <f>BO25*1000/(BO7*12)</f>
        <v>84.779370327081125</v>
      </c>
      <c r="BQ17" s="141">
        <f>BQ10+BQ13</f>
        <v>76.889275275590563</v>
      </c>
      <c r="BR17" s="142">
        <f>BR10+BR13</f>
        <v>82.723619170227124</v>
      </c>
      <c r="BS17" s="142">
        <f>BS10+BS13</f>
        <v>98.901276950154397</v>
      </c>
      <c r="BT17" s="143">
        <f>BT10+BT13</f>
        <v>78.58135826690156</v>
      </c>
      <c r="BU17" s="272">
        <f>BU25*1000/(BU7*12)</f>
        <v>84.2645019632605</v>
      </c>
      <c r="BW17" s="141">
        <f>BW10+BW13</f>
        <v>76.83131853543307</v>
      </c>
      <c r="BX17" s="142">
        <f>BX10+BX13</f>
        <v>82.627914203058239</v>
      </c>
      <c r="BY17" s="142">
        <f>BY10+BY13</f>
        <v>99.087275735015453</v>
      </c>
      <c r="BZ17" s="143">
        <f>BZ10+BZ13</f>
        <v>78.651832180510908</v>
      </c>
      <c r="CA17" s="272">
        <f>CA25*1000/(CA7*12)</f>
        <v>84.301935021490138</v>
      </c>
      <c r="CC17" s="141">
        <f>CC10+CC13</f>
        <v>76.805238002362216</v>
      </c>
      <c r="CD17" s="142">
        <f>CD10+CD13</f>
        <v>82.60360245964695</v>
      </c>
      <c r="CE17" s="142">
        <f>CE10+CE13</f>
        <v>99.155818075686597</v>
      </c>
      <c r="CF17" s="143">
        <f>CF10+CF13</f>
        <v>78.846410852292465</v>
      </c>
      <c r="CG17" s="272">
        <f>CG25*1000/(CG7*12)</f>
        <v>84.354447018114243</v>
      </c>
      <c r="CI17" s="141">
        <f>CI10+CI13</f>
        <v>77.211029846140164</v>
      </c>
      <c r="CJ17" s="142">
        <f>CJ10+CJ13</f>
        <v>83.04351436386429</v>
      </c>
      <c r="CK17" s="142">
        <f>CK10+CK13</f>
        <v>99.774999535352237</v>
      </c>
      <c r="CL17" s="143">
        <f>CL10+CL13</f>
        <v>79.469375906634411</v>
      </c>
      <c r="CM17" s="272">
        <f>CM25*1000/(CM7*12)</f>
        <v>84.876688977149414</v>
      </c>
      <c r="CO17" s="141">
        <f>CO10+CO13</f>
        <v>77.877524186050834</v>
      </c>
      <c r="CP17" s="142">
        <f>CP10+CP13</f>
        <v>83.763740638606038</v>
      </c>
      <c r="CQ17" s="142">
        <f>CQ10+CQ13</f>
        <v>100.72884272908945</v>
      </c>
      <c r="CR17" s="143">
        <f>CR10+CR13</f>
        <v>80.355844097872549</v>
      </c>
      <c r="CS17" s="272">
        <f>CS25*1000/(CS7*12)</f>
        <v>85.682307700795306</v>
      </c>
      <c r="CU17" s="141">
        <f>CU10+CU13</f>
        <v>78.80092724362477</v>
      </c>
      <c r="CV17" s="142">
        <f>CV10+CV13</f>
        <v>84.760214688126482</v>
      </c>
      <c r="CW17" s="142">
        <f>CW10+CW13</f>
        <v>102.01282155732565</v>
      </c>
      <c r="CX17" s="143">
        <f>CX10+CX13</f>
        <v>81.50272574095915</v>
      </c>
      <c r="CY17" s="272">
        <f>CY25*1000/(CY7*12)</f>
        <v>86.770289373950575</v>
      </c>
      <c r="DA17" s="141">
        <f>DA10+DA13</f>
        <v>79.420635971521136</v>
      </c>
      <c r="DB17" s="142">
        <f>DB10+DB13</f>
        <v>85.429687958147142</v>
      </c>
      <c r="DC17" s="142">
        <f>DC10+DC13</f>
        <v>102.89435944936261</v>
      </c>
      <c r="DD17" s="143">
        <f>DD10+DD13</f>
        <v>82.315383516657022</v>
      </c>
      <c r="DE17" s="272">
        <f>DE25*1000/(DE7*12)</f>
        <v>87.516386368939791</v>
      </c>
      <c r="DG17" s="141">
        <f>DG10+DG13</f>
        <v>79.662286526558375</v>
      </c>
      <c r="DH17" s="142">
        <f>DH10+DH13</f>
        <v>85.692151464819659</v>
      </c>
      <c r="DI17" s="142">
        <f>DI10+DI13</f>
        <v>103.27660230344517</v>
      </c>
      <c r="DJ17" s="143">
        <f>DJ10+DJ13</f>
        <v>82.715636234734319</v>
      </c>
      <c r="DK17" s="272">
        <f>DK25*1000/(DK7*12)</f>
        <v>87.838245892507402</v>
      </c>
    </row>
    <row r="18" spans="2:115" ht="15" x14ac:dyDescent="0.3">
      <c r="B18" s="5" t="s">
        <v>23</v>
      </c>
      <c r="C18" s="144" t="s">
        <v>35</v>
      </c>
      <c r="D18" s="107" t="s">
        <v>35</v>
      </c>
      <c r="E18" s="107" t="s">
        <v>35</v>
      </c>
      <c r="F18" s="145" t="s">
        <v>35</v>
      </c>
      <c r="G18" s="138" t="s">
        <v>35</v>
      </c>
      <c r="H18" s="107"/>
      <c r="I18" s="151">
        <f>I17/C17-1</f>
        <v>-7.9826059771776148E-2</v>
      </c>
      <c r="J18" s="133">
        <f>J17/D17-1</f>
        <v>-0.10190356047384663</v>
      </c>
      <c r="K18" s="133">
        <f>K17/E17-1</f>
        <v>-0.10207942930883507</v>
      </c>
      <c r="L18" s="133">
        <f>L17/F17-1</f>
        <v>-9.2344040171482566E-2</v>
      </c>
      <c r="M18" s="153">
        <f>M17/G17-1</f>
        <v>-9.4135572548568414E-2</v>
      </c>
      <c r="N18" s="107"/>
      <c r="O18" s="151">
        <f>O17/I17-1</f>
        <v>-0.11577576923383393</v>
      </c>
      <c r="P18" s="133">
        <f>P17/J17-1</f>
        <v>-0.16187821794128576</v>
      </c>
      <c r="Q18" s="133">
        <f>Q17/K17-1</f>
        <v>-0.21096685309860463</v>
      </c>
      <c r="R18" s="152">
        <f>R17/L17-1</f>
        <v>-0.23950219628055713</v>
      </c>
      <c r="S18" s="153">
        <f>S17/M17-1</f>
        <v>-0.18402170224905467</v>
      </c>
      <c r="T18" s="107"/>
      <c r="U18" s="151">
        <f>U17/O17-1</f>
        <v>-0.15369807948506331</v>
      </c>
      <c r="V18" s="133">
        <f>V17/P17-1</f>
        <v>-7.9210182250655681E-2</v>
      </c>
      <c r="W18" s="133">
        <f>W17/Q17-1</f>
        <v>-3.5895646254024638E-2</v>
      </c>
      <c r="X18" s="133">
        <f>X17/R17-1</f>
        <v>-3.3068696087944049E-2</v>
      </c>
      <c r="Y18" s="153">
        <f>Y17/S17-1</f>
        <v>-7.6506601949417274E-2</v>
      </c>
      <c r="AA18" s="151">
        <f>AA17/U17-1</f>
        <v>-0.17537847150097885</v>
      </c>
      <c r="AB18" s="133">
        <f>AB17/V17-1</f>
        <v>-0.20262471738114807</v>
      </c>
      <c r="AC18" s="133">
        <f>AC17/W17-1</f>
        <v>-0.16328136582841779</v>
      </c>
      <c r="AD18" s="133">
        <f>AD17/X17-1</f>
        <v>9.6205402130967954E-2</v>
      </c>
      <c r="AE18" s="153">
        <f>AE17/Y17-1</f>
        <v>-0.12487042370738677</v>
      </c>
      <c r="AG18" s="151">
        <f>AG17/AA17-1</f>
        <v>0.22218252744216427</v>
      </c>
      <c r="AH18" s="133">
        <f>AH17/AB17-1</f>
        <v>0.1747340693557935</v>
      </c>
      <c r="AI18" s="133">
        <f>AI17/AC17-1</f>
        <v>0.136811047064469</v>
      </c>
      <c r="AJ18" s="133">
        <f>AJ17/AD17-1</f>
        <v>-7.7365948622571512E-2</v>
      </c>
      <c r="AK18" s="153">
        <f>AK17/AE17-1</f>
        <v>0.11399967826704005</v>
      </c>
      <c r="AM18" s="151">
        <f>AM17/AG17-1</f>
        <v>-7.5704527208053873E-2</v>
      </c>
      <c r="AN18" s="133">
        <f>AN17/AH17-1</f>
        <v>-3.7238433440070162E-2</v>
      </c>
      <c r="AO18" s="133">
        <f>AO17/AI17-1</f>
        <v>-0.20068536377115853</v>
      </c>
      <c r="AP18" s="133">
        <f>AP17/AJ17-1</f>
        <v>-6.8764397503433328E-2</v>
      </c>
      <c r="AQ18" s="153">
        <f>AQ17/AK17-1</f>
        <v>-0.1021736142804891</v>
      </c>
      <c r="AS18" s="151">
        <f>AS17/AM17-1</f>
        <v>-7.1040136039362545E-2</v>
      </c>
      <c r="AT18" s="133">
        <f>AT17/AN17-1</f>
        <v>-9.5857334009370687E-2</v>
      </c>
      <c r="AU18" s="133">
        <f>AU17/AO17-1</f>
        <v>3.264001679649553E-2</v>
      </c>
      <c r="AV18" s="133">
        <f>AV17/AP17-1</f>
        <v>-3.2568305730207303E-2</v>
      </c>
      <c r="AW18" s="153">
        <f>AW17/AQ17-1</f>
        <v>-4.1201590275328548E-2</v>
      </c>
      <c r="AY18" s="151">
        <f>AY17/AS17-1</f>
        <v>-8.5614651183581247E-2</v>
      </c>
      <c r="AZ18" s="133">
        <f>AZ17/AT17-1</f>
        <v>-7.7007035566497128E-2</v>
      </c>
      <c r="BA18" s="133">
        <f>BA17/AU17-1</f>
        <v>-5.8250434790693917E-2</v>
      </c>
      <c r="BB18" s="133">
        <f>BB17/AV17-1</f>
        <v>-6.1779561845882291E-2</v>
      </c>
      <c r="BC18" s="153">
        <f>BC17/AW17-1</f>
        <v>-7.0652163477064822E-2</v>
      </c>
      <c r="BE18" s="151">
        <f>BE17/AY17-1</f>
        <v>5.8340674258816394E-2</v>
      </c>
      <c r="BF18" s="133">
        <f>BF17/AZ17-1</f>
        <v>4.2643484196255965E-2</v>
      </c>
      <c r="BG18" s="133">
        <f>BG17/BA17-1</f>
        <v>9.8750264580118596E-3</v>
      </c>
      <c r="BH18" s="133">
        <f>BH17/BB17-1</f>
        <v>2.8750895560802903E-2</v>
      </c>
      <c r="BI18" s="153">
        <f>BI17/BC17-1</f>
        <v>3.4572507923581686E-2</v>
      </c>
      <c r="BK18" s="151">
        <f>BK17/BE17-1</f>
        <v>2.3467591352281048E-2</v>
      </c>
      <c r="BL18" s="133">
        <f>BL17/BF17-1</f>
        <v>3.5818540028639934E-2</v>
      </c>
      <c r="BM18" s="133">
        <f>BM17/BG17-1</f>
        <v>8.3956736561408007E-2</v>
      </c>
      <c r="BN18" s="133">
        <f>BN17/BH17-1</f>
        <v>2.1436833774725272E-2</v>
      </c>
      <c r="BO18" s="153">
        <f>BO17/BI17-1</f>
        <v>4.2975461967288409E-2</v>
      </c>
      <c r="BQ18" s="151">
        <f>BQ17/BK17-1</f>
        <v>-4.9999999999998934E-3</v>
      </c>
      <c r="BR18" s="133">
        <f>BR17/BL17-1</f>
        <v>-1.2899999999999912E-2</v>
      </c>
      <c r="BS18" s="133">
        <f>BS17/BM17-1</f>
        <v>-4.6000000000000485E-3</v>
      </c>
      <c r="BT18" s="152">
        <f>BT17/BN17-1</f>
        <v>7.4999999999980638E-4</v>
      </c>
      <c r="BU18" s="153">
        <f>BU17/BO17-1</f>
        <v>-6.0730383091340823E-3</v>
      </c>
      <c r="BW18" s="151">
        <f>BW17/BQ17-1</f>
        <v>-7.5376884422129198E-4</v>
      </c>
      <c r="BX18" s="133">
        <f>BX17/BR17-1</f>
        <v>-1.1569243237767868E-3</v>
      </c>
      <c r="BY18" s="133">
        <f>BY17/BS17-1</f>
        <v>1.8806509945750172E-3</v>
      </c>
      <c r="BZ18" s="152">
        <f>BZ17/BT17-1</f>
        <v>8.9682737946561453E-4</v>
      </c>
      <c r="CA18" s="153">
        <f>CA17/BU17-1</f>
        <v>4.4423283064043417E-4</v>
      </c>
      <c r="CC18" s="151">
        <f>CC17/BW17-1</f>
        <v>-3.394518481265596E-4</v>
      </c>
      <c r="CD18" s="133">
        <f>CD17/BX17-1</f>
        <v>-2.942316001289802E-4</v>
      </c>
      <c r="CE18" s="133">
        <f>CE17/BY17-1</f>
        <v>6.917370586960736E-4</v>
      </c>
      <c r="CF18" s="152">
        <f>CF17/BZ17-1</f>
        <v>2.4739242098643643E-3</v>
      </c>
      <c r="CG18" s="153">
        <f>CG17/CA17-1</f>
        <v>6.2290381129104233E-4</v>
      </c>
      <c r="CI18" s="151">
        <f>CI17/CC17-1</f>
        <v>5.2833876221498599E-3</v>
      </c>
      <c r="CJ18" s="133">
        <f>CJ17/CD17-1</f>
        <v>5.3255777123308867E-3</v>
      </c>
      <c r="CK18" s="133">
        <f>CK17/CE17-1</f>
        <v>6.2445297883884088E-3</v>
      </c>
      <c r="CL18" s="152">
        <f>CL17/CF17-1</f>
        <v>7.9009944474071059E-3</v>
      </c>
      <c r="CM18" s="153">
        <f>CM17/CG17-1</f>
        <v>6.1910424108764239E-3</v>
      </c>
      <c r="CO18" s="151">
        <f>CO17/CI17-1</f>
        <v>8.6321130703579385E-3</v>
      </c>
      <c r="CP18" s="133">
        <f>CP17/CJ17-1</f>
        <v>8.6728780719225185E-3</v>
      </c>
      <c r="CQ18" s="133">
        <f>CQ17/CK17-1</f>
        <v>9.5599418509568768E-3</v>
      </c>
      <c r="CR18" s="152">
        <f>CR17/CL17-1</f>
        <v>1.1154840227757923E-2</v>
      </c>
      <c r="CS18" s="153">
        <f>CS17/CM17-1</f>
        <v>9.4916370248936399E-3</v>
      </c>
      <c r="CU18" s="151">
        <f>CU17/CO17-1</f>
        <v>1.1857118818619616E-2</v>
      </c>
      <c r="CV18" s="133">
        <f>CV17/CP17-1</f>
        <v>1.1896245820965268E-2</v>
      </c>
      <c r="CW18" s="133">
        <f>CW17/CQ17-1</f>
        <v>1.2746883548433674E-2</v>
      </c>
      <c r="CX18" s="152">
        <f>CX17/CR17-1</f>
        <v>1.4272535569282541E-2</v>
      </c>
      <c r="CY18" s="153">
        <f>CY17/CS17-1</f>
        <v>1.2697856796230589E-2</v>
      </c>
      <c r="DA18" s="151">
        <f>DA17/CU17-1</f>
        <v>7.864231419262957E-3</v>
      </c>
      <c r="DB18" s="133">
        <f>DB17/CV17-1</f>
        <v>7.8984376394510836E-3</v>
      </c>
      <c r="DC18" s="133">
        <f>DC17/CW17-1</f>
        <v>8.6414421107015027E-3</v>
      </c>
      <c r="DD18" s="152">
        <f>DD17/CX17-1</f>
        <v>9.9709275770818451E-3</v>
      </c>
      <c r="DE18" s="153">
        <f>DE17/CY17-1</f>
        <v>8.5985306764828628E-3</v>
      </c>
      <c r="DG18" s="151">
        <f>DG17/DA17-1</f>
        <v>3.0426670862204741E-3</v>
      </c>
      <c r="DH18" s="133">
        <f>DH17/DB17-1</f>
        <v>3.0722751416474292E-3</v>
      </c>
      <c r="DI18" s="133">
        <f>DI17/DC17-1</f>
        <v>3.7149058133811863E-3</v>
      </c>
      <c r="DJ18" s="152">
        <f>DJ17/DD17-1</f>
        <v>4.8624291229391048E-3</v>
      </c>
      <c r="DK18" s="153">
        <f>DK17/DE17-1</f>
        <v>3.6777058208363744E-3</v>
      </c>
    </row>
    <row r="19" spans="2:115" ht="15" x14ac:dyDescent="0.3">
      <c r="B19" s="5"/>
      <c r="C19" s="144"/>
      <c r="D19" s="107"/>
      <c r="E19" s="107"/>
      <c r="F19" s="145"/>
      <c r="G19" s="138"/>
      <c r="H19" s="107"/>
      <c r="I19" s="151"/>
      <c r="J19" s="133"/>
      <c r="K19" s="133"/>
      <c r="L19" s="133"/>
      <c r="M19" s="153"/>
      <c r="N19" s="107"/>
      <c r="O19" s="151"/>
      <c r="P19" s="133"/>
      <c r="Q19" s="133"/>
      <c r="R19" s="152"/>
      <c r="S19" s="153"/>
      <c r="T19" s="107"/>
      <c r="U19" s="151"/>
      <c r="V19" s="133"/>
      <c r="W19" s="133"/>
      <c r="X19" s="152"/>
      <c r="Y19" s="153"/>
      <c r="AA19" s="151"/>
      <c r="AB19" s="133"/>
      <c r="AC19" s="133"/>
      <c r="AD19" s="152"/>
      <c r="AE19" s="153"/>
      <c r="AG19" s="151"/>
      <c r="AH19" s="133"/>
      <c r="AI19" s="133"/>
      <c r="AJ19" s="152"/>
      <c r="AK19" s="153"/>
      <c r="AM19" s="151"/>
      <c r="AN19" s="133"/>
      <c r="AO19" s="133"/>
      <c r="AP19" s="133"/>
      <c r="AQ19" s="153"/>
      <c r="AS19" s="151"/>
      <c r="AT19" s="133"/>
      <c r="AU19" s="133"/>
      <c r="AV19" s="133"/>
      <c r="AW19" s="153"/>
      <c r="AY19" s="151"/>
      <c r="AZ19" s="133"/>
      <c r="BA19" s="133"/>
      <c r="BB19" s="133"/>
      <c r="BC19" s="153"/>
      <c r="BE19" s="151"/>
      <c r="BF19" s="133"/>
      <c r="BG19" s="133"/>
      <c r="BH19" s="133"/>
      <c r="BI19" s="153"/>
      <c r="BK19" s="151"/>
      <c r="BL19" s="133"/>
      <c r="BM19" s="133"/>
      <c r="BN19" s="133"/>
      <c r="BO19" s="153"/>
      <c r="BQ19" s="151"/>
      <c r="BR19" s="133"/>
      <c r="BS19" s="133"/>
      <c r="BT19" s="152"/>
      <c r="BU19" s="153"/>
      <c r="BW19" s="151"/>
      <c r="BX19" s="133"/>
      <c r="BY19" s="133"/>
      <c r="BZ19" s="152"/>
      <c r="CA19" s="153"/>
      <c r="CC19" s="151"/>
      <c r="CD19" s="133"/>
      <c r="CE19" s="133"/>
      <c r="CF19" s="152"/>
      <c r="CG19" s="153"/>
      <c r="CI19" s="151"/>
      <c r="CJ19" s="133"/>
      <c r="CK19" s="133"/>
      <c r="CL19" s="152"/>
      <c r="CM19" s="153"/>
      <c r="CO19" s="151"/>
      <c r="CP19" s="133"/>
      <c r="CQ19" s="133"/>
      <c r="CR19" s="152"/>
      <c r="CS19" s="153"/>
      <c r="CU19" s="151"/>
      <c r="CV19" s="133"/>
      <c r="CW19" s="133"/>
      <c r="CX19" s="152"/>
      <c r="CY19" s="153"/>
      <c r="DA19" s="151"/>
      <c r="DB19" s="133"/>
      <c r="DC19" s="133"/>
      <c r="DD19" s="152"/>
      <c r="DE19" s="153"/>
      <c r="DG19" s="151"/>
      <c r="DH19" s="133"/>
      <c r="DI19" s="133"/>
      <c r="DJ19" s="152"/>
      <c r="DK19" s="153"/>
    </row>
    <row r="20" spans="2:115" ht="15" x14ac:dyDescent="0.3">
      <c r="B20" s="105" t="s">
        <v>96</v>
      </c>
      <c r="C20" s="161">
        <f>C28*1000/(C7*3)</f>
        <v>17.777777777777779</v>
      </c>
      <c r="D20" s="162">
        <f>D28*1000/(D7*3)</f>
        <v>20.238634647334241</v>
      </c>
      <c r="E20" s="162">
        <f>E28*1000/(E7*3)</f>
        <v>24.592592592592592</v>
      </c>
      <c r="F20" s="163">
        <f>F28*1000/(F7*3)</f>
        <v>17.8711845021088</v>
      </c>
      <c r="G20" s="164">
        <f>G28*1000/(G7*12)</f>
        <v>20.118629255685093</v>
      </c>
      <c r="H20" s="129"/>
      <c r="I20" s="161">
        <f>I28*1000/(I7*3)</f>
        <v>16.535758577924764</v>
      </c>
      <c r="J20" s="162">
        <f>J28*1000/(J7*3)</f>
        <v>18.414731785428344</v>
      </c>
      <c r="K20" s="162">
        <f>K28*1000/(K7*3)</f>
        <v>22.467557621537864</v>
      </c>
      <c r="L20" s="162">
        <f>L28*1000/(L7*3)</f>
        <v>16.572504708097927</v>
      </c>
      <c r="M20" s="164">
        <f>M28*1000/(M7*12)</f>
        <v>18.515782735017481</v>
      </c>
      <c r="N20" s="129"/>
      <c r="O20" s="161">
        <f>O28*1000/(O7*3)</f>
        <v>14.378846036678242</v>
      </c>
      <c r="P20" s="162">
        <f>P28*1000/(P7*3)</f>
        <v>15.226628895184136</v>
      </c>
      <c r="Q20" s="162">
        <f>Q28*1000/(Q7*3)</f>
        <v>17.385257301808068</v>
      </c>
      <c r="R20" s="163">
        <f>R28*1000/(R7*3)</f>
        <v>12.418755803156918</v>
      </c>
      <c r="S20" s="164">
        <f>S28*1000/(S7*12)</f>
        <v>14.857395533937652</v>
      </c>
      <c r="T20" s="134"/>
      <c r="U20" s="161">
        <f>U28*1000/(U7*3)</f>
        <v>12.374049849743681</v>
      </c>
      <c r="V20" s="162">
        <f>V28*1000/(V7*3)</f>
        <v>14.225091148168071</v>
      </c>
      <c r="W20" s="162">
        <f>W28*1000/(W7*3)</f>
        <v>16.927786781919682</v>
      </c>
      <c r="X20" s="162">
        <f>X28*1000/(X7*3)</f>
        <v>11.864904552129222</v>
      </c>
      <c r="Y20" s="164">
        <f>Y28*1000/(Y7*12)</f>
        <v>13.830766034487876</v>
      </c>
      <c r="Z20" s="135"/>
      <c r="AA20" s="161">
        <f>AA28*1000/(AA7*3)</f>
        <v>10.044579876982112</v>
      </c>
      <c r="AB20" s="162">
        <f>AB28*1000/(AB7*3)</f>
        <v>11.122233344455566</v>
      </c>
      <c r="AC20" s="162">
        <f>AC28*1000/(AC7*3)</f>
        <v>13.764541080455571</v>
      </c>
      <c r="AD20" s="162">
        <f>AD28*1000/(AD7*3)</f>
        <v>12.781290366442315</v>
      </c>
      <c r="AE20" s="164">
        <f>AE28*1000/(AE7*12)</f>
        <v>11.850787808053148</v>
      </c>
      <c r="AF20" s="135"/>
      <c r="AG20" s="161">
        <f>AG28*1000/(AG7*3)</f>
        <v>12.024608501118568</v>
      </c>
      <c r="AH20" s="162">
        <f>AH28*1000/(AH7*3)</f>
        <v>12.831359278059786</v>
      </c>
      <c r="AI20" s="162">
        <f>AI28*1000/(AI7*3)</f>
        <v>15.626080342944064</v>
      </c>
      <c r="AJ20" s="162">
        <f>AJ28*1000/(AJ7*3)</f>
        <v>11.742503669532397</v>
      </c>
      <c r="AK20" s="164">
        <f>AK28*1000/(AK7*12)</f>
        <v>13.063676691466695</v>
      </c>
      <c r="AL20" s="135"/>
      <c r="AM20" s="161">
        <f>AM28*1000/(AM7*3)</f>
        <v>11.075152822725638</v>
      </c>
      <c r="AN20" s="162">
        <f>AN28*1000/(AN7*3)</f>
        <v>12.305931172640767</v>
      </c>
      <c r="AO20" s="162">
        <f>AO28*1000/(AO7*3)</f>
        <v>12.371713763531561</v>
      </c>
      <c r="AP20" s="162">
        <f>AP28*1000/(AP7*3)</f>
        <v>10.791622293219737</v>
      </c>
      <c r="AQ20" s="164">
        <f>AQ28*1000/(AQ7*12)</f>
        <v>11.638460306443863</v>
      </c>
      <c r="AR20" s="135"/>
      <c r="AS20" s="161">
        <f>AS28*1000/(AS7*3)</f>
        <v>10.200364298724955</v>
      </c>
      <c r="AT20" s="162">
        <f>AT28*1000/(AT7*3)</f>
        <v>11.06259097525473</v>
      </c>
      <c r="AU20" s="162">
        <f>AU28*1000/(AU7*3)</f>
        <v>12.64367816091954</v>
      </c>
      <c r="AV20" s="162">
        <f>AV28*1000/(AV7*3)</f>
        <v>10.389980074010817</v>
      </c>
      <c r="AW20" s="164">
        <f>AW28*1000/(AW7*12)</f>
        <v>11.07563540595631</v>
      </c>
      <c r="AX20" s="135"/>
      <c r="AY20" s="161">
        <f>AY28*1000/(AY7*3)</f>
        <v>9.2870410058579793</v>
      </c>
      <c r="AZ20" s="162">
        <f>AZ28*1000/(AZ7*3)</f>
        <v>10.245151847786316</v>
      </c>
      <c r="BA20" s="162">
        <f>BA28*1000/(BA7*3)</f>
        <v>11.977797253870873</v>
      </c>
      <c r="BB20" s="162">
        <f>BB28*1000/(BB7*3)</f>
        <v>9.8039215686274517</v>
      </c>
      <c r="BC20" s="164">
        <f>BC28*1000/(BC7*12)</f>
        <v>10.322955854824347</v>
      </c>
      <c r="BD20" s="135"/>
      <c r="BE20" s="161">
        <f>BE28*1000/(BE7*3)</f>
        <v>9.912142374408651</v>
      </c>
      <c r="BF20" s="162">
        <f>BF28*1000/(BF7*3)</f>
        <v>10.781671159029649</v>
      </c>
      <c r="BG20" s="162">
        <f>BG28*1000/(BG7*3)</f>
        <v>12.232415902140673</v>
      </c>
      <c r="BH20" s="162">
        <f>BH28*1000/(BH7*3)</f>
        <v>10.218232245821472</v>
      </c>
      <c r="BI20" s="164">
        <f>BI28*1000/(BI7*12)</f>
        <v>10.793228358098618</v>
      </c>
      <c r="BJ20" s="135"/>
      <c r="BK20" s="161">
        <f>BK28*1000/(BK7*3)</f>
        <v>10.348706411698538</v>
      </c>
      <c r="BL20" s="162">
        <f>BL28*1000/(BL7*3)</f>
        <v>11.243534967393749</v>
      </c>
      <c r="BM20" s="162">
        <f>BM28*1000/(BM7*3)</f>
        <v>13.380385237465079</v>
      </c>
      <c r="BN20" s="162">
        <f>BN28*1000/(BN7*3)</f>
        <v>10.423548410775894</v>
      </c>
      <c r="BO20" s="164">
        <f>BO28*1000/(BO7*12)</f>
        <v>11.354149273668392</v>
      </c>
      <c r="BP20" s="135"/>
      <c r="BQ20" s="264">
        <f>BQ17/BQ23</f>
        <v>10.251903370078741</v>
      </c>
      <c r="BR20" s="265">
        <f>BR17/BR23</f>
        <v>11.029815889363617</v>
      </c>
      <c r="BS20" s="265">
        <f>BS17/BS23</f>
        <v>13.186836926687253</v>
      </c>
      <c r="BT20" s="266">
        <f>BT17/BT23</f>
        <v>10.477514435586874</v>
      </c>
      <c r="BU20" s="164">
        <f>BU28*1000/(BU7*12)</f>
        <v>11.235266928434733</v>
      </c>
      <c r="BV20" s="135"/>
      <c r="BW20" s="264">
        <f>BW17/BW23</f>
        <v>10.24417580472441</v>
      </c>
      <c r="BX20" s="265">
        <f>BX17/BX23</f>
        <v>11.017055227074431</v>
      </c>
      <c r="BY20" s="265">
        <f>BY17/BY23</f>
        <v>13.211636764668727</v>
      </c>
      <c r="BZ20" s="266">
        <f>BZ17/BZ23</f>
        <v>10.486910957401454</v>
      </c>
      <c r="CA20" s="164">
        <f>CA28*1000/(CA7*12)</f>
        <v>11.240258002865353</v>
      </c>
      <c r="CB20" s="135"/>
      <c r="CC20" s="264">
        <f>CC17/CC23</f>
        <v>10.240698400314962</v>
      </c>
      <c r="CD20" s="265">
        <f>CD17/CD23</f>
        <v>11.01381366128626</v>
      </c>
      <c r="CE20" s="265">
        <f>CE17/CE23</f>
        <v>13.220775743424879</v>
      </c>
      <c r="CF20" s="266">
        <f>CF17/CF23</f>
        <v>10.512854780305663</v>
      </c>
      <c r="CG20" s="164">
        <f>CG28*1000/(CG7*12)</f>
        <v>11.24725960241523</v>
      </c>
      <c r="CH20" s="135"/>
      <c r="CI20" s="264">
        <f>CI17/CI23</f>
        <v>10.294803979485355</v>
      </c>
      <c r="CJ20" s="265">
        <f>CJ17/CJ23</f>
        <v>11.072468581848572</v>
      </c>
      <c r="CK20" s="265">
        <f>CK17/CK23</f>
        <v>13.303333271380298</v>
      </c>
      <c r="CL20" s="266">
        <f>CL17/CL23</f>
        <v>10.595916787551255</v>
      </c>
      <c r="CM20" s="164">
        <f>CM28*1000/(CM7*12)</f>
        <v>11.31689186361992</v>
      </c>
      <c r="CN20" s="135"/>
      <c r="CO20" s="264">
        <f>CO17/CO23</f>
        <v>10.383669891473444</v>
      </c>
      <c r="CP20" s="265">
        <f>CP17/CP23</f>
        <v>11.168498751814138</v>
      </c>
      <c r="CQ20" s="265">
        <f>CQ17/CQ23</f>
        <v>13.430512363878593</v>
      </c>
      <c r="CR20" s="266">
        <f>CR17/CR23</f>
        <v>10.714112546383006</v>
      </c>
      <c r="CS20" s="164">
        <f>CS28*1000/(CS7*12)</f>
        <v>11.424307693439376</v>
      </c>
      <c r="CT20" s="135"/>
      <c r="CU20" s="264">
        <f>CU17/CU23</f>
        <v>10.506790299149969</v>
      </c>
      <c r="CV20" s="265">
        <f>CV17/CV23</f>
        <v>11.301361958416864</v>
      </c>
      <c r="CW20" s="265">
        <f>CW17/CW23</f>
        <v>13.601709540976753</v>
      </c>
      <c r="CX20" s="266">
        <f>CX17/CX23</f>
        <v>10.867030098794553</v>
      </c>
      <c r="CY20" s="164">
        <f>CY28*1000/(CY7*12)</f>
        <v>11.569371916526739</v>
      </c>
      <c r="CZ20" s="135"/>
      <c r="DA20" s="264">
        <f>DA17/DA23</f>
        <v>10.589418129536151</v>
      </c>
      <c r="DB20" s="265">
        <f>DB17/DB23</f>
        <v>11.390625061086286</v>
      </c>
      <c r="DC20" s="265">
        <f>DC17/DC23</f>
        <v>13.719247926581682</v>
      </c>
      <c r="DD20" s="266">
        <f>DD17/DD23</f>
        <v>10.975384468887603</v>
      </c>
      <c r="DE20" s="164">
        <f>DE28*1000/(DE7*12)</f>
        <v>11.668851515858636</v>
      </c>
      <c r="DF20" s="135"/>
      <c r="DG20" s="264">
        <f>DG17/DG23</f>
        <v>10.621638203541117</v>
      </c>
      <c r="DH20" s="265">
        <f>DH17/DH23</f>
        <v>11.425620195309287</v>
      </c>
      <c r="DI20" s="265">
        <f>DI17/DI23</f>
        <v>13.770213640459357</v>
      </c>
      <c r="DJ20" s="266">
        <f>DJ17/DJ23</f>
        <v>11.028751497964576</v>
      </c>
      <c r="DK20" s="164">
        <f>DK28*1000/(DK7*12)</f>
        <v>11.711766119000984</v>
      </c>
    </row>
    <row r="21" spans="2:115" s="241" customFormat="1" ht="15.75" thickBot="1" x14ac:dyDescent="0.35">
      <c r="B21" s="140" t="s">
        <v>23</v>
      </c>
      <c r="C21" s="155" t="s">
        <v>35</v>
      </c>
      <c r="D21" s="106" t="s">
        <v>35</v>
      </c>
      <c r="E21" s="106" t="s">
        <v>35</v>
      </c>
      <c r="F21" s="154" t="s">
        <v>35</v>
      </c>
      <c r="G21" s="108" t="s">
        <v>35</v>
      </c>
      <c r="H21" s="107"/>
      <c r="I21" s="109">
        <f>I20/C20-1</f>
        <v>-6.9863579991732094E-2</v>
      </c>
      <c r="J21" s="110">
        <f>J20/D20-1</f>
        <v>-9.011985707969361E-2</v>
      </c>
      <c r="K21" s="110">
        <f>K20/E20-1</f>
        <v>-8.6409554545900047E-2</v>
      </c>
      <c r="L21" s="110">
        <f>L20/F20-1</f>
        <v>-7.2668926553672408E-2</v>
      </c>
      <c r="M21" s="122">
        <f>M20/G20-1</f>
        <v>-7.9669767770817801E-2</v>
      </c>
      <c r="N21" s="107"/>
      <c r="O21" s="109">
        <f>O20/I20-1</f>
        <v>-0.13043928593188336</v>
      </c>
      <c r="P21" s="110">
        <f>P20/J20-1</f>
        <v>-0.17312784825717453</v>
      </c>
      <c r="Q21" s="110">
        <f>Q20/K20-1</f>
        <v>-0.22620617716176672</v>
      </c>
      <c r="R21" s="120">
        <f>R20/L20-1</f>
        <v>-0.2506409850595086</v>
      </c>
      <c r="S21" s="122">
        <f>S20/M20-1</f>
        <v>-0.19758209811789385</v>
      </c>
      <c r="T21" s="107"/>
      <c r="U21" s="109">
        <f>U20/O20-1</f>
        <v>-0.13942677888202093</v>
      </c>
      <c r="V21" s="110">
        <f>V20/P20-1</f>
        <v>-6.5775409245892313E-2</v>
      </c>
      <c r="W21" s="110">
        <f>W20/Q20-1</f>
        <v>-2.6313704303979946E-2</v>
      </c>
      <c r="X21" s="110">
        <f>X20/R20-1</f>
        <v>-4.4597966157519875E-2</v>
      </c>
      <c r="Y21" s="122">
        <f>Y20/S20-1</f>
        <v>-6.9098887291835331E-2</v>
      </c>
      <c r="AA21" s="109">
        <f>AA20/U20-1</f>
        <v>-0.18825445194160273</v>
      </c>
      <c r="AB21" s="110">
        <f>AB20/V20-1</f>
        <v>-0.21812568871392402</v>
      </c>
      <c r="AC21" s="110">
        <f>AC20/W20-1</f>
        <v>-0.18686705723649166</v>
      </c>
      <c r="AD21" s="110">
        <f>AD20/X20-1</f>
        <v>7.7234992518219858E-2</v>
      </c>
      <c r="AE21" s="122">
        <f>AE20/Y20-1</f>
        <v>-0.14315752442760787</v>
      </c>
      <c r="AG21" s="109">
        <f>AG20/AA20-1</f>
        <v>0.19712408566473094</v>
      </c>
      <c r="AH21" s="110">
        <f>AH20/AB20-1</f>
        <v>0.1536675126903555</v>
      </c>
      <c r="AI21" s="110">
        <f>AI20/AC20-1</f>
        <v>0.1352416511097283</v>
      </c>
      <c r="AJ21" s="110">
        <f>AJ20/AD20-1</f>
        <v>-8.1274008110893581E-2</v>
      </c>
      <c r="AK21" s="122">
        <f>AK20/AE20-1</f>
        <v>0.10234668809016512</v>
      </c>
      <c r="AM21" s="109">
        <f>AM20/AG20-1</f>
        <v>-7.895938385890966E-2</v>
      </c>
      <c r="AN21" s="110">
        <f>AN20/AH20-1</f>
        <v>-4.0948748611337127E-2</v>
      </c>
      <c r="AO21" s="110">
        <f>AO20/AI20-1</f>
        <v>-0.20826506123027888</v>
      </c>
      <c r="AP21" s="110">
        <f>AP20/AJ20-1</f>
        <v>-8.097773720776924E-2</v>
      </c>
      <c r="AQ21" s="122">
        <f>AQ20/AK20-1</f>
        <v>-0.1090976467561996</v>
      </c>
      <c r="AS21" s="109">
        <f>AS20/AM20-1</f>
        <v>-7.8986587183308421E-2</v>
      </c>
      <c r="AT21" s="110">
        <f>AT20/AN20-1</f>
        <v>-0.10103584848177105</v>
      </c>
      <c r="AU21" s="110">
        <f>AU20/AO20-1</f>
        <v>2.1982758620689768E-2</v>
      </c>
      <c r="AV21" s="110">
        <f>AV20/AP20-1</f>
        <v>-3.7217964852352847E-2</v>
      </c>
      <c r="AW21" s="122">
        <f>AW20/AQ20-1</f>
        <v>-4.8359051426753896E-2</v>
      </c>
      <c r="AY21" s="109">
        <f>AY20/AS20-1</f>
        <v>-8.9538301389994523E-2</v>
      </c>
      <c r="AZ21" s="110">
        <f>AZ20/AT20-1</f>
        <v>-7.3892194811947531E-2</v>
      </c>
      <c r="BA21" s="110">
        <f>BA20/AU20-1</f>
        <v>-5.2665126284758168E-2</v>
      </c>
      <c r="BB21" s="110">
        <f>BB20/AV20-1</f>
        <v>-5.6406124093472898E-2</v>
      </c>
      <c r="BC21" s="122">
        <f>BC20/AW20-1</f>
        <v>-6.7958137257496221E-2</v>
      </c>
      <c r="BE21" s="109">
        <f>BE20/AY20-1</f>
        <v>6.7308991976710031E-2</v>
      </c>
      <c r="BF21" s="110">
        <f>BF20/AZ20-1</f>
        <v>5.2368117058144037E-2</v>
      </c>
      <c r="BG21" s="110">
        <f>BG20/BA20-1</f>
        <v>2.1257552025061521E-2</v>
      </c>
      <c r="BH21" s="110">
        <f>BH20/BB20-1</f>
        <v>4.2259689073790074E-2</v>
      </c>
      <c r="BI21" s="122">
        <f>BI20/BC20-1</f>
        <v>4.5555992865599082E-2</v>
      </c>
      <c r="BK21" s="109">
        <f>BK20/BE20-1</f>
        <v>4.404335821658667E-2</v>
      </c>
      <c r="BL21" s="110">
        <f>BL20/BF20-1</f>
        <v>4.2837868225770404E-2</v>
      </c>
      <c r="BM21" s="110">
        <f>BM20/BG20-1</f>
        <v>9.3846493162770273E-2</v>
      </c>
      <c r="BN21" s="110">
        <f>BN20/BH20-1</f>
        <v>2.0093119828860972E-2</v>
      </c>
      <c r="BO21" s="122">
        <f>BO20/BI20-1</f>
        <v>5.1969707019947409E-2</v>
      </c>
      <c r="BQ21" s="109">
        <f>BQ20/BK20-1</f>
        <v>-9.3541199999999103E-3</v>
      </c>
      <c r="BR21" s="110">
        <f>BR20/BL20-1</f>
        <v>-1.9008174800000055E-2</v>
      </c>
      <c r="BS21" s="110">
        <f>BS20/BM20-1</f>
        <v>-1.4465077599999931E-2</v>
      </c>
      <c r="BT21" s="120">
        <f>BT20/BN20-1</f>
        <v>5.1773179999998753E-3</v>
      </c>
      <c r="BU21" s="122">
        <f>BU20/BO20-1</f>
        <v>-1.0470387729476283E-2</v>
      </c>
      <c r="BW21" s="109">
        <f>BW20/BQ20-1</f>
        <v>-7.5376884422118096E-4</v>
      </c>
      <c r="BX21" s="110">
        <f>BX20/BR20-1</f>
        <v>-1.1569243237768978E-3</v>
      </c>
      <c r="BY21" s="110">
        <f>BY20/BS20-1</f>
        <v>1.8806509945750172E-3</v>
      </c>
      <c r="BZ21" s="120">
        <f>BZ20/BT20-1</f>
        <v>8.9682737946561453E-4</v>
      </c>
      <c r="CA21" s="122">
        <f>CA20/BU20-1</f>
        <v>4.4423283064043417E-4</v>
      </c>
      <c r="CC21" s="109">
        <f>CC20/BW20-1</f>
        <v>-3.3945184812667062E-4</v>
      </c>
      <c r="CD21" s="110">
        <f>CD20/BX20-1</f>
        <v>-2.942316001289802E-4</v>
      </c>
      <c r="CE21" s="110">
        <f>CE20/BY20-1</f>
        <v>6.917370586960736E-4</v>
      </c>
      <c r="CF21" s="120">
        <f>CF20/BZ20-1</f>
        <v>2.4739242098645864E-3</v>
      </c>
      <c r="CG21" s="122">
        <f>CG20/CA20-1</f>
        <v>6.2290381129082029E-4</v>
      </c>
      <c r="CI21" s="109">
        <f>CI20/CC20-1</f>
        <v>5.2833876221498599E-3</v>
      </c>
      <c r="CJ21" s="110">
        <f>CJ20/CD20-1</f>
        <v>5.3255777123308867E-3</v>
      </c>
      <c r="CK21" s="110">
        <f>CK20/CE20-1</f>
        <v>6.2445297883884088E-3</v>
      </c>
      <c r="CL21" s="120">
        <f>CL20/CF20-1</f>
        <v>7.9009944474071059E-3</v>
      </c>
      <c r="CM21" s="122">
        <f>CM20/CG20-1</f>
        <v>6.1910424108764239E-3</v>
      </c>
      <c r="CO21" s="109">
        <f>CO20/CI20-1</f>
        <v>8.6321130703579385E-3</v>
      </c>
      <c r="CP21" s="110">
        <f>CP20/CJ20-1</f>
        <v>8.6728780719225185E-3</v>
      </c>
      <c r="CQ21" s="110">
        <f>CQ20/CK20-1</f>
        <v>9.5599418509568768E-3</v>
      </c>
      <c r="CR21" s="120">
        <f>CR20/CL20-1</f>
        <v>1.1154840227757923E-2</v>
      </c>
      <c r="CS21" s="122">
        <f>CS20/CM20-1</f>
        <v>9.491637024893862E-3</v>
      </c>
      <c r="CU21" s="109">
        <f>CU20/CO20-1</f>
        <v>1.1857118818619838E-2</v>
      </c>
      <c r="CV21" s="110">
        <f>CV20/CP20-1</f>
        <v>1.189624582096549E-2</v>
      </c>
      <c r="CW21" s="110">
        <f>CW20/CQ20-1</f>
        <v>1.2746883548433674E-2</v>
      </c>
      <c r="CX21" s="120">
        <f>CX20/CR20-1</f>
        <v>1.4272535569282319E-2</v>
      </c>
      <c r="CY21" s="122">
        <f>CY20/CS20-1</f>
        <v>1.2697856796230145E-2</v>
      </c>
      <c r="DA21" s="109">
        <f>DA20/CU20-1</f>
        <v>7.864231419262957E-3</v>
      </c>
      <c r="DB21" s="110">
        <f>DB20/CV20-1</f>
        <v>7.8984376394513056E-3</v>
      </c>
      <c r="DC21" s="110">
        <f>DC20/CW20-1</f>
        <v>8.6414421107017247E-3</v>
      </c>
      <c r="DD21" s="120">
        <f>DD20/CX20-1</f>
        <v>9.9709275770818451E-3</v>
      </c>
      <c r="DE21" s="122">
        <f>DE20/CY20-1</f>
        <v>8.5985306764830849E-3</v>
      </c>
      <c r="DG21" s="109">
        <f>DG20/DA20-1</f>
        <v>3.0426670862204741E-3</v>
      </c>
      <c r="DH21" s="110">
        <f>DH20/DB20-1</f>
        <v>3.0722751416474292E-3</v>
      </c>
      <c r="DI21" s="110">
        <f>DI20/DC20-1</f>
        <v>3.7149058133811863E-3</v>
      </c>
      <c r="DJ21" s="120">
        <f>DJ20/DD20-1</f>
        <v>4.8624291229391048E-3</v>
      </c>
      <c r="DK21" s="122">
        <f>DK20/DE20-1</f>
        <v>3.6777058208363744E-3</v>
      </c>
    </row>
    <row r="22" spans="2:115" s="241" customFormat="1" ht="15" x14ac:dyDescent="0.3">
      <c r="B22" s="6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AA22" s="107"/>
      <c r="AB22" s="107"/>
      <c r="AC22" s="107"/>
      <c r="AD22" s="107"/>
      <c r="AE22" s="107"/>
      <c r="AG22" s="107"/>
      <c r="AH22" s="107"/>
      <c r="AI22" s="107"/>
      <c r="AJ22" s="107"/>
      <c r="AK22" s="107"/>
      <c r="AM22" s="107"/>
      <c r="AN22" s="107"/>
      <c r="AO22" s="107"/>
      <c r="AP22" s="107"/>
      <c r="AQ22" s="107"/>
      <c r="AS22" s="107"/>
      <c r="AT22" s="107"/>
      <c r="AU22" s="107"/>
      <c r="AV22" s="107"/>
      <c r="AW22" s="107"/>
      <c r="AY22" s="107"/>
      <c r="AZ22" s="107"/>
      <c r="BA22" s="107"/>
      <c r="BB22" s="107"/>
      <c r="BC22" s="107"/>
      <c r="BE22" s="107"/>
      <c r="BF22" s="107"/>
      <c r="BG22" s="107"/>
      <c r="BH22" s="107"/>
      <c r="BI22" s="107"/>
      <c r="BK22" s="107"/>
      <c r="BL22" s="107"/>
      <c r="BM22" s="107"/>
      <c r="BN22" s="107"/>
      <c r="BO22" s="107"/>
      <c r="BQ22" s="107"/>
      <c r="BR22" s="107"/>
      <c r="BS22" s="107"/>
      <c r="BT22" s="107"/>
      <c r="BU22" s="107"/>
      <c r="BW22" s="107"/>
      <c r="BX22" s="107"/>
      <c r="BY22" s="107"/>
      <c r="BZ22" s="107"/>
      <c r="CA22" s="107"/>
      <c r="CC22" s="107"/>
      <c r="CD22" s="107"/>
      <c r="CE22" s="107"/>
      <c r="CF22" s="107"/>
      <c r="CG22" s="107"/>
      <c r="CI22" s="107"/>
      <c r="CJ22" s="107"/>
      <c r="CK22" s="107"/>
      <c r="CL22" s="107"/>
      <c r="CM22" s="107"/>
      <c r="CO22" s="107"/>
      <c r="CP22" s="107"/>
      <c r="CQ22" s="107"/>
      <c r="CR22" s="107"/>
      <c r="CS22" s="107"/>
      <c r="CU22" s="107"/>
      <c r="CV22" s="107"/>
      <c r="CW22" s="107"/>
      <c r="CX22" s="107"/>
      <c r="CY22" s="107"/>
      <c r="DA22" s="107"/>
      <c r="DB22" s="107"/>
      <c r="DC22" s="107"/>
      <c r="DD22" s="107"/>
      <c r="DE22" s="107"/>
      <c r="DG22" s="107"/>
      <c r="DH22" s="107"/>
      <c r="DI22" s="107"/>
      <c r="DJ22" s="107"/>
      <c r="DK22" s="107"/>
    </row>
    <row r="23" spans="2:115" s="241" customFormat="1" ht="15" x14ac:dyDescent="0.3">
      <c r="B23" s="16" t="s">
        <v>93</v>
      </c>
      <c r="C23" s="262">
        <f>100/C24</f>
        <v>7.3651261277849382</v>
      </c>
      <c r="D23" s="262">
        <f>100/D24</f>
        <v>7.3505630531298696</v>
      </c>
      <c r="E23" s="262">
        <f>100/E24</f>
        <v>7.3079115450386594</v>
      </c>
      <c r="F23" s="262">
        <f>100/F24</f>
        <v>7.3282084728746364</v>
      </c>
      <c r="G23" s="107"/>
      <c r="H23" s="107"/>
      <c r="I23" s="262">
        <f>100/I24</f>
        <v>7.2862399358810883</v>
      </c>
      <c r="J23" s="262">
        <f>100/J24</f>
        <v>7.2553671578550238</v>
      </c>
      <c r="K23" s="262">
        <f>100/K24</f>
        <v>7.1825664746527229</v>
      </c>
      <c r="L23" s="262">
        <f>100/L24</f>
        <v>7.1727264250414224</v>
      </c>
      <c r="M23" s="107"/>
      <c r="N23" s="107"/>
      <c r="O23" s="262">
        <f>100/O24</f>
        <v>7.4091087583074628</v>
      </c>
      <c r="P23" s="262">
        <f>100/P24</f>
        <v>7.354076732436627</v>
      </c>
      <c r="Q23" s="262">
        <f>100/Q24</f>
        <v>7.3240220599544443</v>
      </c>
      <c r="R23" s="262">
        <f>100/R24</f>
        <v>7.279344858962693</v>
      </c>
      <c r="S23" s="107"/>
      <c r="T23" s="107"/>
      <c r="U23" s="262">
        <f>100/U24</f>
        <v>7.2862399358810883</v>
      </c>
      <c r="V23" s="262">
        <f>100/V24</f>
        <v>7.2483202017932342</v>
      </c>
      <c r="W23" s="262">
        <f>100/W24</f>
        <v>7.2519471478091866</v>
      </c>
      <c r="X23" s="262">
        <f>100/X24</f>
        <v>7.3671880180054075</v>
      </c>
      <c r="Y23" s="263"/>
      <c r="Z23" s="314"/>
      <c r="AA23" s="262">
        <f>100/AA24</f>
        <v>7.4018149250196155</v>
      </c>
      <c r="AB23" s="262">
        <f>100/AB24</f>
        <v>7.3920210524759575</v>
      </c>
      <c r="AC23" s="262">
        <f>100/AC24</f>
        <v>7.462296745692389</v>
      </c>
      <c r="AD23" s="262">
        <f>100/AD24</f>
        <v>7.4969262602333036</v>
      </c>
      <c r="AE23" s="263"/>
      <c r="AF23" s="314"/>
      <c r="AG23" s="262">
        <f>100/AG24</f>
        <v>7.5567512015234408</v>
      </c>
      <c r="AH23" s="262">
        <f>100/AH24</f>
        <v>7.5270031237062955</v>
      </c>
      <c r="AI23" s="262">
        <f>100/AI24</f>
        <v>7.4726128738174591</v>
      </c>
      <c r="AJ23" s="262">
        <f>100/AJ24</f>
        <v>7.5288165453272402</v>
      </c>
      <c r="AK23" s="263"/>
      <c r="AL23" s="314"/>
      <c r="AM23" s="262">
        <f>100/AM24</f>
        <v>7.5834559325375759</v>
      </c>
      <c r="AN23" s="262">
        <f>100/AN24</f>
        <v>7.5561231043576162</v>
      </c>
      <c r="AO23" s="262">
        <f>100/AO24</f>
        <v>7.5441521504605706</v>
      </c>
      <c r="AP23" s="262">
        <f>100/AP24</f>
        <v>7.6288706982705348</v>
      </c>
      <c r="AQ23" s="263"/>
      <c r="AR23" s="314"/>
      <c r="AS23" s="262">
        <f>100/AS24</f>
        <v>7.6488855573742907</v>
      </c>
      <c r="AT23" s="262">
        <f>100/AT24</f>
        <v>7.59965041608086</v>
      </c>
      <c r="AU23" s="262">
        <f>100/AU24</f>
        <v>7.6228227312573855</v>
      </c>
      <c r="AV23" s="262">
        <f>100/AV24</f>
        <v>7.6657135629470075</v>
      </c>
      <c r="AW23" s="263"/>
      <c r="AX23" s="314"/>
      <c r="AY23" s="262">
        <f>100/AY24</f>
        <v>7.6818485600374879</v>
      </c>
      <c r="AZ23" s="262">
        <v>7.57409</v>
      </c>
      <c r="BA23" s="262">
        <v>7.5778800000000004</v>
      </c>
      <c r="BB23" s="262">
        <v>7.6220600000000003</v>
      </c>
      <c r="BC23" s="263"/>
      <c r="BD23" s="314"/>
      <c r="BE23" s="262">
        <v>7.6173000000000002</v>
      </c>
      <c r="BF23" s="262">
        <v>7.5041000000000002</v>
      </c>
      <c r="BG23" s="262">
        <v>7.4934200000000004</v>
      </c>
      <c r="BH23" s="262">
        <v>7.5232700000000001</v>
      </c>
      <c r="BI23" s="263"/>
      <c r="BJ23" s="314"/>
      <c r="BK23" s="262">
        <v>7.4671799999999999</v>
      </c>
      <c r="BL23" s="262">
        <v>7.4535900000000002</v>
      </c>
      <c r="BM23" s="262">
        <f>7.42567</f>
        <v>7.4256700000000002</v>
      </c>
      <c r="BN23" s="262">
        <f>7.53318</f>
        <v>7.5331799999999998</v>
      </c>
      <c r="BO23" s="263"/>
      <c r="BP23" s="314"/>
      <c r="BQ23" s="262">
        <v>7.5</v>
      </c>
      <c r="BR23" s="262">
        <v>7.5</v>
      </c>
      <c r="BS23" s="262">
        <v>7.5</v>
      </c>
      <c r="BT23" s="262">
        <v>7.5</v>
      </c>
      <c r="BU23" s="262"/>
      <c r="BV23" s="314"/>
      <c r="BW23" s="262">
        <v>7.5</v>
      </c>
      <c r="BX23" s="262">
        <v>7.5</v>
      </c>
      <c r="BY23" s="262">
        <v>7.5</v>
      </c>
      <c r="BZ23" s="262">
        <v>7.5</v>
      </c>
      <c r="CA23" s="262"/>
      <c r="CB23" s="314"/>
      <c r="CC23" s="262">
        <v>7.5</v>
      </c>
      <c r="CD23" s="262">
        <v>7.5</v>
      </c>
      <c r="CE23" s="262">
        <v>7.5</v>
      </c>
      <c r="CF23" s="262">
        <v>7.5</v>
      </c>
      <c r="CG23" s="262"/>
      <c r="CH23" s="314"/>
      <c r="CI23" s="262">
        <v>7.5</v>
      </c>
      <c r="CJ23" s="262">
        <v>7.5</v>
      </c>
      <c r="CK23" s="262">
        <v>7.5</v>
      </c>
      <c r="CL23" s="262">
        <v>7.5</v>
      </c>
      <c r="CM23" s="262"/>
      <c r="CN23" s="314"/>
      <c r="CO23" s="262">
        <v>7.5</v>
      </c>
      <c r="CP23" s="262">
        <v>7.5</v>
      </c>
      <c r="CQ23" s="262">
        <v>7.5</v>
      </c>
      <c r="CR23" s="262">
        <v>7.5</v>
      </c>
      <c r="CS23" s="262"/>
      <c r="CT23" s="314"/>
      <c r="CU23" s="262">
        <v>7.5</v>
      </c>
      <c r="CV23" s="262">
        <v>7.5</v>
      </c>
      <c r="CW23" s="262">
        <v>7.5</v>
      </c>
      <c r="CX23" s="262">
        <v>7.5</v>
      </c>
      <c r="CY23" s="262"/>
      <c r="CZ23" s="314"/>
      <c r="DA23" s="262">
        <v>7.5</v>
      </c>
      <c r="DB23" s="262">
        <v>7.5</v>
      </c>
      <c r="DC23" s="262">
        <v>7.5</v>
      </c>
      <c r="DD23" s="262">
        <v>7.5</v>
      </c>
      <c r="DE23" s="262"/>
      <c r="DF23" s="314"/>
      <c r="DG23" s="262">
        <v>7.5</v>
      </c>
      <c r="DH23" s="262">
        <v>7.5</v>
      </c>
      <c r="DI23" s="262">
        <v>7.5</v>
      </c>
      <c r="DJ23" s="262">
        <v>7.5</v>
      </c>
      <c r="DK23" s="262"/>
    </row>
    <row r="24" spans="2:115" s="241" customFormat="1" ht="15.75" thickBot="1" x14ac:dyDescent="0.35">
      <c r="B24" s="6"/>
      <c r="C24" s="107">
        <v>13.577500000000001</v>
      </c>
      <c r="D24" s="107">
        <v>13.6044</v>
      </c>
      <c r="E24" s="107">
        <v>13.6838</v>
      </c>
      <c r="F24" s="107">
        <v>13.645899999999999</v>
      </c>
      <c r="G24" s="107"/>
      <c r="H24" s="107"/>
      <c r="I24" s="107">
        <v>13.724500000000001</v>
      </c>
      <c r="J24" s="107">
        <v>13.7829</v>
      </c>
      <c r="K24" s="107">
        <v>13.922599999999999</v>
      </c>
      <c r="L24" s="107">
        <v>13.941700000000001</v>
      </c>
      <c r="M24" s="107"/>
      <c r="N24" s="107"/>
      <c r="O24" s="107">
        <v>13.4969</v>
      </c>
      <c r="P24" s="107">
        <v>13.597899999999999</v>
      </c>
      <c r="Q24" s="287">
        <v>13.653700000000001</v>
      </c>
      <c r="R24" s="107">
        <v>13.737500000000001</v>
      </c>
      <c r="S24" s="107"/>
      <c r="T24" s="107"/>
      <c r="U24" s="107">
        <v>13.724500000000001</v>
      </c>
      <c r="V24" s="107">
        <v>13.7963</v>
      </c>
      <c r="W24" s="107">
        <v>13.789400000000001</v>
      </c>
      <c r="X24" s="107">
        <v>13.573700000000001</v>
      </c>
      <c r="Y24" s="107"/>
      <c r="AA24" s="107">
        <v>13.510199999999999</v>
      </c>
      <c r="AB24" s="107">
        <v>13.5281</v>
      </c>
      <c r="AC24" s="107">
        <v>13.400700000000001</v>
      </c>
      <c r="AD24" s="107">
        <v>13.338800000000001</v>
      </c>
      <c r="AE24" s="107"/>
      <c r="AG24" s="107">
        <v>13.2332</v>
      </c>
      <c r="AH24" s="107">
        <v>13.285500000000001</v>
      </c>
      <c r="AI24" s="107">
        <v>13.382199999999999</v>
      </c>
      <c r="AJ24" s="107">
        <v>13.282299999999999</v>
      </c>
      <c r="AK24" s="107"/>
      <c r="AM24" s="107">
        <v>13.1866</v>
      </c>
      <c r="AN24" s="107">
        <v>13.234299999999999</v>
      </c>
      <c r="AO24" s="107">
        <v>13.2553</v>
      </c>
      <c r="AP24" s="107">
        <v>13.1081</v>
      </c>
      <c r="AQ24" s="107"/>
      <c r="AS24" s="107">
        <v>13.0738</v>
      </c>
      <c r="AT24" s="107">
        <v>13.1585</v>
      </c>
      <c r="AU24" s="107">
        <v>13.118499999999999</v>
      </c>
      <c r="AV24" s="107">
        <v>13.0451</v>
      </c>
      <c r="AW24" s="107"/>
      <c r="AY24" s="107">
        <v>13.0177</v>
      </c>
      <c r="AZ24" s="107"/>
      <c r="BA24" s="107"/>
      <c r="BB24" s="107"/>
      <c r="BC24" s="107"/>
      <c r="BE24" s="107"/>
      <c r="BF24" s="107"/>
      <c r="BG24" s="107"/>
      <c r="BH24" s="107"/>
      <c r="BI24" s="107"/>
      <c r="BK24" s="107"/>
      <c r="BL24" s="107"/>
      <c r="BM24" s="107"/>
      <c r="BN24" s="107"/>
      <c r="BO24" s="107"/>
      <c r="BQ24" s="107"/>
      <c r="BR24" s="107"/>
      <c r="BS24" s="107"/>
      <c r="BT24" s="107"/>
      <c r="BU24" s="107"/>
      <c r="BW24" s="107"/>
      <c r="BX24" s="107"/>
      <c r="BY24" s="107"/>
      <c r="BZ24" s="107"/>
      <c r="CA24" s="107"/>
      <c r="CC24" s="107"/>
      <c r="CD24" s="107"/>
      <c r="CE24" s="107"/>
      <c r="CF24" s="107"/>
      <c r="CG24" s="107"/>
      <c r="CI24" s="107"/>
      <c r="CJ24" s="107"/>
      <c r="CK24" s="107"/>
      <c r="CL24" s="107"/>
      <c r="CM24" s="107"/>
      <c r="CO24" s="107"/>
      <c r="CP24" s="107"/>
      <c r="CQ24" s="107"/>
      <c r="CR24" s="107"/>
      <c r="CS24" s="107"/>
      <c r="CU24" s="107"/>
      <c r="CV24" s="107"/>
      <c r="CW24" s="107"/>
      <c r="CX24" s="107"/>
      <c r="CY24" s="107"/>
      <c r="DA24" s="107"/>
      <c r="DB24" s="107"/>
      <c r="DC24" s="107"/>
      <c r="DD24" s="107"/>
      <c r="DE24" s="107"/>
      <c r="DG24" s="107"/>
      <c r="DH24" s="107"/>
      <c r="DI24" s="107"/>
      <c r="DJ24" s="107"/>
      <c r="DK24" s="107"/>
    </row>
    <row r="25" spans="2:115" ht="15" x14ac:dyDescent="0.3">
      <c r="B25" s="139" t="s">
        <v>161</v>
      </c>
      <c r="C25" s="198">
        <f>C28*C23</f>
        <v>854.35463082305284</v>
      </c>
      <c r="D25" s="199">
        <f>D28*D23</f>
        <v>984.97544911940247</v>
      </c>
      <c r="E25" s="199">
        <f>E28*E23</f>
        <v>1213.1133164764174</v>
      </c>
      <c r="F25" s="199">
        <f>F28*F23</f>
        <v>916.02605910932959</v>
      </c>
      <c r="G25" s="201">
        <f>C25+D25+E25+F25</f>
        <v>3968.4694555282026</v>
      </c>
      <c r="H25" s="134"/>
      <c r="I25" s="198">
        <f>I28*I23</f>
        <v>874.34879230573063</v>
      </c>
      <c r="J25" s="199">
        <f>J28*J23</f>
        <v>1001.2406677839933</v>
      </c>
      <c r="K25" s="199">
        <f>K28*K23</f>
        <v>1249.7665665895738</v>
      </c>
      <c r="L25" s="199">
        <f>L28*L23</f>
        <v>946.79988810546774</v>
      </c>
      <c r="M25" s="201">
        <f>I25+J25+K25+L25</f>
        <v>4072.1559147847656</v>
      </c>
      <c r="N25" s="134"/>
      <c r="O25" s="198">
        <f>O28*O23</f>
        <v>874.27483348028056</v>
      </c>
      <c r="P25" s="199">
        <f>P28*P23</f>
        <v>948.67589848432488</v>
      </c>
      <c r="Q25" s="199">
        <f>Q28*Q23</f>
        <v>1098.6033089931666</v>
      </c>
      <c r="R25" s="199">
        <f>R28*R23</f>
        <v>778.88989990900814</v>
      </c>
      <c r="S25" s="201">
        <f>O25+P25+Q25+R25</f>
        <v>3700.4439408667804</v>
      </c>
      <c r="T25" s="197"/>
      <c r="U25" s="198">
        <f>U28*U23</f>
        <v>765.05519326751426</v>
      </c>
      <c r="V25" s="199">
        <f>V28*V23</f>
        <v>862.55010401339484</v>
      </c>
      <c r="W25" s="199">
        <f>W28*W23</f>
        <v>1022.5245478410953</v>
      </c>
      <c r="X25" s="199">
        <f>X28*X23</f>
        <v>744.08598981854618</v>
      </c>
      <c r="Y25" s="201">
        <f>U25+V25+W25+X25</f>
        <v>3394.2158349405508</v>
      </c>
      <c r="AA25" s="198">
        <f>AA28*AA23</f>
        <v>658.76152832674575</v>
      </c>
      <c r="AB25" s="199">
        <f>AB28*AB23</f>
        <v>739.2021052475958</v>
      </c>
      <c r="AC25" s="199">
        <f>AC28*AC23</f>
        <v>843.23953226323999</v>
      </c>
      <c r="AD25" s="199">
        <f>AD28*AD23</f>
        <v>704.71106846193049</v>
      </c>
      <c r="AE25" s="201">
        <f>AA25+AB25+AC25+AD25</f>
        <v>2945.9142342995124</v>
      </c>
      <c r="AG25" s="198">
        <f>AG28*AG23</f>
        <v>649.88060333101589</v>
      </c>
      <c r="AH25" s="199">
        <f>AH28*AH23</f>
        <v>684.95728425727293</v>
      </c>
      <c r="AI25" s="199">
        <f>AI28*AI23</f>
        <v>844.40525474137291</v>
      </c>
      <c r="AJ25" s="199">
        <f>AJ28*AJ23</f>
        <v>632.42058980748823</v>
      </c>
      <c r="AK25" s="201">
        <f>AG25+AH25+AI25+AJ25</f>
        <v>2811.66373213715</v>
      </c>
      <c r="AM25" s="198">
        <f>AM28*AM23</f>
        <v>583.92610680539337</v>
      </c>
      <c r="AN25" s="199">
        <f>AN28*AN23</f>
        <v>649.82658697475495</v>
      </c>
      <c r="AO25" s="199">
        <f>AO28*AO23</f>
        <v>663.88538924053023</v>
      </c>
      <c r="AP25" s="199">
        <f>AP28*AP23</f>
        <v>579.79417306856067</v>
      </c>
      <c r="AQ25" s="201">
        <f>AM25+AN25+AO25+AP25</f>
        <v>2477.4322560892392</v>
      </c>
      <c r="AS25" s="198">
        <f>AS28*AS23</f>
        <v>535.42198901620031</v>
      </c>
      <c r="AT25" s="199">
        <f>AT28*AT23</f>
        <v>577.57343162214534</v>
      </c>
      <c r="AU25" s="199">
        <f>AU28*AU23</f>
        <v>670.80840035064989</v>
      </c>
      <c r="AV25" s="199">
        <f>AV28*AV23</f>
        <v>559.59709009513153</v>
      </c>
      <c r="AW25" s="201">
        <f>AS25+AT25+AU25+AV25</f>
        <v>2343.4009110841271</v>
      </c>
      <c r="AY25" s="198">
        <f>AY28*AY23</f>
        <v>499.32015640243674</v>
      </c>
      <c r="AZ25" s="199">
        <f>AZ28*AZ23</f>
        <v>530.18629999999996</v>
      </c>
      <c r="BA25" s="199">
        <f>BA28*BA23</f>
        <v>621.38616000000002</v>
      </c>
      <c r="BB25" s="199">
        <f>BB28*BB23</f>
        <v>510.67802</v>
      </c>
      <c r="BC25" s="201">
        <f>AY25+AZ25+BA25+BB25</f>
        <v>2161.5706364024368</v>
      </c>
      <c r="BE25" s="198">
        <f>BE28*BE23</f>
        <v>502.74180000000001</v>
      </c>
      <c r="BF25" s="199">
        <f>BF28*BF23</f>
        <v>540.29520000000002</v>
      </c>
      <c r="BG25" s="199">
        <f>BG28*BG23</f>
        <v>629.44728000000009</v>
      </c>
      <c r="BH25" s="199">
        <f>BH28*BH23</f>
        <v>526.62890000000004</v>
      </c>
      <c r="BI25" s="201">
        <f>BE25+BF25+BG25+BH25</f>
        <v>2199.1131800000003</v>
      </c>
      <c r="BK25" s="198">
        <f>BK28*BK23</f>
        <v>515.23541999999998</v>
      </c>
      <c r="BL25" s="199">
        <f>BL28*BL23</f>
        <v>559.01925000000006</v>
      </c>
      <c r="BM25" s="199">
        <f>BM28*BM23</f>
        <v>675.73597000000007</v>
      </c>
      <c r="BN25" s="199">
        <f>BN28*BN23</f>
        <v>534.85577999999998</v>
      </c>
      <c r="BO25" s="201">
        <f>BK25+BL25+BM25+BN25</f>
        <v>2284.8464199999999</v>
      </c>
      <c r="BQ25" s="198">
        <f>BQ17*BQ7*3/1000</f>
        <v>516.46526202614189</v>
      </c>
      <c r="BR25" s="199">
        <f>BR17*BR7*3/1000</f>
        <v>553.79326853508553</v>
      </c>
      <c r="BS25" s="199">
        <f>BS17*BS7*3/1000</f>
        <v>662.09459854280851</v>
      </c>
      <c r="BT25" s="200">
        <f>BT17*BT7*3/1000</f>
        <v>527.24162329177602</v>
      </c>
      <c r="BU25" s="201">
        <f>BQ25+BR25+BS25+BT25</f>
        <v>2259.5947523958121</v>
      </c>
      <c r="BW25" s="198">
        <f>BW17*BW7*3/1000</f>
        <v>516.65220149151969</v>
      </c>
      <c r="BX25" s="199">
        <f>BX17*BX7*3/1000</f>
        <v>556.87082777151102</v>
      </c>
      <c r="BY25" s="199">
        <f>BY17*BY7*3/1000</f>
        <v>670.02815852017443</v>
      </c>
      <c r="BZ25" s="200">
        <f>BZ17*BZ7*3/1000</f>
        <v>535.38302165273774</v>
      </c>
      <c r="CA25" s="201">
        <f>BW25+BX25+BY25+BZ25</f>
        <v>2278.9342094359431</v>
      </c>
      <c r="CC25" s="198">
        <f>CC17*CC7*3/1000</f>
        <v>525.69345150716811</v>
      </c>
      <c r="CD25" s="199">
        <f>CD17*CD7*3/1000</f>
        <v>566.61941107194821</v>
      </c>
      <c r="CE25" s="199">
        <f>CE17*CE7*3/1000</f>
        <v>681.64667136130754</v>
      </c>
      <c r="CF25" s="200">
        <f>CF17*CF7*3/1000</f>
        <v>544.98639181104556</v>
      </c>
      <c r="CG25" s="201">
        <f>CC25+CD25+CE25+CF25</f>
        <v>2318.9459257514695</v>
      </c>
      <c r="CI25" s="198">
        <f>CI17*CI7*3/1000</f>
        <v>536.57805191575108</v>
      </c>
      <c r="CJ25" s="199">
        <f>CJ17*CJ7*3/1000</f>
        <v>578.35655578713283</v>
      </c>
      <c r="CK25" s="199">
        <f>CK17*CK7*3/1000</f>
        <v>696.37960925699099</v>
      </c>
      <c r="CL25" s="200">
        <f>CL17*CL7*3/1000</f>
        <v>557.63661073685364</v>
      </c>
      <c r="CM25" s="201">
        <f>CI25+CJ25+CK25+CL25</f>
        <v>2368.9508276967285</v>
      </c>
      <c r="CO25" s="198">
        <f>CO17*CO7*3/1000</f>
        <v>549.3869943704957</v>
      </c>
      <c r="CP25" s="199">
        <f>CP17*CP7*3/1000</f>
        <v>592.1677644446255</v>
      </c>
      <c r="CQ25" s="199">
        <f>CQ17*CQ7*3/1000</f>
        <v>713.61348631423425</v>
      </c>
      <c r="CR25" s="200">
        <f>CR17*CR7*3/1000</f>
        <v>572.89699049578235</v>
      </c>
      <c r="CS25" s="201">
        <f>CO25+CP25+CQ25+CR25</f>
        <v>2428.0652356251376</v>
      </c>
      <c r="CU25" s="198">
        <f>CU17*CU7*3/1000</f>
        <v>565.35725250938594</v>
      </c>
      <c r="CV25" s="199">
        <f>CV17*CV7*3/1000</f>
        <v>609.38356350028539</v>
      </c>
      <c r="CW25" s="199">
        <f>CW17*CW7*3/1000</f>
        <v>734.95137290975265</v>
      </c>
      <c r="CX25" s="200">
        <f>CX17*CX7*3/1000</f>
        <v>590.85401025908334</v>
      </c>
      <c r="CY25" s="201">
        <f>CU25+CV25+CW25+CX25</f>
        <v>2500.5461991785073</v>
      </c>
      <c r="DA25" s="198">
        <f>DA17*DA7*3/1000</f>
        <v>579.33382909426098</v>
      </c>
      <c r="DB25" s="199">
        <f>DB17*DB7*3/1000</f>
        <v>624.44830413007639</v>
      </c>
      <c r="DC25" s="199">
        <f>DC17*DC7*3/1000</f>
        <v>753.64973578685635</v>
      </c>
      <c r="DD25" s="200">
        <f>DD17*DD7*3/1000</f>
        <v>606.62321882600384</v>
      </c>
      <c r="DE25" s="201">
        <f>DA25+DB25+DC25+DD25</f>
        <v>2564.0550878371978</v>
      </c>
      <c r="DG25" s="198">
        <f>DG17*DG7*3/1000</f>
        <v>590.65602345116702</v>
      </c>
      <c r="DH25" s="199">
        <f>DH17*DH7*3/1000</f>
        <v>636.64983930787776</v>
      </c>
      <c r="DI25" s="199">
        <f>DI17*DI7*3/1000</f>
        <v>768.84266584799764</v>
      </c>
      <c r="DJ25" s="200">
        <f>DJ17*DJ7*3/1000</f>
        <v>619.49875758004271</v>
      </c>
      <c r="DK25" s="201">
        <f>DG25+DH25+DI25+DJ25</f>
        <v>2615.6472861870852</v>
      </c>
    </row>
    <row r="26" spans="2:115" ht="15" x14ac:dyDescent="0.3">
      <c r="B26" s="5" t="s">
        <v>23</v>
      </c>
      <c r="C26" s="144" t="s">
        <v>35</v>
      </c>
      <c r="D26" s="107" t="s">
        <v>35</v>
      </c>
      <c r="E26" s="107" t="s">
        <v>35</v>
      </c>
      <c r="F26" s="107" t="s">
        <v>35</v>
      </c>
      <c r="G26" s="138" t="s">
        <v>35</v>
      </c>
      <c r="I26" s="151">
        <f>I25/C25-1</f>
        <v>2.3402648925091141E-2</v>
      </c>
      <c r="J26" s="133">
        <f>J25/D25-1</f>
        <v>1.651332394034033E-2</v>
      </c>
      <c r="K26" s="133">
        <f>K25/E25-1</f>
        <v>3.0214201439663357E-2</v>
      </c>
      <c r="L26" s="133">
        <f>L25/F25-1</f>
        <v>3.359492744787218E-2</v>
      </c>
      <c r="M26" s="153">
        <f>M25/G25-1</f>
        <v>2.6127568932683642E-2</v>
      </c>
      <c r="N26" s="107"/>
      <c r="O26" s="151">
        <f>O25/I25-1</f>
        <v>-8.4587324990836876E-5</v>
      </c>
      <c r="P26" s="133">
        <f>P25/J25-1</f>
        <v>-5.2499634694231911E-2</v>
      </c>
      <c r="Q26" s="133">
        <f>Q25/K25-1</f>
        <v>-0.12095319369032986</v>
      </c>
      <c r="R26" s="133">
        <f>R25/L25-1</f>
        <v>-0.17734474866958949</v>
      </c>
      <c r="S26" s="153">
        <f>S25/M25-1</f>
        <v>-9.1281370776696291E-2</v>
      </c>
      <c r="T26" s="107"/>
      <c r="U26" s="151">
        <f>U25/O25-1</f>
        <v>-0.12492597982946485</v>
      </c>
      <c r="V26" s="133">
        <f>V25/P25-1</f>
        <v>-9.0785266715989077E-2</v>
      </c>
      <c r="W26" s="133">
        <f>W25/Q25-1</f>
        <v>-6.9250438742802345E-2</v>
      </c>
      <c r="X26" s="133">
        <f>X25/R25-1</f>
        <v>-4.4683992043712206E-2</v>
      </c>
      <c r="Y26" s="153">
        <f>Y25/S25-1</f>
        <v>-8.2754423744762828E-2</v>
      </c>
      <c r="AA26" s="151">
        <f>AA25/U25-1</f>
        <v>-0.13893594328376924</v>
      </c>
      <c r="AB26" s="133">
        <f>AB25/V25-1</f>
        <v>-0.14300386515736074</v>
      </c>
      <c r="AC26" s="133">
        <f>AC25/W25-1</f>
        <v>-0.17533565913540983</v>
      </c>
      <c r="AD26" s="133">
        <f>AD25/X25-1</f>
        <v>-5.2917165348346007E-2</v>
      </c>
      <c r="AE26" s="153">
        <f>AE25/Y25-1</f>
        <v>-0.13207810653234153</v>
      </c>
      <c r="AG26" s="151">
        <f>AG25/AA25-1</f>
        <v>-1.3481244143517923E-2</v>
      </c>
      <c r="AH26" s="133">
        <f>AH25/AB25-1</f>
        <v>-7.3382936283918676E-2</v>
      </c>
      <c r="AI26" s="133">
        <f>AI25/AC25-1</f>
        <v>1.3824333816563339E-3</v>
      </c>
      <c r="AJ26" s="133">
        <f>AJ25/AD25-1</f>
        <v>-0.10258172730594406</v>
      </c>
      <c r="AK26" s="153">
        <f>AK25/AE25-1</f>
        <v>-4.5571761933620891E-2</v>
      </c>
      <c r="AM26" s="151">
        <f>AM25/AG25-1</f>
        <v>-0.10148709807242651</v>
      </c>
      <c r="AN26" s="133">
        <f>AN25/AH25-1</f>
        <v>-5.1288887774383785E-2</v>
      </c>
      <c r="AO26" s="133">
        <f>AO25/AI25-1</f>
        <v>-0.21378344638100677</v>
      </c>
      <c r="AP26" s="133">
        <f>AP25/AJ25-1</f>
        <v>-8.3214268458506879E-2</v>
      </c>
      <c r="AQ26" s="153">
        <f>AQ25/AK25-1</f>
        <v>-0.11887320387131106</v>
      </c>
      <c r="AS26" s="151">
        <f>AS25/AM25-1</f>
        <v>-8.3065506446619919E-2</v>
      </c>
      <c r="AT26" s="133">
        <f>AT25/AN25-1</f>
        <v>-0.11118836440500479</v>
      </c>
      <c r="AU26" s="133">
        <f>AU25/AO25-1</f>
        <v>1.0428021496360129E-2</v>
      </c>
      <c r="AV26" s="133">
        <f>AV25/AP25-1</f>
        <v>-3.4834918858421937E-2</v>
      </c>
      <c r="AW26" s="153">
        <f>AW25/AQ25-1</f>
        <v>-5.4100912214926855E-2</v>
      </c>
      <c r="AY26" s="151">
        <f>AY25/AS25-1</f>
        <v>-6.7426877032260357E-2</v>
      </c>
      <c r="AZ26" s="133">
        <f>AZ25/AT25-1</f>
        <v>-8.2045206769736811E-2</v>
      </c>
      <c r="BA26" s="133">
        <f>BA25/AU25-1</f>
        <v>-7.367564318636366E-2</v>
      </c>
      <c r="BB26" s="133">
        <f>BB25/AV25-1</f>
        <v>-8.7418378260000096E-2</v>
      </c>
      <c r="BC26" s="153">
        <f>BC25/AW25-1</f>
        <v>-7.7592474177869186E-2</v>
      </c>
      <c r="BE26" s="151">
        <f>BE25/AY25-1</f>
        <v>6.8526045938459568E-3</v>
      </c>
      <c r="BF26" s="133">
        <f>BF25/AZ25-1</f>
        <v>1.906669410356332E-2</v>
      </c>
      <c r="BG26" s="133">
        <f>BG25/BA25-1</f>
        <v>1.2972802612790879E-2</v>
      </c>
      <c r="BH26" s="133">
        <f>BH25/BB25-1</f>
        <v>3.1234710277916466E-2</v>
      </c>
      <c r="BI26" s="153">
        <f>BI25/BC25-1</f>
        <v>1.7368178011543778E-2</v>
      </c>
      <c r="BK26" s="151">
        <f>BK25/BE25-1</f>
        <v>2.485096723606417E-2</v>
      </c>
      <c r="BL26" s="133">
        <f>BL25/BF25-1</f>
        <v>3.4655221812076142E-2</v>
      </c>
      <c r="BM26" s="133">
        <f>BM25/BG25-1</f>
        <v>7.353862900162178E-2</v>
      </c>
      <c r="BN26" s="133">
        <f>BN25/BH25-1</f>
        <v>1.5621778447783452E-2</v>
      </c>
      <c r="BO26" s="153">
        <f>BO25/BI25-1</f>
        <v>3.8985369547919202E-2</v>
      </c>
      <c r="BQ26" s="151">
        <f>BQ25/BK25-1</f>
        <v>2.3869516310464078E-3</v>
      </c>
      <c r="BR26" s="133">
        <f>BR25/BL25-1</f>
        <v>-9.3484821227793891E-3</v>
      </c>
      <c r="BS26" s="133">
        <f>BS25/BM25-1</f>
        <v>-2.0187428319364931E-2</v>
      </c>
      <c r="BT26" s="152">
        <f>BT25/BN25-1</f>
        <v>-1.4235906188064251E-2</v>
      </c>
      <c r="BU26" s="153">
        <f>BU25/BO25-1</f>
        <v>-1.105180084891122E-2</v>
      </c>
      <c r="BW26" s="151">
        <f>BW25/BQ25-1</f>
        <v>3.6195941745331695E-4</v>
      </c>
      <c r="BX26" s="133">
        <f>BX25/BR25-1</f>
        <v>5.5572348226016199E-3</v>
      </c>
      <c r="BY26" s="133">
        <f>BY25/BS25-1</f>
        <v>1.198251729409483E-2</v>
      </c>
      <c r="BZ26" s="152">
        <f>BZ25/BT25-1</f>
        <v>1.5441493996873445E-2</v>
      </c>
      <c r="CA26" s="153">
        <f>CA25/BU25-1</f>
        <v>8.5588165840913E-3</v>
      </c>
      <c r="CC26" s="151">
        <f>CC25/BW25-1</f>
        <v>1.7499683519294651E-2</v>
      </c>
      <c r="CD26" s="133">
        <f>CD25/BX25-1</f>
        <v>1.7506004650035489E-2</v>
      </c>
      <c r="CE26" s="133">
        <f>CE25/BY25-1</f>
        <v>1.7340335168590126E-2</v>
      </c>
      <c r="CF26" s="152">
        <f>CF25/BZ25-1</f>
        <v>1.793738271464429E-2</v>
      </c>
      <c r="CG26" s="153">
        <f>CG25/CA25-1</f>
        <v>1.755720553487583E-2</v>
      </c>
      <c r="CI26" s="151">
        <f>CI25/CC25-1</f>
        <v>2.0705223505023129E-2</v>
      </c>
      <c r="CJ26" s="133">
        <f>CJ25/CD25-1</f>
        <v>2.0714335735480649E-2</v>
      </c>
      <c r="CK26" s="133">
        <f>CK25/CE25-1</f>
        <v>2.1613745822686159E-2</v>
      </c>
      <c r="CL26" s="152">
        <f>CL25/CF25-1</f>
        <v>2.3211990456807774E-2</v>
      </c>
      <c r="CM26" s="153">
        <f>CM25/CG25-1</f>
        <v>2.1563634317628422E-2</v>
      </c>
      <c r="CO26" s="151">
        <f>CO25/CI25-1</f>
        <v>2.3871536319856279E-2</v>
      </c>
      <c r="CP26" s="133">
        <f>CP25/CJ25-1</f>
        <v>2.388009355006937E-2</v>
      </c>
      <c r="CQ26" s="133">
        <f>CQ25/CK25-1</f>
        <v>2.4747819764038059E-2</v>
      </c>
      <c r="CR26" s="152">
        <f>CR25/CL25-1</f>
        <v>2.7366172638420894E-2</v>
      </c>
      <c r="CS26" s="153">
        <f>CS25/CM25-1</f>
        <v>2.4953834937082364E-2</v>
      </c>
      <c r="CU26" s="151">
        <f>CU25/CO25-1</f>
        <v>2.9069232258017719E-2</v>
      </c>
      <c r="CV26" s="133">
        <f>CV25/CP25-1</f>
        <v>2.9072502911072773E-2</v>
      </c>
      <c r="CW26" s="133">
        <f>CW25/CQ25-1</f>
        <v>2.9901181808834831E-2</v>
      </c>
      <c r="CX26" s="152">
        <f>CX25/CR25-1</f>
        <v>3.1344238250860856E-2</v>
      </c>
      <c r="CY26" s="153">
        <f>CY25/CS25-1</f>
        <v>2.9851324622548026E-2</v>
      </c>
      <c r="DA26" s="151">
        <f>DA25/CU25-1</f>
        <v>2.472167204513398E-2</v>
      </c>
      <c r="DB26" s="133">
        <f>DB25/CV25-1</f>
        <v>2.4721278242654687E-2</v>
      </c>
      <c r="DC26" s="133">
        <f>DC25/CW25-1</f>
        <v>2.5441632693432359E-2</v>
      </c>
      <c r="DD26" s="152">
        <f>DD25/CX25-1</f>
        <v>2.6688840717194795E-2</v>
      </c>
      <c r="DE26" s="153">
        <f>DE25/CY25-1</f>
        <v>2.5398006515358507E-2</v>
      </c>
      <c r="DG26" s="151">
        <f>DG25/DA25-1</f>
        <v>1.9543471809003954E-2</v>
      </c>
      <c r="DH26" s="133">
        <f>DH25/DB25-1</f>
        <v>1.9539704243090927E-2</v>
      </c>
      <c r="DI26" s="133">
        <f>DI25/DC25-1</f>
        <v>2.015913937165914E-2</v>
      </c>
      <c r="DJ26" s="152">
        <f>DJ25/DD25-1</f>
        <v>2.1224935601635631E-2</v>
      </c>
      <c r="DK26" s="153">
        <f>DK25/DE25-1</f>
        <v>2.0121329917839548E-2</v>
      </c>
    </row>
    <row r="27" spans="2:115" ht="15" x14ac:dyDescent="0.3">
      <c r="B27" s="5"/>
      <c r="C27" s="144"/>
      <c r="D27" s="107"/>
      <c r="E27" s="107"/>
      <c r="F27" s="145"/>
      <c r="G27" s="138"/>
      <c r="I27" s="144"/>
      <c r="J27" s="107"/>
      <c r="K27" s="107"/>
      <c r="L27" s="107"/>
      <c r="M27" s="138"/>
      <c r="O27" s="144"/>
      <c r="P27" s="107"/>
      <c r="Q27" s="107"/>
      <c r="R27" s="145"/>
      <c r="S27" s="138"/>
      <c r="U27" s="144"/>
      <c r="V27" s="107"/>
      <c r="W27" s="107"/>
      <c r="X27" s="107"/>
      <c r="Y27" s="138"/>
      <c r="AA27" s="144"/>
      <c r="AB27" s="107"/>
      <c r="AC27" s="107"/>
      <c r="AD27" s="145"/>
      <c r="AE27" s="138"/>
      <c r="AG27" s="144"/>
      <c r="AH27" s="107"/>
      <c r="AI27" s="107"/>
      <c r="AJ27" s="145"/>
      <c r="AK27" s="138"/>
      <c r="AM27" s="144"/>
      <c r="AN27" s="107"/>
      <c r="AO27" s="107"/>
      <c r="AP27" s="145"/>
      <c r="AQ27" s="138"/>
      <c r="AS27" s="144"/>
      <c r="AT27" s="107"/>
      <c r="AU27" s="107"/>
      <c r="AV27" s="145"/>
      <c r="AW27" s="138"/>
      <c r="AY27" s="144"/>
      <c r="AZ27" s="107"/>
      <c r="BA27" s="107"/>
      <c r="BB27" s="145"/>
      <c r="BC27" s="138"/>
      <c r="BE27" s="144"/>
      <c r="BF27" s="107"/>
      <c r="BG27" s="107"/>
      <c r="BH27" s="145"/>
      <c r="BI27" s="138"/>
      <c r="BK27" s="144"/>
      <c r="BL27" s="107"/>
      <c r="BM27" s="107"/>
      <c r="BN27" s="107"/>
      <c r="BO27" s="138"/>
      <c r="BQ27" s="144"/>
      <c r="BR27" s="107"/>
      <c r="BS27" s="107"/>
      <c r="BT27" s="145"/>
      <c r="BU27" s="138"/>
      <c r="BW27" s="144"/>
      <c r="BX27" s="107"/>
      <c r="BY27" s="107"/>
      <c r="BZ27" s="145"/>
      <c r="CA27" s="138"/>
      <c r="CC27" s="144"/>
      <c r="CD27" s="107"/>
      <c r="CE27" s="107"/>
      <c r="CF27" s="145"/>
      <c r="CG27" s="138"/>
      <c r="CI27" s="144"/>
      <c r="CJ27" s="107"/>
      <c r="CK27" s="107"/>
      <c r="CL27" s="145"/>
      <c r="CM27" s="138"/>
      <c r="CO27" s="144"/>
      <c r="CP27" s="107"/>
      <c r="CQ27" s="107"/>
      <c r="CR27" s="145"/>
      <c r="CS27" s="138"/>
      <c r="CU27" s="144"/>
      <c r="CV27" s="107"/>
      <c r="CW27" s="107"/>
      <c r="CX27" s="145"/>
      <c r="CY27" s="138"/>
      <c r="DA27" s="144"/>
      <c r="DB27" s="107"/>
      <c r="DC27" s="107"/>
      <c r="DD27" s="145"/>
      <c r="DE27" s="138"/>
      <c r="DG27" s="144"/>
      <c r="DH27" s="107"/>
      <c r="DI27" s="107"/>
      <c r="DJ27" s="145"/>
      <c r="DK27" s="138"/>
    </row>
    <row r="28" spans="2:115" s="135" customFormat="1" ht="15" x14ac:dyDescent="0.3">
      <c r="B28" s="105" t="s">
        <v>59</v>
      </c>
      <c r="C28" s="156">
        <v>116</v>
      </c>
      <c r="D28" s="157">
        <v>134</v>
      </c>
      <c r="E28" s="157">
        <v>166</v>
      </c>
      <c r="F28" s="158">
        <v>125</v>
      </c>
      <c r="G28" s="159">
        <f>C28+D28+E28+F28</f>
        <v>541</v>
      </c>
      <c r="H28" s="160"/>
      <c r="I28" s="156">
        <v>120</v>
      </c>
      <c r="J28" s="157">
        <v>138</v>
      </c>
      <c r="K28" s="157">
        <v>174</v>
      </c>
      <c r="L28" s="157">
        <v>132</v>
      </c>
      <c r="M28" s="159">
        <f>I28+J28+K28+L28</f>
        <v>564</v>
      </c>
      <c r="N28" s="160"/>
      <c r="O28" s="156">
        <v>118</v>
      </c>
      <c r="P28" s="157">
        <v>129</v>
      </c>
      <c r="Q28" s="157">
        <v>150</v>
      </c>
      <c r="R28" s="158">
        <v>107</v>
      </c>
      <c r="S28" s="159">
        <f>O28+P28+Q28+R28</f>
        <v>504</v>
      </c>
      <c r="T28" s="134"/>
      <c r="U28" s="156">
        <v>105</v>
      </c>
      <c r="V28" s="157">
        <v>119</v>
      </c>
      <c r="W28" s="157">
        <v>141</v>
      </c>
      <c r="X28" s="157">
        <v>101</v>
      </c>
      <c r="Y28" s="159">
        <f>U28+V28+W28+X28</f>
        <v>466</v>
      </c>
      <c r="AA28" s="156">
        <v>89</v>
      </c>
      <c r="AB28" s="157">
        <v>100</v>
      </c>
      <c r="AC28" s="157">
        <v>113</v>
      </c>
      <c r="AD28" s="158">
        <v>94</v>
      </c>
      <c r="AE28" s="159">
        <f>AA28+AB28+AC28+AD28</f>
        <v>396</v>
      </c>
      <c r="AG28" s="156">
        <v>86</v>
      </c>
      <c r="AH28" s="157">
        <v>91</v>
      </c>
      <c r="AI28" s="157">
        <v>113</v>
      </c>
      <c r="AJ28" s="158">
        <v>84</v>
      </c>
      <c r="AK28" s="159">
        <f>AG28+AH28+AI28+AJ28</f>
        <v>374</v>
      </c>
      <c r="AM28" s="156">
        <v>77</v>
      </c>
      <c r="AN28" s="157">
        <v>86</v>
      </c>
      <c r="AO28" s="157">
        <v>88</v>
      </c>
      <c r="AP28" s="158">
        <v>76</v>
      </c>
      <c r="AQ28" s="159">
        <f>AM28+AN28+AO28+AP28</f>
        <v>327</v>
      </c>
      <c r="AS28" s="156">
        <v>70</v>
      </c>
      <c r="AT28" s="157">
        <v>76</v>
      </c>
      <c r="AU28" s="157">
        <v>88</v>
      </c>
      <c r="AV28" s="158">
        <v>73</v>
      </c>
      <c r="AW28" s="159">
        <f>AS28+AT28+AU28+AV28</f>
        <v>307</v>
      </c>
      <c r="AY28" s="156">
        <v>65</v>
      </c>
      <c r="AZ28" s="157">
        <v>70</v>
      </c>
      <c r="BA28" s="157">
        <v>82</v>
      </c>
      <c r="BB28" s="158">
        <v>67</v>
      </c>
      <c r="BC28" s="159">
        <f>AY28+AZ28+BA28+BB28</f>
        <v>284</v>
      </c>
      <c r="BE28" s="156">
        <v>66</v>
      </c>
      <c r="BF28" s="157">
        <v>72</v>
      </c>
      <c r="BG28" s="157">
        <v>84</v>
      </c>
      <c r="BH28" s="158">
        <v>70</v>
      </c>
      <c r="BI28" s="159">
        <f>BE28+BF28+BG28+BH28</f>
        <v>292</v>
      </c>
      <c r="BK28" s="156">
        <v>69</v>
      </c>
      <c r="BL28" s="157">
        <v>75</v>
      </c>
      <c r="BM28" s="157">
        <v>91</v>
      </c>
      <c r="BN28" s="157">
        <v>71</v>
      </c>
      <c r="BO28" s="159">
        <f>BK28+BL28+BM28+BN28</f>
        <v>306</v>
      </c>
      <c r="BQ28" s="156">
        <f>BQ25/BQ23</f>
        <v>68.862034936818915</v>
      </c>
      <c r="BR28" s="157">
        <f>BR25/BR23</f>
        <v>73.839102471344731</v>
      </c>
      <c r="BS28" s="157">
        <f>BS25/BS23</f>
        <v>88.279279805707802</v>
      </c>
      <c r="BT28" s="158">
        <f>BT25/BT23</f>
        <v>70.298883105570141</v>
      </c>
      <c r="BU28" s="159">
        <f>BQ28+BR28+BS28+BT28</f>
        <v>301.27930031944157</v>
      </c>
      <c r="BW28" s="156">
        <f>BW25/BW23</f>
        <v>68.886960198869289</v>
      </c>
      <c r="BX28" s="157">
        <f>BX25/BX23</f>
        <v>74.249443702868135</v>
      </c>
      <c r="BY28" s="157">
        <f>BY25/BY23</f>
        <v>89.337087802689922</v>
      </c>
      <c r="BZ28" s="158">
        <f>BZ25/BZ23</f>
        <v>71.384402887031698</v>
      </c>
      <c r="CA28" s="159">
        <f>BW28+BX28+BY28+BZ28</f>
        <v>303.85789459145906</v>
      </c>
      <c r="CC28" s="156">
        <f>CC25/CC23</f>
        <v>70.092460200955742</v>
      </c>
      <c r="CD28" s="157">
        <f>CD25/CD23</f>
        <v>75.549254809593094</v>
      </c>
      <c r="CE28" s="157">
        <f>CE25/CE23</f>
        <v>90.886222848174341</v>
      </c>
      <c r="CF28" s="158">
        <f>CF25/CF23</f>
        <v>72.664852241472744</v>
      </c>
      <c r="CG28" s="159">
        <f>CC28+CD28+CE28+CF28</f>
        <v>309.19279010019591</v>
      </c>
      <c r="CI28" s="156">
        <f>CI25/CI23</f>
        <v>71.543740255433477</v>
      </c>
      <c r="CJ28" s="157">
        <f>CJ25/CJ23</f>
        <v>77.114207438284382</v>
      </c>
      <c r="CK28" s="157">
        <f>CK25/CK23</f>
        <v>92.850614567598797</v>
      </c>
      <c r="CL28" s="158">
        <f>CL25/CL23</f>
        <v>74.35154809824715</v>
      </c>
      <c r="CM28" s="159">
        <f>CI28+CJ28+CK28+CL28</f>
        <v>315.86011035956381</v>
      </c>
      <c r="CO28" s="156">
        <f>CO25/CO23</f>
        <v>73.251599249399433</v>
      </c>
      <c r="CP28" s="157">
        <f>CP25/CP23</f>
        <v>78.955701925950066</v>
      </c>
      <c r="CQ28" s="157">
        <f>CQ25/CQ23</f>
        <v>95.148464841897905</v>
      </c>
      <c r="CR28" s="158">
        <f>CR25/CR23</f>
        <v>76.386265399437647</v>
      </c>
      <c r="CS28" s="159">
        <f>CO28+CP28+CQ28+CR28</f>
        <v>323.74203141668505</v>
      </c>
      <c r="CU28" s="156">
        <f>CU25/CU23</f>
        <v>75.380967001251463</v>
      </c>
      <c r="CV28" s="157">
        <f>CV25/CV23</f>
        <v>81.251141800038056</v>
      </c>
      <c r="CW28" s="157">
        <f>CW25/CW23</f>
        <v>97.99351638796702</v>
      </c>
      <c r="CX28" s="158">
        <f>CX25/CX23</f>
        <v>78.78053470121111</v>
      </c>
      <c r="CY28" s="159">
        <f>CU28+CV28+CW28+CX28</f>
        <v>333.40615989046762</v>
      </c>
      <c r="DA28" s="156">
        <f>DA25/DA23</f>
        <v>77.244510545901463</v>
      </c>
      <c r="DB28" s="157">
        <f>DB25/DB23</f>
        <v>83.259773884010187</v>
      </c>
      <c r="DC28" s="157">
        <f>DC25/DC23</f>
        <v>100.48663143824751</v>
      </c>
      <c r="DD28" s="158">
        <f>DD25/DD23</f>
        <v>80.883095843467174</v>
      </c>
      <c r="DE28" s="159">
        <f>DA28+DB28+DC28+DD28</f>
        <v>341.87401171162634</v>
      </c>
      <c r="DG28" s="156">
        <f>DG25/DG23</f>
        <v>78.754136460155607</v>
      </c>
      <c r="DH28" s="157">
        <f>DH25/DH23</f>
        <v>84.886645241050374</v>
      </c>
      <c r="DI28" s="157">
        <f>DI25/DI23</f>
        <v>102.51235544639968</v>
      </c>
      <c r="DJ28" s="158">
        <f>DJ25/DJ23</f>
        <v>82.5998343440057</v>
      </c>
      <c r="DK28" s="159">
        <f>DG28+DH28+DI28+DJ28</f>
        <v>348.75297149161133</v>
      </c>
    </row>
    <row r="29" spans="2:115" ht="15.75" thickBot="1" x14ac:dyDescent="0.35">
      <c r="B29" s="140" t="s">
        <v>23</v>
      </c>
      <c r="C29" s="155" t="s">
        <v>35</v>
      </c>
      <c r="D29" s="106" t="s">
        <v>35</v>
      </c>
      <c r="E29" s="106" t="s">
        <v>35</v>
      </c>
      <c r="F29" s="106" t="s">
        <v>35</v>
      </c>
      <c r="G29" s="108" t="s">
        <v>35</v>
      </c>
      <c r="H29" s="107"/>
      <c r="I29" s="109">
        <f>I28/C28-1</f>
        <v>3.4482758620689724E-2</v>
      </c>
      <c r="J29" s="110">
        <f>J28/D28-1</f>
        <v>2.9850746268656803E-2</v>
      </c>
      <c r="K29" s="110">
        <f>K28/E28-1</f>
        <v>4.8192771084337283E-2</v>
      </c>
      <c r="L29" s="110">
        <f>L28/F28-1</f>
        <v>5.600000000000005E-2</v>
      </c>
      <c r="M29" s="122">
        <f>M28/G28-1</f>
        <v>4.2513863216266268E-2</v>
      </c>
      <c r="N29" s="107"/>
      <c r="O29" s="109">
        <f>O28/I28-1</f>
        <v>-1.6666666666666718E-2</v>
      </c>
      <c r="P29" s="110">
        <f>P28/J28-1</f>
        <v>-6.5217391304347783E-2</v>
      </c>
      <c r="Q29" s="110">
        <f>Q28/K28-1</f>
        <v>-0.13793103448275867</v>
      </c>
      <c r="R29" s="110">
        <f>R28/L28-1</f>
        <v>-0.18939393939393945</v>
      </c>
      <c r="S29" s="122">
        <f>S28/M28-1</f>
        <v>-0.1063829787234043</v>
      </c>
      <c r="T29" s="107"/>
      <c r="U29" s="109">
        <f>U28/O28-1</f>
        <v>-0.11016949152542377</v>
      </c>
      <c r="V29" s="110">
        <f>V28/P28-1</f>
        <v>-7.7519379844961267E-2</v>
      </c>
      <c r="W29" s="110">
        <f>W28/Q28-1</f>
        <v>-6.0000000000000053E-2</v>
      </c>
      <c r="X29" s="110">
        <f>X28/R28-1</f>
        <v>-5.6074766355140193E-2</v>
      </c>
      <c r="Y29" s="122">
        <f>Y28/S28-1</f>
        <v>-7.5396825396825351E-2</v>
      </c>
      <c r="AA29" s="109">
        <f>AA28/U28-1</f>
        <v>-0.15238095238095239</v>
      </c>
      <c r="AB29" s="110">
        <f>AB28/V28-1</f>
        <v>-0.15966386554621848</v>
      </c>
      <c r="AC29" s="110">
        <f>AC28/W28-1</f>
        <v>-0.1985815602836879</v>
      </c>
      <c r="AD29" s="120">
        <f>AD28/X28-1</f>
        <v>-6.9306930693069257E-2</v>
      </c>
      <c r="AE29" s="122">
        <f>AE28/Y28-1</f>
        <v>-0.15021459227467815</v>
      </c>
      <c r="AG29" s="109">
        <f>AG28/AA28-1</f>
        <v>-3.3707865168539297E-2</v>
      </c>
      <c r="AH29" s="110">
        <f>AH28/AB28-1</f>
        <v>-8.9999999999999969E-2</v>
      </c>
      <c r="AI29" s="110">
        <f>AI28/AC28-1</f>
        <v>0</v>
      </c>
      <c r="AJ29" s="120">
        <f>AJ28/AD28-1</f>
        <v>-0.1063829787234043</v>
      </c>
      <c r="AK29" s="122">
        <f>AK28/AE28-1</f>
        <v>-5.555555555555558E-2</v>
      </c>
      <c r="AM29" s="109">
        <f>AM28/AG28-1</f>
        <v>-0.10465116279069764</v>
      </c>
      <c r="AN29" s="110">
        <f>AN28/AH28-1</f>
        <v>-5.4945054945054972E-2</v>
      </c>
      <c r="AO29" s="110">
        <f>AO28/AI28-1</f>
        <v>-0.22123893805309736</v>
      </c>
      <c r="AP29" s="120">
        <f>AP28/AJ28-1</f>
        <v>-9.5238095238095233E-2</v>
      </c>
      <c r="AQ29" s="122">
        <f>AQ28/AK28-1</f>
        <v>-0.12566844919786091</v>
      </c>
      <c r="AS29" s="109">
        <f>AS28/AM28-1</f>
        <v>-9.0909090909090939E-2</v>
      </c>
      <c r="AT29" s="110">
        <f>AT28/AN28-1</f>
        <v>-0.11627906976744184</v>
      </c>
      <c r="AU29" s="110">
        <f>AU28/AO28-1</f>
        <v>0</v>
      </c>
      <c r="AV29" s="120">
        <f>AV28/AP28-1</f>
        <v>-3.9473684210526327E-2</v>
      </c>
      <c r="AW29" s="122">
        <f>AW28/AQ28-1</f>
        <v>-6.1162079510703404E-2</v>
      </c>
      <c r="AY29" s="109">
        <f>AY28/AS28-1</f>
        <v>-7.1428571428571397E-2</v>
      </c>
      <c r="AZ29" s="110">
        <f>AZ28/AT28-1</f>
        <v>-7.8947368421052655E-2</v>
      </c>
      <c r="BA29" s="110">
        <f>BA28/AU28-1</f>
        <v>-6.8181818181818232E-2</v>
      </c>
      <c r="BB29" s="120">
        <f>BB28/AV28-1</f>
        <v>-8.2191780821917804E-2</v>
      </c>
      <c r="BC29" s="122">
        <f>BC28/AW28-1</f>
        <v>-7.4918566775244333E-2</v>
      </c>
      <c r="BE29" s="109">
        <f>BE28/AY28-1</f>
        <v>1.538461538461533E-2</v>
      </c>
      <c r="BF29" s="110">
        <f>BF28/AZ28-1</f>
        <v>2.857142857142847E-2</v>
      </c>
      <c r="BG29" s="110">
        <f>BG28/BA28-1</f>
        <v>2.4390243902439046E-2</v>
      </c>
      <c r="BH29" s="120">
        <f>BH28/BB28-1</f>
        <v>4.4776119402984982E-2</v>
      </c>
      <c r="BI29" s="122">
        <f>BI28/BC28-1</f>
        <v>2.8169014084507005E-2</v>
      </c>
      <c r="BK29" s="109">
        <f>BK28/BE28-1</f>
        <v>4.5454545454545414E-2</v>
      </c>
      <c r="BL29" s="110">
        <f>BL28/BF28-1</f>
        <v>4.1666666666666741E-2</v>
      </c>
      <c r="BM29" s="110">
        <f>BM28/BG28-1</f>
        <v>8.3333333333333259E-2</v>
      </c>
      <c r="BN29" s="110">
        <f>BN28/BH28-1</f>
        <v>1.4285714285714235E-2</v>
      </c>
      <c r="BO29" s="122">
        <f>BO28/BI28-1</f>
        <v>4.7945205479452024E-2</v>
      </c>
      <c r="BQ29" s="109">
        <f>BQ28/BK28-1</f>
        <v>-1.9994936692910859E-3</v>
      </c>
      <c r="BR29" s="110">
        <f>BR28/BL28-1</f>
        <v>-1.5478633715403589E-2</v>
      </c>
      <c r="BS29" s="110">
        <f>BS28/BM28-1</f>
        <v>-2.9898024113101052E-2</v>
      </c>
      <c r="BT29" s="120">
        <f>BT28/BN28-1</f>
        <v>-9.8748858370402148E-3</v>
      </c>
      <c r="BU29" s="122">
        <f>BU28/BO28-1</f>
        <v>-1.542712313907979E-2</v>
      </c>
      <c r="BW29" s="109">
        <f>BW28/BQ28-1</f>
        <v>3.6195941745331695E-4</v>
      </c>
      <c r="BX29" s="110">
        <f>BX28/BR28-1</f>
        <v>5.5572348226016199E-3</v>
      </c>
      <c r="BY29" s="110">
        <f>BY28/BS28-1</f>
        <v>1.1982517294094608E-2</v>
      </c>
      <c r="BZ29" s="120">
        <f>BZ28/BT28-1</f>
        <v>1.5441493996873223E-2</v>
      </c>
      <c r="CA29" s="122">
        <f>CA28/BU28-1</f>
        <v>8.5588165840913E-3</v>
      </c>
      <c r="CC29" s="109">
        <f>CC28/BW28-1</f>
        <v>1.7499683519294651E-2</v>
      </c>
      <c r="CD29" s="110">
        <f>CD28/BX28-1</f>
        <v>1.7506004650035489E-2</v>
      </c>
      <c r="CE29" s="110">
        <f>CE28/BY28-1</f>
        <v>1.7340335168590348E-2</v>
      </c>
      <c r="CF29" s="120">
        <f>CF28/BZ28-1</f>
        <v>1.793738271464429E-2</v>
      </c>
      <c r="CG29" s="122">
        <f>CG28/CA28-1</f>
        <v>1.755720553487583E-2</v>
      </c>
      <c r="CI29" s="109">
        <f>CI28/CC28-1</f>
        <v>2.0705223505023351E-2</v>
      </c>
      <c r="CJ29" s="110">
        <f>CJ28/CD28-1</f>
        <v>2.0714335735480649E-2</v>
      </c>
      <c r="CK29" s="110">
        <f>CK28/CE28-1</f>
        <v>2.1613745822686159E-2</v>
      </c>
      <c r="CL29" s="120">
        <f>CL28/CF28-1</f>
        <v>2.3211990456807774E-2</v>
      </c>
      <c r="CM29" s="122">
        <f>CM28/CG28-1</f>
        <v>2.1563634317628422E-2</v>
      </c>
      <c r="CO29" s="109">
        <f>CO28/CI28-1</f>
        <v>2.3871536319856501E-2</v>
      </c>
      <c r="CP29" s="110">
        <f>CP28/CJ28-1</f>
        <v>2.388009355006937E-2</v>
      </c>
      <c r="CQ29" s="110">
        <f>CQ28/CK28-1</f>
        <v>2.4747819764038059E-2</v>
      </c>
      <c r="CR29" s="120">
        <f>CR28/CL28-1</f>
        <v>2.7366172638421116E-2</v>
      </c>
      <c r="CS29" s="122">
        <f>CS28/CM28-1</f>
        <v>2.4953834937082586E-2</v>
      </c>
      <c r="CU29" s="109">
        <f>CU28/CO28-1</f>
        <v>2.9069232258017719E-2</v>
      </c>
      <c r="CV29" s="110">
        <f>CV28/CP28-1</f>
        <v>2.9072502911072995E-2</v>
      </c>
      <c r="CW29" s="110">
        <f>CW28/CQ28-1</f>
        <v>2.9901181808834831E-2</v>
      </c>
      <c r="CX29" s="120">
        <f>CX28/CR28-1</f>
        <v>3.1344238250860856E-2</v>
      </c>
      <c r="CY29" s="122">
        <f>CY28/CS28-1</f>
        <v>2.9851324622547804E-2</v>
      </c>
      <c r="DA29" s="109">
        <f>DA28/CU28-1</f>
        <v>2.472167204513398E-2</v>
      </c>
      <c r="DB29" s="110">
        <f>DB28/CV28-1</f>
        <v>2.4721278242654687E-2</v>
      </c>
      <c r="DC29" s="110">
        <f>DC28/CW28-1</f>
        <v>2.5441632693432359E-2</v>
      </c>
      <c r="DD29" s="120">
        <f>DD28/CX28-1</f>
        <v>2.6688840717194795E-2</v>
      </c>
      <c r="DE29" s="122">
        <f>DE28/CY28-1</f>
        <v>2.5398006515358285E-2</v>
      </c>
      <c r="DG29" s="109">
        <f>DG28/DA28-1</f>
        <v>1.9543471809004176E-2</v>
      </c>
      <c r="DH29" s="110">
        <f>DH28/DB28-1</f>
        <v>1.9539704243090927E-2</v>
      </c>
      <c r="DI29" s="110">
        <f>DI28/DC28-1</f>
        <v>2.015913937165914E-2</v>
      </c>
      <c r="DJ29" s="120">
        <f>DJ28/DD28-1</f>
        <v>2.1224935601635853E-2</v>
      </c>
      <c r="DK29" s="122">
        <f>DK28/DE28-1</f>
        <v>2.0121329917839548E-2</v>
      </c>
    </row>
    <row r="30" spans="2:115" ht="15.75" thickBot="1" x14ac:dyDescent="0.35">
      <c r="B30" s="1"/>
      <c r="AA30" s="103"/>
      <c r="AB30" s="103"/>
      <c r="AC30" s="103"/>
      <c r="AD30" s="103"/>
      <c r="AE30" s="103"/>
      <c r="AG30" s="103"/>
      <c r="AH30" s="103"/>
      <c r="AI30" s="103"/>
      <c r="AJ30" s="103"/>
      <c r="AK30" s="103"/>
      <c r="AM30" s="103"/>
      <c r="AN30" s="103"/>
      <c r="AO30" s="103"/>
      <c r="AP30" s="103"/>
      <c r="AQ30" s="103"/>
      <c r="AS30" s="103"/>
      <c r="AT30" s="103"/>
      <c r="AU30" s="103"/>
      <c r="AV30" s="103"/>
      <c r="AW30" s="103"/>
      <c r="AY30" s="103"/>
      <c r="AZ30" s="103"/>
      <c r="BA30" s="103"/>
      <c r="BB30" s="103"/>
      <c r="BC30" s="103"/>
      <c r="BE30" s="103"/>
      <c r="BF30" s="103"/>
      <c r="BG30" s="103"/>
      <c r="BH30" s="103"/>
      <c r="BI30" s="103"/>
      <c r="BK30" s="103"/>
      <c r="BL30" s="103"/>
      <c r="BM30" s="103"/>
      <c r="BN30" s="103"/>
      <c r="BO30" s="103"/>
      <c r="BQ30" s="103"/>
      <c r="BR30" s="103"/>
      <c r="BS30" s="103"/>
      <c r="BT30" s="103"/>
      <c r="BU30" s="103"/>
      <c r="BW30" s="103"/>
      <c r="BX30" s="103"/>
      <c r="BY30" s="103"/>
      <c r="BZ30" s="103"/>
      <c r="CA30" s="103"/>
      <c r="CC30" s="103"/>
      <c r="CD30" s="103"/>
      <c r="CE30" s="103"/>
      <c r="CF30" s="103"/>
      <c r="CG30" s="103"/>
      <c r="CI30" s="103"/>
      <c r="CJ30" s="103"/>
      <c r="CK30" s="103"/>
      <c r="CL30" s="103"/>
      <c r="CM30" s="103"/>
      <c r="CO30" s="103"/>
      <c r="CP30" s="103"/>
      <c r="CQ30" s="103"/>
      <c r="CR30" s="103"/>
      <c r="CS30" s="103"/>
      <c r="CU30" s="103"/>
      <c r="CV30" s="103"/>
      <c r="CW30" s="103"/>
      <c r="CX30" s="103"/>
      <c r="CY30" s="103"/>
      <c r="DA30" s="103"/>
      <c r="DB30" s="103"/>
      <c r="DC30" s="103"/>
      <c r="DD30" s="103"/>
      <c r="DE30" s="103"/>
      <c r="DG30" s="103"/>
      <c r="DH30" s="103"/>
      <c r="DI30" s="103"/>
      <c r="DJ30" s="103"/>
      <c r="DK30" s="103"/>
    </row>
    <row r="31" spans="2:115" ht="15" x14ac:dyDescent="0.3">
      <c r="B31" s="38" t="s">
        <v>41</v>
      </c>
      <c r="C31" s="185">
        <v>0.01</v>
      </c>
      <c r="D31" s="186">
        <v>1.2E-2</v>
      </c>
      <c r="E31" s="186">
        <v>1.2999999999999999E-2</v>
      </c>
      <c r="F31" s="186">
        <v>1.6E-2</v>
      </c>
      <c r="G31" s="191">
        <f>G32/G7/12</f>
        <v>1.2806158308696381E-2</v>
      </c>
      <c r="H31" s="136"/>
      <c r="I31" s="185">
        <v>1.2E-2</v>
      </c>
      <c r="J31" s="186">
        <v>1.2E-2</v>
      </c>
      <c r="K31" s="186">
        <v>1.4E-2</v>
      </c>
      <c r="L31" s="187">
        <v>1.7000000000000001E-2</v>
      </c>
      <c r="M31" s="191">
        <f>M32/M7/12</f>
        <v>1.3815925542916238E-2</v>
      </c>
      <c r="N31" s="136"/>
      <c r="O31" s="185">
        <v>1.4999999999999999E-2</v>
      </c>
      <c r="P31" s="186">
        <v>1.6E-2</v>
      </c>
      <c r="Q31" s="186">
        <v>0.02</v>
      </c>
      <c r="R31" s="187">
        <v>2.3E-2</v>
      </c>
      <c r="S31" s="191">
        <f>S32/S7/12</f>
        <v>1.8553393765200089E-2</v>
      </c>
      <c r="T31" s="227"/>
      <c r="U31" s="185">
        <v>2.4E-2</v>
      </c>
      <c r="V31" s="186">
        <v>2.5999999999999999E-2</v>
      </c>
      <c r="W31" s="186">
        <v>2.4E-2</v>
      </c>
      <c r="X31" s="186">
        <v>1.7000000000000001E-2</v>
      </c>
      <c r="Y31" s="191">
        <f>Y32/Y7/12</f>
        <v>2.2728029561036419E-2</v>
      </c>
      <c r="Z31" s="227"/>
      <c r="AA31" s="185">
        <v>1.2E-2</v>
      </c>
      <c r="AB31" s="186">
        <v>2.3E-2</v>
      </c>
      <c r="AC31" s="186">
        <v>1.7999999999999999E-2</v>
      </c>
      <c r="AD31" s="187">
        <v>3.4000000000000002E-2</v>
      </c>
      <c r="AE31" s="191">
        <f>AE32/AE7/12</f>
        <v>2.1275845041971539E-2</v>
      </c>
      <c r="AF31" s="345"/>
      <c r="AG31" s="185">
        <v>2.5000000000000001E-2</v>
      </c>
      <c r="AH31" s="186">
        <v>2.4E-2</v>
      </c>
      <c r="AI31" s="186">
        <v>2.5999999999999999E-2</v>
      </c>
      <c r="AJ31" s="186">
        <v>4.2999999999999997E-2</v>
      </c>
      <c r="AK31" s="191">
        <f>AK32/AK7/12</f>
        <v>2.9502514932411194E-2</v>
      </c>
      <c r="AL31" s="345"/>
      <c r="AM31" s="185">
        <v>0.03</v>
      </c>
      <c r="AN31" s="186">
        <v>2.5999999999999999E-2</v>
      </c>
      <c r="AO31" s="186">
        <v>2.9000000000000001E-2</v>
      </c>
      <c r="AP31" s="187">
        <v>3.9E-2</v>
      </c>
      <c r="AQ31" s="191">
        <f>AQ32/AQ7/12</f>
        <v>3.1007794565159359E-2</v>
      </c>
      <c r="AR31" s="345"/>
      <c r="AS31" s="185">
        <v>2.9000000000000001E-2</v>
      </c>
      <c r="AT31" s="186">
        <v>2.3E-2</v>
      </c>
      <c r="AU31" s="186">
        <v>2.8000000000000001E-2</v>
      </c>
      <c r="AV31" s="187">
        <v>3.5000000000000003E-2</v>
      </c>
      <c r="AW31" s="191">
        <f>AW32/AW7/12</f>
        <v>2.8782672222522867E-2</v>
      </c>
      <c r="AX31" s="345"/>
      <c r="AY31" s="185">
        <v>2.5999999999999999E-2</v>
      </c>
      <c r="AZ31" s="186">
        <v>0.02</v>
      </c>
      <c r="BA31" s="186">
        <v>2.1999999999999999E-2</v>
      </c>
      <c r="BB31" s="187">
        <v>3.6999999999999998E-2</v>
      </c>
      <c r="BC31" s="191">
        <f>BC32/BC7/12</f>
        <v>2.6246987623357504E-2</v>
      </c>
      <c r="BD31" s="345"/>
      <c r="BE31" s="185">
        <v>2.5999999999999999E-2</v>
      </c>
      <c r="BF31" s="186">
        <v>2.1999999999999999E-2</v>
      </c>
      <c r="BG31" s="186">
        <v>2.4E-2</v>
      </c>
      <c r="BH31" s="186">
        <v>3.9E-2</v>
      </c>
      <c r="BI31" s="191">
        <f>BI32/BI7/12</f>
        <v>2.7796795298292303E-2</v>
      </c>
      <c r="BJ31" s="345"/>
      <c r="BK31" s="185">
        <v>2.5999999999999999E-2</v>
      </c>
      <c r="BL31" s="186">
        <v>2.1999999999999999E-2</v>
      </c>
      <c r="BM31" s="186">
        <v>2.1000000000000001E-2</v>
      </c>
      <c r="BN31" s="187">
        <v>3.1E-2</v>
      </c>
      <c r="BO31" s="191">
        <f>BO32/BO7/12</f>
        <v>2.5011910725218453E-2</v>
      </c>
      <c r="BP31" s="345"/>
      <c r="BQ31" s="185">
        <v>0.02</v>
      </c>
      <c r="BR31" s="186">
        <v>0.02</v>
      </c>
      <c r="BS31" s="186">
        <v>0.02</v>
      </c>
      <c r="BT31" s="187">
        <v>0.02</v>
      </c>
      <c r="BU31" s="191">
        <f>BU32/BU7/12</f>
        <v>1.9999999999999997E-2</v>
      </c>
      <c r="BV31" s="345"/>
      <c r="BW31" s="185">
        <v>0.02</v>
      </c>
      <c r="BX31" s="186">
        <v>0.02</v>
      </c>
      <c r="BY31" s="186">
        <v>0.02</v>
      </c>
      <c r="BZ31" s="187">
        <v>0.02</v>
      </c>
      <c r="CA31" s="191">
        <f>CA32/CA7/12</f>
        <v>0.02</v>
      </c>
      <c r="CB31" s="345"/>
      <c r="CC31" s="185">
        <v>0.02</v>
      </c>
      <c r="CD31" s="186">
        <v>0.02</v>
      </c>
      <c r="CE31" s="186">
        <v>0.02</v>
      </c>
      <c r="CF31" s="187">
        <v>0.02</v>
      </c>
      <c r="CG31" s="191">
        <f>CG32/CG7/12</f>
        <v>1.9999999999999997E-2</v>
      </c>
      <c r="CH31" s="345"/>
      <c r="CI31" s="185">
        <v>0.02</v>
      </c>
      <c r="CJ31" s="186">
        <v>0.02</v>
      </c>
      <c r="CK31" s="186">
        <v>0.02</v>
      </c>
      <c r="CL31" s="187">
        <v>0.02</v>
      </c>
      <c r="CM31" s="191">
        <f>CM32/CM7/12</f>
        <v>0.02</v>
      </c>
      <c r="CN31" s="345"/>
      <c r="CO31" s="185">
        <v>0.02</v>
      </c>
      <c r="CP31" s="186">
        <v>0.02</v>
      </c>
      <c r="CQ31" s="186">
        <v>0.02</v>
      </c>
      <c r="CR31" s="187">
        <v>0.02</v>
      </c>
      <c r="CS31" s="191">
        <f>CS32/CS7/12</f>
        <v>0.02</v>
      </c>
      <c r="CT31" s="345"/>
      <c r="CU31" s="185">
        <v>0.02</v>
      </c>
      <c r="CV31" s="186">
        <v>0.02</v>
      </c>
      <c r="CW31" s="186">
        <v>0.02</v>
      </c>
      <c r="CX31" s="187">
        <v>0.02</v>
      </c>
      <c r="CY31" s="191">
        <f>CY32/CY7/12</f>
        <v>0.02</v>
      </c>
      <c r="CZ31" s="345"/>
      <c r="DA31" s="185">
        <v>0.02</v>
      </c>
      <c r="DB31" s="186">
        <v>0.02</v>
      </c>
      <c r="DC31" s="186">
        <v>0.02</v>
      </c>
      <c r="DD31" s="187">
        <v>0.02</v>
      </c>
      <c r="DE31" s="191">
        <f>DE32/DE7/12</f>
        <v>1.9999999999999997E-2</v>
      </c>
      <c r="DF31" s="345"/>
      <c r="DG31" s="185">
        <v>0.02</v>
      </c>
      <c r="DH31" s="186">
        <v>0.02</v>
      </c>
      <c r="DI31" s="186">
        <v>0.02</v>
      </c>
      <c r="DJ31" s="187">
        <v>0.02</v>
      </c>
      <c r="DK31" s="191">
        <f>DK32/DK7/12</f>
        <v>0.02</v>
      </c>
    </row>
    <row r="32" spans="2:115" ht="15" x14ac:dyDescent="0.3">
      <c r="B32" s="40" t="s">
        <v>45</v>
      </c>
      <c r="C32" s="117">
        <f>C31*3*C7</f>
        <v>65.25</v>
      </c>
      <c r="D32" s="117">
        <f>D31*3*D7</f>
        <v>79.452000000000012</v>
      </c>
      <c r="E32" s="117">
        <f>E31*3*E7</f>
        <v>87.75</v>
      </c>
      <c r="F32" s="117">
        <f>F31*3*F7</f>
        <v>111.91200000000001</v>
      </c>
      <c r="G32" s="118">
        <f>C32+D32+E32+F32</f>
        <v>344.36400000000003</v>
      </c>
      <c r="I32" s="116">
        <f>I31*3*I7</f>
        <v>87.084000000000003</v>
      </c>
      <c r="J32" s="117">
        <f>J31*3*J7</f>
        <v>89.928000000000011</v>
      </c>
      <c r="K32" s="117">
        <f>K31*3*K7</f>
        <v>108.423</v>
      </c>
      <c r="L32" s="119">
        <f>L31*3*L7</f>
        <v>135.405</v>
      </c>
      <c r="M32" s="118">
        <f>I32+J32+K32+L32</f>
        <v>420.84000000000003</v>
      </c>
      <c r="N32" s="114"/>
      <c r="O32" s="116">
        <f>O31*3*O7</f>
        <v>123.0975</v>
      </c>
      <c r="P32" s="117">
        <f>P31*3*P7</f>
        <v>135.55199999999999</v>
      </c>
      <c r="Q32" s="117">
        <f>Q31*3*Q7</f>
        <v>172.56</v>
      </c>
      <c r="R32" s="117">
        <f>R31*3*R7</f>
        <v>198.16800000000001</v>
      </c>
      <c r="S32" s="118">
        <f>O32+P32+Q32+R32</f>
        <v>629.37750000000005</v>
      </c>
      <c r="U32" s="116">
        <f>U31*3*U7</f>
        <v>203.65200000000002</v>
      </c>
      <c r="V32" s="117">
        <f>V31*3*V7</f>
        <v>217.50299999999999</v>
      </c>
      <c r="W32" s="117">
        <f>W31*3*W7</f>
        <v>199.90800000000002</v>
      </c>
      <c r="X32" s="119">
        <f>X31*3*X7</f>
        <v>144.71250000000001</v>
      </c>
      <c r="Y32" s="118">
        <f>U32+V32+W32+X32</f>
        <v>765.77549999999997</v>
      </c>
      <c r="AA32" s="116">
        <f>AA31*3*AA7</f>
        <v>106.32600000000001</v>
      </c>
      <c r="AB32" s="117">
        <f>AB31*3*AB7</f>
        <v>206.79300000000001</v>
      </c>
      <c r="AC32" s="117">
        <f>AC31*3*AC7</f>
        <v>147.77099999999999</v>
      </c>
      <c r="AD32" s="119">
        <f>AD31*3*AD7</f>
        <v>250.05300000000003</v>
      </c>
      <c r="AE32" s="118">
        <f>AA32+AB32+AC32+AD32</f>
        <v>710.94299999999998</v>
      </c>
      <c r="AG32" s="116">
        <f>AG31*3*AG7</f>
        <v>178.80000000000004</v>
      </c>
      <c r="AH32" s="117">
        <f>AH31*3*AH7</f>
        <v>170.20800000000003</v>
      </c>
      <c r="AI32" s="117">
        <f>AI31*3*AI7</f>
        <v>188.01900000000001</v>
      </c>
      <c r="AJ32" s="117">
        <f>AJ31*3*AJ7</f>
        <v>307.60050000000001</v>
      </c>
      <c r="AK32" s="118">
        <f>AG32+AH32+AI32+AJ32</f>
        <v>844.62750000000005</v>
      </c>
      <c r="AM32" s="116">
        <f>AM31*3*AM7</f>
        <v>208.57499999999999</v>
      </c>
      <c r="AN32" s="117">
        <f>AN31*3*AN7</f>
        <v>181.70099999999999</v>
      </c>
      <c r="AO32" s="117">
        <f>AO31*3*AO7</f>
        <v>206.27700000000002</v>
      </c>
      <c r="AP32" s="117">
        <f>AP31*3*AP7</f>
        <v>274.65749999999997</v>
      </c>
      <c r="AQ32" s="118">
        <f>AM32+AN32+AO32+AP32</f>
        <v>871.21049999999991</v>
      </c>
      <c r="AS32" s="116">
        <f>AS31*3*AS7</f>
        <v>199.01250000000002</v>
      </c>
      <c r="AT32" s="117">
        <f>AT31*3*AT7</f>
        <v>158.01000000000002</v>
      </c>
      <c r="AU32" s="117">
        <f>AU31*3*AU7</f>
        <v>194.88000000000002</v>
      </c>
      <c r="AV32" s="117">
        <f>AV31*3*AV7</f>
        <v>245.91000000000003</v>
      </c>
      <c r="AW32" s="118">
        <f>AS32+AT32+AU32+AV32</f>
        <v>797.8125</v>
      </c>
      <c r="AY32" s="116">
        <f>AY31*3*AY7</f>
        <v>181.97399999999999</v>
      </c>
      <c r="AZ32" s="117">
        <f>AZ31*3*AZ7</f>
        <v>136.65</v>
      </c>
      <c r="BA32" s="117">
        <f>BA31*3*BA7</f>
        <v>150.61199999999999</v>
      </c>
      <c r="BB32" s="117">
        <f>BB31*3*BB7</f>
        <v>252.85799999999998</v>
      </c>
      <c r="BC32" s="118">
        <f>AY32+AZ32+BA32+BB32</f>
        <v>722.09399999999994</v>
      </c>
      <c r="BE32" s="116">
        <f>BE31*3*BE7</f>
        <v>173.12100000000001</v>
      </c>
      <c r="BF32" s="117">
        <f>BF31*3*BF7</f>
        <v>146.916</v>
      </c>
      <c r="BG32" s="117">
        <f>BG31*3*BG7</f>
        <v>164.80800000000002</v>
      </c>
      <c r="BH32" s="117">
        <f>BH31*3*BH7</f>
        <v>267.16949999999997</v>
      </c>
      <c r="BI32" s="118">
        <f>BE32+BF32+BG32+BH32</f>
        <v>752.0145</v>
      </c>
      <c r="BK32" s="116">
        <f>BK31*3*BK7</f>
        <v>173.35499999999999</v>
      </c>
      <c r="BL32" s="117">
        <f>BL31*3*BL7</f>
        <v>146.751</v>
      </c>
      <c r="BM32" s="117">
        <f>BM31*3*BM7</f>
        <v>142.821</v>
      </c>
      <c r="BN32" s="117">
        <f>BN31*3*BN7</f>
        <v>211.15649999999999</v>
      </c>
      <c r="BO32" s="118">
        <f>BK32+BL32+BM32+BN32</f>
        <v>674.08349999999996</v>
      </c>
      <c r="BQ32" s="116">
        <f>BQ31*3*BQ7</f>
        <v>134.34</v>
      </c>
      <c r="BR32" s="117">
        <f>BR31*3*BR7</f>
        <v>133.88999999999999</v>
      </c>
      <c r="BS32" s="117">
        <f>BS31*3*BS7</f>
        <v>133.88999999999999</v>
      </c>
      <c r="BT32" s="119">
        <f>BT31*3*BT7</f>
        <v>134.19</v>
      </c>
      <c r="BU32" s="118">
        <f>BQ32+BR32+BS32+BT32</f>
        <v>536.30999999999995</v>
      </c>
      <c r="BW32" s="116">
        <f>BW31*3*BW7</f>
        <v>134.49</v>
      </c>
      <c r="BX32" s="117">
        <f>BX31*3*BX7</f>
        <v>134.79</v>
      </c>
      <c r="BY32" s="117">
        <f>BY31*3*BY7</f>
        <v>135.24</v>
      </c>
      <c r="BZ32" s="119">
        <f>BZ31*3*BZ7</f>
        <v>136.13999999999999</v>
      </c>
      <c r="CA32" s="118">
        <f>BW32+BX32+BY32+BZ32</f>
        <v>540.66</v>
      </c>
      <c r="CC32" s="116">
        <f>CC31*3*CC7</f>
        <v>136.88999999999999</v>
      </c>
      <c r="CD32" s="117">
        <f>CD31*3*CD7</f>
        <v>137.19</v>
      </c>
      <c r="CE32" s="117">
        <f>CE31*3*CE7</f>
        <v>137.49</v>
      </c>
      <c r="CF32" s="119">
        <f>CF31*3*CF7</f>
        <v>138.24</v>
      </c>
      <c r="CG32" s="118">
        <f>CC32+CD32+CE32+CF32</f>
        <v>549.80999999999995</v>
      </c>
      <c r="CI32" s="116">
        <f>CI31*3*CI7</f>
        <v>138.98999999999998</v>
      </c>
      <c r="CJ32" s="117">
        <f>CJ31*3*CJ7</f>
        <v>139.29</v>
      </c>
      <c r="CK32" s="117">
        <f>CK31*3*CK7</f>
        <v>139.59</v>
      </c>
      <c r="CL32" s="119">
        <f>CL31*3*CL7</f>
        <v>140.34</v>
      </c>
      <c r="CM32" s="118">
        <f>CI32+CJ32+CK32+CL32</f>
        <v>558.21</v>
      </c>
      <c r="CO32" s="116">
        <f>CO31*3*CO7</f>
        <v>141.09</v>
      </c>
      <c r="CP32" s="117">
        <f>CP31*3*CP7</f>
        <v>141.38999999999999</v>
      </c>
      <c r="CQ32" s="117">
        <f>CQ31*3*CQ7</f>
        <v>141.69</v>
      </c>
      <c r="CR32" s="119">
        <f>CR31*3*CR7</f>
        <v>142.59</v>
      </c>
      <c r="CS32" s="118">
        <f>CO32+CP32+CQ32+CR32</f>
        <v>566.76</v>
      </c>
      <c r="CU32" s="116">
        <f>CU31*3*CU7</f>
        <v>143.48999999999998</v>
      </c>
      <c r="CV32" s="117">
        <f>CV31*3*CV7</f>
        <v>143.79</v>
      </c>
      <c r="CW32" s="117">
        <f>CW31*3*CW7</f>
        <v>144.09</v>
      </c>
      <c r="CX32" s="119">
        <f>CX31*3*CX7</f>
        <v>144.98999999999998</v>
      </c>
      <c r="CY32" s="118">
        <f>CU32+CV32+CW32+CX32</f>
        <v>576.36</v>
      </c>
      <c r="DA32" s="116">
        <f>DA31*3*DA7</f>
        <v>145.88999999999999</v>
      </c>
      <c r="DB32" s="117">
        <f>DB31*3*DB7</f>
        <v>146.19</v>
      </c>
      <c r="DC32" s="117">
        <f>DC31*3*DC7</f>
        <v>146.48999999999998</v>
      </c>
      <c r="DD32" s="119">
        <f>DD31*3*DD7</f>
        <v>147.38999999999999</v>
      </c>
      <c r="DE32" s="118">
        <f>DA32+DB32+DC32+DD32</f>
        <v>585.95999999999992</v>
      </c>
      <c r="DG32" s="116">
        <f>DG31*3*DG7</f>
        <v>148.29</v>
      </c>
      <c r="DH32" s="117">
        <f>DH31*3*DH7</f>
        <v>148.59</v>
      </c>
      <c r="DI32" s="117">
        <f>DI31*3*DI7</f>
        <v>148.88999999999999</v>
      </c>
      <c r="DJ32" s="119">
        <f>DJ31*3*DJ7</f>
        <v>149.79</v>
      </c>
      <c r="DK32" s="118">
        <f>DG32+DH32+DI32+DJ32</f>
        <v>595.55999999999995</v>
      </c>
    </row>
    <row r="33" spans="2:115" ht="15" x14ac:dyDescent="0.3">
      <c r="B33" s="40" t="s">
        <v>42</v>
      </c>
      <c r="C33" s="117">
        <f>C32+C5</f>
        <v>99.25</v>
      </c>
      <c r="D33" s="117">
        <f>D32+D5</f>
        <v>109.45200000000001</v>
      </c>
      <c r="E33" s="117">
        <f>E32+E5</f>
        <v>143.75</v>
      </c>
      <c r="F33" s="117">
        <f>F32+F5</f>
        <v>218.91200000000001</v>
      </c>
      <c r="G33" s="118">
        <f>C33+D33+E33+F33</f>
        <v>571.36400000000003</v>
      </c>
      <c r="I33" s="116">
        <f>I32+I5</f>
        <v>155.084</v>
      </c>
      <c r="J33" s="117">
        <f>J32+J5</f>
        <v>179.928</v>
      </c>
      <c r="K33" s="117">
        <f>K32+K5</f>
        <v>185.423</v>
      </c>
      <c r="L33" s="119">
        <f>L32+L5</f>
        <v>205.405</v>
      </c>
      <c r="M33" s="118">
        <f>I33+J33+K33+L33</f>
        <v>725.83999999999992</v>
      </c>
      <c r="O33" s="116">
        <f>O32+O5</f>
        <v>214.0975</v>
      </c>
      <c r="P33" s="117">
        <f>P32+P5</f>
        <v>221.55199999999999</v>
      </c>
      <c r="Q33" s="117">
        <f>Q32+Q5</f>
        <v>190.56</v>
      </c>
      <c r="R33" s="119">
        <f>R32+R5</f>
        <v>172.16800000000001</v>
      </c>
      <c r="S33" s="118">
        <f>O33+P33+Q33+R33</f>
        <v>798.37749999999994</v>
      </c>
      <c r="T33" s="107"/>
      <c r="U33" s="116">
        <f>U32+U5</f>
        <v>142.65200000000002</v>
      </c>
      <c r="V33" s="117">
        <f>V32+V5</f>
        <v>198.50299999999999</v>
      </c>
      <c r="W33" s="117">
        <f>W32+W5</f>
        <v>194.90800000000002</v>
      </c>
      <c r="X33" s="119">
        <f>X32+X5</f>
        <v>271.71249999999998</v>
      </c>
      <c r="Y33" s="118">
        <f>U33+V33+W33+X33</f>
        <v>807.77549999999997</v>
      </c>
      <c r="AA33" s="116">
        <f>AA32+AA5</f>
        <v>211.32600000000002</v>
      </c>
      <c r="AB33" s="117">
        <f>AB32+AB5</f>
        <v>188.79300000000001</v>
      </c>
      <c r="AC33" s="117">
        <f>AC32</f>
        <v>147.77099999999999</v>
      </c>
      <c r="AD33" s="119">
        <f>AD32+AD5</f>
        <v>183.05300000000003</v>
      </c>
      <c r="AE33" s="118">
        <f>AA33+AB33+AC33+AD33</f>
        <v>730.94299999999998</v>
      </c>
      <c r="AG33" s="116">
        <f>AG32+AG5</f>
        <v>110.80000000000004</v>
      </c>
      <c r="AH33" s="117">
        <f>AH32+AH5</f>
        <v>198.20800000000003</v>
      </c>
      <c r="AI33" s="117">
        <f>AI32+AI5</f>
        <v>253.01900000000001</v>
      </c>
      <c r="AJ33" s="117">
        <f>AJ32+AJ5</f>
        <v>190.60050000000001</v>
      </c>
      <c r="AK33" s="118">
        <f>AG33+AH33+AI33+AJ33</f>
        <v>752.62750000000005</v>
      </c>
      <c r="AM33" s="116">
        <f>AM32+AM5</f>
        <v>191.57499999999999</v>
      </c>
      <c r="AN33" s="117">
        <f>AN32+AN5</f>
        <v>222.70099999999999</v>
      </c>
      <c r="AO33" s="117">
        <f>AO32+AO5</f>
        <v>248.27700000000002</v>
      </c>
      <c r="AP33" s="117">
        <f>AP32+AP5</f>
        <v>185.65749999999997</v>
      </c>
      <c r="AQ33" s="118">
        <f>AM33+AN33+AO33+AP33</f>
        <v>848.21049999999991</v>
      </c>
      <c r="AS33" s="116">
        <f>AS32+AS5</f>
        <v>168.01250000000002</v>
      </c>
      <c r="AT33" s="117">
        <f>AT32+AT5</f>
        <v>194.01000000000002</v>
      </c>
      <c r="AU33" s="117">
        <f>AU32+AU5</f>
        <v>218.88000000000002</v>
      </c>
      <c r="AV33" s="117">
        <f>AV32+AV5</f>
        <v>265.91000000000003</v>
      </c>
      <c r="AW33" s="118">
        <f>AS33+AT33+AU33+AV33</f>
        <v>846.8125</v>
      </c>
      <c r="AY33" s="116">
        <f>AY32+AY5</f>
        <v>143.97399999999999</v>
      </c>
      <c r="AZ33" s="117">
        <f>AZ32+AZ5</f>
        <v>63.650000000000006</v>
      </c>
      <c r="BA33" s="117">
        <f>BA32+BA5</f>
        <v>232.61199999999999</v>
      </c>
      <c r="BB33" s="117">
        <f>BB32+BB5</f>
        <v>162.85799999999998</v>
      </c>
      <c r="BC33" s="118">
        <f>AY33+AZ33+BA33+BB33</f>
        <v>603.09399999999994</v>
      </c>
      <c r="BE33" s="116">
        <f>BE32+BE5</f>
        <v>146.12100000000001</v>
      </c>
      <c r="BF33" s="117">
        <f>BF32+BF5</f>
        <v>186.916</v>
      </c>
      <c r="BG33" s="117">
        <f>BG32+BG5</f>
        <v>250.80800000000002</v>
      </c>
      <c r="BH33" s="117">
        <f>BH32+BH5</f>
        <v>170.16949999999997</v>
      </c>
      <c r="BI33" s="118">
        <f>BE33+BF33+BG33+BH33</f>
        <v>754.0145</v>
      </c>
      <c r="BK33" s="116">
        <f>BK32+BK5</f>
        <v>148.35499999999999</v>
      </c>
      <c r="BL33" s="117">
        <f>BL32+BL5</f>
        <v>173.751</v>
      </c>
      <c r="BM33" s="117">
        <f>BM32+BM5</f>
        <v>202.821</v>
      </c>
      <c r="BN33" s="117">
        <f>BN32+BN5</f>
        <v>158.15649999999999</v>
      </c>
      <c r="BO33" s="118">
        <f>BK33+BL33+BM33+BN33</f>
        <v>683.08349999999996</v>
      </c>
      <c r="BQ33" s="116">
        <f>BQ32+BQ5</f>
        <v>124.34</v>
      </c>
      <c r="BR33" s="117">
        <f>BR32+BR5</f>
        <v>128.88999999999999</v>
      </c>
      <c r="BS33" s="117">
        <f>BS32+BS5</f>
        <v>138.88999999999999</v>
      </c>
      <c r="BT33" s="119">
        <f>BT32+BT5</f>
        <v>139.19</v>
      </c>
      <c r="BU33" s="118">
        <f>BQ33+BR33+BS33+BT33</f>
        <v>531.30999999999995</v>
      </c>
      <c r="BW33" s="116">
        <f>BW32+BW5</f>
        <v>139.49</v>
      </c>
      <c r="BX33" s="117">
        <f>BX32+BX5</f>
        <v>139.79</v>
      </c>
      <c r="BY33" s="117">
        <f>BY32+BY5</f>
        <v>145.24</v>
      </c>
      <c r="BZ33" s="119">
        <f>BZ32+BZ5</f>
        <v>156.13999999999999</v>
      </c>
      <c r="CA33" s="118">
        <f>BW33+BX33+BY33+BZ33</f>
        <v>580.66</v>
      </c>
      <c r="CC33" s="116">
        <f>CC32+CC5</f>
        <v>141.88999999999999</v>
      </c>
      <c r="CD33" s="117">
        <f>CD32+CD5</f>
        <v>142.19</v>
      </c>
      <c r="CE33" s="117">
        <f>CE32+CE5</f>
        <v>142.49</v>
      </c>
      <c r="CF33" s="119">
        <f>CF32+CF5</f>
        <v>158.24</v>
      </c>
      <c r="CG33" s="118">
        <f>CC33+CD33+CE33+CF33</f>
        <v>584.80999999999995</v>
      </c>
      <c r="CI33" s="116">
        <f>CI32+CI5</f>
        <v>143.98999999999998</v>
      </c>
      <c r="CJ33" s="117">
        <f>CJ32+CJ5</f>
        <v>144.29</v>
      </c>
      <c r="CK33" s="117">
        <f>CK32+CK5</f>
        <v>144.59</v>
      </c>
      <c r="CL33" s="119">
        <f>CL32+CL5</f>
        <v>160.34</v>
      </c>
      <c r="CM33" s="118">
        <f>CI33+CJ33+CK33+CL33</f>
        <v>593.21</v>
      </c>
      <c r="CO33" s="116">
        <f>CO32+CO5</f>
        <v>146.09</v>
      </c>
      <c r="CP33" s="117">
        <f>CP32+CP5</f>
        <v>146.38999999999999</v>
      </c>
      <c r="CQ33" s="117">
        <f>CQ32+CQ5</f>
        <v>146.69</v>
      </c>
      <c r="CR33" s="119">
        <f>CR32+CR5</f>
        <v>167.59</v>
      </c>
      <c r="CS33" s="118">
        <f>CO33+CP33+CQ33+CR33</f>
        <v>606.76</v>
      </c>
      <c r="CU33" s="116">
        <f>CU32+CU5</f>
        <v>148.48999999999998</v>
      </c>
      <c r="CV33" s="117">
        <f>CV32+CV5</f>
        <v>148.79</v>
      </c>
      <c r="CW33" s="117">
        <f>CW32+CW5</f>
        <v>149.09</v>
      </c>
      <c r="CX33" s="119">
        <f>CX32+CX5</f>
        <v>169.98999999999998</v>
      </c>
      <c r="CY33" s="118">
        <f>CU33+CV33+CW33+CX33</f>
        <v>616.36</v>
      </c>
      <c r="DA33" s="116">
        <f>DA32+DA5</f>
        <v>150.88999999999999</v>
      </c>
      <c r="DB33" s="117">
        <f>DB32+DB5</f>
        <v>151.19</v>
      </c>
      <c r="DC33" s="117">
        <f>DC32+DC5</f>
        <v>151.48999999999998</v>
      </c>
      <c r="DD33" s="119">
        <f>DD32+DD5</f>
        <v>172.39</v>
      </c>
      <c r="DE33" s="118">
        <f>DA33+DB33+DC33+DD33</f>
        <v>625.95999999999992</v>
      </c>
      <c r="DG33" s="116">
        <f>DG32+DG5</f>
        <v>153.29</v>
      </c>
      <c r="DH33" s="117">
        <f>DH32+DH5</f>
        <v>153.59</v>
      </c>
      <c r="DI33" s="117">
        <f>DI32+DI5</f>
        <v>153.88999999999999</v>
      </c>
      <c r="DJ33" s="119">
        <f>DJ32+DJ5</f>
        <v>174.79</v>
      </c>
      <c r="DK33" s="118">
        <f>DG33+DH33+DI33+DJ33</f>
        <v>635.55999999999995</v>
      </c>
    </row>
    <row r="34" spans="2:115" s="135" customFormat="1" ht="15" x14ac:dyDescent="0.3">
      <c r="B34" s="39" t="s">
        <v>43</v>
      </c>
      <c r="C34" s="188">
        <f>C37*1000/C33</f>
        <v>70.528967254408059</v>
      </c>
      <c r="D34" s="189">
        <f>D37*1000/D33</f>
        <v>91.364250995870322</v>
      </c>
      <c r="E34" s="189">
        <f>E37*1000/E33</f>
        <v>76.521739130434781</v>
      </c>
      <c r="F34" s="189">
        <f>F37*1000/F33</f>
        <v>54.816547288408124</v>
      </c>
      <c r="G34" s="192">
        <f>G37*1000/G33</f>
        <v>70.007910893931012</v>
      </c>
      <c r="H34" s="134"/>
      <c r="I34" s="188">
        <f>I37*1000/I33</f>
        <v>58.033065951355397</v>
      </c>
      <c r="J34" s="189">
        <f>J37*1000/J33</f>
        <v>55.577786670223645</v>
      </c>
      <c r="K34" s="189">
        <f>K37*1000/K33</f>
        <v>86.28918742550816</v>
      </c>
      <c r="L34" s="190">
        <f>L37*1000/L33</f>
        <v>82.763321243397186</v>
      </c>
      <c r="M34" s="192">
        <f>M37*1000/M33</f>
        <v>71.641133032073199</v>
      </c>
      <c r="N34" s="134"/>
      <c r="O34" s="188">
        <f>O37*1000/O33</f>
        <v>74.732306542579906</v>
      </c>
      <c r="P34" s="189">
        <f>P37*1000/P33</f>
        <v>45.136130569798517</v>
      </c>
      <c r="Q34" s="189">
        <f>Q37*1000/Q33</f>
        <v>83.963056255247693</v>
      </c>
      <c r="R34" s="190">
        <f>R37*1000/R33</f>
        <v>145.20700710933505</v>
      </c>
      <c r="S34" s="192">
        <f>S37*1000/S33</f>
        <v>83.920200656957391</v>
      </c>
      <c r="T34" s="134"/>
      <c r="U34" s="188">
        <f>U37*1000/U33</f>
        <v>91.13086392058996</v>
      </c>
      <c r="V34" s="189">
        <f>V37*1000/V33</f>
        <v>65.490194102859917</v>
      </c>
      <c r="W34" s="189">
        <f>W37*1000/W33</f>
        <v>71.828760235598324</v>
      </c>
      <c r="X34" s="189">
        <f>X37*1000/X33</f>
        <v>62.566131480885133</v>
      </c>
      <c r="Y34" s="192">
        <f>Y37*1000/Y33</f>
        <v>70.564160462900901</v>
      </c>
      <c r="AA34" s="188">
        <f>AA37*1000/AA33</f>
        <v>56.784304818148257</v>
      </c>
      <c r="AB34" s="189">
        <f>AB37*1000/AB33</f>
        <v>58.264872108605722</v>
      </c>
      <c r="AC34" s="189">
        <f>AC37*1000/AC33</f>
        <v>67.672276698404971</v>
      </c>
      <c r="AD34" s="189">
        <f>AD37*1000/AD33</f>
        <v>49.166088509885107</v>
      </c>
      <c r="AE34" s="192">
        <f>AE37*1000/AE33</f>
        <v>57.460020822417071</v>
      </c>
      <c r="AG34" s="188">
        <f>AG37*1000/AG33</f>
        <v>81.227436823104668</v>
      </c>
      <c r="AH34" s="189">
        <f>AH37*1000/AH33</f>
        <v>50.452050371327083</v>
      </c>
      <c r="AI34" s="189">
        <f>AI37*1000/AI33</f>
        <v>43.474995948920828</v>
      </c>
      <c r="AJ34" s="189">
        <f>AJ37*1000/AJ33</f>
        <v>57.712335487052762</v>
      </c>
      <c r="AK34" s="192">
        <f>AK37*1000/AK33</f>
        <v>54.47581971161032</v>
      </c>
      <c r="AM34" s="188">
        <f>AM37*1000/AM33</f>
        <v>62.63865326895472</v>
      </c>
      <c r="AN34" s="189">
        <f>AN37*1000/AN33</f>
        <v>44.903255935087856</v>
      </c>
      <c r="AO34" s="189">
        <f>AO37*1000/AO33</f>
        <v>48.333111806570884</v>
      </c>
      <c r="AP34" s="189">
        <f>AP37*1000/AP33</f>
        <v>75.407672730700355</v>
      </c>
      <c r="AQ34" s="192">
        <f>AQ37*1000/AQ33</f>
        <v>56.589726253094021</v>
      </c>
      <c r="AS34" s="188">
        <f>AS37*1000/AS33</f>
        <v>77.375195297968887</v>
      </c>
      <c r="AT34" s="189">
        <f>AT37*1000/AT33</f>
        <v>77.315602288541825</v>
      </c>
      <c r="AU34" s="189">
        <f>AU37*1000/AU33</f>
        <v>63.961988304093559</v>
      </c>
      <c r="AV34" s="189">
        <f>AV37*1000/AV33</f>
        <v>67.69207626640592</v>
      </c>
      <c r="AW34" s="192">
        <f>AW37*1000/AW33</f>
        <v>70.85393755996752</v>
      </c>
      <c r="AY34" s="188">
        <f>AY37*1000/AY33</f>
        <v>111.13117646241683</v>
      </c>
      <c r="AZ34" s="189">
        <f>AZ37*1000/AZ33</f>
        <v>235.66378633150038</v>
      </c>
      <c r="BA34" s="189">
        <f>BA37*1000/BA33</f>
        <v>90.279091362440454</v>
      </c>
      <c r="BB34" s="189">
        <f>BB37*1000/BB33</f>
        <v>141.22732687371823</v>
      </c>
      <c r="BC34" s="192">
        <f>BC37*1000/BC33</f>
        <v>124.3587235157372</v>
      </c>
      <c r="BE34" s="188">
        <f>BE37*1000/BE33</f>
        <v>136.87286563875145</v>
      </c>
      <c r="BF34" s="189">
        <f>BF37*1000/BF33</f>
        <v>112.34993259004045</v>
      </c>
      <c r="BG34" s="189">
        <f>BG37*1000/BG33</f>
        <v>71.768045676373958</v>
      </c>
      <c r="BH34" s="189">
        <f>BH37*1000/BH33</f>
        <v>135.15935581875721</v>
      </c>
      <c r="BI34" s="192">
        <f>BI37*1000/BI33</f>
        <v>108.75122428016968</v>
      </c>
      <c r="BK34" s="188">
        <f>BK37*1000/BK33</f>
        <v>141.55235752081157</v>
      </c>
      <c r="BL34" s="189">
        <f>BL37*1000/BL33</f>
        <v>126.61797629941698</v>
      </c>
      <c r="BM34" s="189">
        <f>BM37*1000/BM33</f>
        <v>113.40048614295364</v>
      </c>
      <c r="BN34" s="189">
        <f>BN37*1000/BN33</f>
        <v>177.03983080050457</v>
      </c>
      <c r="BO34" s="192">
        <f>BO37*1000/BO33</f>
        <v>137.61128763906609</v>
      </c>
      <c r="BQ34" s="188">
        <f>BK34*(1+BQ35)</f>
        <v>191.09568265309562</v>
      </c>
      <c r="BR34" s="189">
        <f>BL34*(1+BR35)</f>
        <v>189.92696444912548</v>
      </c>
      <c r="BS34" s="189">
        <f>BM34*(1+BS35)</f>
        <v>181.44077782872583</v>
      </c>
      <c r="BT34" s="190">
        <f>BN34*(1+BT35)</f>
        <v>212.44779696060547</v>
      </c>
      <c r="BU34" s="192">
        <f>BU37*1000/BU33</f>
        <v>193.88199378990063</v>
      </c>
      <c r="BW34" s="188">
        <f>BQ34*(1+BW35)</f>
        <v>176.76350645411347</v>
      </c>
      <c r="BX34" s="189">
        <f>BR34*(1+BX35)</f>
        <v>180.4306162266692</v>
      </c>
      <c r="BY34" s="189">
        <f>BS34*(1+BY35)</f>
        <v>176.90475838300767</v>
      </c>
      <c r="BZ34" s="190">
        <f>BT34*(1+BZ35)</f>
        <v>191.20301726454494</v>
      </c>
      <c r="CA34" s="192">
        <f>CA37*1000/CA33</f>
        <v>181.56446729729009</v>
      </c>
      <c r="CC34" s="188">
        <f>BW34*(1+CC35)</f>
        <v>178.53114151865461</v>
      </c>
      <c r="CD34" s="189">
        <f>BX34*(1+CD35)</f>
        <v>182.2349223889359</v>
      </c>
      <c r="CE34" s="189">
        <f>BY34*(1+CE35)</f>
        <v>181.32737734258285</v>
      </c>
      <c r="CF34" s="190">
        <f>BZ34*(1+CF35)</f>
        <v>191.20301726454494</v>
      </c>
      <c r="CG34" s="192">
        <f>CG37*1000/CG33</f>
        <v>183.54178405644728</v>
      </c>
      <c r="CI34" s="188">
        <f>CC34*(1+CI35)</f>
        <v>180.31645293384116</v>
      </c>
      <c r="CJ34" s="189">
        <f>CD34*(1+CJ35)</f>
        <v>184.05727161282525</v>
      </c>
      <c r="CK34" s="189">
        <f>CE34*(1+CK35)</f>
        <v>183.14065111600868</v>
      </c>
      <c r="CL34" s="190">
        <f>CF34*(1+CL35)</f>
        <v>193.11504743719038</v>
      </c>
      <c r="CM34" s="192">
        <f>CM37*1000/CM33</f>
        <v>185.3740888216671</v>
      </c>
      <c r="CO34" s="188">
        <f>CI34*(1+CO35)</f>
        <v>182.11961746317957</v>
      </c>
      <c r="CP34" s="189">
        <f>CJ34*(1+CP35)</f>
        <v>185.89784432895351</v>
      </c>
      <c r="CQ34" s="189">
        <f>CK34*(1+CQ35)</f>
        <v>184.97205762716877</v>
      </c>
      <c r="CR34" s="190">
        <f>CL34*(1+CR35)</f>
        <v>195.0461979115623</v>
      </c>
      <c r="CS34" s="192">
        <f>CS37*1000/CS33</f>
        <v>187.29115925215822</v>
      </c>
      <c r="CU34" s="188">
        <f>CO34*(1+CU35)</f>
        <v>183.94081363781137</v>
      </c>
      <c r="CV34" s="189">
        <f>CP34*(1+CV35)</f>
        <v>187.75682277224305</v>
      </c>
      <c r="CW34" s="189">
        <f>CQ34*(1+CW35)</f>
        <v>186.82177820344046</v>
      </c>
      <c r="CX34" s="190">
        <f>CR34*(1+CX35)</f>
        <v>196.99665989067793</v>
      </c>
      <c r="CY34" s="192">
        <f>CY37*1000/CY33</f>
        <v>189.15963106711649</v>
      </c>
      <c r="DA34" s="188">
        <f>CU34*(1+DA35)</f>
        <v>185.7802217741895</v>
      </c>
      <c r="DB34" s="189">
        <f>CV34*(1+DB35)</f>
        <v>189.63439099996549</v>
      </c>
      <c r="DC34" s="189">
        <f>CW34*(1+DC35)</f>
        <v>188.68999598547487</v>
      </c>
      <c r="DD34" s="190">
        <f>CX34*(1+DD35)</f>
        <v>198.96662648958471</v>
      </c>
      <c r="DE34" s="192">
        <f>DE37*1000/DE33</f>
        <v>191.04688074504975</v>
      </c>
      <c r="DG34" s="188">
        <f>DA34*(1+DG35)</f>
        <v>187.63802399193139</v>
      </c>
      <c r="DH34" s="189">
        <f>DB34*(1+DH35)</f>
        <v>191.53073490996513</v>
      </c>
      <c r="DI34" s="189">
        <f>DC34*(1+DI35)</f>
        <v>190.57689594532962</v>
      </c>
      <c r="DJ34" s="190">
        <f>DD34*(1+DJ35)</f>
        <v>200.95629275448056</v>
      </c>
      <c r="DK34" s="192">
        <f>DK37*1000/DK33</f>
        <v>192.95309207647924</v>
      </c>
    </row>
    <row r="35" spans="2:115" ht="15.75" thickBot="1" x14ac:dyDescent="0.35">
      <c r="B35" s="41" t="s">
        <v>23</v>
      </c>
      <c r="C35" s="155" t="s">
        <v>35</v>
      </c>
      <c r="D35" s="106" t="s">
        <v>35</v>
      </c>
      <c r="E35" s="106" t="s">
        <v>35</v>
      </c>
      <c r="F35" s="106" t="s">
        <v>35</v>
      </c>
      <c r="G35" s="108" t="s">
        <v>35</v>
      </c>
      <c r="I35" s="109">
        <f>I34/C34-1</f>
        <v>-0.17717402918971092</v>
      </c>
      <c r="J35" s="110">
        <f>J34/D34-1</f>
        <v>-0.3916900093370681</v>
      </c>
      <c r="K35" s="110">
        <f>K34/E34-1</f>
        <v>0.12764279021970903</v>
      </c>
      <c r="L35" s="120">
        <f>L34/F34-1</f>
        <v>0.50982368166954717</v>
      </c>
      <c r="M35" s="122">
        <f>M34/G34-1</f>
        <v>2.3329108343436822E-2</v>
      </c>
      <c r="O35" s="109">
        <f>O34/I34-1</f>
        <v>0.28775389198327361</v>
      </c>
      <c r="P35" s="110">
        <f>P34/J34-1</f>
        <v>-0.18787462988372927</v>
      </c>
      <c r="Q35" s="110">
        <f>Q34/K34-1</f>
        <v>-2.6957388748950373E-2</v>
      </c>
      <c r="R35" s="120">
        <f>R34/L34-1</f>
        <v>0.75448501737017448</v>
      </c>
      <c r="S35" s="122">
        <f>S34/M34-1</f>
        <v>0.1713968931701142</v>
      </c>
      <c r="U35" s="109">
        <f>U34/O34-1</f>
        <v>0.21943063363990678</v>
      </c>
      <c r="V35" s="110">
        <f>V34/P34-1</f>
        <v>0.45094834838768194</v>
      </c>
      <c r="W35" s="110">
        <f>W34/Q34-1</f>
        <v>-0.14451946559402395</v>
      </c>
      <c r="X35" s="110">
        <f>X34/R34-1</f>
        <v>-0.56912457100795866</v>
      </c>
      <c r="Y35" s="122">
        <f>Y34/S34-1</f>
        <v>-0.15915167134373631</v>
      </c>
      <c r="AA35" s="109">
        <f>AA34/U34-1</f>
        <v>-0.37689271916011646</v>
      </c>
      <c r="AB35" s="110">
        <f>AB34/V34-1</f>
        <v>-0.11032677629426468</v>
      </c>
      <c r="AC35" s="110">
        <f>AC34/W34-1</f>
        <v>-5.7866563804805815E-2</v>
      </c>
      <c r="AD35" s="110">
        <f>AD34/X34-1</f>
        <v>-0.21417406916222614</v>
      </c>
      <c r="AE35" s="122">
        <f>AE34/Y34-1</f>
        <v>-0.18570531491511655</v>
      </c>
      <c r="AG35" s="109">
        <f>AG34/AA34-1</f>
        <v>0.43045577617328501</v>
      </c>
      <c r="AH35" s="110">
        <f>AH34/AB34-1</f>
        <v>-0.13409145947691326</v>
      </c>
      <c r="AI35" s="110">
        <f>AI34/AC34-1</f>
        <v>-0.35756563736320213</v>
      </c>
      <c r="AJ35" s="110">
        <f>AJ34/AD34-1</f>
        <v>0.17382401643460788</v>
      </c>
      <c r="AK35" s="122">
        <f>AK34/AE34-1</f>
        <v>-5.1935259822295743E-2</v>
      </c>
      <c r="AM35" s="109">
        <f>AM34/AG34-1</f>
        <v>-0.22884857975553496</v>
      </c>
      <c r="AN35" s="110">
        <f>AN34/AH34-1</f>
        <v>-0.10998154476181043</v>
      </c>
      <c r="AO35" s="110">
        <f>AO34/AI34-1</f>
        <v>0.11174505601697815</v>
      </c>
      <c r="AP35" s="110">
        <f>AP34/AJ34-1</f>
        <v>0.3066127387552593</v>
      </c>
      <c r="AQ35" s="122">
        <f>AQ34/AK34-1</f>
        <v>3.8804492574403104E-2</v>
      </c>
      <c r="AS35" s="109">
        <f>AS34/AM34-1</f>
        <v>0.23526275326736568</v>
      </c>
      <c r="AT35" s="110">
        <f>AT34/AN34-1</f>
        <v>0.72182619452605512</v>
      </c>
      <c r="AU35" s="110">
        <f>AU34/AO34-1</f>
        <v>0.32335754751461976</v>
      </c>
      <c r="AV35" s="110">
        <f>AV34/AP34-1</f>
        <v>-0.10231845361212455</v>
      </c>
      <c r="AW35" s="122">
        <f>AW34/AQ34-1</f>
        <v>0.25206362093143375</v>
      </c>
      <c r="AY35" s="109">
        <f>AY34/AS34-1</f>
        <v>0.43626359887629329</v>
      </c>
      <c r="AZ35" s="110">
        <f>AZ34/AT34-1</f>
        <v>2.0480754124116261</v>
      </c>
      <c r="BA35" s="110">
        <f>BA34/AU34-1</f>
        <v>0.41144910838649773</v>
      </c>
      <c r="BB35" s="110">
        <f>BB34/AV34-1</f>
        <v>1.086319916055023</v>
      </c>
      <c r="BC35" s="122">
        <f>BC34/AW34-1</f>
        <v>0.75514202595283697</v>
      </c>
      <c r="BE35" s="109">
        <f>BE34/AY34-1</f>
        <v>0.23163337234210002</v>
      </c>
      <c r="BF35" s="110">
        <f>BF34/AZ34-1</f>
        <v>-0.52326178604292828</v>
      </c>
      <c r="BG35" s="110">
        <f>BG34/BA34-1</f>
        <v>-0.20504244567272856</v>
      </c>
      <c r="BH35" s="110">
        <f>BH34/BB34-1</f>
        <v>-4.2965983916036565E-2</v>
      </c>
      <c r="BI35" s="122">
        <f>BI34/BC34-1</f>
        <v>-0.12550385525300478</v>
      </c>
      <c r="BK35" s="109">
        <f>BK34/BE34-1</f>
        <v>3.4188601664925322E-2</v>
      </c>
      <c r="BL35" s="110">
        <f>BL34/BF34-1</f>
        <v>0.12699645990389641</v>
      </c>
      <c r="BM35" s="110">
        <f>BM34/BG34-1</f>
        <v>0.58009717380788417</v>
      </c>
      <c r="BN35" s="110">
        <f>BN34/BH34-1</f>
        <v>0.30985997771332419</v>
      </c>
      <c r="BO35" s="122">
        <f>BO34/BI34-1</f>
        <v>0.26537690540886105</v>
      </c>
      <c r="BQ35" s="109">
        <v>0.35</v>
      </c>
      <c r="BR35" s="110">
        <v>0.5</v>
      </c>
      <c r="BS35" s="110">
        <v>0.6</v>
      </c>
      <c r="BT35" s="120">
        <v>0.2</v>
      </c>
      <c r="BU35" s="122">
        <f>BU34/BO34-1</f>
        <v>0.4089105415423786</v>
      </c>
      <c r="BW35" s="109">
        <v>-7.4999999999999997E-2</v>
      </c>
      <c r="BX35" s="110">
        <v>-0.05</v>
      </c>
      <c r="BY35" s="110">
        <v>-2.5000000000000001E-2</v>
      </c>
      <c r="BZ35" s="110">
        <v>-0.1</v>
      </c>
      <c r="CA35" s="122">
        <f>CA34/BU34-1</f>
        <v>-6.3531049231721703E-2</v>
      </c>
      <c r="CC35" s="109">
        <v>0.01</v>
      </c>
      <c r="CD35" s="110">
        <v>0.01</v>
      </c>
      <c r="CE35" s="110">
        <v>2.5000000000000001E-2</v>
      </c>
      <c r="CF35" s="110">
        <v>0</v>
      </c>
      <c r="CG35" s="122">
        <f>CG34/CA34-1</f>
        <v>1.0890439019213938E-2</v>
      </c>
      <c r="CI35" s="109">
        <v>0.01</v>
      </c>
      <c r="CJ35" s="110">
        <v>0.01</v>
      </c>
      <c r="CK35" s="110">
        <v>0.01</v>
      </c>
      <c r="CL35" s="110">
        <v>0.01</v>
      </c>
      <c r="CM35" s="122">
        <f>CM34/CG34-1</f>
        <v>9.9830388738963993E-3</v>
      </c>
      <c r="CO35" s="109">
        <v>0.01</v>
      </c>
      <c r="CP35" s="110">
        <v>0.01</v>
      </c>
      <c r="CQ35" s="110">
        <v>0.01</v>
      </c>
      <c r="CR35" s="110">
        <v>0.01</v>
      </c>
      <c r="CS35" s="122">
        <f>CS34/CM34-1</f>
        <v>1.0341631037417365E-2</v>
      </c>
      <c r="CU35" s="109">
        <v>0.01</v>
      </c>
      <c r="CV35" s="110">
        <v>0.01</v>
      </c>
      <c r="CW35" s="110">
        <v>0.01</v>
      </c>
      <c r="CX35" s="110">
        <v>0.01</v>
      </c>
      <c r="CY35" s="122">
        <f>CY34/CS34-1</f>
        <v>9.9762947830477344E-3</v>
      </c>
      <c r="DA35" s="109">
        <v>0.01</v>
      </c>
      <c r="DB35" s="110">
        <v>0.01</v>
      </c>
      <c r="DC35" s="110">
        <v>0.01</v>
      </c>
      <c r="DD35" s="110">
        <v>0.01</v>
      </c>
      <c r="DE35" s="122">
        <f>DE34/CY34-1</f>
        <v>9.9770213511551908E-3</v>
      </c>
      <c r="DG35" s="109">
        <v>0.01</v>
      </c>
      <c r="DH35" s="110">
        <v>0.01</v>
      </c>
      <c r="DI35" s="110">
        <v>0.01</v>
      </c>
      <c r="DJ35" s="110">
        <v>0.01</v>
      </c>
      <c r="DK35" s="122">
        <f>DK34/DE34-1</f>
        <v>9.9777150194528819E-3</v>
      </c>
    </row>
    <row r="36" spans="2:115" ht="15.75" thickBot="1" x14ac:dyDescent="0.35">
      <c r="B36" s="1"/>
      <c r="AA36" s="103"/>
      <c r="AB36" s="103"/>
      <c r="AC36" s="103"/>
      <c r="AD36" s="103"/>
      <c r="AE36" s="103"/>
      <c r="AG36" s="103"/>
      <c r="AH36" s="103"/>
      <c r="AI36" s="103"/>
      <c r="AJ36" s="103"/>
      <c r="AK36" s="103"/>
      <c r="AM36" s="103"/>
      <c r="AN36" s="103"/>
      <c r="AO36" s="103"/>
      <c r="AP36" s="103"/>
      <c r="AQ36" s="103"/>
      <c r="AS36" s="103"/>
      <c r="AT36" s="103"/>
      <c r="AU36" s="103"/>
      <c r="AV36" s="103"/>
      <c r="AW36" s="103"/>
      <c r="AY36" s="103"/>
      <c r="AZ36" s="103"/>
      <c r="BA36" s="103"/>
      <c r="BB36" s="103"/>
      <c r="BC36" s="103"/>
      <c r="BE36" s="103"/>
      <c r="BF36" s="103"/>
      <c r="BG36" s="103"/>
      <c r="BH36" s="103"/>
      <c r="BI36" s="103"/>
      <c r="BK36" s="103"/>
      <c r="BL36" s="103"/>
      <c r="BM36" s="103"/>
      <c r="BN36" s="103"/>
      <c r="BO36" s="103"/>
      <c r="BQ36" s="103"/>
      <c r="BR36" s="103"/>
      <c r="BS36" s="103"/>
      <c r="BT36" s="103"/>
      <c r="BU36" s="103"/>
      <c r="BW36" s="103"/>
      <c r="BX36" s="103"/>
      <c r="BY36" s="103"/>
      <c r="BZ36" s="103"/>
      <c r="CA36" s="103"/>
      <c r="CC36" s="103"/>
      <c r="CD36" s="103"/>
      <c r="CE36" s="103"/>
      <c r="CF36" s="103"/>
      <c r="CG36" s="103"/>
      <c r="CI36" s="103"/>
      <c r="CJ36" s="103"/>
      <c r="CK36" s="103"/>
      <c r="CL36" s="103"/>
      <c r="CM36" s="103"/>
      <c r="CO36" s="103"/>
      <c r="CP36" s="103"/>
      <c r="CQ36" s="103"/>
      <c r="CR36" s="103"/>
      <c r="CS36" s="103"/>
      <c r="CU36" s="103"/>
      <c r="CV36" s="103"/>
      <c r="CW36" s="103"/>
      <c r="CX36" s="103"/>
      <c r="CY36" s="103"/>
      <c r="DA36" s="103"/>
      <c r="DB36" s="103"/>
      <c r="DC36" s="103"/>
      <c r="DD36" s="103"/>
      <c r="DE36" s="103"/>
      <c r="DG36" s="103"/>
      <c r="DH36" s="103"/>
      <c r="DI36" s="103"/>
      <c r="DJ36" s="103"/>
      <c r="DK36" s="103"/>
    </row>
    <row r="37" spans="2:115" s="135" customFormat="1" ht="15" x14ac:dyDescent="0.3">
      <c r="B37" s="139" t="s">
        <v>105</v>
      </c>
      <c r="C37" s="181">
        <f>C40-C28</f>
        <v>7</v>
      </c>
      <c r="D37" s="182">
        <f>D40-D28</f>
        <v>10</v>
      </c>
      <c r="E37" s="182">
        <f>E40-E28</f>
        <v>11</v>
      </c>
      <c r="F37" s="183">
        <f>F40-F28</f>
        <v>12</v>
      </c>
      <c r="G37" s="184">
        <f>C37+D37+E37+F37</f>
        <v>40</v>
      </c>
      <c r="H37" s="134"/>
      <c r="I37" s="181">
        <f>I40-I28</f>
        <v>9</v>
      </c>
      <c r="J37" s="182">
        <f>J40-J28</f>
        <v>10</v>
      </c>
      <c r="K37" s="182">
        <f>K40-K28</f>
        <v>16</v>
      </c>
      <c r="L37" s="183">
        <f>L40-L28</f>
        <v>17</v>
      </c>
      <c r="M37" s="184">
        <f>I37+J37+K37+L37</f>
        <v>52</v>
      </c>
      <c r="N37" s="134"/>
      <c r="O37" s="181">
        <f>O40-O28</f>
        <v>16</v>
      </c>
      <c r="P37" s="182">
        <f>P40-P28</f>
        <v>10</v>
      </c>
      <c r="Q37" s="182">
        <f>Q40-Q28</f>
        <v>16</v>
      </c>
      <c r="R37" s="182">
        <f>R40-R28</f>
        <v>25</v>
      </c>
      <c r="S37" s="184">
        <f>O37+P37+Q37+R37</f>
        <v>67</v>
      </c>
      <c r="T37" s="134"/>
      <c r="U37" s="181">
        <f>U40-U28</f>
        <v>13</v>
      </c>
      <c r="V37" s="182">
        <f>V40-V28</f>
        <v>13</v>
      </c>
      <c r="W37" s="182">
        <f>W40-W28</f>
        <v>14</v>
      </c>
      <c r="X37" s="182">
        <f>X40-X28</f>
        <v>17</v>
      </c>
      <c r="Y37" s="184">
        <f>U37+V37+W37+X37</f>
        <v>57</v>
      </c>
      <c r="AA37" s="181">
        <f>AA40-AA28</f>
        <v>12</v>
      </c>
      <c r="AB37" s="182">
        <f>AB40-AB28</f>
        <v>11</v>
      </c>
      <c r="AC37" s="182">
        <f>AC40-AC28</f>
        <v>10</v>
      </c>
      <c r="AD37" s="182">
        <f>AD40-AD28</f>
        <v>9</v>
      </c>
      <c r="AE37" s="184">
        <f>AA37+AB37+AC37+AD37</f>
        <v>42</v>
      </c>
      <c r="AG37" s="181">
        <f>AG40-AG28</f>
        <v>9</v>
      </c>
      <c r="AH37" s="182">
        <f>AH40-AH28</f>
        <v>10</v>
      </c>
      <c r="AI37" s="182">
        <f>AI40-AI28</f>
        <v>11</v>
      </c>
      <c r="AJ37" s="182">
        <f>AJ40-AJ28</f>
        <v>11</v>
      </c>
      <c r="AK37" s="184">
        <f>AG37+AH37+AI37+AJ37</f>
        <v>41</v>
      </c>
      <c r="AM37" s="181">
        <f>AM40-AM28</f>
        <v>12</v>
      </c>
      <c r="AN37" s="182">
        <f>AN40-AN28</f>
        <v>10</v>
      </c>
      <c r="AO37" s="182">
        <f>AO40-AO28</f>
        <v>12</v>
      </c>
      <c r="AP37" s="182">
        <f>AP40-AP28</f>
        <v>14</v>
      </c>
      <c r="AQ37" s="184">
        <f>AM37+AN37+AO37+AP37</f>
        <v>48</v>
      </c>
      <c r="AS37" s="181">
        <f>AS40-AS28</f>
        <v>13</v>
      </c>
      <c r="AT37" s="182">
        <f>AT40-AT28</f>
        <v>15</v>
      </c>
      <c r="AU37" s="182">
        <f>AU40-AU28</f>
        <v>14</v>
      </c>
      <c r="AV37" s="182">
        <f>AV40-AV28</f>
        <v>18</v>
      </c>
      <c r="AW37" s="184">
        <f>AS37+AT37+AU37+AV37</f>
        <v>60</v>
      </c>
      <c r="AY37" s="181">
        <f>AY40-AY28</f>
        <v>16</v>
      </c>
      <c r="AZ37" s="182">
        <f>AZ40-AZ28</f>
        <v>15</v>
      </c>
      <c r="BA37" s="182">
        <f>BA40-BA28</f>
        <v>21</v>
      </c>
      <c r="BB37" s="182">
        <f>BB40-BB28</f>
        <v>23</v>
      </c>
      <c r="BC37" s="184">
        <f>AY37+AZ37+BA37+BB37</f>
        <v>75</v>
      </c>
      <c r="BE37" s="181">
        <f>BE40-BE28</f>
        <v>20</v>
      </c>
      <c r="BF37" s="182">
        <f>BF40-BF28</f>
        <v>21</v>
      </c>
      <c r="BG37" s="182">
        <f>BG40-BG28</f>
        <v>18</v>
      </c>
      <c r="BH37" s="182">
        <f>BH40-BH28</f>
        <v>23</v>
      </c>
      <c r="BI37" s="184">
        <f>BE37+BF37+BG37+BH37</f>
        <v>82</v>
      </c>
      <c r="BK37" s="181">
        <f>BK40-BK28</f>
        <v>21</v>
      </c>
      <c r="BL37" s="182">
        <f>BL40-BL28</f>
        <v>22</v>
      </c>
      <c r="BM37" s="182">
        <f>BM40-BM28</f>
        <v>23</v>
      </c>
      <c r="BN37" s="182">
        <f>BN40-BN28</f>
        <v>28</v>
      </c>
      <c r="BO37" s="184">
        <f>BK37+BL37+BM37+BN37</f>
        <v>94</v>
      </c>
      <c r="BQ37" s="181">
        <f>BQ34*BQ33/1000</f>
        <v>23.760837181085911</v>
      </c>
      <c r="BR37" s="182">
        <f>BR34*BR33/1000</f>
        <v>24.479686447847779</v>
      </c>
      <c r="BS37" s="182">
        <f>BS34*BS33/1000</f>
        <v>25.200309632631729</v>
      </c>
      <c r="BT37" s="182">
        <f>BT34*BT33/1000</f>
        <v>29.570608858946674</v>
      </c>
      <c r="BU37" s="184">
        <f>BQ37+BR37+BS37+BT37</f>
        <v>103.01144212051209</v>
      </c>
      <c r="BW37" s="181">
        <f>BW34*BW33/1000</f>
        <v>24.656741515284288</v>
      </c>
      <c r="BX37" s="182">
        <f>BX34*BX33/1000</f>
        <v>25.222395842326083</v>
      </c>
      <c r="BY37" s="182">
        <f>BY34*BY33/1000</f>
        <v>25.693647107548038</v>
      </c>
      <c r="BZ37" s="182">
        <f>BZ34*BZ33/1000</f>
        <v>29.854439115686045</v>
      </c>
      <c r="CA37" s="184">
        <f>BW37+BX37+BY37+BZ37</f>
        <v>105.42722358084445</v>
      </c>
      <c r="CC37" s="181">
        <f>CC34*CC33/1000</f>
        <v>25.331783670081897</v>
      </c>
      <c r="CD37" s="182">
        <f>CD34*CD33/1000</f>
        <v>25.911983614482796</v>
      </c>
      <c r="CE37" s="182">
        <f>CE34*CE33/1000</f>
        <v>25.837337997544633</v>
      </c>
      <c r="CF37" s="182">
        <f>CF34*CF33/1000</f>
        <v>30.255965451941591</v>
      </c>
      <c r="CG37" s="184">
        <f>CC37+CD37+CE37+CF37</f>
        <v>107.33707073405093</v>
      </c>
      <c r="CI37" s="181">
        <f>CI34*CI33/1000</f>
        <v>25.963766057943786</v>
      </c>
      <c r="CJ37" s="182">
        <f>CJ34*CJ33/1000</f>
        <v>26.557623721014551</v>
      </c>
      <c r="CK37" s="182">
        <f>CK34*CK33/1000</f>
        <v>26.480306744863697</v>
      </c>
      <c r="CL37" s="182">
        <f>CL34*CL33/1000</f>
        <v>30.964066706079105</v>
      </c>
      <c r="CM37" s="184">
        <f>CI37+CJ37+CK37+CL37</f>
        <v>109.96576322990114</v>
      </c>
      <c r="CO37" s="181">
        <f>CO34*CO33/1000</f>
        <v>26.605854915195906</v>
      </c>
      <c r="CP37" s="182">
        <f>CP34*CP33/1000</f>
        <v>27.213585431315504</v>
      </c>
      <c r="CQ37" s="182">
        <f>CQ34*CQ33/1000</f>
        <v>27.133551133329387</v>
      </c>
      <c r="CR37" s="182">
        <f>CR34*CR33/1000</f>
        <v>32.687792307998727</v>
      </c>
      <c r="CS37" s="184">
        <f>CO37+CP37+CQ37+CR37</f>
        <v>113.64078378783952</v>
      </c>
      <c r="CU37" s="181">
        <f>CU34*CU33/1000</f>
        <v>27.313371417078606</v>
      </c>
      <c r="CV37" s="182">
        <f>CV34*CV33/1000</f>
        <v>27.936337660282042</v>
      </c>
      <c r="CW37" s="182">
        <f>CW34*CW33/1000</f>
        <v>27.853258912350938</v>
      </c>
      <c r="CX37" s="182">
        <f>CX34*CX33/1000</f>
        <v>33.48746221481634</v>
      </c>
      <c r="CY37" s="184">
        <f>CU37+CV37+CW37+CX37</f>
        <v>116.59043020452793</v>
      </c>
      <c r="DA37" s="181">
        <f>DA34*DA33/1000</f>
        <v>28.03237766350745</v>
      </c>
      <c r="DB37" s="182">
        <f>DB34*DB33/1000</f>
        <v>28.670823575284782</v>
      </c>
      <c r="DC37" s="182">
        <f>DC34*DC33/1000</f>
        <v>28.584647491839583</v>
      </c>
      <c r="DD37" s="182">
        <f>DD34*DD33/1000</f>
        <v>34.299856740539511</v>
      </c>
      <c r="DE37" s="184">
        <f>DA37+DB37+DC37+DD37</f>
        <v>119.58770547117133</v>
      </c>
      <c r="DG37" s="181">
        <f>DG34*DG33/1000</f>
        <v>28.763032697723158</v>
      </c>
      <c r="DH37" s="182">
        <f>DH34*DH33/1000</f>
        <v>29.417205574821548</v>
      </c>
      <c r="DI37" s="182">
        <f>DI34*DI33/1000</f>
        <v>29.327878517026772</v>
      </c>
      <c r="DJ37" s="182">
        <f>DJ34*DJ33/1000</f>
        <v>35.125150410555655</v>
      </c>
      <c r="DK37" s="184">
        <f>DG37+DH37+DI37+DJ37</f>
        <v>122.63326720012714</v>
      </c>
    </row>
    <row r="38" spans="2:115" ht="15" x14ac:dyDescent="0.3">
      <c r="B38" s="5" t="s">
        <v>23</v>
      </c>
      <c r="C38" s="144" t="s">
        <v>35</v>
      </c>
      <c r="D38" s="107" t="s">
        <v>35</v>
      </c>
      <c r="E38" s="107" t="s">
        <v>35</v>
      </c>
      <c r="F38" s="145" t="s">
        <v>35</v>
      </c>
      <c r="G38" s="138" t="s">
        <v>35</v>
      </c>
      <c r="H38" s="107"/>
      <c r="I38" s="151">
        <f>I37/C37-1</f>
        <v>0.28571428571428581</v>
      </c>
      <c r="J38" s="133">
        <f>J37/D37-1</f>
        <v>0</v>
      </c>
      <c r="K38" s="133">
        <f>K37/E37-1</f>
        <v>0.45454545454545459</v>
      </c>
      <c r="L38" s="133">
        <f>L37/F37-1</f>
        <v>0.41666666666666674</v>
      </c>
      <c r="M38" s="153">
        <f>M37/G37-1</f>
        <v>0.30000000000000004</v>
      </c>
      <c r="N38" s="107"/>
      <c r="O38" s="151">
        <f>O37/I37-1</f>
        <v>0.77777777777777768</v>
      </c>
      <c r="P38" s="133">
        <f>P37/J37-1</f>
        <v>0</v>
      </c>
      <c r="Q38" s="133">
        <f>Q37/K37-1</f>
        <v>0</v>
      </c>
      <c r="R38" s="133">
        <f>R37/L37-1</f>
        <v>0.47058823529411775</v>
      </c>
      <c r="S38" s="153">
        <f>S37/M37-1</f>
        <v>0.28846153846153855</v>
      </c>
      <c r="T38" s="107"/>
      <c r="U38" s="151">
        <f>U37/O37-1</f>
        <v>-0.1875</v>
      </c>
      <c r="V38" s="133">
        <f>V37/P37-1</f>
        <v>0.30000000000000004</v>
      </c>
      <c r="W38" s="133">
        <f>W37/Q37-1</f>
        <v>-0.125</v>
      </c>
      <c r="X38" s="133">
        <f>X37/R37-1</f>
        <v>-0.31999999999999995</v>
      </c>
      <c r="Y38" s="153">
        <f>Y37/S37-1</f>
        <v>-0.14925373134328357</v>
      </c>
      <c r="AA38" s="151">
        <f>AA37/U37-1</f>
        <v>-7.6923076923076872E-2</v>
      </c>
      <c r="AB38" s="133">
        <f>AB37/V37-1</f>
        <v>-0.15384615384615385</v>
      </c>
      <c r="AC38" s="133">
        <f>AC37/W37-1</f>
        <v>-0.2857142857142857</v>
      </c>
      <c r="AD38" s="133">
        <f>AD37/X37-1</f>
        <v>-0.47058823529411764</v>
      </c>
      <c r="AE38" s="153">
        <f>AE37/Y37-1</f>
        <v>-0.26315789473684215</v>
      </c>
      <c r="AG38" s="151">
        <f>AG37/AA37-1</f>
        <v>-0.25</v>
      </c>
      <c r="AH38" s="133">
        <f>AH37/AB37-1</f>
        <v>-9.0909090909090939E-2</v>
      </c>
      <c r="AI38" s="133">
        <f>AI37/AC37-1</f>
        <v>0.10000000000000009</v>
      </c>
      <c r="AJ38" s="133">
        <f>AJ37/AD37-1</f>
        <v>0.22222222222222232</v>
      </c>
      <c r="AK38" s="153">
        <f>AK37/AE37-1</f>
        <v>-2.3809523809523836E-2</v>
      </c>
      <c r="AM38" s="151">
        <f>AM37/AG37-1</f>
        <v>0.33333333333333326</v>
      </c>
      <c r="AN38" s="133">
        <f>AN37/AH37-1</f>
        <v>0</v>
      </c>
      <c r="AO38" s="133">
        <f>AO37/AI37-1</f>
        <v>9.0909090909090828E-2</v>
      </c>
      <c r="AP38" s="133">
        <f>AP37/AJ37-1</f>
        <v>0.27272727272727271</v>
      </c>
      <c r="AQ38" s="153">
        <f>AQ37/AK37-1</f>
        <v>0.1707317073170731</v>
      </c>
      <c r="AS38" s="151">
        <f>AS37/AM37-1</f>
        <v>8.3333333333333259E-2</v>
      </c>
      <c r="AT38" s="133">
        <f>AT37/AN37-1</f>
        <v>0.5</v>
      </c>
      <c r="AU38" s="133">
        <f>AU37/AO37-1</f>
        <v>0.16666666666666674</v>
      </c>
      <c r="AV38" s="133">
        <f>AV37/AP37-1</f>
        <v>0.28571428571428581</v>
      </c>
      <c r="AW38" s="153">
        <f>AW37/AQ37-1</f>
        <v>0.25</v>
      </c>
      <c r="AY38" s="151">
        <f>AY37/AS37-1</f>
        <v>0.23076923076923084</v>
      </c>
      <c r="AZ38" s="133">
        <f>AZ37/AT37-1</f>
        <v>0</v>
      </c>
      <c r="BA38" s="133">
        <f>BA37/AU37-1</f>
        <v>0.5</v>
      </c>
      <c r="BB38" s="133">
        <f>BB37/AV37-1</f>
        <v>0.27777777777777768</v>
      </c>
      <c r="BC38" s="153">
        <f>BC37/AW37-1</f>
        <v>0.25</v>
      </c>
      <c r="BE38" s="151">
        <f>BE37/AY37-1</f>
        <v>0.25</v>
      </c>
      <c r="BF38" s="133">
        <f>BF37/AZ37-1</f>
        <v>0.39999999999999991</v>
      </c>
      <c r="BG38" s="133">
        <f>BG37/BA37-1</f>
        <v>-0.1428571428571429</v>
      </c>
      <c r="BH38" s="133">
        <f>BH37/BB37-1</f>
        <v>0</v>
      </c>
      <c r="BI38" s="153">
        <f>BI37/BC37-1</f>
        <v>9.3333333333333268E-2</v>
      </c>
      <c r="BK38" s="151">
        <f>BK37/BE37-1</f>
        <v>5.0000000000000044E-2</v>
      </c>
      <c r="BL38" s="133">
        <f>BL37/BF37-1</f>
        <v>4.7619047619047672E-2</v>
      </c>
      <c r="BM38" s="133">
        <f>BM37/BG37-1</f>
        <v>0.27777777777777768</v>
      </c>
      <c r="BN38" s="133">
        <f>BN37/BH37-1</f>
        <v>0.21739130434782616</v>
      </c>
      <c r="BO38" s="153">
        <f>BO37/BI37-1</f>
        <v>0.14634146341463405</v>
      </c>
      <c r="BQ38" s="151">
        <f>BQ37/BK37-1</f>
        <v>0.13146843719456713</v>
      </c>
      <c r="BR38" s="133">
        <f>BR37/BL37-1</f>
        <v>0.11271302035671726</v>
      </c>
      <c r="BS38" s="133">
        <f>BS37/BM37-1</f>
        <v>9.5665636201379467E-2</v>
      </c>
      <c r="BT38" s="133">
        <f>BT37/BN37-1</f>
        <v>5.6093173533809715E-2</v>
      </c>
      <c r="BU38" s="153">
        <f>BU37/BO37-1</f>
        <v>9.5866405537362587E-2</v>
      </c>
      <c r="BW38" s="151">
        <f>BW37/BQ37-1</f>
        <v>3.7705082837381498E-2</v>
      </c>
      <c r="BX38" s="133">
        <f>BX37/BR37-1</f>
        <v>3.0339824656683945E-2</v>
      </c>
      <c r="BY38" s="133">
        <f>BY37/BS37-1</f>
        <v>1.9576643386853165E-2</v>
      </c>
      <c r="BZ38" s="133">
        <f>BZ37/BT37-1</f>
        <v>9.5983906889862691E-3</v>
      </c>
      <c r="CA38" s="153">
        <f>CA37/BU37-1</f>
        <v>2.3451583732865044E-2</v>
      </c>
      <c r="CC38" s="151">
        <f>CC37/BW37-1</f>
        <v>2.7377589791382606E-2</v>
      </c>
      <c r="CD38" s="133">
        <f>CD37/BX37-1</f>
        <v>2.7340296158523847E-2</v>
      </c>
      <c r="CE38" s="133">
        <f>CE37/BY37-1</f>
        <v>5.5924676397685058E-3</v>
      </c>
      <c r="CF38" s="133">
        <f>CF37/BZ37-1</f>
        <v>1.3449468425771771E-2</v>
      </c>
      <c r="CG38" s="153">
        <f>CG37/CA37-1</f>
        <v>1.8115312993535859E-2</v>
      </c>
      <c r="CI38" s="151">
        <f>CI37/CC37-1</f>
        <v>2.4948199309324348E-2</v>
      </c>
      <c r="CJ38" s="133">
        <f>CJ37/CD37-1</f>
        <v>2.4916660805963664E-2</v>
      </c>
      <c r="CK38" s="133">
        <f>CK37/CE37-1</f>
        <v>2.488525510562134E-2</v>
      </c>
      <c r="CL38" s="133">
        <f>CL37/CF37-1</f>
        <v>2.3403690596562221E-2</v>
      </c>
      <c r="CM38" s="153">
        <f>CM37/CG37-1</f>
        <v>2.4490071117771794E-2</v>
      </c>
      <c r="CO38" s="151">
        <f>CO37/CI37-1</f>
        <v>2.4730189596499974E-2</v>
      </c>
      <c r="CP38" s="133">
        <f>CP37/CJ37-1</f>
        <v>2.4699563379305678E-2</v>
      </c>
      <c r="CQ38" s="133">
        <f>CQ37/CK37-1</f>
        <v>2.466906425063975E-2</v>
      </c>
      <c r="CR38" s="133">
        <f>CR37/CL37-1</f>
        <v>5.5668579269053442E-2</v>
      </c>
      <c r="CS38" s="153">
        <f>CS37/CM37-1</f>
        <v>3.3419679452914464E-2</v>
      </c>
      <c r="CU38" s="151">
        <f>CU37/CO37-1</f>
        <v>2.6592511465534763E-2</v>
      </c>
      <c r="CV38" s="133">
        <f>CV37/CP37-1</f>
        <v>2.6558508094815192E-2</v>
      </c>
      <c r="CW38" s="133">
        <f>CW37/CQ37-1</f>
        <v>2.6524643806667081E-2</v>
      </c>
      <c r="CX38" s="133">
        <f>CX37/CR37-1</f>
        <v>2.4463870159317391E-2</v>
      </c>
      <c r="CY38" s="153">
        <f>CY37/CS37-1</f>
        <v>2.5955878852395253E-2</v>
      </c>
      <c r="DA38" s="151">
        <f>DA37/CU37-1</f>
        <v>2.632433160482206E-2</v>
      </c>
      <c r="DB38" s="133">
        <f>DB37/CV37-1</f>
        <v>2.6291417433967457E-2</v>
      </c>
      <c r="DC38" s="133">
        <f>DC37/CW37-1</f>
        <v>2.625863572338849E-2</v>
      </c>
      <c r="DD38" s="133">
        <f>DD37/CX37-1</f>
        <v>2.4259662333078635E-2</v>
      </c>
      <c r="DE38" s="153">
        <f>DE37/CY37-1</f>
        <v>2.570772971148183E-2</v>
      </c>
      <c r="DG38" s="151">
        <f>DG37/DA37-1</f>
        <v>2.6064682881569379E-2</v>
      </c>
      <c r="DH38" s="133">
        <f>DH37/DB37-1</f>
        <v>2.603280640253991E-2</v>
      </c>
      <c r="DI38" s="133">
        <f>DI37/DC37-1</f>
        <v>2.6001056175325221E-2</v>
      </c>
      <c r="DJ38" s="133">
        <f>DJ37/DD37-1</f>
        <v>2.406114043738028E-2</v>
      </c>
      <c r="DK38" s="153">
        <f>DK37/DE37-1</f>
        <v>2.5467180902555064E-2</v>
      </c>
    </row>
    <row r="39" spans="2:115" ht="15" x14ac:dyDescent="0.3">
      <c r="B39" s="5"/>
      <c r="C39" s="144"/>
      <c r="D39" s="107"/>
      <c r="E39" s="107"/>
      <c r="F39" s="145"/>
      <c r="G39" s="138"/>
      <c r="I39" s="144"/>
      <c r="J39" s="107"/>
      <c r="K39" s="107"/>
      <c r="L39" s="107"/>
      <c r="M39" s="138"/>
      <c r="O39" s="144"/>
      <c r="P39" s="107"/>
      <c r="Q39" s="107"/>
      <c r="R39" s="145"/>
      <c r="S39" s="138"/>
      <c r="U39" s="144"/>
      <c r="V39" s="107"/>
      <c r="W39" s="107"/>
      <c r="X39" s="145"/>
      <c r="Y39" s="138"/>
      <c r="AA39" s="144"/>
      <c r="AB39" s="107"/>
      <c r="AC39" s="107"/>
      <c r="AD39" s="107"/>
      <c r="AE39" s="138"/>
      <c r="AG39" s="144"/>
      <c r="AH39" s="107"/>
      <c r="AI39" s="107"/>
      <c r="AJ39" s="107"/>
      <c r="AK39" s="138"/>
      <c r="AM39" s="144"/>
      <c r="AN39" s="107"/>
      <c r="AO39" s="107"/>
      <c r="AP39" s="107"/>
      <c r="AQ39" s="138"/>
      <c r="AS39" s="144"/>
      <c r="AT39" s="107"/>
      <c r="AU39" s="107"/>
      <c r="AV39" s="107"/>
      <c r="AW39" s="138"/>
      <c r="AY39" s="144"/>
      <c r="AZ39" s="107"/>
      <c r="BA39" s="107"/>
      <c r="BB39" s="107"/>
      <c r="BC39" s="138"/>
      <c r="BE39" s="144"/>
      <c r="BF39" s="107"/>
      <c r="BG39" s="107"/>
      <c r="BH39" s="107"/>
      <c r="BI39" s="138"/>
      <c r="BK39" s="144"/>
      <c r="BL39" s="107"/>
      <c r="BM39" s="107"/>
      <c r="BN39" s="107"/>
      <c r="BO39" s="138"/>
      <c r="BQ39" s="144"/>
      <c r="BR39" s="107"/>
      <c r="BS39" s="107"/>
      <c r="BT39" s="107"/>
      <c r="BU39" s="138"/>
      <c r="BW39" s="144"/>
      <c r="BX39" s="107"/>
      <c r="BY39" s="107"/>
      <c r="BZ39" s="107"/>
      <c r="CA39" s="138"/>
      <c r="CC39" s="144"/>
      <c r="CD39" s="107"/>
      <c r="CE39" s="107"/>
      <c r="CF39" s="107"/>
      <c r="CG39" s="138"/>
      <c r="CI39" s="144"/>
      <c r="CJ39" s="107"/>
      <c r="CK39" s="107"/>
      <c r="CL39" s="107"/>
      <c r="CM39" s="138"/>
      <c r="CO39" s="144"/>
      <c r="CP39" s="107"/>
      <c r="CQ39" s="107"/>
      <c r="CR39" s="107"/>
      <c r="CS39" s="138"/>
      <c r="CU39" s="144"/>
      <c r="CV39" s="107"/>
      <c r="CW39" s="107"/>
      <c r="CX39" s="107"/>
      <c r="CY39" s="138"/>
      <c r="DA39" s="144"/>
      <c r="DB39" s="107"/>
      <c r="DC39" s="107"/>
      <c r="DD39" s="107"/>
      <c r="DE39" s="138"/>
      <c r="DG39" s="144"/>
      <c r="DH39" s="107"/>
      <c r="DI39" s="107"/>
      <c r="DJ39" s="107"/>
      <c r="DK39" s="138"/>
    </row>
    <row r="40" spans="2:115" s="135" customFormat="1" ht="15" x14ac:dyDescent="0.3">
      <c r="B40" s="105" t="s">
        <v>58</v>
      </c>
      <c r="C40" s="156">
        <v>123</v>
      </c>
      <c r="D40" s="157">
        <v>144</v>
      </c>
      <c r="E40" s="157">
        <v>177</v>
      </c>
      <c r="F40" s="158">
        <v>137</v>
      </c>
      <c r="G40" s="159">
        <f>C40+D40+E40+F40</f>
        <v>581</v>
      </c>
      <c r="H40" s="160"/>
      <c r="I40" s="156">
        <v>129</v>
      </c>
      <c r="J40" s="157">
        <v>148</v>
      </c>
      <c r="K40" s="157">
        <v>190</v>
      </c>
      <c r="L40" s="157">
        <v>149</v>
      </c>
      <c r="M40" s="159">
        <f>I40+J40+K40+L40</f>
        <v>616</v>
      </c>
      <c r="N40" s="160"/>
      <c r="O40" s="156">
        <v>134</v>
      </c>
      <c r="P40" s="157">
        <v>139</v>
      </c>
      <c r="Q40" s="157">
        <v>166</v>
      </c>
      <c r="R40" s="158">
        <v>132</v>
      </c>
      <c r="S40" s="159">
        <f>O40+P40+Q40+R40</f>
        <v>571</v>
      </c>
      <c r="T40" s="160"/>
      <c r="U40" s="156">
        <v>118</v>
      </c>
      <c r="V40" s="157">
        <v>132</v>
      </c>
      <c r="W40" s="157">
        <v>155</v>
      </c>
      <c r="X40" s="158">
        <v>118</v>
      </c>
      <c r="Y40" s="159">
        <f>U40+V40+W40+X40</f>
        <v>523</v>
      </c>
      <c r="AA40" s="156">
        <v>101</v>
      </c>
      <c r="AB40" s="157">
        <v>111</v>
      </c>
      <c r="AC40" s="157">
        <v>123</v>
      </c>
      <c r="AD40" s="157">
        <v>103</v>
      </c>
      <c r="AE40" s="159">
        <f>AA40+AB40+AC40+AD40</f>
        <v>438</v>
      </c>
      <c r="AF40" s="247"/>
      <c r="AG40" s="156">
        <v>95</v>
      </c>
      <c r="AH40" s="157">
        <v>101</v>
      </c>
      <c r="AI40" s="157">
        <v>124</v>
      </c>
      <c r="AJ40" s="157">
        <v>95</v>
      </c>
      <c r="AK40" s="159">
        <f>AG40+AH40+AI40+AJ40</f>
        <v>415</v>
      </c>
      <c r="AM40" s="156">
        <v>89</v>
      </c>
      <c r="AN40" s="157">
        <v>96</v>
      </c>
      <c r="AO40" s="157">
        <v>100</v>
      </c>
      <c r="AP40" s="157">
        <v>90</v>
      </c>
      <c r="AQ40" s="159">
        <f>AM40+AN40+AO40+AP40</f>
        <v>375</v>
      </c>
      <c r="AS40" s="156">
        <v>83</v>
      </c>
      <c r="AT40" s="157">
        <v>91</v>
      </c>
      <c r="AU40" s="157">
        <v>102</v>
      </c>
      <c r="AV40" s="157">
        <v>91</v>
      </c>
      <c r="AW40" s="159">
        <f>AS40+AT40+AU40+AV40</f>
        <v>367</v>
      </c>
      <c r="AY40" s="156">
        <v>81</v>
      </c>
      <c r="AZ40" s="157">
        <v>85</v>
      </c>
      <c r="BA40" s="157">
        <v>103</v>
      </c>
      <c r="BB40" s="157">
        <v>90</v>
      </c>
      <c r="BC40" s="159">
        <f>AY40+AZ40+BA40+BB40</f>
        <v>359</v>
      </c>
      <c r="BE40" s="156">
        <v>86</v>
      </c>
      <c r="BF40" s="157">
        <v>93</v>
      </c>
      <c r="BG40" s="157">
        <v>102</v>
      </c>
      <c r="BH40" s="157">
        <v>93</v>
      </c>
      <c r="BI40" s="159">
        <f>BE40+BF40+BG40+BH40</f>
        <v>374</v>
      </c>
      <c r="BK40" s="156">
        <v>90</v>
      </c>
      <c r="BL40" s="157">
        <v>97</v>
      </c>
      <c r="BM40" s="157">
        <v>114</v>
      </c>
      <c r="BN40" s="157">
        <v>99</v>
      </c>
      <c r="BO40" s="159">
        <f>BK40+BL40+BM40+BN40</f>
        <v>400</v>
      </c>
      <c r="BQ40" s="156">
        <f>BQ28+BQ37</f>
        <v>92.622872117904819</v>
      </c>
      <c r="BR40" s="157">
        <f>BR28+BR37</f>
        <v>98.318788919192514</v>
      </c>
      <c r="BS40" s="157">
        <f>BS28+BS37</f>
        <v>113.47958943833953</v>
      </c>
      <c r="BT40" s="157">
        <f>BT28+BT37</f>
        <v>99.869491964516811</v>
      </c>
      <c r="BU40" s="159">
        <f>BQ40+BR40+BS40+BT40</f>
        <v>404.29074243995365</v>
      </c>
      <c r="BW40" s="156">
        <f>BW28+BW37</f>
        <v>93.54370171415357</v>
      </c>
      <c r="BX40" s="157">
        <f>BX28+BX37</f>
        <v>99.471839545194214</v>
      </c>
      <c r="BY40" s="157">
        <f>BY28+BY37</f>
        <v>115.03073491023795</v>
      </c>
      <c r="BZ40" s="157">
        <f>BZ28+BZ37</f>
        <v>101.23884200271775</v>
      </c>
      <c r="CA40" s="159">
        <f>BW40+BX40+BY40+BZ40</f>
        <v>409.28511817230356</v>
      </c>
      <c r="CC40" s="156">
        <f>CC28+CC37</f>
        <v>95.424243871037646</v>
      </c>
      <c r="CD40" s="157">
        <f>CD28+CD37</f>
        <v>101.46123842407589</v>
      </c>
      <c r="CE40" s="157">
        <f>CE28+CE37</f>
        <v>116.72356084571898</v>
      </c>
      <c r="CF40" s="157">
        <f>CF28+CF37</f>
        <v>102.92081769341434</v>
      </c>
      <c r="CG40" s="159">
        <f>CC40+CD40+CE40+CF40</f>
        <v>416.52986083424685</v>
      </c>
      <c r="CI40" s="156">
        <f>CI28+CI37</f>
        <v>97.507506313377263</v>
      </c>
      <c r="CJ40" s="157">
        <f>CJ28+CJ37</f>
        <v>103.67183115929893</v>
      </c>
      <c r="CK40" s="157">
        <f>CK28+CK37</f>
        <v>119.33092131246249</v>
      </c>
      <c r="CL40" s="157">
        <f>CL28+CL37</f>
        <v>105.31561480432626</v>
      </c>
      <c r="CM40" s="159">
        <f>CI40+CJ40+CK40+CL40</f>
        <v>425.825873589465</v>
      </c>
      <c r="CO40" s="156">
        <f>CO28+CO37</f>
        <v>99.857454164595339</v>
      </c>
      <c r="CP40" s="157">
        <f>CP28+CP37</f>
        <v>106.16928735726557</v>
      </c>
      <c r="CQ40" s="157">
        <f>CQ28+CQ37</f>
        <v>122.2820159752273</v>
      </c>
      <c r="CR40" s="157">
        <f>CR28+CR37</f>
        <v>109.07405770743637</v>
      </c>
      <c r="CS40" s="159">
        <f>CO40+CP40+CQ40+CR40</f>
        <v>437.3828152045246</v>
      </c>
      <c r="CU40" s="156">
        <f>CU28+CU37</f>
        <v>102.69433841833006</v>
      </c>
      <c r="CV40" s="157">
        <f>CV28+CV37</f>
        <v>109.18747946032011</v>
      </c>
      <c r="CW40" s="157">
        <f>CW28+CW37</f>
        <v>125.84677530031796</v>
      </c>
      <c r="CX40" s="157">
        <f>CX28+CX37</f>
        <v>112.26799691602744</v>
      </c>
      <c r="CY40" s="159">
        <f>CU40+CV40+CW40+CX40</f>
        <v>449.99659009499555</v>
      </c>
      <c r="DA40" s="156">
        <f>DA28+DA37</f>
        <v>105.27688820940891</v>
      </c>
      <c r="DB40" s="157">
        <f>DB28+DB37</f>
        <v>111.93059745929497</v>
      </c>
      <c r="DC40" s="157">
        <f>DC28+DC37</f>
        <v>129.07127893008709</v>
      </c>
      <c r="DD40" s="157">
        <f>DD28+DD37</f>
        <v>115.18295258400669</v>
      </c>
      <c r="DE40" s="159">
        <f>DA40+DB40+DC40+DD40</f>
        <v>461.46171718279766</v>
      </c>
      <c r="DG40" s="156">
        <f>DG28+DG37</f>
        <v>107.51716915787877</v>
      </c>
      <c r="DH40" s="157">
        <f>DH28+DH37</f>
        <v>114.30385081587193</v>
      </c>
      <c r="DI40" s="157">
        <f>DI28+DI37</f>
        <v>131.84023396342644</v>
      </c>
      <c r="DJ40" s="157">
        <f>DJ28+DJ37</f>
        <v>117.72498475456135</v>
      </c>
      <c r="DK40" s="159">
        <f>DG40+DH40+DI40+DJ40</f>
        <v>471.38623869173853</v>
      </c>
    </row>
    <row r="41" spans="2:115" ht="15.75" thickBot="1" x14ac:dyDescent="0.35">
      <c r="B41" s="140" t="s">
        <v>23</v>
      </c>
      <c r="C41" s="155" t="s">
        <v>35</v>
      </c>
      <c r="D41" s="106" t="s">
        <v>35</v>
      </c>
      <c r="E41" s="106" t="s">
        <v>35</v>
      </c>
      <c r="F41" s="154" t="s">
        <v>35</v>
      </c>
      <c r="G41" s="108" t="s">
        <v>35</v>
      </c>
      <c r="I41" s="109">
        <f>I40/C40-1</f>
        <v>4.8780487804878092E-2</v>
      </c>
      <c r="J41" s="110">
        <f>J40/D40-1</f>
        <v>2.7777777777777679E-2</v>
      </c>
      <c r="K41" s="110">
        <f>K40/E40-1</f>
        <v>7.344632768361592E-2</v>
      </c>
      <c r="L41" s="110">
        <f>L40/F40-1</f>
        <v>8.7591240875912302E-2</v>
      </c>
      <c r="M41" s="122">
        <f>M40/G40-1</f>
        <v>6.024096385542177E-2</v>
      </c>
      <c r="O41" s="109">
        <f>O40/I40-1</f>
        <v>3.8759689922480689E-2</v>
      </c>
      <c r="P41" s="110">
        <f>P40/J40-1</f>
        <v>-6.0810810810810856E-2</v>
      </c>
      <c r="Q41" s="110">
        <f>Q40/K40-1</f>
        <v>-0.12631578947368416</v>
      </c>
      <c r="R41" s="110">
        <f>R40/L40-1</f>
        <v>-0.11409395973154357</v>
      </c>
      <c r="S41" s="122">
        <f>S40/M40-1</f>
        <v>-7.3051948051948035E-2</v>
      </c>
      <c r="U41" s="109">
        <f>U40/O40-1</f>
        <v>-0.11940298507462688</v>
      </c>
      <c r="V41" s="110">
        <f>V40/P40-1</f>
        <v>-5.0359712230215847E-2</v>
      </c>
      <c r="W41" s="110">
        <f>W40/Q40-1</f>
        <v>-6.6265060240963902E-2</v>
      </c>
      <c r="X41" s="120">
        <f>X40/R40-1</f>
        <v>-0.10606060606060608</v>
      </c>
      <c r="Y41" s="122">
        <f>Y40/S40-1</f>
        <v>-8.4063047285464099E-2</v>
      </c>
      <c r="AA41" s="109">
        <f>AA40/U40-1</f>
        <v>-0.14406779661016944</v>
      </c>
      <c r="AB41" s="110">
        <f>AB40/V40-1</f>
        <v>-0.15909090909090906</v>
      </c>
      <c r="AC41" s="110">
        <f>AC40/W40-1</f>
        <v>-0.20645161290322578</v>
      </c>
      <c r="AD41" s="110">
        <f>AD40/X40-1</f>
        <v>-0.1271186440677966</v>
      </c>
      <c r="AE41" s="122">
        <f>AE40/Y40-1</f>
        <v>-0.16252390057361377</v>
      </c>
      <c r="AG41" s="109">
        <f>AG40/AA40-1</f>
        <v>-5.9405940594059459E-2</v>
      </c>
      <c r="AH41" s="110">
        <f>AH40/AB40-1</f>
        <v>-9.0090090090090058E-2</v>
      </c>
      <c r="AI41" s="110">
        <f>AI40/AC40-1</f>
        <v>8.1300813008129413E-3</v>
      </c>
      <c r="AJ41" s="110">
        <f>AJ40/AD40-1</f>
        <v>-7.7669902912621325E-2</v>
      </c>
      <c r="AK41" s="122">
        <f>AK40/AE40-1</f>
        <v>-5.251141552511418E-2</v>
      </c>
      <c r="AM41" s="109">
        <f>AM40/AG40-1</f>
        <v>-6.315789473684208E-2</v>
      </c>
      <c r="AN41" s="110">
        <f>AN40/AH40-1</f>
        <v>-4.9504950495049549E-2</v>
      </c>
      <c r="AO41" s="110">
        <f>AO40/AI40-1</f>
        <v>-0.19354838709677424</v>
      </c>
      <c r="AP41" s="110">
        <f>AP40/AJ40-1</f>
        <v>-5.2631578947368474E-2</v>
      </c>
      <c r="AQ41" s="122">
        <f>AQ40/AK40-1</f>
        <v>-9.6385542168674676E-2</v>
      </c>
      <c r="AS41" s="109">
        <f>AS40/AM40-1</f>
        <v>-6.7415730337078705E-2</v>
      </c>
      <c r="AT41" s="110">
        <f>AT40/AN40-1</f>
        <v>-5.208333333333337E-2</v>
      </c>
      <c r="AU41" s="110">
        <f>AU40/AO40-1</f>
        <v>2.0000000000000018E-2</v>
      </c>
      <c r="AV41" s="110">
        <f>AV40/AP40-1</f>
        <v>1.1111111111111072E-2</v>
      </c>
      <c r="AW41" s="122">
        <f>AW40/AQ40-1</f>
        <v>-2.1333333333333315E-2</v>
      </c>
      <c r="AY41" s="109">
        <f>AY40/AS40-1</f>
        <v>-2.4096385542168641E-2</v>
      </c>
      <c r="AZ41" s="110">
        <f>AZ40/AT40-1</f>
        <v>-6.5934065934065922E-2</v>
      </c>
      <c r="BA41" s="110">
        <f>BA40/AU40-1</f>
        <v>9.8039215686274161E-3</v>
      </c>
      <c r="BB41" s="110">
        <f>BB40/AV40-1</f>
        <v>-1.098901098901095E-2</v>
      </c>
      <c r="BC41" s="122">
        <f>BC40/AW40-1</f>
        <v>-2.1798365122615793E-2</v>
      </c>
      <c r="BE41" s="109">
        <f>BE40/AY40-1</f>
        <v>6.1728395061728447E-2</v>
      </c>
      <c r="BF41" s="110">
        <f>BF40/AZ40-1</f>
        <v>9.4117647058823639E-2</v>
      </c>
      <c r="BG41" s="110">
        <f>BG40/BA40-1</f>
        <v>-9.7087378640776656E-3</v>
      </c>
      <c r="BH41" s="110">
        <f>BH40/BB40-1</f>
        <v>3.3333333333333437E-2</v>
      </c>
      <c r="BI41" s="122">
        <f>BI40/BC40-1</f>
        <v>4.1782729805013963E-2</v>
      </c>
      <c r="BK41" s="109">
        <f>BK40/BE40-1</f>
        <v>4.6511627906976827E-2</v>
      </c>
      <c r="BL41" s="110">
        <f>BL40/BF40-1</f>
        <v>4.3010752688172005E-2</v>
      </c>
      <c r="BM41" s="110">
        <f>BM40/BG40-1</f>
        <v>0.11764705882352944</v>
      </c>
      <c r="BN41" s="110">
        <f>BN40/BH40-1</f>
        <v>6.4516129032258007E-2</v>
      </c>
      <c r="BO41" s="122">
        <f>BO40/BI40-1</f>
        <v>6.9518716577540163E-2</v>
      </c>
      <c r="BQ41" s="109">
        <f>BQ40/BK40-1</f>
        <v>2.9143023532275825E-2</v>
      </c>
      <c r="BR41" s="110">
        <f>BR40/BL40-1</f>
        <v>1.3595762053530969E-2</v>
      </c>
      <c r="BS41" s="110">
        <f>BS40/BM40-1</f>
        <v>-4.5650049268461945E-3</v>
      </c>
      <c r="BT41" s="110">
        <f>BT40/BN40-1</f>
        <v>8.7827471163315352E-3</v>
      </c>
      <c r="BU41" s="122">
        <f>BU40/BO40-1</f>
        <v>1.0726856099884108E-2</v>
      </c>
      <c r="BW41" s="109">
        <f>BW40/BQ40-1</f>
        <v>9.9417085131692229E-3</v>
      </c>
      <c r="BX41" s="110">
        <f>BX40/BR40-1</f>
        <v>1.172767320139978E-2</v>
      </c>
      <c r="BY41" s="110">
        <f>BY40/BS40-1</f>
        <v>1.3668937996477837E-2</v>
      </c>
      <c r="BZ41" s="110">
        <f>BZ40/BT40-1</f>
        <v>1.3711394854070802E-2</v>
      </c>
      <c r="CA41" s="122">
        <f>CA40/BU40-1</f>
        <v>1.2353425908810278E-2</v>
      </c>
      <c r="CC41" s="109">
        <f>CC40/BW40-1</f>
        <v>2.0103354073270907E-2</v>
      </c>
      <c r="CD41" s="110">
        <f>CD40/BX40-1</f>
        <v>1.9999618866783031E-2</v>
      </c>
      <c r="CE41" s="110">
        <f>CE40/BY40-1</f>
        <v>1.4716292448292201E-2</v>
      </c>
      <c r="CF41" s="110">
        <f>CF40/BZ40-1</f>
        <v>1.66139364835034E-2</v>
      </c>
      <c r="CG41" s="122">
        <f>CG40/CA40-1</f>
        <v>1.7700967712423354E-2</v>
      </c>
      <c r="CI41" s="109">
        <f>CI40/CC40-1</f>
        <v>2.1831584488686939E-2</v>
      </c>
      <c r="CJ41" s="110">
        <f>CJ40/CD40-1</f>
        <v>2.1787559166028148E-2</v>
      </c>
      <c r="CK41" s="110">
        <f>CK40/CE40-1</f>
        <v>2.2337910597071575E-2</v>
      </c>
      <c r="CL41" s="110">
        <f>CL40/CF40-1</f>
        <v>2.3268345166530535E-2</v>
      </c>
      <c r="CM41" s="122">
        <f>CM40/CG40-1</f>
        <v>2.2317758291325429E-2</v>
      </c>
      <c r="CO41" s="109">
        <f>CO40/CI40-1</f>
        <v>2.4100173823188742E-2</v>
      </c>
      <c r="CP41" s="110">
        <f>CP40/CJ40-1</f>
        <v>2.4090017221062965E-2</v>
      </c>
      <c r="CQ41" s="110">
        <f>CQ40/CK40-1</f>
        <v>2.4730343403932098E-2</v>
      </c>
      <c r="CR41" s="110">
        <f>CR40/CL40-1</f>
        <v>3.5687423086246062E-2</v>
      </c>
      <c r="CS41" s="122">
        <f>CS40/CM40-1</f>
        <v>2.7140064359268079E-2</v>
      </c>
      <c r="CU41" s="109">
        <f>CU40/CO40-1</f>
        <v>2.8409338866767886E-2</v>
      </c>
      <c r="CV41" s="110">
        <f>CV40/CP40-1</f>
        <v>2.8428109278892943E-2</v>
      </c>
      <c r="CW41" s="110">
        <f>CW40/CQ40-1</f>
        <v>2.9151950895320855E-2</v>
      </c>
      <c r="CX41" s="110">
        <f>CX40/CR40-1</f>
        <v>2.9282299345257723E-2</v>
      </c>
      <c r="CY41" s="122">
        <f>CY40/CS40-1</f>
        <v>2.8839210074068866E-2</v>
      </c>
      <c r="DA41" s="109">
        <f>DA40/CU40-1</f>
        <v>2.5147927635102096E-2</v>
      </c>
      <c r="DB41" s="110">
        <f>DB40/CV40-1</f>
        <v>2.5123008723465734E-2</v>
      </c>
      <c r="DC41" s="110">
        <f>DC40/CW40-1</f>
        <v>2.5622457326174963E-2</v>
      </c>
      <c r="DD41" s="110">
        <f>DD40/CX40-1</f>
        <v>2.5964261838211433E-2</v>
      </c>
      <c r="DE41" s="122">
        <f>DE40/CY40-1</f>
        <v>2.5478253258278682E-2</v>
      </c>
      <c r="DG41" s="109">
        <f>DG40/DA40-1</f>
        <v>2.1279893303966846E-2</v>
      </c>
      <c r="DH41" s="110">
        <f>DH40/DB40-1</f>
        <v>2.1202900819322634E-2</v>
      </c>
      <c r="DI41" s="110">
        <f>DI40/DC40-1</f>
        <v>2.1452913896043313E-2</v>
      </c>
      <c r="DJ41" s="110">
        <f>DJ40/DD40-1</f>
        <v>2.2069517350674639E-2</v>
      </c>
      <c r="DK41" s="122">
        <f>DK40/DE40-1</f>
        <v>2.150670605901972E-2</v>
      </c>
    </row>
    <row r="42" spans="2:115" ht="15.75" thickBot="1" x14ac:dyDescent="0.35">
      <c r="B42" s="1"/>
      <c r="AA42" s="103"/>
      <c r="AB42" s="103"/>
      <c r="AC42" s="103"/>
      <c r="AD42" s="103"/>
      <c r="AE42" s="103"/>
      <c r="AG42" s="103"/>
      <c r="AH42" s="103"/>
      <c r="AI42" s="103"/>
      <c r="AJ42" s="103"/>
      <c r="AK42" s="103"/>
      <c r="AM42" s="103"/>
      <c r="AN42" s="103"/>
      <c r="AO42" s="103"/>
      <c r="AP42" s="103"/>
      <c r="AQ42" s="103"/>
      <c r="AS42" s="103"/>
      <c r="AT42" s="103"/>
      <c r="AU42" s="103"/>
      <c r="AV42" s="103"/>
      <c r="AW42" s="103"/>
      <c r="AY42" s="103"/>
      <c r="AZ42" s="103"/>
      <c r="BA42" s="103"/>
      <c r="BB42" s="103"/>
      <c r="BC42" s="103"/>
      <c r="BE42" s="103"/>
      <c r="BF42" s="103"/>
      <c r="BG42" s="103"/>
      <c r="BH42" s="103"/>
      <c r="BI42" s="103"/>
      <c r="BK42" s="103"/>
      <c r="BL42" s="103"/>
      <c r="BM42" s="103"/>
      <c r="BN42" s="103"/>
      <c r="BO42" s="103"/>
      <c r="BQ42" s="103"/>
      <c r="BR42" s="103"/>
      <c r="BS42" s="103"/>
      <c r="BT42" s="103"/>
      <c r="BU42" s="103"/>
      <c r="BW42" s="103"/>
      <c r="BX42" s="103"/>
      <c r="BY42" s="103"/>
      <c r="BZ42" s="103"/>
      <c r="CA42" s="103"/>
      <c r="CC42" s="103"/>
      <c r="CD42" s="103"/>
      <c r="CE42" s="103"/>
      <c r="CF42" s="103"/>
      <c r="CG42" s="103"/>
      <c r="CI42" s="103"/>
      <c r="CJ42" s="103"/>
      <c r="CK42" s="103"/>
      <c r="CL42" s="103"/>
      <c r="CM42" s="103"/>
      <c r="CO42" s="103"/>
      <c r="CP42" s="103"/>
      <c r="CQ42" s="103"/>
      <c r="CR42" s="103"/>
      <c r="CS42" s="103"/>
      <c r="CU42" s="103"/>
      <c r="CV42" s="103"/>
      <c r="CW42" s="103"/>
      <c r="CX42" s="103"/>
      <c r="CY42" s="103"/>
      <c r="DA42" s="103"/>
      <c r="DB42" s="103"/>
      <c r="DC42" s="103"/>
      <c r="DD42" s="103"/>
      <c r="DE42" s="103"/>
      <c r="DG42" s="103"/>
      <c r="DH42" s="103"/>
      <c r="DI42" s="103"/>
      <c r="DJ42" s="103"/>
      <c r="DK42" s="103"/>
    </row>
    <row r="43" spans="2:115" s="135" customFormat="1" ht="15" x14ac:dyDescent="0.3">
      <c r="B43" s="139" t="s">
        <v>57</v>
      </c>
      <c r="C43" s="178">
        <v>38</v>
      </c>
      <c r="D43" s="179">
        <v>32</v>
      </c>
      <c r="E43" s="179">
        <v>38</v>
      </c>
      <c r="F43" s="180">
        <v>39</v>
      </c>
      <c r="G43" s="202">
        <f>G45*1000/G33</f>
        <v>37.233763415265926</v>
      </c>
      <c r="H43" s="134"/>
      <c r="I43" s="178">
        <v>37</v>
      </c>
      <c r="J43" s="179">
        <v>38</v>
      </c>
      <c r="K43" s="179">
        <v>32</v>
      </c>
      <c r="L43" s="179">
        <v>42</v>
      </c>
      <c r="M43" s="202">
        <f>M45*1000/M33</f>
        <v>37.385536757412112</v>
      </c>
      <c r="N43" s="134"/>
      <c r="O43" s="178">
        <v>30</v>
      </c>
      <c r="P43" s="179">
        <v>25</v>
      </c>
      <c r="Q43" s="179">
        <v>23</v>
      </c>
      <c r="R43" s="179">
        <v>30</v>
      </c>
      <c r="S43" s="202">
        <f>S45*1000/S33</f>
        <v>26.941697379998818</v>
      </c>
      <c r="T43" s="134"/>
      <c r="U43" s="211">
        <v>28</v>
      </c>
      <c r="V43" s="212">
        <v>30</v>
      </c>
      <c r="W43" s="212">
        <v>20</v>
      </c>
      <c r="X43" s="212">
        <v>14</v>
      </c>
      <c r="Y43" s="202">
        <f>Y45*1000/Y33</f>
        <v>21.851963819155198</v>
      </c>
      <c r="AA43" s="211">
        <v>25</v>
      </c>
      <c r="AB43" s="212">
        <v>20</v>
      </c>
      <c r="AC43" s="212">
        <v>10</v>
      </c>
      <c r="AD43" s="212">
        <v>11</v>
      </c>
      <c r="AE43" s="202">
        <f>AE45*1000/AE33</f>
        <v>17.170015993039133</v>
      </c>
      <c r="AG43" s="211">
        <v>12</v>
      </c>
      <c r="AH43" s="212">
        <v>11</v>
      </c>
      <c r="AI43" s="212">
        <v>8</v>
      </c>
      <c r="AJ43" s="212">
        <v>12</v>
      </c>
      <c r="AK43" s="202">
        <f>AK45*1000/AK33</f>
        <v>10.391921634540328</v>
      </c>
      <c r="AM43" s="211">
        <v>14</v>
      </c>
      <c r="AN43" s="212">
        <v>15</v>
      </c>
      <c r="AO43" s="212">
        <v>12</v>
      </c>
      <c r="AP43" s="212">
        <v>15</v>
      </c>
      <c r="AQ43" s="202">
        <f>AQ45*1000/AQ33</f>
        <v>13.896021683296775</v>
      </c>
      <c r="AS43" s="211">
        <v>18</v>
      </c>
      <c r="AT43" s="212">
        <v>19</v>
      </c>
      <c r="AU43" s="212">
        <v>15</v>
      </c>
      <c r="AV43" s="212">
        <v>13</v>
      </c>
      <c r="AW43" s="202">
        <f>AW45*1000/AW33</f>
        <v>15.883616503062958</v>
      </c>
      <c r="AY43" s="211">
        <v>14</v>
      </c>
      <c r="AZ43" s="212">
        <v>12</v>
      </c>
      <c r="BA43" s="212">
        <v>10</v>
      </c>
      <c r="BB43" s="212">
        <v>16</v>
      </c>
      <c r="BC43" s="202">
        <f>BC45*1000/BC33</f>
        <v>12.786205798764371</v>
      </c>
      <c r="BE43" s="211">
        <v>13</v>
      </c>
      <c r="BF43" s="212">
        <v>14</v>
      </c>
      <c r="BG43" s="212">
        <v>11</v>
      </c>
      <c r="BH43" s="212">
        <v>19</v>
      </c>
      <c r="BI43" s="202">
        <f>BI45*1000/BI33</f>
        <v>13.936741932681665</v>
      </c>
      <c r="BK43" s="211">
        <v>20</v>
      </c>
      <c r="BL43" s="212">
        <v>16</v>
      </c>
      <c r="BM43" s="212">
        <v>13</v>
      </c>
      <c r="BN43" s="210">
        <v>11</v>
      </c>
      <c r="BO43" s="202">
        <f>BO45*1000/BO33</f>
        <v>14.820311865240487</v>
      </c>
      <c r="BQ43" s="211">
        <f>BK43*(1+BQ44)</f>
        <v>14</v>
      </c>
      <c r="BR43" s="212">
        <f>BL43*(1+BR44)</f>
        <v>12.8</v>
      </c>
      <c r="BS43" s="212">
        <f>BM43*(1+BS44)</f>
        <v>11.700000000000001</v>
      </c>
      <c r="BT43" s="212">
        <f>BN43*(1+BT44)</f>
        <v>11.274999999999999</v>
      </c>
      <c r="BU43" s="202">
        <f>BU45*1000/BU33</f>
        <v>12.393766821629558</v>
      </c>
      <c r="BW43" s="211">
        <f>BQ43*(1+BW44)</f>
        <v>14.349999999999998</v>
      </c>
      <c r="BX43" s="212">
        <f>BR43*(1+BX44)</f>
        <v>13.12</v>
      </c>
      <c r="BY43" s="212">
        <f>BS43*(1+BY44)</f>
        <v>11.9925</v>
      </c>
      <c r="BZ43" s="212">
        <f>BT43*(1+BZ44)</f>
        <v>11.556874999999998</v>
      </c>
      <c r="CA43" s="202">
        <f>CA45*1000/CA33</f>
        <v>12.713132405366308</v>
      </c>
      <c r="CC43" s="211">
        <f>BW43*(1+CC44)</f>
        <v>14.708749999999997</v>
      </c>
      <c r="CD43" s="212">
        <f>BX43*(1+CD44)</f>
        <v>13.447999999999999</v>
      </c>
      <c r="CE43" s="212">
        <f>BY43*(1+CE44)</f>
        <v>12.2923125</v>
      </c>
      <c r="CF43" s="212">
        <f>BZ43*(1+CF44)</f>
        <v>11.845796874999998</v>
      </c>
      <c r="CG43" s="202">
        <f>CG45*1000/CG33</f>
        <v>13.038775265684581</v>
      </c>
      <c r="CI43" s="211">
        <f>CC43*(1+CI44)</f>
        <v>15.076468749999995</v>
      </c>
      <c r="CJ43" s="212">
        <f>CD43*(1+CJ44)</f>
        <v>13.784199999999997</v>
      </c>
      <c r="CK43" s="212">
        <f>CE43*(1+CK44)</f>
        <v>12.599620312499999</v>
      </c>
      <c r="CL43" s="212">
        <f>CF43*(1+CL44)</f>
        <v>12.141941796874997</v>
      </c>
      <c r="CM43" s="202">
        <f>CM45*1000/CM33</f>
        <v>13.365251769201144</v>
      </c>
      <c r="CO43" s="211">
        <f>CI43*(1+CO44)</f>
        <v>15.453380468749993</v>
      </c>
      <c r="CP43" s="212">
        <f>CJ43*(1+CP44)</f>
        <v>14.128804999999995</v>
      </c>
      <c r="CQ43" s="212">
        <f>CK43*(1+CQ44)</f>
        <v>12.914610820312499</v>
      </c>
      <c r="CR43" s="212">
        <f>CL43*(1+CR44)</f>
        <v>12.445490341796871</v>
      </c>
      <c r="CS43" s="202">
        <f>CS45*1000/CS33</f>
        <v>13.689241387439953</v>
      </c>
      <c r="CU43" s="211">
        <f>CO43*(1+CU44)</f>
        <v>15.839714980468742</v>
      </c>
      <c r="CV43" s="212">
        <f>CP43*(1+CV44)</f>
        <v>14.482025124999993</v>
      </c>
      <c r="CW43" s="212">
        <f>CQ43*(1+CW44)</f>
        <v>13.23747609082031</v>
      </c>
      <c r="CX43" s="212">
        <f>CR43*(1+CX44)</f>
        <v>12.756627600341792</v>
      </c>
      <c r="CY43" s="202">
        <f>CY45*1000/CY33</f>
        <v>14.032212070804487</v>
      </c>
      <c r="DA43" s="211">
        <f>CU43*(1+DA44)</f>
        <v>16.235707854980458</v>
      </c>
      <c r="DB43" s="212">
        <f>CV43*(1+DB44)</f>
        <v>14.844075753124992</v>
      </c>
      <c r="DC43" s="212">
        <f>CW43*(1+DC44)</f>
        <v>13.568412993090817</v>
      </c>
      <c r="DD43" s="212">
        <f>CX43*(1+DD44)</f>
        <v>13.075543290350335</v>
      </c>
      <c r="DE43" s="202">
        <f>DE45*1000/DE33</f>
        <v>14.383752258131178</v>
      </c>
      <c r="DG43" s="211">
        <f>DA43*(1+DG44)</f>
        <v>16.641600551354969</v>
      </c>
      <c r="DH43" s="212">
        <f>DB43*(1+DH44)</f>
        <v>15.215177646953116</v>
      </c>
      <c r="DI43" s="212">
        <f>DC43*(1+DI44)</f>
        <v>13.907623317918086</v>
      </c>
      <c r="DJ43" s="212">
        <f>DD43*(1+DJ44)</f>
        <v>13.402431872609093</v>
      </c>
      <c r="DK43" s="202">
        <f>DK45*1000/DK33</f>
        <v>14.744076566682125</v>
      </c>
    </row>
    <row r="44" spans="2:115" ht="15" x14ac:dyDescent="0.3">
      <c r="B44" s="5" t="s">
        <v>23</v>
      </c>
      <c r="C44" s="144" t="s">
        <v>35</v>
      </c>
      <c r="D44" s="107" t="s">
        <v>35</v>
      </c>
      <c r="E44" s="107" t="s">
        <v>35</v>
      </c>
      <c r="F44" s="145" t="s">
        <v>35</v>
      </c>
      <c r="G44" s="138" t="s">
        <v>35</v>
      </c>
      <c r="I44" s="151">
        <f>I43/C43-1</f>
        <v>-2.6315789473684181E-2</v>
      </c>
      <c r="J44" s="133">
        <f>J43/D43-1</f>
        <v>0.1875</v>
      </c>
      <c r="K44" s="133">
        <f>K43/E43-1</f>
        <v>-0.15789473684210531</v>
      </c>
      <c r="L44" s="133">
        <f>L43/F43-1</f>
        <v>7.6923076923076872E-2</v>
      </c>
      <c r="M44" s="153">
        <f>M43/G43-1</f>
        <v>4.0762288907909561E-3</v>
      </c>
      <c r="O44" s="151">
        <f>O43/I43-1</f>
        <v>-0.18918918918918914</v>
      </c>
      <c r="P44" s="133">
        <f>P43/J43-1</f>
        <v>-0.34210526315789469</v>
      </c>
      <c r="Q44" s="133">
        <f>Q43/K43-1</f>
        <v>-0.28125</v>
      </c>
      <c r="R44" s="133">
        <f>R43/L43-1</f>
        <v>-0.2857142857142857</v>
      </c>
      <c r="S44" s="153">
        <f>S43/M43-1</f>
        <v>-0.27935507373296398</v>
      </c>
      <c r="U44" s="151">
        <f>U43/O43-1</f>
        <v>-6.6666666666666652E-2</v>
      </c>
      <c r="V44" s="133">
        <f>V43/P43-1</f>
        <v>0.19999999999999996</v>
      </c>
      <c r="W44" s="133">
        <f>W43/Q43-1</f>
        <v>-0.13043478260869568</v>
      </c>
      <c r="X44" s="133">
        <f>X43/R43-1</f>
        <v>-0.53333333333333333</v>
      </c>
      <c r="Y44" s="153">
        <f>Y43/S43-1</f>
        <v>-0.18891658862674976</v>
      </c>
      <c r="AA44" s="151">
        <f>AA43/U43-1</f>
        <v>-0.1071428571428571</v>
      </c>
      <c r="AB44" s="133">
        <f>AB43/V43-1</f>
        <v>-0.33333333333333337</v>
      </c>
      <c r="AC44" s="133">
        <f>AC43/W43-1</f>
        <v>-0.5</v>
      </c>
      <c r="AD44" s="133">
        <f>AD43/X43-1</f>
        <v>-0.2142857142857143</v>
      </c>
      <c r="AE44" s="153">
        <f>AE43/Y43-1</f>
        <v>-0.21425753149069005</v>
      </c>
      <c r="AG44" s="151">
        <f>AG43/AA43-1</f>
        <v>-0.52</v>
      </c>
      <c r="AH44" s="133">
        <f>AH43/AB43-1</f>
        <v>-0.44999999999999996</v>
      </c>
      <c r="AI44" s="133">
        <f>AI43/AC43-1</f>
        <v>-0.19999999999999996</v>
      </c>
      <c r="AJ44" s="133">
        <f>AJ43/AD43-1</f>
        <v>9.0909090909090828E-2</v>
      </c>
      <c r="AK44" s="153">
        <f>AK43/AE43-1</f>
        <v>-0.39476342720045809</v>
      </c>
      <c r="AM44" s="151">
        <f>AM43/AG43-1</f>
        <v>0.16666666666666674</v>
      </c>
      <c r="AN44" s="133">
        <f>AN43/AH43-1</f>
        <v>0.36363636363636354</v>
      </c>
      <c r="AO44" s="133">
        <f>AO43/AI43-1</f>
        <v>0.5</v>
      </c>
      <c r="AP44" s="133">
        <f>AP43/AJ43-1</f>
        <v>0.25</v>
      </c>
      <c r="AQ44" s="153">
        <f>AQ43/AK43-1</f>
        <v>0.33719461828018749</v>
      </c>
      <c r="AS44" s="151">
        <f>AS43/AM43-1</f>
        <v>0.28571428571428581</v>
      </c>
      <c r="AT44" s="133">
        <f>AT43/AN43-1</f>
        <v>0.26666666666666661</v>
      </c>
      <c r="AU44" s="133">
        <f>AU43/AO43-1</f>
        <v>0.25</v>
      </c>
      <c r="AV44" s="133">
        <f>AV43/AP43-1</f>
        <v>-0.1333333333333333</v>
      </c>
      <c r="AW44" s="153">
        <f>AW43/AQ43-1</f>
        <v>0.14303337063407873</v>
      </c>
      <c r="AY44" s="151">
        <f>AY43/AS43-1</f>
        <v>-0.22222222222222221</v>
      </c>
      <c r="AZ44" s="133">
        <f>AZ43/AT43-1</f>
        <v>-0.36842105263157898</v>
      </c>
      <c r="BA44" s="133">
        <f>BA43/AU43-1</f>
        <v>-0.33333333333333337</v>
      </c>
      <c r="BB44" s="133">
        <f>BB43/AV43-1</f>
        <v>0.23076923076923084</v>
      </c>
      <c r="BC44" s="153">
        <f>BC43/AW43-1</f>
        <v>-0.19500664119542865</v>
      </c>
      <c r="BE44" s="151">
        <f>BE43/AY43-1</f>
        <v>-7.1428571428571397E-2</v>
      </c>
      <c r="BF44" s="133">
        <f>BF43/AZ43-1</f>
        <v>0.16666666666666674</v>
      </c>
      <c r="BG44" s="133">
        <f>BG43/BA43-1</f>
        <v>0.10000000000000009</v>
      </c>
      <c r="BH44" s="133">
        <f>BH43/BB43-1</f>
        <v>0.1875</v>
      </c>
      <c r="BI44" s="153">
        <f>BI43/BC43-1</f>
        <v>8.9982607195989273E-2</v>
      </c>
      <c r="BK44" s="151">
        <f>BK43/BE43-1</f>
        <v>0.53846153846153855</v>
      </c>
      <c r="BL44" s="133">
        <f>BL43/BF43-1</f>
        <v>0.14285714285714279</v>
      </c>
      <c r="BM44" s="133">
        <f>BM43/BG43-1</f>
        <v>0.18181818181818188</v>
      </c>
      <c r="BN44" s="152">
        <f>BN43/BH43-1</f>
        <v>-0.42105263157894735</v>
      </c>
      <c r="BO44" s="153">
        <f>BO43/BI43-1</f>
        <v>6.3398600392165605E-2</v>
      </c>
      <c r="BQ44" s="151">
        <v>-0.3</v>
      </c>
      <c r="BR44" s="133">
        <v>-0.2</v>
      </c>
      <c r="BS44" s="133">
        <v>-0.1</v>
      </c>
      <c r="BT44" s="133">
        <v>2.5000000000000001E-2</v>
      </c>
      <c r="BU44" s="153">
        <f>BU43/BO43-1</f>
        <v>-0.16373103789415799</v>
      </c>
      <c r="BW44" s="151">
        <v>2.5000000000000001E-2</v>
      </c>
      <c r="BX44" s="133">
        <v>2.5000000000000001E-2</v>
      </c>
      <c r="BY44" s="133">
        <v>2.5000000000000001E-2</v>
      </c>
      <c r="BZ44" s="133">
        <v>2.5000000000000001E-2</v>
      </c>
      <c r="CA44" s="153">
        <f>CA43/BU43-1</f>
        <v>2.5768242079510006E-2</v>
      </c>
      <c r="CC44" s="151">
        <v>2.5000000000000001E-2</v>
      </c>
      <c r="CD44" s="133">
        <v>2.5000000000000001E-2</v>
      </c>
      <c r="CE44" s="133">
        <v>2.5000000000000001E-2</v>
      </c>
      <c r="CF44" s="133">
        <v>2.5000000000000001E-2</v>
      </c>
      <c r="CG44" s="153">
        <f>CG43/CA43-1</f>
        <v>2.561468330030281E-2</v>
      </c>
      <c r="CI44" s="151">
        <v>2.5000000000000001E-2</v>
      </c>
      <c r="CJ44" s="133">
        <v>2.5000000000000001E-2</v>
      </c>
      <c r="CK44" s="133">
        <v>2.5000000000000001E-2</v>
      </c>
      <c r="CL44" s="133">
        <v>2.5000000000000001E-2</v>
      </c>
      <c r="CM44" s="153">
        <f>CM43/CG43-1</f>
        <v>2.5038893367215431E-2</v>
      </c>
      <c r="CO44" s="151">
        <v>2.5000000000000001E-2</v>
      </c>
      <c r="CP44" s="133">
        <v>2.5000000000000001E-2</v>
      </c>
      <c r="CQ44" s="133">
        <v>2.5000000000000001E-2</v>
      </c>
      <c r="CR44" s="133">
        <v>2.5000000000000001E-2</v>
      </c>
      <c r="CS44" s="153">
        <f>CS43/CM43-1</f>
        <v>2.4241190800865287E-2</v>
      </c>
      <c r="CU44" s="151">
        <v>2.5000000000000001E-2</v>
      </c>
      <c r="CV44" s="133">
        <v>2.5000000000000001E-2</v>
      </c>
      <c r="CW44" s="133">
        <v>2.5000000000000001E-2</v>
      </c>
      <c r="CX44" s="133">
        <v>2.5000000000000001E-2</v>
      </c>
      <c r="CY44" s="153">
        <f>CY43/CS43-1</f>
        <v>2.5054031385494779E-2</v>
      </c>
      <c r="DA44" s="151">
        <v>2.5000000000000001E-2</v>
      </c>
      <c r="DB44" s="133">
        <v>2.5000000000000001E-2</v>
      </c>
      <c r="DC44" s="133">
        <v>2.5000000000000001E-2</v>
      </c>
      <c r="DD44" s="133">
        <v>2.5000000000000001E-2</v>
      </c>
      <c r="DE44" s="153">
        <f>DE43/CY43-1</f>
        <v>2.5052371326264922E-2</v>
      </c>
      <c r="DG44" s="151">
        <v>2.5000000000000001E-2</v>
      </c>
      <c r="DH44" s="133">
        <v>2.5000000000000001E-2</v>
      </c>
      <c r="DI44" s="133">
        <v>2.5000000000000001E-2</v>
      </c>
      <c r="DJ44" s="133">
        <v>2.5000000000000001E-2</v>
      </c>
      <c r="DK44" s="153">
        <f>DK43/DE43-1</f>
        <v>2.5050786615659071E-2</v>
      </c>
    </row>
    <row r="45" spans="2:115" ht="15" x14ac:dyDescent="0.3">
      <c r="B45" s="105" t="s">
        <v>55</v>
      </c>
      <c r="C45" s="193">
        <f>C43*C33/1000</f>
        <v>3.7715000000000001</v>
      </c>
      <c r="D45" s="194">
        <f>D43*D33/1000</f>
        <v>3.5024640000000002</v>
      </c>
      <c r="E45" s="194">
        <f>E43*E33/1000</f>
        <v>5.4625000000000004</v>
      </c>
      <c r="F45" s="195">
        <f>F43*F33/1000</f>
        <v>8.5375680000000003</v>
      </c>
      <c r="G45" s="159">
        <f>C45+D45+E45+F45</f>
        <v>21.274032000000002</v>
      </c>
      <c r="I45" s="193">
        <f>I43*I33/1000</f>
        <v>5.7381080000000004</v>
      </c>
      <c r="J45" s="194">
        <f>J43*J33/1000</f>
        <v>6.8372640000000002</v>
      </c>
      <c r="K45" s="194">
        <f>K43*K33/1000</f>
        <v>5.9335360000000001</v>
      </c>
      <c r="L45" s="195">
        <f>L43*L33/1000</f>
        <v>8.6270100000000003</v>
      </c>
      <c r="M45" s="159">
        <f>I45+J45+K45+L45</f>
        <v>27.135918000000004</v>
      </c>
      <c r="N45" s="129"/>
      <c r="O45" s="193">
        <f>O43*O33/1000</f>
        <v>6.4229250000000002</v>
      </c>
      <c r="P45" s="194">
        <f>P43*P33/1000</f>
        <v>5.5388000000000002</v>
      </c>
      <c r="Q45" s="194">
        <f>Q43*Q33/1000</f>
        <v>4.3828800000000001</v>
      </c>
      <c r="R45" s="195">
        <f>R43*R33/1000</f>
        <v>5.1650400000000003</v>
      </c>
      <c r="S45" s="159">
        <f>O45+P45+Q45+R45</f>
        <v>21.509645000000003</v>
      </c>
      <c r="U45" s="193">
        <f>U43*U33/1000</f>
        <v>3.9942560000000005</v>
      </c>
      <c r="V45" s="194">
        <f>V43*V33/1000</f>
        <v>5.9550899999999993</v>
      </c>
      <c r="W45" s="194">
        <f>W43*W33/1000</f>
        <v>3.8981600000000003</v>
      </c>
      <c r="X45" s="194">
        <f>X43*X33/1000</f>
        <v>3.8039749999999994</v>
      </c>
      <c r="Y45" s="196">
        <f>U45+V45+W45+X45</f>
        <v>17.651481</v>
      </c>
      <c r="AA45" s="193">
        <f>AA43*AA33/1000</f>
        <v>5.2831500000000009</v>
      </c>
      <c r="AB45" s="194">
        <f>AB43*AB33/1000</f>
        <v>3.7758600000000002</v>
      </c>
      <c r="AC45" s="194">
        <f>AC43*AC33/1000</f>
        <v>1.4777099999999999</v>
      </c>
      <c r="AD45" s="194">
        <f>AD43*AD33/1000</f>
        <v>2.0135830000000001</v>
      </c>
      <c r="AE45" s="196">
        <f>AA45+AB45+AC45+AD45</f>
        <v>12.550303000000001</v>
      </c>
      <c r="AG45" s="193">
        <f>AG43*AG33/1000</f>
        <v>1.3296000000000003</v>
      </c>
      <c r="AH45" s="194">
        <f>AH43*AH33/1000</f>
        <v>2.1802880000000004</v>
      </c>
      <c r="AI45" s="194">
        <f>AI43*AI33/1000</f>
        <v>2.024152</v>
      </c>
      <c r="AJ45" s="194">
        <f>AJ43*AJ33/1000</f>
        <v>2.2872060000000003</v>
      </c>
      <c r="AK45" s="196">
        <f>AG45+AH45+AI45+AJ45</f>
        <v>7.8212460000000013</v>
      </c>
      <c r="AM45" s="193">
        <f>AM43*AM33/1000</f>
        <v>2.6820499999999998</v>
      </c>
      <c r="AN45" s="194">
        <f>AN43*AN33/1000</f>
        <v>3.3405149999999999</v>
      </c>
      <c r="AO45" s="194">
        <f>AO43*AO33/1000</f>
        <v>2.9793240000000001</v>
      </c>
      <c r="AP45" s="194">
        <f>AP43*AP33/1000</f>
        <v>2.7848624999999996</v>
      </c>
      <c r="AQ45" s="196">
        <f>AM45+AN45+AO45+AP45</f>
        <v>11.786751499999999</v>
      </c>
      <c r="AS45" s="193">
        <f>AS43*AS33/1000</f>
        <v>3.0242250000000004</v>
      </c>
      <c r="AT45" s="194">
        <f>AT43*AT33/1000</f>
        <v>3.6861900000000003</v>
      </c>
      <c r="AU45" s="194">
        <f>AU43*AU33/1000</f>
        <v>3.2832000000000003</v>
      </c>
      <c r="AV45" s="194">
        <f>AV43*AV33/1000</f>
        <v>3.4568300000000005</v>
      </c>
      <c r="AW45" s="196">
        <f>AS45+AT45+AU45+AV45</f>
        <v>13.450445000000002</v>
      </c>
      <c r="AY45" s="193">
        <f>AY43*AY33/1000</f>
        <v>2.0156359999999998</v>
      </c>
      <c r="AZ45" s="194">
        <f>AZ43*AZ33/1000</f>
        <v>0.76380000000000003</v>
      </c>
      <c r="BA45" s="194">
        <f>BA43*BA33/1000</f>
        <v>2.32612</v>
      </c>
      <c r="BB45" s="194">
        <f>BB43*BB33/1000</f>
        <v>2.6057279999999996</v>
      </c>
      <c r="BC45" s="196">
        <f>AY45+AZ45+BA45+BB45</f>
        <v>7.7112839999999991</v>
      </c>
      <c r="BE45" s="193">
        <f>BE43*BE33/1000</f>
        <v>1.8995730000000002</v>
      </c>
      <c r="BF45" s="194">
        <f>BF43*BF33/1000</f>
        <v>2.6168240000000003</v>
      </c>
      <c r="BG45" s="194">
        <f>BG43*BG33/1000</f>
        <v>2.7588880000000002</v>
      </c>
      <c r="BH45" s="194">
        <f>BH43*BH33/1000</f>
        <v>3.2332204999999994</v>
      </c>
      <c r="BI45" s="196">
        <f>BE45+BF45+BG45+BH45</f>
        <v>10.5085055</v>
      </c>
      <c r="BK45" s="193">
        <f>BK43*BK33/1000</f>
        <v>2.9670999999999998</v>
      </c>
      <c r="BL45" s="194">
        <f>BL43*BL33/1000</f>
        <v>2.7800160000000003</v>
      </c>
      <c r="BM45" s="194">
        <f>BM43*BM33/1000</f>
        <v>2.6366729999999996</v>
      </c>
      <c r="BN45" s="195">
        <f>BN43*BN33/1000</f>
        <v>1.7397214999999999</v>
      </c>
      <c r="BO45" s="196">
        <f>BK45+BL45+BM45+BN45</f>
        <v>10.1235105</v>
      </c>
      <c r="BQ45" s="193">
        <f>BQ43*BQ33/1000</f>
        <v>1.7407600000000001</v>
      </c>
      <c r="BR45" s="194">
        <f>BR43*BR33/1000</f>
        <v>1.6497919999999999</v>
      </c>
      <c r="BS45" s="194">
        <f>BS43*BS33/1000</f>
        <v>1.6250129999999998</v>
      </c>
      <c r="BT45" s="194">
        <f>BT43*BT33/1000</f>
        <v>1.5693672499999998</v>
      </c>
      <c r="BU45" s="196">
        <f>BQ45+BR45+BS45+BT45</f>
        <v>6.5849322499999996</v>
      </c>
      <c r="BW45" s="193">
        <f>BW43*BW33/1000</f>
        <v>2.0016815000000001</v>
      </c>
      <c r="BX45" s="194">
        <f>BX43*BX33/1000</f>
        <v>1.8340447999999998</v>
      </c>
      <c r="BY45" s="194">
        <f>BY43*BY33/1000</f>
        <v>1.7417906999999999</v>
      </c>
      <c r="BZ45" s="194">
        <f>BZ43*BZ33/1000</f>
        <v>1.8044904624999996</v>
      </c>
      <c r="CA45" s="196">
        <f>BW45+BX45+BY45+BZ45</f>
        <v>7.3820074624999998</v>
      </c>
      <c r="CC45" s="193">
        <f>CC43*CC33/1000</f>
        <v>2.0870245374999996</v>
      </c>
      <c r="CD45" s="194">
        <f>CD43*CD33/1000</f>
        <v>1.9121711199999998</v>
      </c>
      <c r="CE45" s="194">
        <f>CE43*CE33/1000</f>
        <v>1.7515316081250001</v>
      </c>
      <c r="CF45" s="194">
        <f>CF43*CF33/1000</f>
        <v>1.8744788974999997</v>
      </c>
      <c r="CG45" s="196">
        <f>CC45+CD45+CE45+CF45</f>
        <v>7.6252061631249992</v>
      </c>
      <c r="CI45" s="193">
        <f>CI43*CI33/1000</f>
        <v>2.1708607353124991</v>
      </c>
      <c r="CJ45" s="194">
        <f>CJ43*CJ33/1000</f>
        <v>1.9889222179999995</v>
      </c>
      <c r="CK45" s="194">
        <f>CK43*CK33/1000</f>
        <v>1.8217791009843749</v>
      </c>
      <c r="CL45" s="194">
        <f>CL43*CL33/1000</f>
        <v>1.9468389477109371</v>
      </c>
      <c r="CM45" s="196">
        <f>CI45+CJ45+CK45+CL45</f>
        <v>7.9284010020078108</v>
      </c>
      <c r="CO45" s="193">
        <f>CO43*CO33/1000</f>
        <v>2.2575843526796868</v>
      </c>
      <c r="CP45" s="194">
        <f>CP43*CP33/1000</f>
        <v>2.0683157639499989</v>
      </c>
      <c r="CQ45" s="194">
        <f>CQ43*CQ33/1000</f>
        <v>1.8944442612316403</v>
      </c>
      <c r="CR45" s="194">
        <f>CR43*CR33/1000</f>
        <v>2.0857397263817381</v>
      </c>
      <c r="CS45" s="196">
        <f>CO45+CP45+CQ45+CR45</f>
        <v>8.306084104243066</v>
      </c>
      <c r="CU45" s="193">
        <f>CU43*CU33/1000</f>
        <v>2.3520392774498031</v>
      </c>
      <c r="CV45" s="194">
        <f>CV43*CV33/1000</f>
        <v>2.154780518348749</v>
      </c>
      <c r="CW45" s="194">
        <f>CW43*CW33/1000</f>
        <v>1.9735753103804001</v>
      </c>
      <c r="CX45" s="194">
        <f>CX43*CX33/1000</f>
        <v>2.1684991257821014</v>
      </c>
      <c r="CY45" s="196">
        <f>CU45+CV45+CW45+CX45</f>
        <v>8.6488942319610533</v>
      </c>
      <c r="DA45" s="193">
        <f>DA43*DA33/1000</f>
        <v>2.449805958238001</v>
      </c>
      <c r="DB45" s="194">
        <f>DB43*DB33/1000</f>
        <v>2.2442758131149678</v>
      </c>
      <c r="DC45" s="194">
        <f>DC43*DC33/1000</f>
        <v>2.0554788843233278</v>
      </c>
      <c r="DD45" s="194">
        <f>DD43*DD33/1000</f>
        <v>2.2540929078234941</v>
      </c>
      <c r="DE45" s="196">
        <f>DA45+DB45+DC45+DD45</f>
        <v>9.0036535634997907</v>
      </c>
      <c r="DG45" s="193">
        <f>DG43*DG33/1000</f>
        <v>2.5509909485172031</v>
      </c>
      <c r="DH45" s="194">
        <f>DH43*DH33/1000</f>
        <v>2.3368991347955288</v>
      </c>
      <c r="DI45" s="194">
        <f>DI43*DI33/1000</f>
        <v>2.140244152394414</v>
      </c>
      <c r="DJ45" s="194">
        <f>DJ43*DJ33/1000</f>
        <v>2.3426110670133431</v>
      </c>
      <c r="DK45" s="196">
        <f>DG45+DH45+DI45+DJ45</f>
        <v>9.3707453027204899</v>
      </c>
    </row>
    <row r="46" spans="2:115" ht="15" x14ac:dyDescent="0.3">
      <c r="B46" s="5" t="s">
        <v>23</v>
      </c>
      <c r="C46" s="144" t="s">
        <v>35</v>
      </c>
      <c r="D46" s="107" t="s">
        <v>35</v>
      </c>
      <c r="E46" s="107" t="s">
        <v>35</v>
      </c>
      <c r="F46" s="145" t="s">
        <v>35</v>
      </c>
      <c r="G46" s="138" t="s">
        <v>35</v>
      </c>
      <c r="I46" s="151">
        <f>I45/C45-1</f>
        <v>0.52143921516637959</v>
      </c>
      <c r="J46" s="133">
        <f>J45/D45-1</f>
        <v>0.95212970069071368</v>
      </c>
      <c r="K46" s="133">
        <f>K45/E45-1</f>
        <v>8.6230846681922158E-2</v>
      </c>
      <c r="L46" s="133">
        <f>L45/F45-1</f>
        <v>1.047628551831159E-2</v>
      </c>
      <c r="M46" s="153">
        <f>M45/G45-1</f>
        <v>0.27554184368999723</v>
      </c>
      <c r="O46" s="151">
        <f>O45/I45-1</f>
        <v>0.11934543581264068</v>
      </c>
      <c r="P46" s="133">
        <f>P45/J45-1</f>
        <v>-0.18990988208148751</v>
      </c>
      <c r="Q46" s="133">
        <f>Q45/K45-1</f>
        <v>-0.26133759026657966</v>
      </c>
      <c r="R46" s="133">
        <f>R45/L45-1</f>
        <v>-0.40129430706583158</v>
      </c>
      <c r="S46" s="153">
        <f>S45/M45-1</f>
        <v>-0.20733674829058668</v>
      </c>
      <c r="U46" s="151">
        <f>U45/O45-1</f>
        <v>-0.3781250754134603</v>
      </c>
      <c r="V46" s="133">
        <f>V45/P45-1</f>
        <v>7.515887917960562E-2</v>
      </c>
      <c r="W46" s="133">
        <f>W45/Q45-1</f>
        <v>-0.11059394735881423</v>
      </c>
      <c r="X46" s="133">
        <f>X45/R45-1</f>
        <v>-0.26351490017502299</v>
      </c>
      <c r="Y46" s="153">
        <f>Y45/S45-1</f>
        <v>-0.17936902259428278</v>
      </c>
      <c r="AA46" s="151">
        <f>AA45/U45-1</f>
        <v>0.32268687835732113</v>
      </c>
      <c r="AB46" s="133">
        <f>AB45/V45-1</f>
        <v>-0.36594409152506502</v>
      </c>
      <c r="AC46" s="133">
        <f>AC45/W45-1</f>
        <v>-0.62092115254376434</v>
      </c>
      <c r="AD46" s="133">
        <f>AD45/X45-1</f>
        <v>-0.47066345073245741</v>
      </c>
      <c r="AE46" s="153">
        <f>AE45/Y45-1</f>
        <v>-0.28899433424311527</v>
      </c>
      <c r="AG46" s="151">
        <f>AG45/AA45-1</f>
        <v>-0.74833196104596689</v>
      </c>
      <c r="AH46" s="133">
        <f>AH45/AB45-1</f>
        <v>-0.42257181145487377</v>
      </c>
      <c r="AI46" s="133">
        <f>AI45/AC45-1</f>
        <v>0.36978974223629812</v>
      </c>
      <c r="AJ46" s="133">
        <f>AJ45/AD45-1</f>
        <v>0.13588861248828588</v>
      </c>
      <c r="AK46" s="153">
        <f>AK45/AE45-1</f>
        <v>-0.37680819339580884</v>
      </c>
      <c r="AM46" s="151">
        <f>AM45/AG45-1</f>
        <v>1.0171856197352582</v>
      </c>
      <c r="AN46" s="133">
        <f>AN45/AH45-1</f>
        <v>0.53214391860157884</v>
      </c>
      <c r="AO46" s="133">
        <f>AO45/AI45-1</f>
        <v>0.47188748671048431</v>
      </c>
      <c r="AP46" s="133">
        <f>AP45/AJ45-1</f>
        <v>0.21758271882812452</v>
      </c>
      <c r="AQ46" s="153">
        <f>AQ45/AK45-1</f>
        <v>0.50701710443578896</v>
      </c>
      <c r="AS46" s="151">
        <f>AS45/AM45-1</f>
        <v>0.12757964989467041</v>
      </c>
      <c r="AT46" s="133">
        <f>AT45/AN45-1</f>
        <v>0.10347955330240999</v>
      </c>
      <c r="AU46" s="133">
        <f>AU45/AO45-1</f>
        <v>0.10199494918981622</v>
      </c>
      <c r="AV46" s="133">
        <f>AV45/AP45-1</f>
        <v>0.24129288250317593</v>
      </c>
      <c r="AW46" s="153">
        <f>AW45/AQ45-1</f>
        <v>0.14114945072015828</v>
      </c>
      <c r="AY46" s="151">
        <f>AY45/AS45-1</f>
        <v>-0.33350329423240677</v>
      </c>
      <c r="AZ46" s="133">
        <f>AZ45/AT45-1</f>
        <v>-0.79279418586670791</v>
      </c>
      <c r="BA46" s="133">
        <f>BA45/AU45-1</f>
        <v>-0.29150828460038991</v>
      </c>
      <c r="BB46" s="133">
        <f>BB45/AV45-1</f>
        <v>-0.24620880980551574</v>
      </c>
      <c r="BC46" s="153">
        <f>BC45/AW45-1</f>
        <v>-0.42668930284462725</v>
      </c>
      <c r="BE46" s="151">
        <f>BE45/AY45-1</f>
        <v>-5.7581329168559958E-2</v>
      </c>
      <c r="BF46" s="133">
        <f>BF45/AZ45-1</f>
        <v>2.4260591777952345</v>
      </c>
      <c r="BG46" s="133">
        <f>BG45/BA45-1</f>
        <v>0.18604715147971751</v>
      </c>
      <c r="BH46" s="133">
        <f>BH45/BB45-1</f>
        <v>0.24081274023996357</v>
      </c>
      <c r="BI46" s="153">
        <f>BI45/BC45-1</f>
        <v>0.36274393473252986</v>
      </c>
      <c r="BK46" s="151">
        <f>BK45/BE45-1</f>
        <v>0.56198261398745908</v>
      </c>
      <c r="BL46" s="133">
        <f>BL45/BF45-1</f>
        <v>6.236261972528534E-2</v>
      </c>
      <c r="BM46" s="133">
        <f>BM45/BG45-1</f>
        <v>-4.4298644961303424E-2</v>
      </c>
      <c r="BN46" s="152">
        <f>BN45/BH45-1</f>
        <v>-0.46192302690150566</v>
      </c>
      <c r="BO46" s="153">
        <f>BO45/BI45-1</f>
        <v>-3.6636513155938299E-2</v>
      </c>
      <c r="BQ46" s="151">
        <f>BQ45/BK45-1</f>
        <v>-0.41331266219540963</v>
      </c>
      <c r="BR46" s="133">
        <f>BR45/BL45-1</f>
        <v>-0.40655305580975087</v>
      </c>
      <c r="BS46" s="133">
        <f>BS45/BM45-1</f>
        <v>-0.38368807963672402</v>
      </c>
      <c r="BT46" s="133">
        <f>BT45/BN45-1</f>
        <v>-9.7920414273204193E-2</v>
      </c>
      <c r="BU46" s="153">
        <f>BU45/BO45-1</f>
        <v>-0.34954063118717571</v>
      </c>
      <c r="BW46" s="151">
        <f>BW45/BQ45-1</f>
        <v>0.14988941611709827</v>
      </c>
      <c r="BX46" s="133">
        <f>BX45/BR45-1</f>
        <v>0.11168244239273784</v>
      </c>
      <c r="BY46" s="133">
        <f>BY45/BS45-1</f>
        <v>7.1862625098999322E-2</v>
      </c>
      <c r="BZ46" s="133">
        <f>BZ45/BT45-1</f>
        <v>0.1498203893957899</v>
      </c>
      <c r="CA46" s="153">
        <f>CA45/BU45-1</f>
        <v>0.12104531713291355</v>
      </c>
      <c r="CC46" s="151">
        <f>CC45/BW45-1</f>
        <v>4.2635672808086333E-2</v>
      </c>
      <c r="CD46" s="133">
        <f>CD45/BX45-1</f>
        <v>4.2597825309392601E-2</v>
      </c>
      <c r="CE46" s="133">
        <f>CE45/BY45-1</f>
        <v>5.5924676397687278E-3</v>
      </c>
      <c r="CF46" s="133">
        <f>CF45/BZ45-1</f>
        <v>3.8785705136416215E-2</v>
      </c>
      <c r="CG46" s="153">
        <f>CG45/CA45-1</f>
        <v>3.2944792031223136E-2</v>
      </c>
      <c r="CI46" s="151">
        <f>CI45/CC45-1</f>
        <v>4.0170202269363298E-2</v>
      </c>
      <c r="CJ46" s="133">
        <f>CJ45/CD45-1</f>
        <v>4.0138195372388941E-2</v>
      </c>
      <c r="CK46" s="133">
        <f>CK45/CE45-1</f>
        <v>4.0106323250754361E-2</v>
      </c>
      <c r="CL46" s="133">
        <f>CL45/CF45-1</f>
        <v>3.86027553083923E-2</v>
      </c>
      <c r="CM46" s="153">
        <f>CM45/CG45-1</f>
        <v>3.9762182476985597E-2</v>
      </c>
      <c r="CO46" s="151">
        <f>CO45/CI45-1</f>
        <v>3.9948954788527002E-2</v>
      </c>
      <c r="CP46" s="133">
        <f>CP45/CJ45-1</f>
        <v>3.9917873726522668E-2</v>
      </c>
      <c r="CQ46" s="133">
        <f>CQ45/CK45-1</f>
        <v>3.9886921640500672E-2</v>
      </c>
      <c r="CR46" s="133">
        <f>CR45/CL45-1</f>
        <v>7.1346825495821387E-2</v>
      </c>
      <c r="CS46" s="153">
        <f>CS45/CM45-1</f>
        <v>4.7636730551293915E-2</v>
      </c>
      <c r="CU46" s="151">
        <f>CU45/CO45-1</f>
        <v>4.1838934903141611E-2</v>
      </c>
      <c r="CV46" s="133">
        <f>CV45/CP45-1</f>
        <v>4.180442653186689E-2</v>
      </c>
      <c r="CW46" s="133">
        <f>CW45/CQ45-1</f>
        <v>4.1770059308746443E-2</v>
      </c>
      <c r="CX46" s="133">
        <f>CX45/CR45-1</f>
        <v>3.9678680112178233E-2</v>
      </c>
      <c r="CY46" s="153">
        <f>CY45/CS45-1</f>
        <v>4.127217150893836E-2</v>
      </c>
      <c r="DA46" s="151">
        <f>DA45/CU45-1</f>
        <v>4.1566772173210254E-2</v>
      </c>
      <c r="DB46" s="133">
        <f>DB45/CV45-1</f>
        <v>4.1533369178036184E-2</v>
      </c>
      <c r="DC46" s="133">
        <f>DC45/CW45-1</f>
        <v>4.1500100610369461E-2</v>
      </c>
      <c r="DD46" s="133">
        <f>DD45/CX45-1</f>
        <v>3.9471439496440608E-2</v>
      </c>
      <c r="DE46" s="153">
        <f>DE45/CY45-1</f>
        <v>4.1017882982978593E-2</v>
      </c>
      <c r="DG46" s="151">
        <f>DG45/DA45-1</f>
        <v>4.1303267280800693E-2</v>
      </c>
      <c r="DH46" s="133">
        <f>DH45/DB45-1</f>
        <v>4.12709173887158E-2</v>
      </c>
      <c r="DI46" s="133">
        <f>DI45/DC45-1</f>
        <v>4.1238695623473376E-2</v>
      </c>
      <c r="DJ46" s="133">
        <f>DJ45/DD45-1</f>
        <v>3.9269969255757209E-2</v>
      </c>
      <c r="DK46" s="153">
        <f>DK45/DE45-1</f>
        <v>4.0771419805495812E-2</v>
      </c>
    </row>
    <row r="47" spans="2:115" ht="15" x14ac:dyDescent="0.3">
      <c r="B47" s="5"/>
      <c r="C47" s="144"/>
      <c r="D47" s="107"/>
      <c r="E47" s="107"/>
      <c r="F47" s="145"/>
      <c r="G47" s="138"/>
      <c r="I47" s="144"/>
      <c r="J47" s="107"/>
      <c r="K47" s="107"/>
      <c r="L47" s="107"/>
      <c r="M47" s="138"/>
      <c r="O47" s="144"/>
      <c r="P47" s="107"/>
      <c r="Q47" s="107"/>
      <c r="R47" s="107"/>
      <c r="S47" s="138"/>
      <c r="U47" s="144"/>
      <c r="V47" s="107"/>
      <c r="W47" s="107"/>
      <c r="X47" s="107"/>
      <c r="Y47" s="138"/>
      <c r="AA47" s="144"/>
      <c r="AB47" s="107"/>
      <c r="AC47" s="107"/>
      <c r="AD47" s="107"/>
      <c r="AE47" s="138"/>
      <c r="AG47" s="144"/>
      <c r="AH47" s="107"/>
      <c r="AI47" s="107"/>
      <c r="AJ47" s="107"/>
      <c r="AK47" s="138"/>
      <c r="AM47" s="144"/>
      <c r="AN47" s="107"/>
      <c r="AO47" s="107"/>
      <c r="AP47" s="107"/>
      <c r="AQ47" s="138"/>
      <c r="AS47" s="144"/>
      <c r="AT47" s="107"/>
      <c r="AU47" s="107"/>
      <c r="AV47" s="107"/>
      <c r="AW47" s="138"/>
      <c r="AY47" s="144"/>
      <c r="AZ47" s="107"/>
      <c r="BA47" s="107"/>
      <c r="BB47" s="107"/>
      <c r="BC47" s="138"/>
      <c r="BE47" s="144"/>
      <c r="BF47" s="107"/>
      <c r="BG47" s="107"/>
      <c r="BH47" s="107"/>
      <c r="BI47" s="138"/>
      <c r="BK47" s="144"/>
      <c r="BL47" s="107"/>
      <c r="BM47" s="107"/>
      <c r="BN47" s="145"/>
      <c r="BO47" s="138"/>
      <c r="BQ47" s="144"/>
      <c r="BR47" s="107"/>
      <c r="BS47" s="107"/>
      <c r="BT47" s="145"/>
      <c r="BU47" s="145"/>
      <c r="BW47" s="144"/>
      <c r="BX47" s="107"/>
      <c r="BY47" s="107"/>
      <c r="BZ47" s="145"/>
      <c r="CA47" s="145"/>
      <c r="CC47" s="144"/>
      <c r="CD47" s="107"/>
      <c r="CE47" s="107"/>
      <c r="CF47" s="145"/>
      <c r="CG47" s="145"/>
      <c r="CI47" s="144"/>
      <c r="CJ47" s="107"/>
      <c r="CK47" s="107"/>
      <c r="CL47" s="145"/>
      <c r="CM47" s="145"/>
      <c r="CO47" s="144"/>
      <c r="CP47" s="107"/>
      <c r="CQ47" s="107"/>
      <c r="CR47" s="145"/>
      <c r="CS47" s="145"/>
      <c r="CU47" s="144"/>
      <c r="CV47" s="107"/>
      <c r="CW47" s="107"/>
      <c r="CX47" s="145"/>
      <c r="CY47" s="145"/>
      <c r="DA47" s="144"/>
      <c r="DB47" s="107"/>
      <c r="DC47" s="107"/>
      <c r="DD47" s="145"/>
      <c r="DE47" s="145"/>
      <c r="DG47" s="144"/>
      <c r="DH47" s="107"/>
      <c r="DI47" s="107"/>
      <c r="DJ47" s="145"/>
      <c r="DK47" s="145"/>
    </row>
    <row r="48" spans="2:115" ht="15" x14ac:dyDescent="0.3">
      <c r="B48" s="105" t="s">
        <v>53</v>
      </c>
      <c r="C48" s="203">
        <f>C40-C45-C54</f>
        <v>68.228499999999997</v>
      </c>
      <c r="D48" s="204">
        <f>D40-D45-D54</f>
        <v>73.497535999999997</v>
      </c>
      <c r="E48" s="204">
        <f>E40-E45-E54</f>
        <v>83.537499999999994</v>
      </c>
      <c r="F48" s="205">
        <f>F40-F45-F54</f>
        <v>86.462432000000007</v>
      </c>
      <c r="G48" s="159">
        <f>C48+D48+E48+F48</f>
        <v>311.72596799999997</v>
      </c>
      <c r="H48" s="197"/>
      <c r="I48" s="203">
        <f>I40-I45-I54</f>
        <v>70.261892000000003</v>
      </c>
      <c r="J48" s="204">
        <f>J40-J45-J54</f>
        <v>77.162735999999995</v>
      </c>
      <c r="K48" s="204">
        <f>K40-K45-K54</f>
        <v>84.066463999999996</v>
      </c>
      <c r="L48" s="205">
        <f>L40-L45-L54</f>
        <v>86.372989999999987</v>
      </c>
      <c r="M48" s="159">
        <f>I48+J48+K48+L48</f>
        <v>317.86408199999994</v>
      </c>
      <c r="N48" s="197"/>
      <c r="O48" s="203">
        <f>O40-O45-O54</f>
        <v>70.577074999999994</v>
      </c>
      <c r="P48" s="204">
        <f>P40-P45-P54</f>
        <v>69.461199999999991</v>
      </c>
      <c r="Q48" s="204">
        <f>Q40-Q45-Q54</f>
        <v>74.61712</v>
      </c>
      <c r="R48" s="205">
        <f>R40-R45-R54</f>
        <v>83.834959999999995</v>
      </c>
      <c r="S48" s="159">
        <f>O48+P48+Q48+R48</f>
        <v>298.49035500000002</v>
      </c>
      <c r="T48" s="114"/>
      <c r="U48" s="203">
        <f>U40-U45-U54</f>
        <v>67.005743999999993</v>
      </c>
      <c r="V48" s="204">
        <f>V40-V45-V54</f>
        <v>68.044910000000002</v>
      </c>
      <c r="W48" s="204">
        <f>W40-W45-W54</f>
        <v>73.10184000000001</v>
      </c>
      <c r="X48" s="204">
        <f>X40-X45-X54</f>
        <v>76.196025000000006</v>
      </c>
      <c r="Y48" s="213">
        <f>U48+V48+W48+X48</f>
        <v>284.34851900000001</v>
      </c>
      <c r="AA48" s="203">
        <f>AA40-AA45-AA54</f>
        <v>61.716849999999994</v>
      </c>
      <c r="AB48" s="204">
        <f>AB40-AB45-AB54</f>
        <v>54.224140000000006</v>
      </c>
      <c r="AC48" s="204">
        <f>AC40-AC45-AC54</f>
        <v>52.522289999999998</v>
      </c>
      <c r="AD48" s="204">
        <f>AD40-AD45-AD54</f>
        <v>44.986417000000003</v>
      </c>
      <c r="AE48" s="213">
        <f>AA48+AB48+AC48+AD48</f>
        <v>213.44969700000001</v>
      </c>
      <c r="AG48" s="203">
        <f>AG40-AG45-AG54</f>
        <v>60.670400000000001</v>
      </c>
      <c r="AH48" s="204">
        <f>AH40-AH45-AH54</f>
        <v>49.819711999999996</v>
      </c>
      <c r="AI48" s="204">
        <f>AI40-AI45-AI54</f>
        <v>61.975847999999999</v>
      </c>
      <c r="AJ48" s="204">
        <f>AJ40-AJ45-AJ54</f>
        <v>40.712794000000002</v>
      </c>
      <c r="AK48" s="213">
        <f>AG48+AH48+AI48+AJ48</f>
        <v>213.178754</v>
      </c>
      <c r="AM48" s="203">
        <f>AM40-AM45-AM54</f>
        <v>58.317949999999996</v>
      </c>
      <c r="AN48" s="204">
        <f>AN40-AN45-AN54</f>
        <v>50.159485000000004</v>
      </c>
      <c r="AO48" s="204">
        <f>AO40-AO45-AO54</f>
        <v>50.020675999999995</v>
      </c>
      <c r="AP48" s="204">
        <f>AP40-AP45-AP54</f>
        <v>38.215137499999997</v>
      </c>
      <c r="AQ48" s="213">
        <f>AM48+AN48+AO48+AP48</f>
        <v>196.71324849999999</v>
      </c>
      <c r="AS48" s="203">
        <f>AS40-AS45-AS54</f>
        <v>53.975774999999999</v>
      </c>
      <c r="AT48" s="204">
        <f>AT40-AT45-AT54</f>
        <v>50.338810000000002</v>
      </c>
      <c r="AU48" s="204">
        <f>AU40-AU45-AU54</f>
        <v>53.502800000000008</v>
      </c>
      <c r="AV48" s="204">
        <f>AV40-AV45-AV54</f>
        <v>45.543170000000003</v>
      </c>
      <c r="AW48" s="213">
        <f>AS48+AT48+AU48+AV48</f>
        <v>203.36055500000001</v>
      </c>
      <c r="AY48" s="203">
        <f>AY40-AY45-AY54</f>
        <v>53.984363999999999</v>
      </c>
      <c r="AZ48" s="204">
        <f>AZ40-AZ45-AZ54</f>
        <v>45.597324999999998</v>
      </c>
      <c r="BA48" s="204">
        <f>BA40-BA45-BA54</f>
        <v>55.007739999999998</v>
      </c>
      <c r="BB48" s="204">
        <f>BB40-BB45-BB54</f>
        <v>46.234272000000004</v>
      </c>
      <c r="BC48" s="213">
        <f>AY48+AZ48+BA48+BB48</f>
        <v>200.823701</v>
      </c>
      <c r="BE48" s="203">
        <f>BE40-BE45-BE54</f>
        <v>58.600426999999996</v>
      </c>
      <c r="BF48" s="204">
        <f>BF40-BF45-BF54</f>
        <v>49.580524000000004</v>
      </c>
      <c r="BG48" s="204">
        <f>BG40-BG45-BG54</f>
        <v>53.118310600000001</v>
      </c>
      <c r="BH48" s="204">
        <f>BH40-BH45-BH54</f>
        <v>48.606779500000002</v>
      </c>
      <c r="BI48" s="213">
        <f>BE48+BF48+BG48+BH48</f>
        <v>209.90604109999998</v>
      </c>
      <c r="BK48" s="203">
        <f>BK40-BK45-BK54</f>
        <v>60.920899999999996</v>
      </c>
      <c r="BL48" s="204">
        <f>BL40-BL45-BL54</f>
        <v>52.968502827999998</v>
      </c>
      <c r="BM48" s="204">
        <f>BM40-BM45-BM54</f>
        <v>62.980508331400003</v>
      </c>
      <c r="BN48" s="205">
        <f>BN40-BN45-BN54</f>
        <v>54.330398500000008</v>
      </c>
      <c r="BO48" s="213">
        <f>BK48+BL48+BM48+BN48</f>
        <v>231.20030965939998</v>
      </c>
      <c r="BQ48" s="203">
        <f>BQ51*BQ40</f>
        <v>64.085662304075981</v>
      </c>
      <c r="BR48" s="204">
        <f>BR51*BR40</f>
        <v>55.163431822569166</v>
      </c>
      <c r="BS48" s="204">
        <f>BS51*BS40</f>
        <v>64.395195842146975</v>
      </c>
      <c r="BT48" s="204">
        <f>BT51*BT40</f>
        <v>55.806263570400191</v>
      </c>
      <c r="BU48" s="213">
        <f>BQ48+BR48+BS48+BT48</f>
        <v>239.4505535391923</v>
      </c>
      <c r="BW48" s="203">
        <f>BW51*BW40</f>
        <v>64.956642532861878</v>
      </c>
      <c r="BX48" s="204">
        <f>BX51*BX40</f>
        <v>56.05905012251494</v>
      </c>
      <c r="BY48" s="204">
        <f>BY51*BY40</f>
        <v>65.56298661865992</v>
      </c>
      <c r="BZ48" s="204">
        <f>BZ51*BZ40</f>
        <v>56.82454239055108</v>
      </c>
      <c r="CA48" s="213">
        <f>BW48+BX48+BY48+BZ48</f>
        <v>243.40322166458782</v>
      </c>
      <c r="CC48" s="203">
        <f>CC51*CC40</f>
        <v>66.501049526788492</v>
      </c>
      <c r="CD48" s="204">
        <f>CD51*CD40</f>
        <v>57.433862855059303</v>
      </c>
      <c r="CE48" s="204">
        <f>CE51*CE40</f>
        <v>66.819639605637875</v>
      </c>
      <c r="CF48" s="204">
        <f>CF51*CF40</f>
        <v>58.025923772765374</v>
      </c>
      <c r="CG48" s="213">
        <f>CC48+CD48+CE48+CF48</f>
        <v>248.78047576025105</v>
      </c>
      <c r="CI48" s="203">
        <f>CI51*CI40</f>
        <v>68.196641573902355</v>
      </c>
      <c r="CJ48" s="204">
        <f>CJ51*CJ40</f>
        <v>58.944386118045699</v>
      </c>
      <c r="CK48" s="204">
        <f>CK51*CK40</f>
        <v>68.610578044558309</v>
      </c>
      <c r="CL48" s="204">
        <f>CL51*CL40</f>
        <v>59.639380032727672</v>
      </c>
      <c r="CM48" s="213">
        <f>CI48+CJ48+CK48+CL48</f>
        <v>255.39098576923402</v>
      </c>
      <c r="CO48" s="203">
        <f>CO51*CO40</f>
        <v>70.089836125402599</v>
      </c>
      <c r="CP48" s="204">
        <f>CP51*CP40</f>
        <v>60.629780613107563</v>
      </c>
      <c r="CQ48" s="204">
        <f>CQ51*CQ40</f>
        <v>70.613046240680575</v>
      </c>
      <c r="CR48" s="204">
        <f>CR51*CR40</f>
        <v>62.040440964825628</v>
      </c>
      <c r="CS48" s="213">
        <f>CO48+CP48+CQ48+CR48</f>
        <v>263.37310394401635</v>
      </c>
      <c r="CU48" s="203">
        <f>CU51*CU40</f>
        <v>72.337777877051195</v>
      </c>
      <c r="CV48" s="204">
        <f>CV51*CV40</f>
        <v>62.62633934058308</v>
      </c>
      <c r="CW48" s="204">
        <f>CW51*CW40</f>
        <v>72.986171235508706</v>
      </c>
      <c r="CX48" s="204">
        <f>CX51*CX40</f>
        <v>64.137797720959512</v>
      </c>
      <c r="CY48" s="213">
        <f>CU48+CV48+CW48+CX48</f>
        <v>272.0880861741025</v>
      </c>
      <c r="DA48" s="203">
        <f>DA51*DA40</f>
        <v>74.420115300910894</v>
      </c>
      <c r="DB48" s="204">
        <f>DB51*DB40</f>
        <v>64.479527903803515</v>
      </c>
      <c r="DC48" s="204">
        <f>DC51*DC40</f>
        <v>75.178934490716642</v>
      </c>
      <c r="DD48" s="204">
        <f>DD51*DD40</f>
        <v>66.09104567617274</v>
      </c>
      <c r="DE48" s="213">
        <f>DA48+DB48+DC48+DD48</f>
        <v>280.16962337160379</v>
      </c>
      <c r="DG48" s="203">
        <f>DG51*DG40</f>
        <v>76.272560337077863</v>
      </c>
      <c r="DH48" s="204">
        <f>DH51*DH40</f>
        <v>66.132440565864272</v>
      </c>
      <c r="DI48" s="204">
        <f>DI51*DI40</f>
        <v>77.121342284050826</v>
      </c>
      <c r="DJ48" s="204">
        <f>DJ51*DJ40</f>
        <v>67.843955617333663</v>
      </c>
      <c r="DK48" s="213">
        <f>DG48+DH48+DI48+DJ48</f>
        <v>287.37029880432664</v>
      </c>
    </row>
    <row r="49" spans="2:115" ht="15" x14ac:dyDescent="0.3">
      <c r="B49" s="5" t="s">
        <v>23</v>
      </c>
      <c r="C49" s="144" t="s">
        <v>35</v>
      </c>
      <c r="D49" s="107" t="s">
        <v>35</v>
      </c>
      <c r="E49" s="107" t="s">
        <v>35</v>
      </c>
      <c r="F49" s="145" t="s">
        <v>35</v>
      </c>
      <c r="G49" s="138" t="s">
        <v>35</v>
      </c>
      <c r="I49" s="151">
        <f>I48/C48-1</f>
        <v>2.9802677766622487E-2</v>
      </c>
      <c r="J49" s="133">
        <f>J48/D48-1</f>
        <v>4.9868338443345817E-2</v>
      </c>
      <c r="K49" s="133">
        <f>K48/E48-1</f>
        <v>6.3320544665570466E-3</v>
      </c>
      <c r="L49" s="133">
        <f>L48/F48-1</f>
        <v>-1.0344608395935762E-3</v>
      </c>
      <c r="M49" s="153">
        <f>M48/G48-1</f>
        <v>1.9690736833320122E-2</v>
      </c>
      <c r="O49" s="151">
        <f>O48/I48-1</f>
        <v>4.485831380686367E-3</v>
      </c>
      <c r="P49" s="133">
        <f>P48/J48-1</f>
        <v>-9.9809006254003241E-2</v>
      </c>
      <c r="Q49" s="133">
        <f>Q48/K48-1</f>
        <v>-0.11240325274059337</v>
      </c>
      <c r="R49" s="133">
        <f>R48/L48-1</f>
        <v>-2.9384533289862902E-2</v>
      </c>
      <c r="S49" s="153">
        <f>S48/M48-1</f>
        <v>-6.0949720641918614E-2</v>
      </c>
      <c r="U49" s="151">
        <f>U48/O48-1</f>
        <v>-5.0601856197639239E-2</v>
      </c>
      <c r="V49" s="133">
        <f>V48/P48-1</f>
        <v>-2.0389656383707599E-2</v>
      </c>
      <c r="W49" s="133">
        <f>W48/Q48-1</f>
        <v>-2.0307403984501038E-2</v>
      </c>
      <c r="X49" s="133">
        <f>X48/R48-1</f>
        <v>-9.111872898847917E-2</v>
      </c>
      <c r="Y49" s="153">
        <f>Y48/S48-1</f>
        <v>-4.7377865861025881E-2</v>
      </c>
      <c r="AA49" s="151">
        <f>AA48/U48-1</f>
        <v>-7.8931949475853913E-2</v>
      </c>
      <c r="AB49" s="133">
        <f>AB48/V48-1</f>
        <v>-0.20311247380590258</v>
      </c>
      <c r="AC49" s="133">
        <f>AC48/W48-1</f>
        <v>-0.28151890568007598</v>
      </c>
      <c r="AD49" s="133">
        <f>AD48/X48-1</f>
        <v>-0.40959627487129413</v>
      </c>
      <c r="AE49" s="153">
        <f>AE48/Y48-1</f>
        <v>-0.2493377572330524</v>
      </c>
      <c r="AG49" s="151">
        <f>AG48/AA48-1</f>
        <v>-1.6955661217317397E-2</v>
      </c>
      <c r="AH49" s="133">
        <f>AH48/AB48-1</f>
        <v>-8.1226332035879367E-2</v>
      </c>
      <c r="AI49" s="133">
        <f>AI48/AC48-1</f>
        <v>0.17999135224301921</v>
      </c>
      <c r="AJ49" s="133">
        <f>AJ48/AD48-1</f>
        <v>-9.4998074641063357E-2</v>
      </c>
      <c r="AK49" s="153">
        <f>AK48/AE48-1</f>
        <v>-1.2693529379899093E-3</v>
      </c>
      <c r="AM49" s="151">
        <f>AM48/AG48-1</f>
        <v>-3.8774262243202684E-2</v>
      </c>
      <c r="AN49" s="133">
        <f>AN48/AH48-1</f>
        <v>6.8200514687841718E-3</v>
      </c>
      <c r="AO49" s="133">
        <f>AO48/AI48-1</f>
        <v>-0.19290049891693306</v>
      </c>
      <c r="AP49" s="133">
        <f>AP48/AJ48-1</f>
        <v>-6.1348196834636437E-2</v>
      </c>
      <c r="AQ49" s="153">
        <f>AQ48/AK48-1</f>
        <v>-7.7238022978593834E-2</v>
      </c>
      <c r="AS49" s="151">
        <f>AS48/AM48-1</f>
        <v>-7.4456921068041582E-2</v>
      </c>
      <c r="AT49" s="133">
        <f>AT48/AN48-1</f>
        <v>3.5750965146472691E-3</v>
      </c>
      <c r="AU49" s="133">
        <f>AU48/AO48-1</f>
        <v>6.9613693345528027E-2</v>
      </c>
      <c r="AV49" s="133">
        <f>AV48/AP48-1</f>
        <v>0.19175732391385503</v>
      </c>
      <c r="AW49" s="153">
        <f>AW48/AQ48-1</f>
        <v>3.3791859728248053E-2</v>
      </c>
      <c r="AY49" s="151">
        <f>AY48/AS48-1</f>
        <v>1.5912694166964059E-4</v>
      </c>
      <c r="AZ49" s="133">
        <f>AZ48/AT48-1</f>
        <v>-9.4191439964512513E-2</v>
      </c>
      <c r="BA49" s="133">
        <f>BA48/AU48-1</f>
        <v>2.8128247493588887E-2</v>
      </c>
      <c r="BB49" s="133">
        <f>BB48/AV48-1</f>
        <v>1.5174657363552058E-2</v>
      </c>
      <c r="BC49" s="153">
        <f>BC48/AW48-1</f>
        <v>-1.2474661076726568E-2</v>
      </c>
      <c r="BE49" s="151">
        <f>BE48/AY48-1</f>
        <v>8.5507407292970905E-2</v>
      </c>
      <c r="BF49" s="133">
        <f>BF48/AZ48-1</f>
        <v>8.7355979764163871E-2</v>
      </c>
      <c r="BG49" s="133">
        <f>BG48/BA48-1</f>
        <v>-3.4348428057578761E-2</v>
      </c>
      <c r="BH49" s="133">
        <f>BH48/BB48-1</f>
        <v>5.1314909857345548E-2</v>
      </c>
      <c r="BI49" s="153">
        <f>BI48/BC48-1</f>
        <v>4.5225439302106984E-2</v>
      </c>
      <c r="BK49" s="151">
        <f>BK48/BE48-1</f>
        <v>3.9598226818381432E-2</v>
      </c>
      <c r="BL49" s="133">
        <f>BL48/BF48-1</f>
        <v>6.8332856425640021E-2</v>
      </c>
      <c r="BM49" s="133">
        <f>BM48/BG48-1</f>
        <v>0.18566474761718044</v>
      </c>
      <c r="BN49" s="152">
        <f>BN48/BH48-1</f>
        <v>0.11775351214124363</v>
      </c>
      <c r="BO49" s="153">
        <f>BO48/BI48-1</f>
        <v>0.10144666846084394</v>
      </c>
      <c r="BQ49" s="151">
        <f>BQ48/BK48-1</f>
        <v>5.1948712249424878E-2</v>
      </c>
      <c r="BR49" s="133">
        <f>BR48/BL48-1</f>
        <v>4.1438380875075342E-2</v>
      </c>
      <c r="BS49" s="133">
        <f>BS48/BM48-1</f>
        <v>2.2462306961750222E-2</v>
      </c>
      <c r="BT49" s="152">
        <f>BT48/BN48-1</f>
        <v>2.7164628111464806E-2</v>
      </c>
      <c r="BU49" s="152">
        <f>BU48/BO48-1</f>
        <v>3.5684398052694855E-2</v>
      </c>
      <c r="BW49" s="151">
        <f>BW48/BQ48-1</f>
        <v>1.3590875048669071E-2</v>
      </c>
      <c r="BX49" s="133">
        <f>BX48/BR48-1</f>
        <v>1.623572483355451E-2</v>
      </c>
      <c r="BY49" s="133">
        <f>BY48/BS48-1</f>
        <v>1.8134749980038389E-2</v>
      </c>
      <c r="BZ49" s="152">
        <f>BZ48/BT48-1</f>
        <v>1.8246676179392018E-2</v>
      </c>
      <c r="CA49" s="152">
        <f>CA48/BU48-1</f>
        <v>1.6507241545167473E-2</v>
      </c>
      <c r="CC49" s="151">
        <f>CC48/BW48-1</f>
        <v>2.3775967071347548E-2</v>
      </c>
      <c r="CD49" s="133">
        <f>CD48/BX48-1</f>
        <v>2.4524367243821787E-2</v>
      </c>
      <c r="CE49" s="133">
        <f>CE48/BY48-1</f>
        <v>1.9167110160602352E-2</v>
      </c>
      <c r="CF49" s="152">
        <f>CF48/BZ48-1</f>
        <v>2.1141945569174814E-2</v>
      </c>
      <c r="CG49" s="152">
        <f>CG48/CA48-1</f>
        <v>2.2091959419802354E-2</v>
      </c>
      <c r="CI49" s="151">
        <f>CI48/CC48-1</f>
        <v>2.5497222362345306E-2</v>
      </c>
      <c r="CJ49" s="133">
        <f>CJ48/CD48-1</f>
        <v>2.6300220599794422E-2</v>
      </c>
      <c r="CK49" s="133">
        <f>CK48/CE48-1</f>
        <v>2.6802575552492547E-2</v>
      </c>
      <c r="CL49" s="152">
        <f>CL48/CF48-1</f>
        <v>2.7805783261301231E-2</v>
      </c>
      <c r="CM49" s="152">
        <f>CM48/CG48-1</f>
        <v>2.6571659165703476E-2</v>
      </c>
      <c r="CO49" s="151">
        <f>CO48/CI48-1</f>
        <v>2.7760817949497696E-2</v>
      </c>
      <c r="CP49" s="133">
        <f>CP48/CJ48-1</f>
        <v>2.859296034887171E-2</v>
      </c>
      <c r="CQ49" s="133">
        <f>CQ48/CK48-1</f>
        <v>2.9185998036946881E-2</v>
      </c>
      <c r="CR49" s="152">
        <f>CR48/CL48-1</f>
        <v>4.025965613291671E-2</v>
      </c>
      <c r="CS49" s="152">
        <f>CS48/CM48-1</f>
        <v>3.1254502388720962E-2</v>
      </c>
      <c r="CU49" s="151">
        <f>CU48/CO48-1</f>
        <v>3.2072292873201347E-2</v>
      </c>
      <c r="CV49" s="133">
        <f>CV48/CP48-1</f>
        <v>3.2930330726677282E-2</v>
      </c>
      <c r="CW49" s="133">
        <f>CW48/CQ48-1</f>
        <v>3.3607458128055656E-2</v>
      </c>
      <c r="CX49" s="152">
        <f>CX48/CR48-1</f>
        <v>3.3806283829010741E-2</v>
      </c>
      <c r="CY49" s="152">
        <f>CY48/CS48-1</f>
        <v>3.3089871743086752E-2</v>
      </c>
      <c r="DA49" s="151">
        <f>DA48/CU48-1</f>
        <v>2.87863062008753E-2</v>
      </c>
      <c r="DB49" s="133">
        <f>DB48/CV48-1</f>
        <v>2.9591200487420588E-2</v>
      </c>
      <c r="DC49" s="133">
        <f>DC48/CW48-1</f>
        <v>3.0043544113752985E-2</v>
      </c>
      <c r="DD49" s="152">
        <f>DD48/CX48-1</f>
        <v>3.0453929268215774E-2</v>
      </c>
      <c r="DE49" s="152">
        <f>DE48/CY48-1</f>
        <v>2.9701914961208997E-2</v>
      </c>
      <c r="DG49" s="151">
        <f>DG48/DA48-1</f>
        <v>2.4891724887508904E-2</v>
      </c>
      <c r="DH49" s="133">
        <f>DH48/DB48-1</f>
        <v>2.5634689269541822E-2</v>
      </c>
      <c r="DI49" s="133">
        <f>DI48/DC48-1</f>
        <v>2.5837128531983167E-2</v>
      </c>
      <c r="DJ49" s="152">
        <f>DJ48/DD48-1</f>
        <v>2.6522654063451778E-2</v>
      </c>
      <c r="DK49" s="152">
        <f>DK48/DE48-1</f>
        <v>2.5701128288173614E-2</v>
      </c>
    </row>
    <row r="50" spans="2:115" ht="15" x14ac:dyDescent="0.3">
      <c r="B50" s="105"/>
      <c r="C50" s="203"/>
      <c r="D50" s="204"/>
      <c r="E50" s="204"/>
      <c r="F50" s="205"/>
      <c r="G50" s="159"/>
      <c r="H50" s="197"/>
      <c r="I50" s="203"/>
      <c r="J50" s="204"/>
      <c r="K50" s="204"/>
      <c r="L50" s="204"/>
      <c r="M50" s="159"/>
      <c r="N50" s="197"/>
      <c r="O50" s="203"/>
      <c r="P50" s="204"/>
      <c r="Q50" s="204"/>
      <c r="R50" s="204"/>
      <c r="S50" s="159"/>
      <c r="T50" s="114"/>
      <c r="U50" s="203"/>
      <c r="V50" s="204"/>
      <c r="W50" s="204"/>
      <c r="X50" s="204"/>
      <c r="Y50" s="213"/>
      <c r="AA50" s="203"/>
      <c r="AB50" s="204"/>
      <c r="AC50" s="204"/>
      <c r="AD50" s="204"/>
      <c r="AE50" s="213"/>
      <c r="AG50" s="203"/>
      <c r="AH50" s="204"/>
      <c r="AI50" s="204"/>
      <c r="AJ50" s="204"/>
      <c r="AK50" s="213"/>
      <c r="AM50" s="203"/>
      <c r="AN50" s="204"/>
      <c r="AO50" s="204"/>
      <c r="AP50" s="204"/>
      <c r="AQ50" s="213"/>
      <c r="AS50" s="203"/>
      <c r="AT50" s="204"/>
      <c r="AU50" s="204"/>
      <c r="AV50" s="204"/>
      <c r="AW50" s="213"/>
      <c r="AY50" s="203"/>
      <c r="AZ50" s="204"/>
      <c r="BA50" s="204"/>
      <c r="BB50" s="204"/>
      <c r="BC50" s="213"/>
      <c r="BE50" s="203"/>
      <c r="BF50" s="204"/>
      <c r="BG50" s="204"/>
      <c r="BH50" s="204"/>
      <c r="BI50" s="213"/>
      <c r="BK50" s="203"/>
      <c r="BL50" s="204"/>
      <c r="BM50" s="204"/>
      <c r="BN50" s="205"/>
      <c r="BO50" s="213"/>
      <c r="BQ50" s="203"/>
      <c r="BR50" s="204"/>
      <c r="BS50" s="204"/>
      <c r="BT50" s="204"/>
      <c r="BU50" s="213"/>
      <c r="BW50" s="203"/>
      <c r="BX50" s="204"/>
      <c r="BY50" s="204"/>
      <c r="BZ50" s="204"/>
      <c r="CA50" s="213"/>
      <c r="CC50" s="203"/>
      <c r="CD50" s="204"/>
      <c r="CE50" s="204"/>
      <c r="CF50" s="204"/>
      <c r="CG50" s="213"/>
      <c r="CI50" s="203"/>
      <c r="CJ50" s="204"/>
      <c r="CK50" s="204"/>
      <c r="CL50" s="204"/>
      <c r="CM50" s="213"/>
      <c r="CO50" s="203"/>
      <c r="CP50" s="204"/>
      <c r="CQ50" s="204"/>
      <c r="CR50" s="204"/>
      <c r="CS50" s="213"/>
      <c r="CU50" s="203"/>
      <c r="CV50" s="204"/>
      <c r="CW50" s="204"/>
      <c r="CX50" s="204"/>
      <c r="CY50" s="213"/>
      <c r="DA50" s="203"/>
      <c r="DB50" s="204"/>
      <c r="DC50" s="204"/>
      <c r="DD50" s="204"/>
      <c r="DE50" s="213"/>
      <c r="DG50" s="203"/>
      <c r="DH50" s="204"/>
      <c r="DI50" s="204"/>
      <c r="DJ50" s="204"/>
      <c r="DK50" s="213"/>
    </row>
    <row r="51" spans="2:115" ht="15" x14ac:dyDescent="0.3">
      <c r="B51" s="5" t="s">
        <v>54</v>
      </c>
      <c r="C51" s="151">
        <f>C48/C40</f>
        <v>0.55470325203252024</v>
      </c>
      <c r="D51" s="133">
        <f>D48/D40</f>
        <v>0.5103995555555555</v>
      </c>
      <c r="E51" s="133">
        <f>E48/E40</f>
        <v>0.47196327683615819</v>
      </c>
      <c r="F51" s="152">
        <f>F48/F40</f>
        <v>0.63111264233576647</v>
      </c>
      <c r="G51" s="153">
        <f>G48/G40</f>
        <v>0.53653350774526676</v>
      </c>
      <c r="I51" s="151">
        <f>I48/I40</f>
        <v>0.54466582945736441</v>
      </c>
      <c r="J51" s="133">
        <f>J48/J40</f>
        <v>0.52136983783783786</v>
      </c>
      <c r="K51" s="133">
        <f>K48/K40</f>
        <v>0.4424550736842105</v>
      </c>
      <c r="L51" s="152">
        <f>L48/L40</f>
        <v>0.57968449664429522</v>
      </c>
      <c r="M51" s="153">
        <f>M48/M40</f>
        <v>0.51601312012987</v>
      </c>
      <c r="O51" s="151">
        <f>O48/O40</f>
        <v>0.5266945895522388</v>
      </c>
      <c r="P51" s="133">
        <f>P48/P40</f>
        <v>0.49972086330935245</v>
      </c>
      <c r="Q51" s="133">
        <f>Q48/Q40</f>
        <v>0.44950072289156628</v>
      </c>
      <c r="R51" s="152">
        <f>R48/R40</f>
        <v>0.63511333333333331</v>
      </c>
      <c r="S51" s="153">
        <f>S48/S40</f>
        <v>0.52275018388791594</v>
      </c>
      <c r="U51" s="151">
        <f>U48/U40</f>
        <v>0.56784528813559321</v>
      </c>
      <c r="V51" s="133">
        <f>V48/V40</f>
        <v>0.51549174242424245</v>
      </c>
      <c r="W51" s="133">
        <f>W48/W40</f>
        <v>0.47162477419354842</v>
      </c>
      <c r="X51" s="133">
        <f>X48/X40</f>
        <v>0.6457290254237289</v>
      </c>
      <c r="Y51" s="153">
        <f>Y48/Y40</f>
        <v>0.54368741682600386</v>
      </c>
      <c r="AA51" s="151">
        <f>AA48/AA40</f>
        <v>0.6110579207920791</v>
      </c>
      <c r="AB51" s="133">
        <f>AB48/AB40</f>
        <v>0.48850576576576582</v>
      </c>
      <c r="AC51" s="133">
        <f>AC48/AC40</f>
        <v>0.42701048780487805</v>
      </c>
      <c r="AD51" s="133">
        <f>AD48/AD40</f>
        <v>0.4367613300970874</v>
      </c>
      <c r="AE51" s="153">
        <f>AE48/AE40</f>
        <v>0.48732807534246581</v>
      </c>
      <c r="AG51" s="151">
        <f>AG48/AG40</f>
        <v>0.63863578947368427</v>
      </c>
      <c r="AH51" s="133">
        <f>AH48/AH40</f>
        <v>0.4932644752475247</v>
      </c>
      <c r="AI51" s="133">
        <f>AI48/AI40</f>
        <v>0.49980522580645159</v>
      </c>
      <c r="AJ51" s="133">
        <f>AJ48/AJ40</f>
        <v>0.42855572631578948</v>
      </c>
      <c r="AK51" s="153">
        <f>AK48/AK40</f>
        <v>0.51368374457831323</v>
      </c>
      <c r="AM51" s="151">
        <f>AM48/AM40</f>
        <v>0.65525786516853923</v>
      </c>
      <c r="AN51" s="133">
        <f>AN48/AN40</f>
        <v>0.52249463541666674</v>
      </c>
      <c r="AO51" s="133">
        <f>AO48/AO40</f>
        <v>0.50020675999999997</v>
      </c>
      <c r="AP51" s="133">
        <f>AP48/AP40</f>
        <v>0.42461263888888884</v>
      </c>
      <c r="AQ51" s="153">
        <f>AQ48/AQ40</f>
        <v>0.52456866266666669</v>
      </c>
      <c r="AS51" s="151">
        <f>AS48/AS40</f>
        <v>0.65031054216867468</v>
      </c>
      <c r="AT51" s="133">
        <f>AT48/AT40</f>
        <v>0.55317373626373634</v>
      </c>
      <c r="AU51" s="133">
        <f>AU48/AU40</f>
        <v>0.5245372549019609</v>
      </c>
      <c r="AV51" s="133">
        <f>AV48/AV40</f>
        <v>0.50047439560439566</v>
      </c>
      <c r="AW51" s="153">
        <f>AW48/AW40</f>
        <v>0.5541159536784741</v>
      </c>
      <c r="AY51" s="151">
        <f>AY48/AY40</f>
        <v>0.66647362962962964</v>
      </c>
      <c r="AZ51" s="133">
        <f>AZ48/AZ40</f>
        <v>0.53643911764705876</v>
      </c>
      <c r="BA51" s="133">
        <f>BA48/BA40</f>
        <v>0.53405572815533975</v>
      </c>
      <c r="BB51" s="215">
        <f>AV51+BB52</f>
        <v>0.50547439560439567</v>
      </c>
      <c r="BC51" s="153">
        <f>BC48/BC40</f>
        <v>0.55939749582172704</v>
      </c>
      <c r="BE51" s="151">
        <f>BE48/BE40</f>
        <v>0.68140031395348832</v>
      </c>
      <c r="BF51" s="133">
        <f>BF48/BF40</f>
        <v>0.53312391397849468</v>
      </c>
      <c r="BG51" s="133">
        <f>BG48/BG40</f>
        <v>0.52076775098039219</v>
      </c>
      <c r="BH51" s="133">
        <f>BH48/BH40</f>
        <v>0.52265354301075273</v>
      </c>
      <c r="BI51" s="153">
        <f>BI48/BI40</f>
        <v>0.56124609919786095</v>
      </c>
      <c r="BK51" s="151">
        <f>BK48/BK40</f>
        <v>0.67689888888888883</v>
      </c>
      <c r="BL51" s="133">
        <f>BL48/BL40</f>
        <v>0.54606703946391755</v>
      </c>
      <c r="BM51" s="133">
        <f>BM48/BM40</f>
        <v>0.55246059939824566</v>
      </c>
      <c r="BN51" s="152">
        <f>BN48/BN40</f>
        <v>0.54879190404040412</v>
      </c>
      <c r="BO51" s="153">
        <f>BO48/BO40</f>
        <v>0.57800077414849993</v>
      </c>
      <c r="BQ51" s="214">
        <f>BK51+BQ52</f>
        <v>0.69189888888888884</v>
      </c>
      <c r="BR51" s="215">
        <f>BL51+BR52</f>
        <v>0.56106703946391756</v>
      </c>
      <c r="BS51" s="215">
        <f>BM51+BS52</f>
        <v>0.56746059939824567</v>
      </c>
      <c r="BT51" s="215">
        <f>BN51+BT52</f>
        <v>0.55879190404040413</v>
      </c>
      <c r="BU51" s="153">
        <f>BU48/BU40</f>
        <v>0.59227315494308197</v>
      </c>
      <c r="BW51" s="214">
        <f>BQ51+BW52</f>
        <v>0.69439888888888879</v>
      </c>
      <c r="BX51" s="215">
        <f>BR51+BX52</f>
        <v>0.56356703946391751</v>
      </c>
      <c r="BY51" s="215">
        <f>BS51+BY52</f>
        <v>0.56996059939824562</v>
      </c>
      <c r="BZ51" s="215">
        <f>BT51+BZ52</f>
        <v>0.56129190404040408</v>
      </c>
      <c r="CA51" s="153">
        <f>CA48/CA40</f>
        <v>0.59470332747871457</v>
      </c>
      <c r="CC51" s="214">
        <f>BW51+CC52</f>
        <v>0.69689888888888873</v>
      </c>
      <c r="CD51" s="215">
        <f>BX51+CD52</f>
        <v>0.56606703946391745</v>
      </c>
      <c r="CE51" s="215">
        <f>BY51+CE52</f>
        <v>0.57246059939824556</v>
      </c>
      <c r="CF51" s="215">
        <f>BZ51+CF52</f>
        <v>0.56379190404040402</v>
      </c>
      <c r="CG51" s="153">
        <f>CG48/CG40</f>
        <v>0.59726924562378569</v>
      </c>
      <c r="CI51" s="214">
        <f>CC51+CI52</f>
        <v>0.69939888888888868</v>
      </c>
      <c r="CJ51" s="215">
        <f>CD51+CJ52</f>
        <v>0.5685670394639174</v>
      </c>
      <c r="CK51" s="215">
        <f>CE51+CK52</f>
        <v>0.57496059939824551</v>
      </c>
      <c r="CL51" s="215">
        <f>CF51+CL52</f>
        <v>0.56629190404040397</v>
      </c>
      <c r="CM51" s="153">
        <f>CM48/CM40</f>
        <v>0.59975450438564526</v>
      </c>
      <c r="CO51" s="214">
        <f>CI51+CO52</f>
        <v>0.70189888888888863</v>
      </c>
      <c r="CP51" s="215">
        <f>CJ51+CP52</f>
        <v>0.57106703946391735</v>
      </c>
      <c r="CQ51" s="215">
        <f>CK51+CQ52</f>
        <v>0.57746059939824546</v>
      </c>
      <c r="CR51" s="215">
        <f>CL51+CR52</f>
        <v>0.56879190404040392</v>
      </c>
      <c r="CS51" s="153">
        <f>CS48/CS40</f>
        <v>0.60215695447673323</v>
      </c>
      <c r="CU51" s="214">
        <f>CO51+CU52</f>
        <v>0.70439888888888857</v>
      </c>
      <c r="CV51" s="215">
        <f>CP51+CV52</f>
        <v>0.57356703946391729</v>
      </c>
      <c r="CW51" s="215">
        <f>CQ51+CW52</f>
        <v>0.5799605993982454</v>
      </c>
      <c r="CX51" s="215">
        <f>CR51+CX52</f>
        <v>0.57129190404040386</v>
      </c>
      <c r="CY51" s="153">
        <f>CY48/CY40</f>
        <v>0.60464477323409038</v>
      </c>
      <c r="DA51" s="214">
        <f>CU51+DA52</f>
        <v>0.70689888888888852</v>
      </c>
      <c r="DB51" s="215">
        <f>CV51+DB52</f>
        <v>0.57606703946391724</v>
      </c>
      <c r="DC51" s="215">
        <f>CW51+DC52</f>
        <v>0.58246059939824535</v>
      </c>
      <c r="DD51" s="215">
        <f>CX51+DD52</f>
        <v>0.57379190404040381</v>
      </c>
      <c r="DE51" s="153">
        <f>DE48/DE40</f>
        <v>0.6071351380609129</v>
      </c>
      <c r="DG51" s="214">
        <f>DA51+DG52</f>
        <v>0.70939888888888847</v>
      </c>
      <c r="DH51" s="215">
        <f>DB51+DH52</f>
        <v>0.57856703946391719</v>
      </c>
      <c r="DI51" s="215">
        <f>DC51+DI52</f>
        <v>0.5849605993982453</v>
      </c>
      <c r="DJ51" s="215">
        <f>DD51+DJ52</f>
        <v>0.57629190404040376</v>
      </c>
      <c r="DK51" s="153">
        <f>DK48/DK40</f>
        <v>0.6096281037008624</v>
      </c>
    </row>
    <row r="52" spans="2:115" ht="15.75" thickBot="1" x14ac:dyDescent="0.35">
      <c r="B52" s="140" t="s">
        <v>23</v>
      </c>
      <c r="C52" s="155" t="s">
        <v>35</v>
      </c>
      <c r="D52" s="106" t="s">
        <v>35</v>
      </c>
      <c r="E52" s="106" t="s">
        <v>35</v>
      </c>
      <c r="F52" s="154" t="s">
        <v>35</v>
      </c>
      <c r="G52" s="108" t="s">
        <v>35</v>
      </c>
      <c r="I52" s="174">
        <f>I51-C51</f>
        <v>-1.003742257515583E-2</v>
      </c>
      <c r="J52" s="175">
        <f>J51-D51</f>
        <v>1.0970282282282362E-2</v>
      </c>
      <c r="K52" s="175">
        <f>K51-E51</f>
        <v>-2.9508203151947687E-2</v>
      </c>
      <c r="L52" s="176">
        <f>L51-F51</f>
        <v>-5.142814569147125E-2</v>
      </c>
      <c r="M52" s="177">
        <f>M51-G51</f>
        <v>-2.0520387615396762E-2</v>
      </c>
      <c r="O52" s="174">
        <f>O51-I51</f>
        <v>-1.7971239905125613E-2</v>
      </c>
      <c r="P52" s="175">
        <f>P51-J51</f>
        <v>-2.164897452848541E-2</v>
      </c>
      <c r="Q52" s="175">
        <f>Q51-K51</f>
        <v>7.0456492073557864E-3</v>
      </c>
      <c r="R52" s="176">
        <f>R51-L51</f>
        <v>5.5428836689038086E-2</v>
      </c>
      <c r="S52" s="177">
        <f>S51-M51</f>
        <v>6.7370637580459469E-3</v>
      </c>
      <c r="U52" s="174">
        <f>U51-O51</f>
        <v>4.1150698583354406E-2</v>
      </c>
      <c r="V52" s="175">
        <f>V51-P51</f>
        <v>1.5770879114890002E-2</v>
      </c>
      <c r="W52" s="175">
        <f>W51-Q51</f>
        <v>2.2124051301982139E-2</v>
      </c>
      <c r="X52" s="175">
        <f>X51-R51</f>
        <v>1.061569209039559E-2</v>
      </c>
      <c r="Y52" s="122">
        <f>Y51-S51</f>
        <v>2.0937232938087913E-2</v>
      </c>
      <c r="AA52" s="174">
        <f>AA51-U51</f>
        <v>4.3212632656485894E-2</v>
      </c>
      <c r="AB52" s="175">
        <f>AB51-V51</f>
        <v>-2.6985976658476629E-2</v>
      </c>
      <c r="AC52" s="175">
        <f>AC51-W51</f>
        <v>-4.4614286388670377E-2</v>
      </c>
      <c r="AD52" s="175">
        <f>AD51-X51</f>
        <v>-0.2089676953266415</v>
      </c>
      <c r="AE52" s="122">
        <f>AE51-Y51</f>
        <v>-5.635934148353805E-2</v>
      </c>
      <c r="AG52" s="174">
        <f>AG51-AA51</f>
        <v>2.7577868681605167E-2</v>
      </c>
      <c r="AH52" s="175">
        <f>AH51-AB51</f>
        <v>4.7587094817588826E-3</v>
      </c>
      <c r="AI52" s="175">
        <f>AI51-AC51</f>
        <v>7.2794738001573545E-2</v>
      </c>
      <c r="AJ52" s="175">
        <f>AJ51-AD51</f>
        <v>-8.205603781297921E-3</v>
      </c>
      <c r="AK52" s="122">
        <f>AK51-AE51</f>
        <v>2.6355669235847423E-2</v>
      </c>
      <c r="AM52" s="174">
        <f>AM51-AG51</f>
        <v>1.6622075694854965E-2</v>
      </c>
      <c r="AN52" s="175">
        <f>AN51-AH51</f>
        <v>2.9230160169142039E-2</v>
      </c>
      <c r="AO52" s="175">
        <f>AO51-AI51</f>
        <v>4.0153419354838071E-4</v>
      </c>
      <c r="AP52" s="175">
        <f>AP51-AJ51</f>
        <v>-3.9430874269006377E-3</v>
      </c>
      <c r="AQ52" s="122">
        <f>AQ51-AK51</f>
        <v>1.0884918088353457E-2</v>
      </c>
      <c r="AS52" s="174">
        <f>AS51-AM51</f>
        <v>-4.9473229998645563E-3</v>
      </c>
      <c r="AT52" s="175">
        <f>AT51-AN51</f>
        <v>3.0679100847069596E-2</v>
      </c>
      <c r="AU52" s="175">
        <f>AU51-AO51</f>
        <v>2.4330494901960931E-2</v>
      </c>
      <c r="AV52" s="175">
        <f>AV51-AP51</f>
        <v>7.5861756715506823E-2</v>
      </c>
      <c r="AW52" s="436">
        <f>AW51-AQ51</f>
        <v>2.9547291011807419E-2</v>
      </c>
      <c r="AY52" s="174">
        <f>AY51-AS51</f>
        <v>1.6163087460954961E-2</v>
      </c>
      <c r="AZ52" s="175">
        <f>AZ51-AT51</f>
        <v>-1.6734618616677577E-2</v>
      </c>
      <c r="BA52" s="175">
        <f>BA51-AU51</f>
        <v>9.5184732533788452E-3</v>
      </c>
      <c r="BB52" s="110">
        <v>5.0000000000000001E-3</v>
      </c>
      <c r="BC52" s="122">
        <f>BC51-AW51</f>
        <v>5.2815421432529375E-3</v>
      </c>
      <c r="BE52" s="174">
        <f>BE51-AY51</f>
        <v>1.4926684323858685E-2</v>
      </c>
      <c r="BF52" s="175">
        <f>BF51-AZ51</f>
        <v>-3.3152036685640818E-3</v>
      </c>
      <c r="BG52" s="175">
        <f>BG51-BA51</f>
        <v>-1.3287977174947563E-2</v>
      </c>
      <c r="BH52" s="175">
        <f>BH51-BB51</f>
        <v>1.7179147406357065E-2</v>
      </c>
      <c r="BI52" s="122">
        <f>BI51-BC51</f>
        <v>1.848603376133906E-3</v>
      </c>
      <c r="BK52" s="174">
        <f>BK51-BE51</f>
        <v>-4.5014250645994958E-3</v>
      </c>
      <c r="BL52" s="175">
        <f>BL51-BF51</f>
        <v>1.2943125485422868E-2</v>
      </c>
      <c r="BM52" s="175">
        <f>BM51-BG51</f>
        <v>3.169284841785347E-2</v>
      </c>
      <c r="BN52" s="176">
        <f>BN51-BH51</f>
        <v>2.6138361029651391E-2</v>
      </c>
      <c r="BO52" s="122">
        <f>BO51-BI51</f>
        <v>1.6754674950638981E-2</v>
      </c>
      <c r="BQ52" s="109">
        <v>1.4999999999999999E-2</v>
      </c>
      <c r="BR52" s="110">
        <v>1.4999999999999999E-2</v>
      </c>
      <c r="BS52" s="110">
        <v>1.4999999999999999E-2</v>
      </c>
      <c r="BT52" s="110">
        <v>0.01</v>
      </c>
      <c r="BU52" s="122">
        <f>BU51-BO51</f>
        <v>1.427238079458204E-2</v>
      </c>
      <c r="BW52" s="109">
        <v>2.5000000000000001E-3</v>
      </c>
      <c r="BX52" s="110">
        <f>BW52</f>
        <v>2.5000000000000001E-3</v>
      </c>
      <c r="BY52" s="110">
        <f>BX52</f>
        <v>2.5000000000000001E-3</v>
      </c>
      <c r="BZ52" s="110">
        <f>BY52</f>
        <v>2.5000000000000001E-3</v>
      </c>
      <c r="CA52" s="122">
        <f>CA51-BU51</f>
        <v>2.430172535632602E-3</v>
      </c>
      <c r="CC52" s="109">
        <v>2.5000000000000001E-3</v>
      </c>
      <c r="CD52" s="110">
        <v>2.5000000000000001E-3</v>
      </c>
      <c r="CE52" s="110">
        <v>2.5000000000000001E-3</v>
      </c>
      <c r="CF52" s="110">
        <v>2.5000000000000001E-3</v>
      </c>
      <c r="CG52" s="122">
        <f>CG51-CA51</f>
        <v>2.5659181450711221E-3</v>
      </c>
      <c r="CI52" s="109">
        <v>2.5000000000000001E-3</v>
      </c>
      <c r="CJ52" s="110">
        <v>2.5000000000000001E-3</v>
      </c>
      <c r="CK52" s="110">
        <v>2.5000000000000001E-3</v>
      </c>
      <c r="CL52" s="110">
        <v>2.5000000000000001E-3</v>
      </c>
      <c r="CM52" s="122">
        <f>CM51-CG51</f>
        <v>2.4852587618595656E-3</v>
      </c>
      <c r="CO52" s="109">
        <v>2.5000000000000001E-3</v>
      </c>
      <c r="CP52" s="110">
        <v>2.5000000000000001E-3</v>
      </c>
      <c r="CQ52" s="110">
        <v>2.5000000000000001E-3</v>
      </c>
      <c r="CR52" s="110">
        <v>2.5000000000000001E-3</v>
      </c>
      <c r="CS52" s="122">
        <f>CS51-CM51</f>
        <v>2.4024500910879709E-3</v>
      </c>
      <c r="CU52" s="109">
        <v>2.5000000000000001E-3</v>
      </c>
      <c r="CV52" s="110">
        <v>2.5000000000000001E-3</v>
      </c>
      <c r="CW52" s="110">
        <v>2.5000000000000001E-3</v>
      </c>
      <c r="CX52" s="110">
        <v>2.5000000000000001E-3</v>
      </c>
      <c r="CY52" s="122">
        <f>CY51-CS51</f>
        <v>2.487818757357152E-3</v>
      </c>
      <c r="DA52" s="109">
        <v>2.5000000000000001E-3</v>
      </c>
      <c r="DB52" s="110">
        <v>2.5000000000000001E-3</v>
      </c>
      <c r="DC52" s="110">
        <v>2.5000000000000001E-3</v>
      </c>
      <c r="DD52" s="110">
        <v>2.5000000000000001E-3</v>
      </c>
      <c r="DE52" s="122">
        <f>DE51-CY51</f>
        <v>2.490364826822522E-3</v>
      </c>
      <c r="DG52" s="109">
        <v>2.5000000000000001E-3</v>
      </c>
      <c r="DH52" s="110">
        <v>2.5000000000000001E-3</v>
      </c>
      <c r="DI52" s="110">
        <v>2.5000000000000001E-3</v>
      </c>
      <c r="DJ52" s="110">
        <v>2.5000000000000001E-3</v>
      </c>
      <c r="DK52" s="122">
        <f>DK51-DE51</f>
        <v>2.4929656399494959E-3</v>
      </c>
    </row>
    <row r="53" spans="2:115" ht="15.75" thickBot="1" x14ac:dyDescent="0.35">
      <c r="B53" s="1"/>
      <c r="AA53" s="103"/>
      <c r="AB53" s="103"/>
      <c r="AC53" s="103"/>
      <c r="AD53" s="103"/>
      <c r="AE53" s="103"/>
      <c r="AG53" s="103"/>
      <c r="AH53" s="103"/>
      <c r="AI53" s="103"/>
      <c r="AJ53" s="103"/>
      <c r="AK53" s="103"/>
      <c r="AM53" s="103"/>
      <c r="AN53" s="103"/>
      <c r="AO53" s="103"/>
      <c r="AP53" s="103"/>
      <c r="AQ53" s="103"/>
      <c r="AS53" s="103"/>
      <c r="AT53" s="103"/>
      <c r="AU53" s="103"/>
      <c r="AV53" s="103"/>
      <c r="AW53" s="103"/>
      <c r="AY53" s="103"/>
      <c r="AZ53" s="103"/>
      <c r="BA53" s="103"/>
      <c r="BB53" s="103"/>
      <c r="BC53" s="103"/>
      <c r="BE53" s="103"/>
      <c r="BF53" s="103"/>
      <c r="BG53" s="103"/>
      <c r="BH53" s="103"/>
      <c r="BI53" s="103"/>
      <c r="BK53" s="103"/>
      <c r="BL53" s="103"/>
      <c r="BM53" s="103"/>
      <c r="BN53" s="103"/>
      <c r="BO53" s="103"/>
      <c r="BQ53" s="103"/>
      <c r="BR53" s="103"/>
      <c r="BS53" s="103"/>
      <c r="BT53" s="103"/>
      <c r="BU53" s="103"/>
      <c r="BW53" s="103"/>
      <c r="BX53" s="103"/>
      <c r="BY53" s="103"/>
      <c r="BZ53" s="103"/>
      <c r="CA53" s="103"/>
      <c r="CC53" s="103"/>
      <c r="CD53" s="103"/>
      <c r="CE53" s="103"/>
      <c r="CF53" s="103"/>
      <c r="CG53" s="103"/>
      <c r="CI53" s="103"/>
      <c r="CJ53" s="103"/>
      <c r="CK53" s="103"/>
      <c r="CL53" s="103"/>
      <c r="CM53" s="103"/>
      <c r="CO53" s="103"/>
      <c r="CP53" s="103"/>
      <c r="CQ53" s="103"/>
      <c r="CR53" s="103"/>
      <c r="CS53" s="103"/>
      <c r="CU53" s="103"/>
      <c r="CV53" s="103"/>
      <c r="CW53" s="103"/>
      <c r="CX53" s="103"/>
      <c r="CY53" s="103"/>
      <c r="DA53" s="103"/>
      <c r="DB53" s="103"/>
      <c r="DC53" s="103"/>
      <c r="DD53" s="103"/>
      <c r="DE53" s="103"/>
      <c r="DG53" s="103"/>
      <c r="DH53" s="103"/>
      <c r="DI53" s="103"/>
      <c r="DJ53" s="103"/>
      <c r="DK53" s="103"/>
    </row>
    <row r="54" spans="2:115" ht="15" x14ac:dyDescent="0.3">
      <c r="B54" s="42" t="s">
        <v>61</v>
      </c>
      <c r="C54" s="198">
        <v>51</v>
      </c>
      <c r="D54" s="199">
        <v>67</v>
      </c>
      <c r="E54" s="199">
        <v>88</v>
      </c>
      <c r="F54" s="200">
        <v>42</v>
      </c>
      <c r="G54" s="201">
        <f>C54+D54+E54+F54</f>
        <v>248</v>
      </c>
      <c r="H54" s="197"/>
      <c r="I54" s="198">
        <v>53</v>
      </c>
      <c r="J54" s="199">
        <v>64</v>
      </c>
      <c r="K54" s="199">
        <v>100</v>
      </c>
      <c r="L54" s="199">
        <v>54</v>
      </c>
      <c r="M54" s="201">
        <f>I54+J54+K54+L54</f>
        <v>271</v>
      </c>
      <c r="N54" s="197"/>
      <c r="O54" s="198">
        <v>57</v>
      </c>
      <c r="P54" s="199">
        <v>64</v>
      </c>
      <c r="Q54" s="199">
        <v>87</v>
      </c>
      <c r="R54" s="199">
        <v>43</v>
      </c>
      <c r="S54" s="201">
        <f>O54+P54+Q54+R54</f>
        <v>251</v>
      </c>
      <c r="T54" s="197"/>
      <c r="U54" s="198">
        <v>47</v>
      </c>
      <c r="V54" s="199">
        <v>58</v>
      </c>
      <c r="W54" s="199">
        <v>78</v>
      </c>
      <c r="X54" s="199">
        <v>38</v>
      </c>
      <c r="Y54" s="184">
        <f>U54+V54+W54+X54</f>
        <v>221</v>
      </c>
      <c r="AA54" s="198">
        <v>34</v>
      </c>
      <c r="AB54" s="199">
        <v>53</v>
      </c>
      <c r="AC54" s="199">
        <v>69</v>
      </c>
      <c r="AD54" s="199">
        <v>56</v>
      </c>
      <c r="AE54" s="184">
        <f>AA54+AB54+AC54+AD54</f>
        <v>212</v>
      </c>
      <c r="AG54" s="198">
        <v>33</v>
      </c>
      <c r="AH54" s="199">
        <v>49</v>
      </c>
      <c r="AI54" s="199">
        <f>AC54-9</f>
        <v>60</v>
      </c>
      <c r="AJ54" s="199">
        <v>52</v>
      </c>
      <c r="AK54" s="184">
        <f>AG54+AH54+AI54+AJ54</f>
        <v>194</v>
      </c>
      <c r="AM54" s="198">
        <v>28</v>
      </c>
      <c r="AN54" s="199">
        <v>42.5</v>
      </c>
      <c r="AO54" s="199">
        <v>47</v>
      </c>
      <c r="AP54" s="199">
        <v>49</v>
      </c>
      <c r="AQ54" s="184">
        <f>AM54+AN54+AO54+AP54</f>
        <v>166.5</v>
      </c>
      <c r="AS54" s="198">
        <v>26</v>
      </c>
      <c r="AT54" s="199">
        <f>AN54*0.87</f>
        <v>36.975000000000001</v>
      </c>
      <c r="AU54" s="199">
        <f>AO54*0.962</f>
        <v>45.213999999999999</v>
      </c>
      <c r="AV54" s="199">
        <v>42</v>
      </c>
      <c r="AW54" s="184">
        <f>AS54+AT54+AU54+AV54</f>
        <v>150.18899999999999</v>
      </c>
      <c r="AY54" s="198">
        <v>25</v>
      </c>
      <c r="AZ54" s="199">
        <f>AT54*1.045</f>
        <v>38.638874999999999</v>
      </c>
      <c r="BA54" s="199">
        <f>AU54*1.01</f>
        <v>45.666139999999999</v>
      </c>
      <c r="BB54" s="199">
        <f>AV54*0.98</f>
        <v>41.16</v>
      </c>
      <c r="BC54" s="184">
        <f>AY54+AZ54+BA54+BB54</f>
        <v>150.46501499999999</v>
      </c>
      <c r="BE54" s="198">
        <f>AY54*1.02</f>
        <v>25.5</v>
      </c>
      <c r="BF54" s="199">
        <f>AZ54*1.056</f>
        <v>40.802652000000002</v>
      </c>
      <c r="BG54" s="199">
        <f>BA54*1.01</f>
        <v>46.1228014</v>
      </c>
      <c r="BH54" s="199">
        <f>BB54*1</f>
        <v>41.16</v>
      </c>
      <c r="BI54" s="184">
        <f>BE54+BF54+BG54+BH54</f>
        <v>153.58545340000001</v>
      </c>
      <c r="BK54" s="198">
        <f>BE54*1.024</f>
        <v>26.112000000000002</v>
      </c>
      <c r="BL54" s="199">
        <f>BF54*1.011</f>
        <v>41.251481171999998</v>
      </c>
      <c r="BM54" s="199">
        <f>BG54*1.049</f>
        <v>48.382818668599995</v>
      </c>
      <c r="BN54" s="199">
        <f>BH54*1.043</f>
        <v>42.92987999999999</v>
      </c>
      <c r="BO54" s="184">
        <f>BK54+BL54+BM54+BN54</f>
        <v>158.67617984059999</v>
      </c>
      <c r="BQ54" s="198">
        <f>BQ40-BQ45-BQ48</f>
        <v>26.796449813828843</v>
      </c>
      <c r="BR54" s="199">
        <f>BR40-BR45-BR48</f>
        <v>41.505565096623343</v>
      </c>
      <c r="BS54" s="199">
        <f>BS40-BS45-BS48</f>
        <v>47.45938059619256</v>
      </c>
      <c r="BT54" s="199">
        <f>BT40-BT45-BT48</f>
        <v>42.493861144116622</v>
      </c>
      <c r="BU54" s="184">
        <f>BQ54+BR54+BS54+BT54</f>
        <v>158.25525665076137</v>
      </c>
      <c r="BW54" s="198">
        <f>BW40-BW45-BW48</f>
        <v>26.585377681291689</v>
      </c>
      <c r="BX54" s="199">
        <f>BX40-BX45-BX48</f>
        <v>41.578744622679274</v>
      </c>
      <c r="BY54" s="199">
        <f>BY40-BY45-BY48</f>
        <v>47.725957591578037</v>
      </c>
      <c r="BZ54" s="199">
        <f>BZ40-BZ45-BZ48</f>
        <v>42.609809149666667</v>
      </c>
      <c r="CA54" s="184">
        <f>BW54+BX54+BY54+BZ54</f>
        <v>158.49988904521567</v>
      </c>
      <c r="CC54" s="198">
        <f>CC40-CC45-CC48</f>
        <v>26.836169806749155</v>
      </c>
      <c r="CD54" s="199">
        <f>CD40-CD45-CD48</f>
        <v>42.115204449016588</v>
      </c>
      <c r="CE54" s="199">
        <f>CE40-CE45-CE48</f>
        <v>48.152389631956098</v>
      </c>
      <c r="CF54" s="199">
        <f>CF40-CF45-CF48</f>
        <v>43.020415023148963</v>
      </c>
      <c r="CG54" s="184">
        <f>CC54+CD54+CE54+CF54</f>
        <v>160.1241789108708</v>
      </c>
      <c r="CI54" s="198">
        <f>CI40-CI45-CI48</f>
        <v>27.140004004162407</v>
      </c>
      <c r="CJ54" s="199">
        <f>CJ40-CJ45-CJ48</f>
        <v>42.738522823253234</v>
      </c>
      <c r="CK54" s="199">
        <f>CK40-CK45-CK48</f>
        <v>48.898564166919812</v>
      </c>
      <c r="CL54" s="199">
        <f>CL40-CL45-CL48</f>
        <v>43.729395823887643</v>
      </c>
      <c r="CM54" s="184">
        <f>CI54+CJ54+CK54+CL54</f>
        <v>162.5064868182231</v>
      </c>
      <c r="CO54" s="198">
        <f>CO40-CO45-CO48</f>
        <v>27.510033686513054</v>
      </c>
      <c r="CP54" s="199">
        <f>CP40-CP45-CP48</f>
        <v>43.471190980208014</v>
      </c>
      <c r="CQ54" s="199">
        <f>CQ40-CQ45-CQ48</f>
        <v>49.77452547331508</v>
      </c>
      <c r="CR54" s="199">
        <f>CR40-CR45-CR48</f>
        <v>44.947877016229008</v>
      </c>
      <c r="CS54" s="184">
        <f>CO54+CP54+CQ54+CR54</f>
        <v>165.70362715626516</v>
      </c>
      <c r="CU54" s="198">
        <f>CU40-CU45-CU48</f>
        <v>28.004521263829062</v>
      </c>
      <c r="CV54" s="199">
        <f>CV40-CV45-CV48</f>
        <v>44.406359601388282</v>
      </c>
      <c r="CW54" s="199">
        <f>CW40-CW45-CW48</f>
        <v>50.887028754428854</v>
      </c>
      <c r="CX54" s="199">
        <f>CX40-CX45-CX48</f>
        <v>45.961700069285826</v>
      </c>
      <c r="CY54" s="184">
        <f>CU54+CV54+CW54+CX54</f>
        <v>169.25960968893202</v>
      </c>
      <c r="DA54" s="198">
        <f>DA40-DA45-DA48</f>
        <v>28.406966950260014</v>
      </c>
      <c r="DB54" s="199">
        <f>DB40-DB45-DB48</f>
        <v>45.20679374237649</v>
      </c>
      <c r="DC54" s="199">
        <f>DC40-DC45-DC48</f>
        <v>51.836865555047126</v>
      </c>
      <c r="DD54" s="199">
        <f>DD40-DD45-DD48</f>
        <v>46.837814000010454</v>
      </c>
      <c r="DE54" s="184">
        <f>DA54+DB54+DC54+DD54</f>
        <v>172.2884402476941</v>
      </c>
      <c r="DG54" s="198">
        <f>DG40-DG45-DG48</f>
        <v>28.69361787228371</v>
      </c>
      <c r="DH54" s="199">
        <f>DH40-DH45-DH48</f>
        <v>45.834511115212123</v>
      </c>
      <c r="DI54" s="199">
        <f>DI40-DI45-DI48</f>
        <v>52.5786475269812</v>
      </c>
      <c r="DJ54" s="199">
        <f>DJ40-DJ45-DJ48</f>
        <v>47.538418070214348</v>
      </c>
      <c r="DK54" s="184">
        <f>DG54+DH54+DI54+DJ54</f>
        <v>174.64519458469138</v>
      </c>
    </row>
    <row r="55" spans="2:115" ht="15.75" thickBot="1" x14ac:dyDescent="0.35">
      <c r="B55" s="41" t="s">
        <v>23</v>
      </c>
      <c r="C55" s="155" t="s">
        <v>35</v>
      </c>
      <c r="D55" s="106" t="s">
        <v>35</v>
      </c>
      <c r="E55" s="106" t="s">
        <v>35</v>
      </c>
      <c r="F55" s="106" t="s">
        <v>35</v>
      </c>
      <c r="G55" s="108" t="s">
        <v>35</v>
      </c>
      <c r="I55" s="109">
        <f>I54/C54-1</f>
        <v>3.9215686274509887E-2</v>
      </c>
      <c r="J55" s="110">
        <f>J54/D54-1</f>
        <v>-4.4776119402985093E-2</v>
      </c>
      <c r="K55" s="110">
        <f>K54/E54-1</f>
        <v>0.13636363636363646</v>
      </c>
      <c r="L55" s="110">
        <f>L54/F54-1</f>
        <v>0.28571428571428581</v>
      </c>
      <c r="M55" s="122">
        <f>M54/G54-1</f>
        <v>9.2741935483870996E-2</v>
      </c>
      <c r="O55" s="109">
        <f>O54/I54-1</f>
        <v>7.547169811320753E-2</v>
      </c>
      <c r="P55" s="110">
        <f>P54/J54-1</f>
        <v>0</v>
      </c>
      <c r="Q55" s="110">
        <f>Q54/K54-1</f>
        <v>-0.13</v>
      </c>
      <c r="R55" s="110">
        <f>R54/L54-1</f>
        <v>-0.20370370370370372</v>
      </c>
      <c r="S55" s="122">
        <f>S54/M54-1</f>
        <v>-7.3800738007380073E-2</v>
      </c>
      <c r="U55" s="109">
        <f>U54/O54-1</f>
        <v>-0.17543859649122806</v>
      </c>
      <c r="V55" s="110">
        <f>V54/P54-1</f>
        <v>-9.375E-2</v>
      </c>
      <c r="W55" s="110">
        <f>W54/Q54-1</f>
        <v>-0.10344827586206895</v>
      </c>
      <c r="X55" s="110">
        <f>X54/R54-1</f>
        <v>-0.11627906976744184</v>
      </c>
      <c r="Y55" s="122">
        <f>Y54/S54-1</f>
        <v>-0.11952191235059761</v>
      </c>
      <c r="AA55" s="109">
        <f>AA54/U54-1</f>
        <v>-0.27659574468085102</v>
      </c>
      <c r="AB55" s="110">
        <f>AB54/V54-1</f>
        <v>-8.6206896551724088E-2</v>
      </c>
      <c r="AC55" s="110">
        <f>AC54/W54-1</f>
        <v>-0.11538461538461542</v>
      </c>
      <c r="AD55" s="110">
        <f>AD54/X54-1</f>
        <v>0.47368421052631571</v>
      </c>
      <c r="AE55" s="122">
        <f>AE54/Y54-1</f>
        <v>-4.0723981900452455E-2</v>
      </c>
      <c r="AG55" s="109">
        <f>AG54/AA54-1</f>
        <v>-2.9411764705882359E-2</v>
      </c>
      <c r="AH55" s="110">
        <f>AH54/AB54-1</f>
        <v>-7.547169811320753E-2</v>
      </c>
      <c r="AI55" s="110">
        <f>AI54/AC54-1</f>
        <v>-0.13043478260869568</v>
      </c>
      <c r="AJ55" s="110">
        <f>AJ54/AD54-1</f>
        <v>-7.1428571428571397E-2</v>
      </c>
      <c r="AK55" s="122">
        <f>AK54/AE54-1</f>
        <v>-8.4905660377358472E-2</v>
      </c>
      <c r="AM55" s="109">
        <f>AM54/AG54-1</f>
        <v>-0.15151515151515149</v>
      </c>
      <c r="AN55" s="110">
        <f>AN54/AH54-1</f>
        <v>-0.13265306122448983</v>
      </c>
      <c r="AO55" s="110">
        <f>AO54/AI54-1</f>
        <v>-0.21666666666666667</v>
      </c>
      <c r="AP55" s="110">
        <f>AP54/AJ54-1</f>
        <v>-5.7692307692307709E-2</v>
      </c>
      <c r="AQ55" s="122">
        <f>AQ54/AK54-1</f>
        <v>-0.14175257731958768</v>
      </c>
      <c r="AS55" s="109">
        <f>AS54/AM54-1</f>
        <v>-7.1428571428571397E-2</v>
      </c>
      <c r="AT55" s="110">
        <f>AT54/AN54-1</f>
        <v>-0.13</v>
      </c>
      <c r="AU55" s="110">
        <f>AU54/AO54-1</f>
        <v>-3.8000000000000034E-2</v>
      </c>
      <c r="AV55" s="110">
        <f>AV54/AP54-1</f>
        <v>-0.1428571428571429</v>
      </c>
      <c r="AW55" s="122">
        <f>AW54/AQ54-1</f>
        <v>-9.7963963963964007E-2</v>
      </c>
      <c r="AY55" s="109">
        <f>AY54/AS54-1</f>
        <v>-3.8461538461538436E-2</v>
      </c>
      <c r="AZ55" s="110">
        <f>AZ54/AT54-1</f>
        <v>4.4999999999999929E-2</v>
      </c>
      <c r="BA55" s="110">
        <f>BA54/AU54-1</f>
        <v>1.0000000000000009E-2</v>
      </c>
      <c r="BB55" s="110">
        <f>BB54/AV54-1</f>
        <v>-2.0000000000000129E-2</v>
      </c>
      <c r="BC55" s="122">
        <f>BC54/AW54-1</f>
        <v>1.837784391666597E-3</v>
      </c>
      <c r="BE55" s="109">
        <f>BE54/AY54-1</f>
        <v>2.0000000000000018E-2</v>
      </c>
      <c r="BF55" s="110">
        <f>BF54/AZ54-1</f>
        <v>5.600000000000005E-2</v>
      </c>
      <c r="BG55" s="110">
        <f>BG54/BA54-1</f>
        <v>1.0000000000000009E-2</v>
      </c>
      <c r="BH55" s="110">
        <f>BH54/BB54-1</f>
        <v>0</v>
      </c>
      <c r="BI55" s="122">
        <f>BI54/BC54-1</f>
        <v>2.0738630837208394E-2</v>
      </c>
      <c r="BK55" s="109">
        <f>BK54/BE54-1</f>
        <v>2.4000000000000021E-2</v>
      </c>
      <c r="BL55" s="110">
        <f>BL54/BF54-1</f>
        <v>1.0999999999999899E-2</v>
      </c>
      <c r="BM55" s="110">
        <f>BM54/BG54-1</f>
        <v>4.8999999999999932E-2</v>
      </c>
      <c r="BN55" s="110">
        <f>BN54/BH54-1</f>
        <v>4.2999999999999927E-2</v>
      </c>
      <c r="BO55" s="122">
        <f>BO54/BI54-1</f>
        <v>3.3145889326781752E-2</v>
      </c>
      <c r="BQ55" s="109">
        <f>BQ54/BK54-1</f>
        <v>2.621207926734237E-2</v>
      </c>
      <c r="BR55" s="110">
        <f>BR54/BL54-1</f>
        <v>6.15938912748204E-3</v>
      </c>
      <c r="BS55" s="110">
        <f>BS54/BM54-1</f>
        <v>-1.9086074309406453E-2</v>
      </c>
      <c r="BT55" s="110">
        <f>BT54/BN54-1</f>
        <v>-1.0156535631671182E-2</v>
      </c>
      <c r="BU55" s="122">
        <f>BU54/BO54-1</f>
        <v>-2.6527181979139058E-3</v>
      </c>
      <c r="BW55" s="109">
        <f>BW54/BQ54-1</f>
        <v>-7.8768692869242152E-3</v>
      </c>
      <c r="BX55" s="110">
        <f>BX54/BR54-1</f>
        <v>1.7631256407562024E-3</v>
      </c>
      <c r="BY55" s="110">
        <f>BY54/BS54-1</f>
        <v>5.6169505804057884E-3</v>
      </c>
      <c r="BZ55" s="110">
        <f>BZ54/BT54-1</f>
        <v>2.7285824923466429E-3</v>
      </c>
      <c r="CA55" s="122">
        <f>CA54/BU54-1</f>
        <v>1.54580896477996E-3</v>
      </c>
      <c r="CC55" s="109">
        <f>CC54/BW54-1</f>
        <v>9.4334610726236612E-3</v>
      </c>
      <c r="CD55" s="110">
        <f>CD54/BX54-1</f>
        <v>1.2902261268482373E-2</v>
      </c>
      <c r="CE55" s="110">
        <f>CE54/BY54-1</f>
        <v>8.9350127665810408E-3</v>
      </c>
      <c r="CF55" s="110">
        <f>CF54/BZ54-1</f>
        <v>9.6364166297964182E-3</v>
      </c>
      <c r="CG55" s="122">
        <f>CG54/CA54-1</f>
        <v>1.0247892761563682E-2</v>
      </c>
      <c r="CI55" s="109">
        <f>CI54/CC54-1</f>
        <v>1.1321816771961313E-2</v>
      </c>
      <c r="CJ55" s="110">
        <f>CJ54/CD54-1</f>
        <v>1.4800316949457493E-2</v>
      </c>
      <c r="CK55" s="110">
        <f>CK54/CE54-1</f>
        <v>1.549610602229623E-2</v>
      </c>
      <c r="CL55" s="110">
        <f>CL54/CF54-1</f>
        <v>1.6480101374130918E-2</v>
      </c>
      <c r="CM55" s="122">
        <f>CM54/CG54-1</f>
        <v>1.4877877429606334E-2</v>
      </c>
      <c r="CO55" s="109">
        <f>CO54/CI54-1</f>
        <v>1.3634105665345508E-2</v>
      </c>
      <c r="CP55" s="110">
        <f>CP54/CJ54-1</f>
        <v>1.7143038845417236E-2</v>
      </c>
      <c r="CQ55" s="110">
        <f>CQ54/CK54-1</f>
        <v>1.7913845146967811E-2</v>
      </c>
      <c r="CR55" s="110">
        <f>CR54/CL54-1</f>
        <v>2.7864121362402905E-2</v>
      </c>
      <c r="CS55" s="122">
        <f>CS54/CM54-1</f>
        <v>1.9673924411511834E-2</v>
      </c>
      <c r="CU55" s="109">
        <f>CU54/CO54-1</f>
        <v>1.7974808135492459E-2</v>
      </c>
      <c r="CV55" s="110">
        <f>CV54/CP54-1</f>
        <v>2.1512376359921648E-2</v>
      </c>
      <c r="CW55" s="110">
        <f>CW54/CQ54-1</f>
        <v>2.2350856598526647E-2</v>
      </c>
      <c r="CX55" s="110">
        <f>CX54/CR54-1</f>
        <v>2.2555526987198204E-2</v>
      </c>
      <c r="CY55" s="122">
        <f>CY54/CS54-1</f>
        <v>2.1459895559880593E-2</v>
      </c>
      <c r="DA55" s="109">
        <f>DA54/CU54-1</f>
        <v>1.4370739733042814E-2</v>
      </c>
      <c r="DB55" s="110">
        <f>DB54/CV54-1</f>
        <v>1.8025214139895107E-2</v>
      </c>
      <c r="DC55" s="110">
        <f>DC54/CW54-1</f>
        <v>1.8665597576977833E-2</v>
      </c>
      <c r="DD55" s="110">
        <f>DD54/CX54-1</f>
        <v>1.906182602914841E-2</v>
      </c>
      <c r="DE55" s="122">
        <f>DE54/CY54-1</f>
        <v>1.7894585508784422E-2</v>
      </c>
      <c r="DG55" s="109">
        <f>DG54/DA54-1</f>
        <v>1.0090866882255245E-2</v>
      </c>
      <c r="DH55" s="110">
        <f>DH54/DB54-1</f>
        <v>1.3885465454879453E-2</v>
      </c>
      <c r="DI55" s="110">
        <f>DI54/DC54-1</f>
        <v>1.4309931049869329E-2</v>
      </c>
      <c r="DJ55" s="110">
        <f>DJ54/DD54-1</f>
        <v>1.4958086434258888E-2</v>
      </c>
      <c r="DK55" s="122">
        <f>DK54/DE54-1</f>
        <v>1.3679120512142484E-2</v>
      </c>
    </row>
    <row r="56" spans="2:115" ht="15.75" thickBot="1" x14ac:dyDescent="0.35">
      <c r="B56" s="1"/>
      <c r="AA56" s="103"/>
      <c r="AB56" s="103"/>
      <c r="AC56" s="103"/>
      <c r="AD56" s="103"/>
      <c r="AE56" s="103"/>
      <c r="AG56" s="103"/>
      <c r="AH56" s="103"/>
      <c r="AI56" s="103"/>
      <c r="AJ56" s="103"/>
      <c r="AK56" s="103"/>
      <c r="AM56" s="103"/>
      <c r="AN56" s="103"/>
      <c r="AO56" s="103"/>
      <c r="AP56" s="103"/>
      <c r="AQ56" s="103"/>
      <c r="AS56" s="103"/>
      <c r="AT56" s="103"/>
      <c r="AU56" s="103"/>
      <c r="AV56" s="103"/>
      <c r="AW56" s="103"/>
      <c r="AY56" s="103"/>
      <c r="AZ56" s="103"/>
      <c r="BA56" s="103"/>
      <c r="BB56" s="103"/>
      <c r="BC56" s="103"/>
      <c r="BE56" s="103"/>
      <c r="BF56" s="103"/>
      <c r="BG56" s="103"/>
      <c r="BH56" s="103"/>
      <c r="BI56" s="103"/>
      <c r="BK56" s="103"/>
      <c r="BL56" s="103"/>
      <c r="BM56" s="103"/>
      <c r="BN56" s="103"/>
      <c r="BO56" s="103"/>
      <c r="BQ56" s="103"/>
      <c r="BR56" s="103"/>
      <c r="BS56" s="103"/>
      <c r="BT56" s="103"/>
      <c r="BU56" s="103"/>
      <c r="BW56" s="103"/>
      <c r="BX56" s="103"/>
      <c r="BY56" s="103"/>
      <c r="BZ56" s="103"/>
      <c r="CA56" s="103"/>
      <c r="CC56" s="103"/>
      <c r="CD56" s="103"/>
      <c r="CE56" s="103"/>
      <c r="CF56" s="103"/>
      <c r="CG56" s="103"/>
      <c r="CI56" s="103"/>
      <c r="CJ56" s="103"/>
      <c r="CK56" s="103"/>
      <c r="CL56" s="103"/>
      <c r="CM56" s="103"/>
      <c r="CO56" s="103"/>
      <c r="CP56" s="103"/>
      <c r="CQ56" s="103"/>
      <c r="CR56" s="103"/>
      <c r="CS56" s="103"/>
      <c r="CU56" s="103"/>
      <c r="CV56" s="103"/>
      <c r="CW56" s="103"/>
      <c r="CX56" s="103"/>
      <c r="CY56" s="103"/>
      <c r="DA56" s="103"/>
      <c r="DB56" s="103"/>
      <c r="DC56" s="103"/>
      <c r="DD56" s="103"/>
      <c r="DE56" s="103"/>
      <c r="DG56" s="103"/>
      <c r="DH56" s="103"/>
      <c r="DI56" s="103"/>
      <c r="DJ56" s="103"/>
      <c r="DK56" s="103"/>
    </row>
    <row r="57" spans="2:115" ht="15" x14ac:dyDescent="0.3">
      <c r="B57" s="42" t="s">
        <v>36</v>
      </c>
      <c r="C57" s="206">
        <f>C54/C40</f>
        <v>0.41463414634146339</v>
      </c>
      <c r="D57" s="206">
        <f>D54/D40</f>
        <v>0.46527777777777779</v>
      </c>
      <c r="E57" s="206">
        <f>E54/E40</f>
        <v>0.49717514124293788</v>
      </c>
      <c r="F57" s="206">
        <f>F54/F40</f>
        <v>0.30656934306569344</v>
      </c>
      <c r="G57" s="208">
        <f>G54/G40</f>
        <v>0.42685025817555938</v>
      </c>
      <c r="H57" s="129"/>
      <c r="I57" s="209">
        <f>I54/I40</f>
        <v>0.41085271317829458</v>
      </c>
      <c r="J57" s="206">
        <f>J54/J40</f>
        <v>0.43243243243243246</v>
      </c>
      <c r="K57" s="206">
        <f>K54/K40</f>
        <v>0.52631578947368418</v>
      </c>
      <c r="L57" s="207">
        <f>L54/L40</f>
        <v>0.36241610738255031</v>
      </c>
      <c r="M57" s="208">
        <f>M54/M40</f>
        <v>0.43993506493506496</v>
      </c>
      <c r="N57" s="129"/>
      <c r="O57" s="209">
        <f>O54/O40</f>
        <v>0.42537313432835822</v>
      </c>
      <c r="P57" s="206">
        <f>P54/P40</f>
        <v>0.46043165467625902</v>
      </c>
      <c r="Q57" s="206">
        <f>Q54/Q40</f>
        <v>0.52409638554216864</v>
      </c>
      <c r="R57" s="207">
        <f>R54/R40</f>
        <v>0.32575757575757575</v>
      </c>
      <c r="S57" s="208">
        <f>S54/S40</f>
        <v>0.43957968476357268</v>
      </c>
      <c r="U57" s="209">
        <f>U54/U40</f>
        <v>0.39830508474576271</v>
      </c>
      <c r="V57" s="206">
        <f>V54/V40</f>
        <v>0.43939393939393939</v>
      </c>
      <c r="W57" s="206">
        <f>W54/W40</f>
        <v>0.50322580645161286</v>
      </c>
      <c r="X57" s="207">
        <f>X54/X40</f>
        <v>0.32203389830508472</v>
      </c>
      <c r="Y57" s="208">
        <f>Y54/Y40</f>
        <v>0.42256214149139582</v>
      </c>
      <c r="AA57" s="209">
        <f>AA54/AA40</f>
        <v>0.33663366336633666</v>
      </c>
      <c r="AB57" s="206">
        <f>AB54/AB40</f>
        <v>0.47747747747747749</v>
      </c>
      <c r="AC57" s="206">
        <f>AC54/AC40</f>
        <v>0.56097560975609762</v>
      </c>
      <c r="AD57" s="206">
        <f>AD54/AD40</f>
        <v>0.5436893203883495</v>
      </c>
      <c r="AE57" s="208">
        <f>AE54/AE40</f>
        <v>0.48401826484018262</v>
      </c>
      <c r="AG57" s="209">
        <f>AG54/AG40</f>
        <v>0.3473684210526316</v>
      </c>
      <c r="AH57" s="206">
        <f>AH54/AH40</f>
        <v>0.48514851485148514</v>
      </c>
      <c r="AI57" s="206">
        <f>AI54/AI40</f>
        <v>0.4838709677419355</v>
      </c>
      <c r="AJ57" s="206">
        <f>AJ54/AJ40</f>
        <v>0.54736842105263162</v>
      </c>
      <c r="AK57" s="208">
        <f>AK54/AK40</f>
        <v>0.46746987951807228</v>
      </c>
      <c r="AM57" s="209">
        <f>AM54/AM40</f>
        <v>0.3146067415730337</v>
      </c>
      <c r="AN57" s="206">
        <f>AN54/AN40</f>
        <v>0.44270833333333331</v>
      </c>
      <c r="AO57" s="206">
        <f>AO54/AO40</f>
        <v>0.47</v>
      </c>
      <c r="AP57" s="206">
        <f>AP54/AP40</f>
        <v>0.5444444444444444</v>
      </c>
      <c r="AQ57" s="208">
        <f>AQ54/AQ40</f>
        <v>0.44400000000000001</v>
      </c>
      <c r="AS57" s="209">
        <f>AS54/AS40</f>
        <v>0.31325301204819278</v>
      </c>
      <c r="AT57" s="206">
        <f>AT54/AT40</f>
        <v>0.40631868131868132</v>
      </c>
      <c r="AU57" s="206">
        <f>AU54/AU40</f>
        <v>0.44327450980392158</v>
      </c>
      <c r="AV57" s="206">
        <f>AV54/AV40</f>
        <v>0.46153846153846156</v>
      </c>
      <c r="AW57" s="208">
        <f>AW54/AW40</f>
        <v>0.40923433242506813</v>
      </c>
      <c r="AY57" s="209">
        <f>AY54/AY40</f>
        <v>0.30864197530864196</v>
      </c>
      <c r="AZ57" s="206">
        <f>AZ54/AZ40</f>
        <v>0.45457500000000001</v>
      </c>
      <c r="BA57" s="206">
        <f>BA54/BA40</f>
        <v>0.44336058252427185</v>
      </c>
      <c r="BB57" s="206">
        <f>BB54/BB40</f>
        <v>0.45733333333333331</v>
      </c>
      <c r="BC57" s="208">
        <f>BC54/BC40</f>
        <v>0.41912260445682448</v>
      </c>
      <c r="BE57" s="209">
        <f>BE54/BE40</f>
        <v>0.29651162790697677</v>
      </c>
      <c r="BF57" s="206">
        <f>BF54/BF40</f>
        <v>0.43873819354838711</v>
      </c>
      <c r="BG57" s="206">
        <f>BG54/BG40</f>
        <v>0.45218432745098042</v>
      </c>
      <c r="BH57" s="206">
        <f>BH54/BH40</f>
        <v>0.44258064516129031</v>
      </c>
      <c r="BI57" s="208">
        <f>BI54/BI40</f>
        <v>0.41065629251336899</v>
      </c>
      <c r="BK57" s="209">
        <f>BK54/BK40</f>
        <v>0.29013333333333335</v>
      </c>
      <c r="BL57" s="206">
        <f>BL54/BL40</f>
        <v>0.42527300177319588</v>
      </c>
      <c r="BM57" s="206">
        <f>BM54/BM40</f>
        <v>0.42441069007543858</v>
      </c>
      <c r="BN57" s="206">
        <f>BN54/BN40</f>
        <v>0.43363515151515142</v>
      </c>
      <c r="BO57" s="208">
        <f>BO54/BO40</f>
        <v>0.39669044960149996</v>
      </c>
      <c r="BQ57" s="209">
        <f>BQ54/BQ40</f>
        <v>0.28930704912408833</v>
      </c>
      <c r="BR57" s="206">
        <f>BR54/BR40</f>
        <v>0.42215293285128297</v>
      </c>
      <c r="BS57" s="206">
        <f>BS54/BS40</f>
        <v>0.41821953032338183</v>
      </c>
      <c r="BT57" s="206">
        <f>BT54/BT40</f>
        <v>0.42549391519098245</v>
      </c>
      <c r="BU57" s="208">
        <f>BU54/BU40</f>
        <v>0.39143922934190328</v>
      </c>
      <c r="BW57" s="209">
        <f>BW54/BW40</f>
        <v>0.28420275437174841</v>
      </c>
      <c r="BX57" s="206">
        <f>BX54/BX40</f>
        <v>0.41799513121287268</v>
      </c>
      <c r="BY57" s="206">
        <f>BY54/BY40</f>
        <v>0.4148974413561739</v>
      </c>
      <c r="BZ57" s="206">
        <f>BZ54/BZ40</f>
        <v>0.42088400367640327</v>
      </c>
      <c r="CA57" s="208">
        <f>CA54/CA40</f>
        <v>0.38726032784433989</v>
      </c>
      <c r="CC57" s="209">
        <f>CC54/CC40</f>
        <v>0.281230101681678</v>
      </c>
      <c r="CD57" s="206">
        <f>CD54/CD40</f>
        <v>0.41508663902749099</v>
      </c>
      <c r="CE57" s="206">
        <f>CE54/CE40</f>
        <v>0.41253359033145159</v>
      </c>
      <c r="CF57" s="206">
        <f>CF54/CF40</f>
        <v>0.41799527041555695</v>
      </c>
      <c r="CG57" s="208">
        <f>CG54/CG40</f>
        <v>0.38442424893659743</v>
      </c>
      <c r="CI57" s="209">
        <f>CI54/CI40</f>
        <v>0.27833758682062626</v>
      </c>
      <c r="CJ57" s="206">
        <f>CJ54/CJ40</f>
        <v>0.41224817142066816</v>
      </c>
      <c r="CK57" s="206">
        <f>CK54/CK40</f>
        <v>0.4097727867103379</v>
      </c>
      <c r="CL57" s="206">
        <f>CL54/CL40</f>
        <v>0.41522233816073478</v>
      </c>
      <c r="CM57" s="208">
        <f>CM54/CM40</f>
        <v>0.38162661523685187</v>
      </c>
      <c r="CO57" s="209">
        <f>CO54/CO40</f>
        <v>0.27549304072150871</v>
      </c>
      <c r="CP57" s="206">
        <f>CP54/CP40</f>
        <v>0.40945166028971292</v>
      </c>
      <c r="CQ57" s="206">
        <f>CQ54/CQ40</f>
        <v>0.40704698132715389</v>
      </c>
      <c r="CR57" s="206">
        <f>CR54/CR40</f>
        <v>0.41208586130343061</v>
      </c>
      <c r="CS57" s="208">
        <f>CS54/CS40</f>
        <v>0.37885262382515067</v>
      </c>
      <c r="CU57" s="209">
        <f>CU54/CU40</f>
        <v>0.27269781075711663</v>
      </c>
      <c r="CV57" s="206">
        <f>CV54/CV40</f>
        <v>0.40669827548795123</v>
      </c>
      <c r="CW57" s="206">
        <f>CW54/CW40</f>
        <v>0.40435703364661651</v>
      </c>
      <c r="CX57" s="206">
        <f>CX54/CX40</f>
        <v>0.40939271503760399</v>
      </c>
      <c r="CY57" s="208">
        <f>CY54/CY40</f>
        <v>0.37613531616584212</v>
      </c>
      <c r="DA57" s="209">
        <f>DA54/DA40</f>
        <v>0.26983098981568493</v>
      </c>
      <c r="DB57" s="206">
        <f>DB54/DB40</f>
        <v>0.40388235896638125</v>
      </c>
      <c r="DC57" s="206">
        <f>DC54/DC40</f>
        <v>0.40161425519867316</v>
      </c>
      <c r="DD57" s="206">
        <f>DD54/DD40</f>
        <v>0.40663842130501132</v>
      </c>
      <c r="DE57" s="208">
        <f>DE54/DE40</f>
        <v>0.37335370158007258</v>
      </c>
      <c r="DG57" s="209">
        <f>DG54/DG40</f>
        <v>0.26687475216306944</v>
      </c>
      <c r="DH57" s="206">
        <f>DH54/DH40</f>
        <v>0.40098833755868235</v>
      </c>
      <c r="DI57" s="206">
        <f>DI54/DI40</f>
        <v>0.39880578140939088</v>
      </c>
      <c r="DJ57" s="206">
        <f>DJ54/DJ40</f>
        <v>0.40380908240782282</v>
      </c>
      <c r="DK57" s="208">
        <f>DK54/DK40</f>
        <v>0.37049277269822894</v>
      </c>
    </row>
    <row r="58" spans="2:115" ht="15.75" thickBot="1" x14ac:dyDescent="0.35">
      <c r="B58" s="41" t="s">
        <v>37</v>
      </c>
      <c r="C58" s="155" t="s">
        <v>35</v>
      </c>
      <c r="D58" s="106" t="s">
        <v>35</v>
      </c>
      <c r="E58" s="106" t="s">
        <v>35</v>
      </c>
      <c r="F58" s="106" t="s">
        <v>35</v>
      </c>
      <c r="G58" s="108" t="s">
        <v>35</v>
      </c>
      <c r="I58" s="174">
        <f>I57-C57</f>
        <v>-3.7814331631688125E-3</v>
      </c>
      <c r="J58" s="175">
        <f>J57-D57</f>
        <v>-3.2845345345345334E-2</v>
      </c>
      <c r="K58" s="175">
        <f>K57-E57</f>
        <v>2.9140648230746302E-2</v>
      </c>
      <c r="L58" s="176">
        <f>L57-F57</f>
        <v>5.5846764316856867E-2</v>
      </c>
      <c r="M58" s="177">
        <f>M57-G57</f>
        <v>1.3084806759505574E-2</v>
      </c>
      <c r="O58" s="174">
        <f>O57-I57</f>
        <v>1.4520421150063634E-2</v>
      </c>
      <c r="P58" s="175">
        <f>P57-J57</f>
        <v>2.799922224382656E-2</v>
      </c>
      <c r="Q58" s="175">
        <f>Q57-K57</f>
        <v>-2.2194039315155401E-3</v>
      </c>
      <c r="R58" s="176">
        <f>R57-L57</f>
        <v>-3.6658531624974566E-2</v>
      </c>
      <c r="S58" s="177">
        <f>S57-M57</f>
        <v>-3.5538017149228107E-4</v>
      </c>
      <c r="U58" s="174">
        <f>U57-O57</f>
        <v>-2.706804958259551E-2</v>
      </c>
      <c r="V58" s="175">
        <f>V57-P57</f>
        <v>-2.1037715282319625E-2</v>
      </c>
      <c r="W58" s="175">
        <f>W57-Q57</f>
        <v>-2.0870579090555785E-2</v>
      </c>
      <c r="X58" s="176">
        <f>X57-R57</f>
        <v>-3.7236774524910254E-3</v>
      </c>
      <c r="Y58" s="177">
        <f>Y57-S57</f>
        <v>-1.701754327217686E-2</v>
      </c>
      <c r="AA58" s="174">
        <f>AA57-U57</f>
        <v>-6.167142137942605E-2</v>
      </c>
      <c r="AB58" s="175">
        <f>AB57-V57</f>
        <v>3.8083538083538093E-2</v>
      </c>
      <c r="AC58" s="175">
        <f>AC57-W57</f>
        <v>5.7749803304484759E-2</v>
      </c>
      <c r="AD58" s="175">
        <f>AD57-X57</f>
        <v>0.22165542208326477</v>
      </c>
      <c r="AE58" s="177">
        <f>AE57-Y57</f>
        <v>6.1456123348786806E-2</v>
      </c>
      <c r="AG58" s="174">
        <f>AG57-AA57</f>
        <v>1.0734757686294949E-2</v>
      </c>
      <c r="AH58" s="175">
        <f>AH57-AB57</f>
        <v>7.6710373740076498E-3</v>
      </c>
      <c r="AI58" s="175">
        <f>AI57-AC57</f>
        <v>-7.7104642014162117E-2</v>
      </c>
      <c r="AJ58" s="175">
        <f>AJ57-AD57</f>
        <v>3.67910066428212E-3</v>
      </c>
      <c r="AK58" s="177">
        <f>AK57-AE57</f>
        <v>-1.6548385322110337E-2</v>
      </c>
      <c r="AM58" s="174">
        <f>AM57-AG57</f>
        <v>-3.2761679479597905E-2</v>
      </c>
      <c r="AN58" s="175">
        <f>AN57-AH57</f>
        <v>-4.244018151815182E-2</v>
      </c>
      <c r="AO58" s="175">
        <f>AO57-AI57</f>
        <v>-1.3870967741935525E-2</v>
      </c>
      <c r="AP58" s="175">
        <f>AP57-AJ57</f>
        <v>-2.9239766081872176E-3</v>
      </c>
      <c r="AQ58" s="177">
        <f>AQ57-AK57</f>
        <v>-2.3469879518072279E-2</v>
      </c>
      <c r="AS58" s="174">
        <f>AS57-AM57</f>
        <v>-1.3537295248409187E-3</v>
      </c>
      <c r="AT58" s="175">
        <f>AT57-AN57</f>
        <v>-3.6389652014651996E-2</v>
      </c>
      <c r="AU58" s="175">
        <f>AU57-AO57</f>
        <v>-2.6725490196078394E-2</v>
      </c>
      <c r="AV58" s="175">
        <f>AV57-AP57</f>
        <v>-8.2905982905982833E-2</v>
      </c>
      <c r="AW58" s="177">
        <f>AW57-AQ57</f>
        <v>-3.476566757493188E-2</v>
      </c>
      <c r="AY58" s="174">
        <f>AY57-AS57</f>
        <v>-4.6110367395508223E-3</v>
      </c>
      <c r="AZ58" s="175">
        <f>AZ57-AT57</f>
        <v>4.8256318681318688E-2</v>
      </c>
      <c r="BA58" s="175">
        <f>BA57-AU57</f>
        <v>8.6072720350272025E-5</v>
      </c>
      <c r="BB58" s="175">
        <f>BB57-AV57</f>
        <v>-4.2051282051282501E-3</v>
      </c>
      <c r="BC58" s="177">
        <f>BC57-AW57</f>
        <v>9.8882720317563511E-3</v>
      </c>
      <c r="BE58" s="174">
        <f>BE57-AY57</f>
        <v>-1.2130347401665187E-2</v>
      </c>
      <c r="BF58" s="175">
        <f>BF57-AZ57</f>
        <v>-1.5836806451612895E-2</v>
      </c>
      <c r="BG58" s="175">
        <f>BG57-BA57</f>
        <v>8.8237449267085655E-3</v>
      </c>
      <c r="BH58" s="175">
        <f>BH57-BB57</f>
        <v>-1.4752688172043005E-2</v>
      </c>
      <c r="BI58" s="177">
        <f>BI57-BC57</f>
        <v>-8.4663119434554845E-3</v>
      </c>
      <c r="BK58" s="174">
        <f>BK57-BE57</f>
        <v>-6.3782945736434171E-3</v>
      </c>
      <c r="BL58" s="175">
        <f>BL57-BF57</f>
        <v>-1.3465191775191232E-2</v>
      </c>
      <c r="BM58" s="175">
        <f>BM57-BG57</f>
        <v>-2.7773637375541838E-2</v>
      </c>
      <c r="BN58" s="175">
        <f>BN57-BH57</f>
        <v>-8.9454936461388912E-3</v>
      </c>
      <c r="BO58" s="177">
        <f>BO57-BI57</f>
        <v>-1.3965842911869031E-2</v>
      </c>
      <c r="BQ58" s="174">
        <f>BQ57-BK57</f>
        <v>-8.2628420924502066E-4</v>
      </c>
      <c r="BR58" s="175">
        <f>BR57-BL57</f>
        <v>-3.1200689219129107E-3</v>
      </c>
      <c r="BS58" s="175">
        <f>BS57-BM57</f>
        <v>-6.1911597520567518E-3</v>
      </c>
      <c r="BT58" s="175">
        <f>BT57-BN57</f>
        <v>-8.1412363241689656E-3</v>
      </c>
      <c r="BU58" s="177">
        <f>BU57-BO57</f>
        <v>-5.2512202595966784E-3</v>
      </c>
      <c r="BW58" s="174">
        <f>BW57-BQ57</f>
        <v>-5.1042947523399218E-3</v>
      </c>
      <c r="BX58" s="175">
        <f>BX57-BR57</f>
        <v>-4.1578016384102856E-3</v>
      </c>
      <c r="BY58" s="175">
        <f>BY57-BS57</f>
        <v>-3.3220889672079257E-3</v>
      </c>
      <c r="BZ58" s="175">
        <f>BZ57-BT57</f>
        <v>-4.6099115145791791E-3</v>
      </c>
      <c r="CA58" s="177">
        <f>CA57-BU57</f>
        <v>-4.178901497563392E-3</v>
      </c>
      <c r="CC58" s="174">
        <f>CC57-BW57</f>
        <v>-2.9726526900704098E-3</v>
      </c>
      <c r="CD58" s="175">
        <f>CD57-BX57</f>
        <v>-2.9084921853816947E-3</v>
      </c>
      <c r="CE58" s="175">
        <f>CE57-BY57</f>
        <v>-2.3638510247223077E-3</v>
      </c>
      <c r="CF58" s="175">
        <f>CF57-BZ57</f>
        <v>-2.8887332608463212E-3</v>
      </c>
      <c r="CG58" s="177">
        <f>CG57-CA57</f>
        <v>-2.8360789077424564E-3</v>
      </c>
      <c r="CI58" s="174">
        <f>CI57-CC57</f>
        <v>-2.8925148610517426E-3</v>
      </c>
      <c r="CJ58" s="175">
        <f>CJ57-CD57</f>
        <v>-2.8384676068228254E-3</v>
      </c>
      <c r="CK58" s="175">
        <f>CK57-CE57</f>
        <v>-2.7608036211136944E-3</v>
      </c>
      <c r="CL58" s="175">
        <f>CL57-CF57</f>
        <v>-2.7729322548221691E-3</v>
      </c>
      <c r="CM58" s="177">
        <f>CM57-CG57</f>
        <v>-2.7976336997455609E-3</v>
      </c>
      <c r="CO58" s="174">
        <f>CO57-CI57</f>
        <v>-2.8445460991175509E-3</v>
      </c>
      <c r="CP58" s="175">
        <f>CP57-CJ57</f>
        <v>-2.7965111309552482E-3</v>
      </c>
      <c r="CQ58" s="175">
        <f>CQ57-CK57</f>
        <v>-2.7258053831840101E-3</v>
      </c>
      <c r="CR58" s="175">
        <f>CR57-CL57</f>
        <v>-3.1364768573041713E-3</v>
      </c>
      <c r="CS58" s="177">
        <f>CS57-CM57</f>
        <v>-2.7739914117012043E-3</v>
      </c>
      <c r="CU58" s="174">
        <f>CU57-CO57</f>
        <v>-2.7952299643920764E-3</v>
      </c>
      <c r="CV58" s="175">
        <f>CV57-CP57</f>
        <v>-2.7533848017616824E-3</v>
      </c>
      <c r="CW58" s="175">
        <f>CW57-CQ57</f>
        <v>-2.6899476805373745E-3</v>
      </c>
      <c r="CX58" s="175">
        <f>CX57-CR57</f>
        <v>-2.6931462658266181E-3</v>
      </c>
      <c r="CY58" s="177">
        <f>CY57-CS57</f>
        <v>-2.7173076593085543E-3</v>
      </c>
      <c r="DA58" s="174">
        <f>DA57-CU57</f>
        <v>-2.8668209414317025E-3</v>
      </c>
      <c r="DB58" s="175">
        <f>DB57-CV57</f>
        <v>-2.8159165215699833E-3</v>
      </c>
      <c r="DC58" s="175">
        <f>DC57-CW57</f>
        <v>-2.7427784479433504E-3</v>
      </c>
      <c r="DD58" s="175">
        <f>DD57-CX57</f>
        <v>-2.754293732592672E-3</v>
      </c>
      <c r="DE58" s="177">
        <f>DE57-CY57</f>
        <v>-2.7816145857695318E-3</v>
      </c>
      <c r="DG58" s="174">
        <f>DG57-DA57</f>
        <v>-2.9562376526154899E-3</v>
      </c>
      <c r="DH58" s="175">
        <f>DH57-DB57</f>
        <v>-2.894021407698899E-3</v>
      </c>
      <c r="DI58" s="175">
        <f>DI57-DC57</f>
        <v>-2.8084737892822842E-3</v>
      </c>
      <c r="DJ58" s="175">
        <f>DJ57-DD57</f>
        <v>-2.8293388971885047E-3</v>
      </c>
      <c r="DK58" s="177">
        <f>DK57-DE57</f>
        <v>-2.8609288818436385E-3</v>
      </c>
    </row>
    <row r="59" spans="2:115" ht="15.75" thickBot="1" x14ac:dyDescent="0.35">
      <c r="B59" s="1"/>
      <c r="AA59" s="103"/>
      <c r="AB59" s="103"/>
      <c r="AC59" s="103"/>
      <c r="AD59" s="103"/>
      <c r="AE59" s="103"/>
      <c r="AG59" s="103"/>
      <c r="AH59" s="103"/>
      <c r="AI59" s="103"/>
      <c r="AJ59" s="103"/>
      <c r="AK59" s="103"/>
      <c r="AM59" s="103"/>
      <c r="AN59" s="103"/>
      <c r="AO59" s="103"/>
      <c r="AP59" s="103"/>
      <c r="AQ59" s="103"/>
      <c r="AS59" s="103"/>
      <c r="AT59" s="103"/>
      <c r="AU59" s="103"/>
      <c r="AV59" s="103"/>
      <c r="AW59" s="103"/>
      <c r="AY59" s="103"/>
      <c r="AZ59" s="103"/>
      <c r="BA59" s="103"/>
      <c r="BB59" s="103"/>
      <c r="BC59" s="103"/>
      <c r="BE59" s="103"/>
      <c r="BF59" s="103"/>
      <c r="BG59" s="103"/>
      <c r="BH59" s="103"/>
      <c r="BI59" s="103"/>
      <c r="BK59" s="103"/>
      <c r="BL59" s="103"/>
      <c r="BM59" s="103"/>
      <c r="BN59" s="103"/>
      <c r="BO59" s="103"/>
      <c r="BQ59" s="103"/>
      <c r="BR59" s="103"/>
      <c r="BS59" s="103"/>
      <c r="BT59" s="103"/>
      <c r="BU59" s="103"/>
      <c r="BW59" s="103"/>
      <c r="BX59" s="103"/>
      <c r="BY59" s="103"/>
      <c r="BZ59" s="103"/>
      <c r="CA59" s="103"/>
      <c r="CC59" s="103"/>
      <c r="CD59" s="103"/>
      <c r="CE59" s="103"/>
      <c r="CF59" s="103"/>
      <c r="CG59" s="103"/>
      <c r="CI59" s="103"/>
      <c r="CJ59" s="103"/>
      <c r="CK59" s="103"/>
      <c r="CL59" s="103"/>
      <c r="CM59" s="103"/>
      <c r="CO59" s="103"/>
      <c r="CP59" s="103"/>
      <c r="CQ59" s="103"/>
      <c r="CR59" s="103"/>
      <c r="CS59" s="103"/>
      <c r="CU59" s="103"/>
      <c r="CV59" s="103"/>
      <c r="CW59" s="103"/>
      <c r="CX59" s="103"/>
      <c r="CY59" s="103"/>
      <c r="DA59" s="103"/>
      <c r="DB59" s="103"/>
      <c r="DC59" s="103"/>
      <c r="DD59" s="103"/>
      <c r="DE59" s="103"/>
      <c r="DG59" s="103"/>
      <c r="DH59" s="103"/>
      <c r="DI59" s="103"/>
      <c r="DJ59" s="103"/>
      <c r="DK59" s="103"/>
    </row>
    <row r="60" spans="2:115" ht="15" x14ac:dyDescent="0.3">
      <c r="B60" s="139" t="s">
        <v>62</v>
      </c>
      <c r="C60" s="126">
        <v>34</v>
      </c>
      <c r="D60" s="127">
        <v>6</v>
      </c>
      <c r="E60" s="127">
        <v>11</v>
      </c>
      <c r="F60" s="128">
        <v>14</v>
      </c>
      <c r="G60" s="201">
        <f>C60+D60+E60+F60</f>
        <v>65</v>
      </c>
      <c r="H60" s="129"/>
      <c r="I60" s="126">
        <v>18</v>
      </c>
      <c r="J60" s="127">
        <v>8</v>
      </c>
      <c r="K60" s="127">
        <v>14</v>
      </c>
      <c r="L60" s="127">
        <v>16</v>
      </c>
      <c r="M60" s="201">
        <f>I60+J60+K60+L60</f>
        <v>56</v>
      </c>
      <c r="N60" s="129"/>
      <c r="O60" s="126">
        <v>18</v>
      </c>
      <c r="P60" s="127">
        <v>10</v>
      </c>
      <c r="Q60" s="127">
        <v>17</v>
      </c>
      <c r="R60" s="127">
        <v>11</v>
      </c>
      <c r="S60" s="201">
        <f>O60+P60+Q60+R60</f>
        <v>56</v>
      </c>
      <c r="T60" s="129"/>
      <c r="U60" s="126">
        <v>11</v>
      </c>
      <c r="V60" s="252">
        <v>11</v>
      </c>
      <c r="W60" s="252">
        <v>6</v>
      </c>
      <c r="X60" s="258">
        <v>23</v>
      </c>
      <c r="Y60" s="201">
        <f>U60+V60+W60+X60</f>
        <v>51</v>
      </c>
      <c r="Z60" s="254"/>
      <c r="AA60" s="251">
        <v>12</v>
      </c>
      <c r="AB60" s="252">
        <v>10</v>
      </c>
      <c r="AC60" s="252">
        <v>6</v>
      </c>
      <c r="AD60" s="252">
        <v>3</v>
      </c>
      <c r="AE60" s="201">
        <f>AA60+AB60+AC60+AD60</f>
        <v>31</v>
      </c>
      <c r="AF60" s="254"/>
      <c r="AG60" s="251">
        <v>7</v>
      </c>
      <c r="AH60" s="252">
        <v>5</v>
      </c>
      <c r="AI60" s="252">
        <v>8</v>
      </c>
      <c r="AJ60" s="252">
        <v>35</v>
      </c>
      <c r="AK60" s="201">
        <f>AG60+AH60+AI60+AJ60</f>
        <v>55</v>
      </c>
      <c r="AL60" s="254"/>
      <c r="AM60" s="251">
        <v>14</v>
      </c>
      <c r="AN60" s="252">
        <v>8</v>
      </c>
      <c r="AO60" s="252">
        <v>12</v>
      </c>
      <c r="AP60" s="252">
        <v>11</v>
      </c>
      <c r="AQ60" s="201">
        <f>AM60+AN60+AO60+AP60</f>
        <v>45</v>
      </c>
      <c r="AR60" s="254"/>
      <c r="AS60" s="251">
        <v>9</v>
      </c>
      <c r="AT60" s="252">
        <f>AN60*1.21</f>
        <v>9.68</v>
      </c>
      <c r="AU60" s="252">
        <f>AO60*0.71</f>
        <v>8.52</v>
      </c>
      <c r="AV60" s="252">
        <f>AV63*AV40</f>
        <v>7.28</v>
      </c>
      <c r="AW60" s="201">
        <f>AS60+AT60+AU60+AV60</f>
        <v>34.479999999999997</v>
      </c>
      <c r="AX60" s="254"/>
      <c r="AY60" s="251">
        <f>AY63*AY40</f>
        <v>9.7199999999999989</v>
      </c>
      <c r="AZ60" s="252">
        <v>10</v>
      </c>
      <c r="BA60" s="199">
        <f>AU60*1.29</f>
        <v>10.9908</v>
      </c>
      <c r="BB60" s="252">
        <f>AV60*0.87</f>
        <v>6.3336000000000006</v>
      </c>
      <c r="BC60" s="201">
        <f>AY60+AZ60+BA60+BB60</f>
        <v>37.044399999999996</v>
      </c>
      <c r="BD60" s="254"/>
      <c r="BE60" s="251">
        <v>17</v>
      </c>
      <c r="BF60" s="252">
        <v>15</v>
      </c>
      <c r="BG60" s="252">
        <v>9</v>
      </c>
      <c r="BH60" s="252">
        <v>13</v>
      </c>
      <c r="BI60" s="201">
        <f>BE60+BF60+BG60+BH60</f>
        <v>54</v>
      </c>
      <c r="BJ60" s="254"/>
      <c r="BK60" s="251">
        <v>12</v>
      </c>
      <c r="BL60" s="252">
        <f>BF60*1.2</f>
        <v>18</v>
      </c>
      <c r="BM60" s="252">
        <f>BM63*BM40</f>
        <v>12.882</v>
      </c>
      <c r="BN60" s="252">
        <v>15</v>
      </c>
      <c r="BO60" s="201">
        <f>BK60+BL60+BM60+BN60</f>
        <v>57.881999999999998</v>
      </c>
      <c r="BP60" s="254"/>
      <c r="BQ60" s="251">
        <f>BQ63*BQ40</f>
        <v>12.040973375327628</v>
      </c>
      <c r="BR60" s="252">
        <f>BR63*BR40</f>
        <v>15.731006227070802</v>
      </c>
      <c r="BS60" s="252">
        <f>BS63*BS40</f>
        <v>11.347958943833953</v>
      </c>
      <c r="BT60" s="252">
        <f>BT63*BT40</f>
        <v>13.981728875032355</v>
      </c>
      <c r="BU60" s="201">
        <f>BQ60+BR60+BS60+BT60</f>
        <v>53.101667421264736</v>
      </c>
      <c r="BV60" s="254"/>
      <c r="BW60" s="251">
        <f>BW63*BW40</f>
        <v>11.692962714269196</v>
      </c>
      <c r="BX60" s="252">
        <f>BX63*BX40</f>
        <v>13.926057536327191</v>
      </c>
      <c r="BY60" s="252">
        <f>BY63*BY40</f>
        <v>12.653380840126175</v>
      </c>
      <c r="BZ60" s="252">
        <f>BZ63*BZ40</f>
        <v>13.161049460353308</v>
      </c>
      <c r="CA60" s="201">
        <f>BW60+BX60+BY60+BZ60</f>
        <v>51.433450551075865</v>
      </c>
      <c r="CB60" s="254"/>
      <c r="CC60" s="251">
        <f>CC63*CC40</f>
        <v>11.450909264524517</v>
      </c>
      <c r="CD60" s="252">
        <f>CD63*CD40</f>
        <v>12.175348610889106</v>
      </c>
      <c r="CE60" s="252">
        <f>CE63*CE40</f>
        <v>12.255973888800492</v>
      </c>
      <c r="CF60" s="252">
        <f>CF63*CF40</f>
        <v>12.35049812320972</v>
      </c>
      <c r="CG60" s="201">
        <f>CC60+CD60+CE60+CF60</f>
        <v>48.232729887423829</v>
      </c>
      <c r="CH60" s="254"/>
      <c r="CI60" s="251">
        <f>CI63*CI40</f>
        <v>11.700900757605272</v>
      </c>
      <c r="CJ60" s="252">
        <f>CJ63*CJ40</f>
        <v>11.403901427522882</v>
      </c>
      <c r="CK60" s="252">
        <f>CK63*CK40</f>
        <v>12.529746737808562</v>
      </c>
      <c r="CL60" s="252">
        <f>CL63*CL40</f>
        <v>11.584717628475888</v>
      </c>
      <c r="CM60" s="201">
        <f>CI60+CJ60+CK60+CL60</f>
        <v>47.219266551412602</v>
      </c>
      <c r="CN60" s="254"/>
      <c r="CO60" s="251">
        <f>CO63*CO40</f>
        <v>11.98289449975144</v>
      </c>
      <c r="CP60" s="252">
        <f>CP63*CP40</f>
        <v>11.678621609299213</v>
      </c>
      <c r="CQ60" s="252">
        <f>CQ63*CQ40</f>
        <v>12.839611677398866</v>
      </c>
      <c r="CR60" s="252">
        <f>CR63*CR40</f>
        <v>11.998146347818</v>
      </c>
      <c r="CS60" s="201">
        <f>CO60+CP60+CQ60+CR60</f>
        <v>48.499274134267516</v>
      </c>
      <c r="CT60" s="254"/>
      <c r="CU60" s="251">
        <f>CU63*CU40</f>
        <v>12.323320610199607</v>
      </c>
      <c r="CV60" s="252">
        <f>CV63*CV40</f>
        <v>12.010622740635212</v>
      </c>
      <c r="CW60" s="252">
        <f>CW63*CW40</f>
        <v>13.213911406533384</v>
      </c>
      <c r="CX60" s="252">
        <f>CX63*CX40</f>
        <v>12.349479660763018</v>
      </c>
      <c r="CY60" s="201">
        <f>CU60+CV60+CW60+CX60</f>
        <v>49.897334418131216</v>
      </c>
      <c r="CZ60" s="254"/>
      <c r="DA60" s="251">
        <f>DA63*DA40</f>
        <v>12.633226585129069</v>
      </c>
      <c r="DB60" s="252">
        <f>DB63*DB40</f>
        <v>12.312365720522447</v>
      </c>
      <c r="DC60" s="252">
        <f>DC63*DC40</f>
        <v>13.552484287659144</v>
      </c>
      <c r="DD60" s="252">
        <f>DD63*DD40</f>
        <v>12.670124784240736</v>
      </c>
      <c r="DE60" s="201">
        <f>DA60+DB60+DC60+DD60</f>
        <v>51.168201377551391</v>
      </c>
      <c r="DF60" s="254"/>
      <c r="DG60" s="251">
        <f>DG63*DG40</f>
        <v>12.902060298945452</v>
      </c>
      <c r="DH60" s="252">
        <f>DH63*DH40</f>
        <v>12.573423589745913</v>
      </c>
      <c r="DI60" s="252">
        <f>DI63*DI40</f>
        <v>13.843224566159776</v>
      </c>
      <c r="DJ60" s="252">
        <f>DJ63*DJ40</f>
        <v>12.949748323001748</v>
      </c>
      <c r="DK60" s="201">
        <f>DG60+DH60+DI60+DJ60</f>
        <v>52.26845677785289</v>
      </c>
    </row>
    <row r="61" spans="2:115" ht="15" x14ac:dyDescent="0.3">
      <c r="B61" s="5" t="s">
        <v>40</v>
      </c>
      <c r="C61" s="144" t="s">
        <v>35</v>
      </c>
      <c r="D61" s="107" t="s">
        <v>35</v>
      </c>
      <c r="E61" s="107" t="s">
        <v>35</v>
      </c>
      <c r="F61" s="145" t="s">
        <v>35</v>
      </c>
      <c r="G61" s="138" t="s">
        <v>35</v>
      </c>
      <c r="H61" s="107"/>
      <c r="I61" s="151">
        <f>I60/C60-1</f>
        <v>-0.47058823529411764</v>
      </c>
      <c r="J61" s="133">
        <f>J60/D60-1</f>
        <v>0.33333333333333326</v>
      </c>
      <c r="K61" s="133">
        <f>K60/E60-1</f>
        <v>0.27272727272727271</v>
      </c>
      <c r="L61" s="133">
        <f>L60/F60-1</f>
        <v>0.14285714285714279</v>
      </c>
      <c r="M61" s="153">
        <f>M60/G60-1</f>
        <v>-0.13846153846153841</v>
      </c>
      <c r="N61" s="107"/>
      <c r="O61" s="151">
        <f>O60/I60-1</f>
        <v>0</v>
      </c>
      <c r="P61" s="133">
        <f>P60/J60-1</f>
        <v>0.25</v>
      </c>
      <c r="Q61" s="133">
        <f>Q60/K60-1</f>
        <v>0.21428571428571419</v>
      </c>
      <c r="R61" s="133">
        <f>R60/L60-1</f>
        <v>-0.3125</v>
      </c>
      <c r="S61" s="153">
        <f>S60/M60-1</f>
        <v>0</v>
      </c>
      <c r="T61" s="107"/>
      <c r="U61" s="151">
        <f>U60/O60-1</f>
        <v>-0.38888888888888884</v>
      </c>
      <c r="V61" s="133">
        <f>V60/P60-1</f>
        <v>0.10000000000000009</v>
      </c>
      <c r="W61" s="133">
        <f>W60/Q60-1</f>
        <v>-0.64705882352941169</v>
      </c>
      <c r="X61" s="152">
        <f>X60/R60-1</f>
        <v>1.0909090909090908</v>
      </c>
      <c r="Y61" s="153">
        <f>Y60/S60-1</f>
        <v>-8.9285714285714302E-2</v>
      </c>
      <c r="AA61" s="151">
        <f>AA60/U60-1</f>
        <v>9.0909090909090828E-2</v>
      </c>
      <c r="AB61" s="133">
        <f>AB60/V60-1</f>
        <v>-9.0909090909090939E-2</v>
      </c>
      <c r="AC61" s="133">
        <f>AC60/W60-1</f>
        <v>0</v>
      </c>
      <c r="AD61" s="152">
        <f>AD60/X60-1</f>
        <v>-0.86956521739130432</v>
      </c>
      <c r="AE61" s="153">
        <f>AE60/Y60-1</f>
        <v>-0.39215686274509809</v>
      </c>
      <c r="AG61" s="151">
        <f>AG60/AA60-1</f>
        <v>-0.41666666666666663</v>
      </c>
      <c r="AH61" s="133">
        <f>AH60/AB60-1</f>
        <v>-0.5</v>
      </c>
      <c r="AI61" s="133">
        <f>AI60/AC60-1</f>
        <v>0.33333333333333326</v>
      </c>
      <c r="AJ61" s="152">
        <f>AJ60/AD60-1</f>
        <v>10.666666666666666</v>
      </c>
      <c r="AK61" s="153">
        <f>AK60/AE60-1</f>
        <v>0.77419354838709675</v>
      </c>
      <c r="AM61" s="151">
        <f>AM60/AG60-1</f>
        <v>1</v>
      </c>
      <c r="AN61" s="133">
        <f>AN60/AH60-1</f>
        <v>0.60000000000000009</v>
      </c>
      <c r="AO61" s="133">
        <f>AO60/AI60-1</f>
        <v>0.5</v>
      </c>
      <c r="AP61" s="133">
        <f>AP60/AJ60-1</f>
        <v>-0.68571428571428572</v>
      </c>
      <c r="AQ61" s="153">
        <f>AQ60/AK60-1</f>
        <v>-0.18181818181818177</v>
      </c>
      <c r="AS61" s="151">
        <f>AS60/AM60-1</f>
        <v>-0.3571428571428571</v>
      </c>
      <c r="AT61" s="133">
        <f>AT60/AN60-1</f>
        <v>0.20999999999999996</v>
      </c>
      <c r="AU61" s="133">
        <f>AU60/AO60-1</f>
        <v>-0.29000000000000004</v>
      </c>
      <c r="AV61" s="152">
        <f>AV60/AP60-1</f>
        <v>-0.33818181818181814</v>
      </c>
      <c r="AW61" s="153">
        <f>AW60/AQ60-1</f>
        <v>-0.23377777777777786</v>
      </c>
      <c r="AY61" s="151">
        <f>AY60/AS60-1</f>
        <v>7.9999999999999849E-2</v>
      </c>
      <c r="AZ61" s="133">
        <f>AZ60/AT60-1</f>
        <v>3.3057851239669533E-2</v>
      </c>
      <c r="BA61" s="133">
        <f>BA60/AU60-1</f>
        <v>0.29000000000000004</v>
      </c>
      <c r="BB61" s="152">
        <f>BB60/AV60-1</f>
        <v>-0.13</v>
      </c>
      <c r="BC61" s="153">
        <f>BC60/AW60-1</f>
        <v>7.4373549883990808E-2</v>
      </c>
      <c r="BE61" s="151">
        <f>BE60/AY60-1</f>
        <v>0.748971193415638</v>
      </c>
      <c r="BF61" s="133">
        <f>BF60/AZ60-1</f>
        <v>0.5</v>
      </c>
      <c r="BG61" s="133">
        <f>BG60/BA60-1</f>
        <v>-0.18113331149688827</v>
      </c>
      <c r="BH61" s="133">
        <f>BH60/BB60-1</f>
        <v>1.0525451559934318</v>
      </c>
      <c r="BI61" s="153">
        <f>BI60/BC60-1</f>
        <v>0.45771020721080657</v>
      </c>
      <c r="BK61" s="151">
        <f>BK60/BE60-1</f>
        <v>-0.29411764705882348</v>
      </c>
      <c r="BL61" s="133">
        <f>BL60/BF60-1</f>
        <v>0.19999999999999996</v>
      </c>
      <c r="BM61" s="133">
        <f>BM60/BG60-1</f>
        <v>0.43133333333333335</v>
      </c>
      <c r="BN61" s="133">
        <f>BN60/BH60-1</f>
        <v>0.15384615384615374</v>
      </c>
      <c r="BO61" s="153">
        <f>BO60/BI60-1</f>
        <v>7.1888888888888891E-2</v>
      </c>
      <c r="BQ61" s="151">
        <f>BQ60/BK60-1</f>
        <v>3.4144479439690567E-3</v>
      </c>
      <c r="BR61" s="133">
        <f>BR60/BL60-1</f>
        <v>-0.12605520960717764</v>
      </c>
      <c r="BS61" s="133">
        <f>BS60/BM60-1</f>
        <v>-0.11908407515650099</v>
      </c>
      <c r="BT61" s="152">
        <f>BT60/BN60-1</f>
        <v>-6.7884741664509751E-2</v>
      </c>
      <c r="BU61" s="153">
        <f>BU60/BO60-1</f>
        <v>-8.2587550166463908E-2</v>
      </c>
      <c r="BW61" s="151">
        <f>BW60/BQ60-1</f>
        <v>-2.8902203352722089E-2</v>
      </c>
      <c r="BX61" s="133">
        <f>BX60/BR60-1</f>
        <v>-0.11473828594877511</v>
      </c>
      <c r="BY61" s="133">
        <f>BY60/BS60-1</f>
        <v>0.11503583179612553</v>
      </c>
      <c r="BZ61" s="152">
        <f>BZ60/BT60-1</f>
        <v>-5.8696561921220081E-2</v>
      </c>
      <c r="CA61" s="153">
        <f>CA60/BU60-1</f>
        <v>-3.1415527067250371E-2</v>
      </c>
      <c r="CC61" s="151">
        <f>CC60/BW60-1</f>
        <v>-2.070078008965992E-2</v>
      </c>
      <c r="CD61" s="133">
        <f>CD60/BX60-1</f>
        <v>-0.12571461239990045</v>
      </c>
      <c r="CE61" s="133">
        <f>CE60/BY60-1</f>
        <v>-3.1407175390266717E-2</v>
      </c>
      <c r="CF61" s="152">
        <f>CF60/BZ60-1</f>
        <v>-6.1587135553689221E-2</v>
      </c>
      <c r="CG61" s="153">
        <f>CG60/CA60-1</f>
        <v>-6.2230331221382218E-2</v>
      </c>
      <c r="CI61" s="151">
        <f>CI60/CC60-1</f>
        <v>2.1831584488686939E-2</v>
      </c>
      <c r="CJ61" s="133">
        <f>CJ60/CD60-1</f>
        <v>-6.3361404097807439E-2</v>
      </c>
      <c r="CK61" s="133">
        <f>CK60/CE60-1</f>
        <v>2.2337910597071575E-2</v>
      </c>
      <c r="CL61" s="152">
        <f>CL60/CF60-1</f>
        <v>-6.2004016930680361E-2</v>
      </c>
      <c r="CM61" s="153">
        <f>CM60/CG60-1</f>
        <v>-2.1011942271911055E-2</v>
      </c>
      <c r="CO61" s="151">
        <f>CO60/CI60-1</f>
        <v>2.4100173823188742E-2</v>
      </c>
      <c r="CP61" s="133">
        <f>CP60/CJ60-1</f>
        <v>2.4090017221062965E-2</v>
      </c>
      <c r="CQ61" s="133">
        <f>CQ60/CK60-1</f>
        <v>2.4730343403932098E-2</v>
      </c>
      <c r="CR61" s="152">
        <f>CR60/CL60-1</f>
        <v>3.5687423086246062E-2</v>
      </c>
      <c r="CS61" s="153">
        <f>CS60/CM60-1</f>
        <v>2.7107739622792115E-2</v>
      </c>
      <c r="CU61" s="151">
        <f>CU60/CO60-1</f>
        <v>2.8409338866767886E-2</v>
      </c>
      <c r="CV61" s="133">
        <f>CV60/CP60-1</f>
        <v>2.8428109278892943E-2</v>
      </c>
      <c r="CW61" s="133">
        <f>CW60/CQ60-1</f>
        <v>2.9151950895320855E-2</v>
      </c>
      <c r="CX61" s="152">
        <f>CX60/CR60-1</f>
        <v>2.9282299345257723E-2</v>
      </c>
      <c r="CY61" s="153">
        <f>CY60/CS60-1</f>
        <v>2.8826416659211151E-2</v>
      </c>
      <c r="DA61" s="151">
        <f>DA60/CU60-1</f>
        <v>2.5147927635102096E-2</v>
      </c>
      <c r="DB61" s="133">
        <f>DB60/CV60-1</f>
        <v>2.5123008723465734E-2</v>
      </c>
      <c r="DC61" s="133">
        <f>DC60/CW60-1</f>
        <v>2.5622457326175185E-2</v>
      </c>
      <c r="DD61" s="152">
        <f>DD60/CX60-1</f>
        <v>2.5964261838211433E-2</v>
      </c>
      <c r="DE61" s="153">
        <f>DE60/CY60-1</f>
        <v>2.5469636288995456E-2</v>
      </c>
      <c r="DG61" s="151">
        <f>DG60/DA60-1</f>
        <v>2.1279893303966846E-2</v>
      </c>
      <c r="DH61" s="133">
        <f>DH60/DB60-1</f>
        <v>2.1202900819322634E-2</v>
      </c>
      <c r="DI61" s="133">
        <f>DI60/DC60-1</f>
        <v>2.1452913896043313E-2</v>
      </c>
      <c r="DJ61" s="152">
        <f>DJ60/DD60-1</f>
        <v>2.2069517350674417E-2</v>
      </c>
      <c r="DK61" s="153">
        <f>DK60/DE60-1</f>
        <v>2.1502717912304847E-2</v>
      </c>
    </row>
    <row r="62" spans="2:115" ht="15" x14ac:dyDescent="0.3">
      <c r="B62" s="105"/>
      <c r="C62" s="144"/>
      <c r="D62" s="107"/>
      <c r="E62" s="107"/>
      <c r="F62" s="145"/>
      <c r="G62" s="138"/>
      <c r="H62" s="107"/>
      <c r="I62" s="144"/>
      <c r="J62" s="107"/>
      <c r="K62" s="107"/>
      <c r="L62" s="107"/>
      <c r="M62" s="138"/>
      <c r="N62" s="107"/>
      <c r="O62" s="144"/>
      <c r="P62" s="107"/>
      <c r="Q62" s="107"/>
      <c r="R62" s="107"/>
      <c r="S62" s="138"/>
      <c r="T62" s="107"/>
      <c r="U62" s="144"/>
      <c r="V62" s="107"/>
      <c r="W62" s="107"/>
      <c r="X62" s="145"/>
      <c r="Y62" s="138"/>
      <c r="AA62" s="144"/>
      <c r="AB62" s="107"/>
      <c r="AC62" s="107"/>
      <c r="AD62" s="145"/>
      <c r="AE62" s="138"/>
      <c r="AG62" s="144"/>
      <c r="AH62" s="107"/>
      <c r="AI62" s="107"/>
      <c r="AJ62" s="145"/>
      <c r="AK62" s="138"/>
      <c r="AM62" s="144"/>
      <c r="AN62" s="107"/>
      <c r="AO62" s="107"/>
      <c r="AP62" s="107"/>
      <c r="AQ62" s="138"/>
      <c r="AS62" s="144"/>
      <c r="AT62" s="107"/>
      <c r="AU62" s="107"/>
      <c r="AV62" s="145"/>
      <c r="AW62" s="138"/>
      <c r="AY62" s="144"/>
      <c r="AZ62" s="107"/>
      <c r="BA62" s="107"/>
      <c r="BB62" s="145"/>
      <c r="BC62" s="138"/>
      <c r="BE62" s="144"/>
      <c r="BF62" s="107"/>
      <c r="BG62" s="107"/>
      <c r="BH62" s="145"/>
      <c r="BI62" s="138"/>
      <c r="BK62" s="144"/>
      <c r="BL62" s="107"/>
      <c r="BM62" s="107"/>
      <c r="BN62" s="107"/>
      <c r="BO62" s="138"/>
      <c r="BQ62" s="144"/>
      <c r="BR62" s="107"/>
      <c r="BS62" s="107"/>
      <c r="BT62" s="145"/>
      <c r="BU62" s="138"/>
      <c r="BW62" s="144"/>
      <c r="BX62" s="107"/>
      <c r="BY62" s="107"/>
      <c r="BZ62" s="145"/>
      <c r="CA62" s="138"/>
      <c r="CC62" s="144"/>
      <c r="CD62" s="107"/>
      <c r="CE62" s="107"/>
      <c r="CF62" s="145"/>
      <c r="CG62" s="138"/>
      <c r="CI62" s="144"/>
      <c r="CJ62" s="107"/>
      <c r="CK62" s="107"/>
      <c r="CL62" s="145"/>
      <c r="CM62" s="138"/>
      <c r="CO62" s="144"/>
      <c r="CP62" s="107"/>
      <c r="CQ62" s="107"/>
      <c r="CR62" s="145"/>
      <c r="CS62" s="138"/>
      <c r="CU62" s="144"/>
      <c r="CV62" s="107"/>
      <c r="CW62" s="107"/>
      <c r="CX62" s="145"/>
      <c r="CY62" s="138"/>
      <c r="DA62" s="144"/>
      <c r="DB62" s="107"/>
      <c r="DC62" s="107"/>
      <c r="DD62" s="145"/>
      <c r="DE62" s="138"/>
      <c r="DG62" s="144"/>
      <c r="DH62" s="107"/>
      <c r="DI62" s="107"/>
      <c r="DJ62" s="145"/>
      <c r="DK62" s="138"/>
    </row>
    <row r="63" spans="2:115" ht="15" x14ac:dyDescent="0.3">
      <c r="B63" s="105" t="s">
        <v>24</v>
      </c>
      <c r="C63" s="171">
        <f>C60/C40</f>
        <v>0.27642276422764228</v>
      </c>
      <c r="D63" s="165">
        <f>D60/D40</f>
        <v>4.1666666666666664E-2</v>
      </c>
      <c r="E63" s="165">
        <f>E60/E40</f>
        <v>6.2146892655367235E-2</v>
      </c>
      <c r="F63" s="172">
        <f>F60/F40</f>
        <v>0.10218978102189781</v>
      </c>
      <c r="G63" s="173">
        <f>G60/G40</f>
        <v>0.11187607573149742</v>
      </c>
      <c r="H63" s="166"/>
      <c r="I63" s="171">
        <f>I60/I40</f>
        <v>0.13953488372093023</v>
      </c>
      <c r="J63" s="165">
        <f>J60/J40</f>
        <v>5.4054054054054057E-2</v>
      </c>
      <c r="K63" s="165">
        <f>K60/K40</f>
        <v>7.3684210526315783E-2</v>
      </c>
      <c r="L63" s="172">
        <f>L60/L40</f>
        <v>0.10738255033557047</v>
      </c>
      <c r="M63" s="173">
        <f>M60/M40</f>
        <v>9.0909090909090912E-2</v>
      </c>
      <c r="N63" s="166"/>
      <c r="O63" s="171">
        <f>O60/O40</f>
        <v>0.13432835820895522</v>
      </c>
      <c r="P63" s="165">
        <f>P60/P40</f>
        <v>7.1942446043165464E-2</v>
      </c>
      <c r="Q63" s="165">
        <f>Q60/Q40</f>
        <v>0.10240963855421686</v>
      </c>
      <c r="R63" s="172">
        <f>R60/R40</f>
        <v>8.3333333333333329E-2</v>
      </c>
      <c r="S63" s="173">
        <f>S60/S40</f>
        <v>9.8073555166374782E-2</v>
      </c>
      <c r="T63" s="166"/>
      <c r="U63" s="171">
        <f>U60/U40</f>
        <v>9.3220338983050849E-2</v>
      </c>
      <c r="V63" s="165">
        <f>V60/V40</f>
        <v>8.3333333333333329E-2</v>
      </c>
      <c r="W63" s="165">
        <f>W60/W40</f>
        <v>3.870967741935484E-2</v>
      </c>
      <c r="X63" s="165">
        <f>X60/X40</f>
        <v>0.19491525423728814</v>
      </c>
      <c r="Y63" s="173">
        <f>Y60/Y40</f>
        <v>9.7514340344168254E-2</v>
      </c>
      <c r="AA63" s="171">
        <f>AA60/AA40</f>
        <v>0.11881188118811881</v>
      </c>
      <c r="AB63" s="165">
        <f>AB60/AB40</f>
        <v>9.0090090090090086E-2</v>
      </c>
      <c r="AC63" s="165">
        <f>AC60/AC40</f>
        <v>4.878048780487805E-2</v>
      </c>
      <c r="AD63" s="165">
        <f>AD60/AD40</f>
        <v>2.9126213592233011E-2</v>
      </c>
      <c r="AE63" s="173">
        <f>AE60/AE40</f>
        <v>7.0776255707762553E-2</v>
      </c>
      <c r="AG63" s="171">
        <f>AG60/AG40</f>
        <v>7.3684210526315783E-2</v>
      </c>
      <c r="AH63" s="165">
        <f>AH60/AH40</f>
        <v>4.9504950495049507E-2</v>
      </c>
      <c r="AI63" s="165">
        <v>7.4999999999999997E-2</v>
      </c>
      <c r="AJ63" s="165">
        <f>AJ60/AJ40</f>
        <v>0.36842105263157893</v>
      </c>
      <c r="AK63" s="173">
        <f>AK60/AK40</f>
        <v>0.13253012048192772</v>
      </c>
      <c r="AM63" s="171">
        <f>AM60/AM40</f>
        <v>0.15730337078651685</v>
      </c>
      <c r="AN63" s="165">
        <f>AN60/AN40</f>
        <v>8.3333333333333329E-2</v>
      </c>
      <c r="AO63" s="165">
        <f>AO60/AO40</f>
        <v>0.12</v>
      </c>
      <c r="AP63" s="165">
        <f>AP60/AP40</f>
        <v>0.12222222222222222</v>
      </c>
      <c r="AQ63" s="173">
        <f>AQ60/AQ40</f>
        <v>0.12</v>
      </c>
      <c r="AS63" s="171">
        <f>AS60/AS40</f>
        <v>0.10843373493975904</v>
      </c>
      <c r="AT63" s="165">
        <f>AT60/AT40</f>
        <v>0.10637362637362636</v>
      </c>
      <c r="AU63" s="165">
        <f>AU60/AU40</f>
        <v>8.352941176470588E-2</v>
      </c>
      <c r="AV63" s="165">
        <v>0.08</v>
      </c>
      <c r="AW63" s="173">
        <f>AW60/AW40</f>
        <v>9.39509536784741E-2</v>
      </c>
      <c r="AY63" s="171">
        <v>0.12</v>
      </c>
      <c r="AZ63" s="165">
        <f>AZ60/AZ40</f>
        <v>0.11764705882352941</v>
      </c>
      <c r="BA63" s="165">
        <f>BA60/BA40</f>
        <v>0.10670679611650485</v>
      </c>
      <c r="BB63" s="165">
        <f>BB60/BB40</f>
        <v>7.0373333333333343E-2</v>
      </c>
      <c r="BC63" s="173">
        <f>BC60/BC40</f>
        <v>0.10318774373259051</v>
      </c>
      <c r="BE63" s="171">
        <f>BE60/BE40</f>
        <v>0.19767441860465115</v>
      </c>
      <c r="BF63" s="165">
        <f>BF60/BF40</f>
        <v>0.16129032258064516</v>
      </c>
      <c r="BG63" s="165">
        <f>BG60/BG40</f>
        <v>8.8235294117647065E-2</v>
      </c>
      <c r="BH63" s="165">
        <f>BH60/BH40</f>
        <v>0.13978494623655913</v>
      </c>
      <c r="BI63" s="173">
        <f>BI60/BI40</f>
        <v>0.14438502673796791</v>
      </c>
      <c r="BK63" s="171">
        <f>BK60/BK40</f>
        <v>0.13333333333333333</v>
      </c>
      <c r="BL63" s="165">
        <f>BL60/BL40</f>
        <v>0.18556701030927836</v>
      </c>
      <c r="BM63" s="165">
        <v>0.113</v>
      </c>
      <c r="BN63" s="165">
        <f>BN60/BN40</f>
        <v>0.15151515151515152</v>
      </c>
      <c r="BO63" s="173">
        <f>BO60/BO40</f>
        <v>0.144705</v>
      </c>
      <c r="BQ63" s="171">
        <v>0.13</v>
      </c>
      <c r="BR63" s="165">
        <v>0.16</v>
      </c>
      <c r="BS63" s="165">
        <v>0.1</v>
      </c>
      <c r="BT63" s="165">
        <v>0.14000000000000001</v>
      </c>
      <c r="BU63" s="173">
        <f>BU60/BU40</f>
        <v>0.13134524698930383</v>
      </c>
      <c r="BW63" s="171">
        <v>0.125</v>
      </c>
      <c r="BX63" s="165">
        <v>0.14000000000000001</v>
      </c>
      <c r="BY63" s="165">
        <v>0.11</v>
      </c>
      <c r="BZ63" s="165">
        <v>0.13</v>
      </c>
      <c r="CA63" s="173">
        <f>CA60/CA40</f>
        <v>0.12566655435886889</v>
      </c>
      <c r="CC63" s="171">
        <v>0.12</v>
      </c>
      <c r="CD63" s="165">
        <v>0.12</v>
      </c>
      <c r="CE63" s="165">
        <v>0.105</v>
      </c>
      <c r="CF63" s="165">
        <v>0.12</v>
      </c>
      <c r="CG63" s="173">
        <f>CG60/CG40</f>
        <v>0.11579657168112967</v>
      </c>
      <c r="CI63" s="171">
        <v>0.12</v>
      </c>
      <c r="CJ63" s="165">
        <v>0.11</v>
      </c>
      <c r="CK63" s="165">
        <v>0.105</v>
      </c>
      <c r="CL63" s="165">
        <v>0.11</v>
      </c>
      <c r="CM63" s="173">
        <f>CM60/CM40</f>
        <v>0.11088867417421489</v>
      </c>
      <c r="CO63" s="171">
        <v>0.12</v>
      </c>
      <c r="CP63" s="165">
        <v>0.11</v>
      </c>
      <c r="CQ63" s="165">
        <v>0.105</v>
      </c>
      <c r="CR63" s="165">
        <v>0.11</v>
      </c>
      <c r="CS63" s="173">
        <f>CS60/CS40</f>
        <v>0.11088518443869078</v>
      </c>
      <c r="CU63" s="171">
        <v>0.12</v>
      </c>
      <c r="CV63" s="165">
        <v>0.11</v>
      </c>
      <c r="CW63" s="165">
        <v>0.105</v>
      </c>
      <c r="CX63" s="165">
        <v>0.11</v>
      </c>
      <c r="CY63" s="173">
        <f>CY60/CY40</f>
        <v>0.11088380560305523</v>
      </c>
      <c r="DA63" s="171">
        <v>0.12</v>
      </c>
      <c r="DB63" s="165">
        <v>0.11</v>
      </c>
      <c r="DC63" s="165">
        <v>0.105</v>
      </c>
      <c r="DD63" s="165">
        <v>0.11</v>
      </c>
      <c r="DE63" s="173">
        <f>DE60/DE40</f>
        <v>0.11088287385989651</v>
      </c>
      <c r="DG63" s="171">
        <v>0.12</v>
      </c>
      <c r="DH63" s="165">
        <v>0.11</v>
      </c>
      <c r="DI63" s="165">
        <v>0.105</v>
      </c>
      <c r="DJ63" s="165">
        <v>0.11</v>
      </c>
      <c r="DK63" s="173">
        <f>DK60/DK40</f>
        <v>0.11088244095312608</v>
      </c>
    </row>
    <row r="64" spans="2:115" ht="15.75" thickBot="1" x14ac:dyDescent="0.35">
      <c r="B64" s="140" t="s">
        <v>40</v>
      </c>
      <c r="C64" s="155" t="s">
        <v>35</v>
      </c>
      <c r="D64" s="106" t="s">
        <v>35</v>
      </c>
      <c r="E64" s="106" t="s">
        <v>35</v>
      </c>
      <c r="F64" s="154" t="s">
        <v>35</v>
      </c>
      <c r="G64" s="108" t="s">
        <v>35</v>
      </c>
      <c r="I64" s="174">
        <f>I63-C63</f>
        <v>-0.13688788050671205</v>
      </c>
      <c r="J64" s="175">
        <f>J63-D63</f>
        <v>1.2387387387387393E-2</v>
      </c>
      <c r="K64" s="175">
        <f>K63-E63</f>
        <v>1.1537317870948548E-2</v>
      </c>
      <c r="L64" s="176">
        <f>L63-F63</f>
        <v>5.1927693136726571E-3</v>
      </c>
      <c r="M64" s="177">
        <f>M63-G63</f>
        <v>-2.0966984822406512E-2</v>
      </c>
      <c r="O64" s="174">
        <f>O63-I63</f>
        <v>-5.2065255119750076E-3</v>
      </c>
      <c r="P64" s="175">
        <f>P63-J63</f>
        <v>1.7888391989111407E-2</v>
      </c>
      <c r="Q64" s="175">
        <f>Q63-K63</f>
        <v>2.8725428027901082E-2</v>
      </c>
      <c r="R64" s="176">
        <f>R63-L63</f>
        <v>-2.4049217002237139E-2</v>
      </c>
      <c r="S64" s="177">
        <f>S63-M63</f>
        <v>7.1644642572838702E-3</v>
      </c>
      <c r="U64" s="174">
        <f>U63-O63</f>
        <v>-4.1108019225904374E-2</v>
      </c>
      <c r="V64" s="175">
        <f>V63-P63</f>
        <v>1.1390887290167864E-2</v>
      </c>
      <c r="W64" s="175">
        <f>W63-Q63</f>
        <v>-6.3699961134862024E-2</v>
      </c>
      <c r="X64" s="175">
        <f>X63-R63</f>
        <v>0.11158192090395481</v>
      </c>
      <c r="Y64" s="177">
        <f>Y63-S63</f>
        <v>-5.5921482220652741E-4</v>
      </c>
      <c r="AA64" s="174">
        <f>AA63-U63</f>
        <v>2.5591542205067958E-2</v>
      </c>
      <c r="AB64" s="175">
        <f>AB63-V63</f>
        <v>6.7567567567567571E-3</v>
      </c>
      <c r="AC64" s="175">
        <f>AC63-W63</f>
        <v>1.007081038552321E-2</v>
      </c>
      <c r="AD64" s="175">
        <f>AD63-X63</f>
        <v>-0.16578904064505512</v>
      </c>
      <c r="AE64" s="177">
        <f>AE63-Y63</f>
        <v>-2.6738084636405701E-2</v>
      </c>
      <c r="AG64" s="174">
        <f>AG63-AA63</f>
        <v>-4.5127670661803024E-2</v>
      </c>
      <c r="AH64" s="175">
        <f>AH63-AB63</f>
        <v>-4.0585139595040579E-2</v>
      </c>
      <c r="AI64" s="175">
        <f>AI63-AC63</f>
        <v>2.6219512195121947E-2</v>
      </c>
      <c r="AJ64" s="175">
        <f>AJ63-AD63</f>
        <v>0.33929483903934593</v>
      </c>
      <c r="AK64" s="177">
        <f>AK63-AE63</f>
        <v>6.1753864774165168E-2</v>
      </c>
      <c r="AM64" s="174">
        <f>AM63-AG63</f>
        <v>8.3619160260201067E-2</v>
      </c>
      <c r="AN64" s="175">
        <f>AN63-AH63</f>
        <v>3.3828382838283821E-2</v>
      </c>
      <c r="AO64" s="175">
        <f>AO63-AI63</f>
        <v>4.4999999999999998E-2</v>
      </c>
      <c r="AP64" s="175">
        <f>AP63-AJ63</f>
        <v>-0.24619883040935669</v>
      </c>
      <c r="AQ64" s="177">
        <f>AQ63-AK63</f>
        <v>-1.2530120481927726E-2</v>
      </c>
      <c r="AS64" s="174">
        <f>AS63-AM63</f>
        <v>-4.8869635846757811E-2</v>
      </c>
      <c r="AT64" s="175">
        <f>AT63-AN63</f>
        <v>2.3040293040293036E-2</v>
      </c>
      <c r="AU64" s="175">
        <f>AU63-AO63</f>
        <v>-3.6470588235294116E-2</v>
      </c>
      <c r="AV64" s="176">
        <f>AV63-AP63</f>
        <v>-4.2222222222222217E-2</v>
      </c>
      <c r="AW64" s="177">
        <f>AW63-AQ63</f>
        <v>-2.6049046321525895E-2</v>
      </c>
      <c r="AY64" s="174">
        <f>AY63-AS63</f>
        <v>1.1566265060240957E-2</v>
      </c>
      <c r="AZ64" s="175">
        <f>AZ63-AT63</f>
        <v>1.1273432449903045E-2</v>
      </c>
      <c r="BA64" s="175">
        <f>BA63-AU63</f>
        <v>2.3177384351798974E-2</v>
      </c>
      <c r="BB64" s="175">
        <f>BB63-AV63</f>
        <v>-9.6266666666666584E-3</v>
      </c>
      <c r="BC64" s="177">
        <f>BC63-AW63</f>
        <v>9.2367900541164144E-3</v>
      </c>
      <c r="BE64" s="174">
        <f>BE63-AY63</f>
        <v>7.7674418604651158E-2</v>
      </c>
      <c r="BF64" s="175">
        <f>BF63-AZ63</f>
        <v>4.3643263757115747E-2</v>
      </c>
      <c r="BG64" s="175">
        <f>BG63-BA63</f>
        <v>-1.8471501998857789E-2</v>
      </c>
      <c r="BH64" s="176">
        <f>BH63-BB63</f>
        <v>6.9411612903225783E-2</v>
      </c>
      <c r="BI64" s="177">
        <f>BI63-BC63</f>
        <v>4.1197283005377394E-2</v>
      </c>
      <c r="BK64" s="174">
        <f>BK63-BE63</f>
        <v>-6.4341085271317822E-2</v>
      </c>
      <c r="BL64" s="175">
        <f>BL63-BF63</f>
        <v>2.4276687728633201E-2</v>
      </c>
      <c r="BM64" s="175">
        <f>BM63-BG63</f>
        <v>2.4764705882352939E-2</v>
      </c>
      <c r="BN64" s="175">
        <f>BN63-BH63</f>
        <v>1.1730205278592393E-2</v>
      </c>
      <c r="BO64" s="177">
        <f>BO63-BI63</f>
        <v>3.1997326203209164E-4</v>
      </c>
      <c r="BQ64" s="174">
        <f>BQ63-BK63</f>
        <v>-3.333333333333327E-3</v>
      </c>
      <c r="BR64" s="175">
        <f>BR63-BL63</f>
        <v>-2.5567010309278354E-2</v>
      </c>
      <c r="BS64" s="175">
        <f>BS63-BM63</f>
        <v>-1.2999999999999998E-2</v>
      </c>
      <c r="BT64" s="176">
        <f>BT63-BN63</f>
        <v>-1.1515151515151506E-2</v>
      </c>
      <c r="BU64" s="177">
        <f>BU63-BO63</f>
        <v>-1.3359753010696168E-2</v>
      </c>
      <c r="BW64" s="174">
        <f>BW63-BQ63</f>
        <v>-5.0000000000000044E-3</v>
      </c>
      <c r="BX64" s="175">
        <f>BX63-BR63</f>
        <v>-1.999999999999999E-2</v>
      </c>
      <c r="BY64" s="175">
        <f>BY63-BS63</f>
        <v>9.999999999999995E-3</v>
      </c>
      <c r="BZ64" s="176">
        <f>BZ63-BT63</f>
        <v>-1.0000000000000009E-2</v>
      </c>
      <c r="CA64" s="177">
        <f>CA63-BU63</f>
        <v>-5.6786926304349394E-3</v>
      </c>
      <c r="CC64" s="174">
        <f>CC63-BW63</f>
        <v>-5.0000000000000044E-3</v>
      </c>
      <c r="CD64" s="175">
        <f>CD63-BX63</f>
        <v>-2.0000000000000018E-2</v>
      </c>
      <c r="CE64" s="175">
        <f>CE63-BY63</f>
        <v>-5.0000000000000044E-3</v>
      </c>
      <c r="CF64" s="176">
        <f>CF63-BZ63</f>
        <v>-1.0000000000000009E-2</v>
      </c>
      <c r="CG64" s="177">
        <f>CG63-CA63</f>
        <v>-9.8699826777392252E-3</v>
      </c>
      <c r="CI64" s="174">
        <f>CI63-CC63</f>
        <v>0</v>
      </c>
      <c r="CJ64" s="175">
        <f>CJ63-CD63</f>
        <v>-9.999999999999995E-3</v>
      </c>
      <c r="CK64" s="175">
        <f>CK63-CE63</f>
        <v>0</v>
      </c>
      <c r="CL64" s="176">
        <f>CL63-CF63</f>
        <v>-9.999999999999995E-3</v>
      </c>
      <c r="CM64" s="177">
        <f>CM63-CG63</f>
        <v>-4.9078975069147823E-3</v>
      </c>
      <c r="CO64" s="174">
        <f>CO63-CI63</f>
        <v>0</v>
      </c>
      <c r="CP64" s="175">
        <f>CP63-CJ63</f>
        <v>0</v>
      </c>
      <c r="CQ64" s="175">
        <f>CQ63-CK63</f>
        <v>0</v>
      </c>
      <c r="CR64" s="176">
        <f>CR63-CL63</f>
        <v>0</v>
      </c>
      <c r="CS64" s="177">
        <f>CS63-CM63</f>
        <v>-3.4897355241092498E-6</v>
      </c>
      <c r="CU64" s="174">
        <f>CU63-CO63</f>
        <v>0</v>
      </c>
      <c r="CV64" s="175">
        <f>CV63-CP63</f>
        <v>0</v>
      </c>
      <c r="CW64" s="175">
        <f>CW63-CQ63</f>
        <v>0</v>
      </c>
      <c r="CX64" s="176">
        <f>CX63-CR63</f>
        <v>0</v>
      </c>
      <c r="CY64" s="177">
        <f>CY63-CS63</f>
        <v>-1.3788356355431963E-6</v>
      </c>
      <c r="DA64" s="174">
        <f>DA63-CU63</f>
        <v>0</v>
      </c>
      <c r="DB64" s="175">
        <f>DB63-CV63</f>
        <v>0</v>
      </c>
      <c r="DC64" s="175">
        <f>DC63-CW63</f>
        <v>0</v>
      </c>
      <c r="DD64" s="176">
        <f>DD63-CX63</f>
        <v>0</v>
      </c>
      <c r="DE64" s="177">
        <f>DE63-CY63</f>
        <v>-9.3174315872468494E-7</v>
      </c>
      <c r="DG64" s="174">
        <f>DG63-DA63</f>
        <v>0</v>
      </c>
      <c r="DH64" s="175">
        <f>DH63-DB63</f>
        <v>0</v>
      </c>
      <c r="DI64" s="175">
        <f>DI63-DC63</f>
        <v>0</v>
      </c>
      <c r="DJ64" s="176">
        <f>DJ63-DD63</f>
        <v>0</v>
      </c>
      <c r="DK64" s="177">
        <f>DK63-DE63</f>
        <v>-4.3290677043117398E-7</v>
      </c>
    </row>
    <row r="65" spans="1:115" ht="15.75" thickBot="1" x14ac:dyDescent="0.35">
      <c r="B65" s="1"/>
      <c r="AA65" s="103"/>
      <c r="AB65" s="103"/>
      <c r="AC65" s="103"/>
      <c r="AD65" s="103"/>
      <c r="AE65" s="103"/>
      <c r="AG65" s="103"/>
      <c r="AH65" s="103"/>
      <c r="AI65" s="103"/>
      <c r="AJ65" s="103"/>
      <c r="AK65" s="103"/>
      <c r="AM65" s="103"/>
      <c r="AN65" s="103"/>
      <c r="AO65" s="103"/>
      <c r="AP65" s="103"/>
      <c r="AQ65" s="103"/>
      <c r="AS65" s="103"/>
      <c r="AT65" s="103"/>
      <c r="AU65" s="103"/>
      <c r="AV65" s="103"/>
      <c r="AW65" s="103"/>
      <c r="AY65" s="103"/>
      <c r="AZ65" s="103"/>
      <c r="BA65" s="103"/>
      <c r="BB65" s="103"/>
      <c r="BC65" s="103"/>
      <c r="BE65" s="103"/>
      <c r="BF65" s="103"/>
      <c r="BG65" s="103"/>
      <c r="BH65" s="103"/>
      <c r="BI65" s="103"/>
      <c r="BK65" s="103"/>
      <c r="BL65" s="103"/>
      <c r="BM65" s="103"/>
      <c r="BN65" s="103"/>
      <c r="BO65" s="103"/>
      <c r="BQ65" s="103"/>
      <c r="BR65" s="103"/>
      <c r="BS65" s="103"/>
      <c r="BT65" s="103"/>
      <c r="BU65" s="103"/>
      <c r="BW65" s="103"/>
      <c r="BX65" s="103"/>
      <c r="BY65" s="103"/>
      <c r="BZ65" s="103"/>
      <c r="CA65" s="103"/>
      <c r="CC65" s="103"/>
      <c r="CD65" s="103"/>
      <c r="CE65" s="103"/>
      <c r="CF65" s="103"/>
      <c r="CG65" s="103"/>
      <c r="CI65" s="103"/>
      <c r="CJ65" s="103"/>
      <c r="CK65" s="103"/>
      <c r="CL65" s="103"/>
      <c r="CM65" s="103"/>
      <c r="CO65" s="103"/>
      <c r="CP65" s="103"/>
      <c r="CQ65" s="103"/>
      <c r="CR65" s="103"/>
      <c r="CS65" s="103"/>
      <c r="CU65" s="103"/>
      <c r="CV65" s="103"/>
      <c r="CW65" s="103"/>
      <c r="CX65" s="103"/>
      <c r="CY65" s="103"/>
      <c r="DA65" s="103"/>
      <c r="DB65" s="103"/>
      <c r="DC65" s="103"/>
      <c r="DD65" s="103"/>
      <c r="DE65" s="103"/>
      <c r="DG65" s="103"/>
      <c r="DH65" s="103"/>
      <c r="DI65" s="103"/>
      <c r="DJ65" s="103"/>
      <c r="DK65" s="103"/>
    </row>
    <row r="66" spans="1:115" ht="15" x14ac:dyDescent="0.3">
      <c r="B66" s="42" t="s">
        <v>38</v>
      </c>
      <c r="C66" s="198">
        <f>C54-C60</f>
        <v>17</v>
      </c>
      <c r="D66" s="199">
        <f>D54-D60</f>
        <v>61</v>
      </c>
      <c r="E66" s="199">
        <f>E54-E60</f>
        <v>77</v>
      </c>
      <c r="F66" s="199">
        <f>F54-F60</f>
        <v>28</v>
      </c>
      <c r="G66" s="201">
        <f>C66+D66+E66+F66</f>
        <v>183</v>
      </c>
      <c r="H66" s="197"/>
      <c r="I66" s="198">
        <f>I54-I60</f>
        <v>35</v>
      </c>
      <c r="J66" s="199">
        <f>J54-J60</f>
        <v>56</v>
      </c>
      <c r="K66" s="199">
        <f>K54-K60</f>
        <v>86</v>
      </c>
      <c r="L66" s="199">
        <f>L54-L60</f>
        <v>38</v>
      </c>
      <c r="M66" s="201">
        <f>I66+J66+K66+L66</f>
        <v>215</v>
      </c>
      <c r="N66" s="197"/>
      <c r="O66" s="198">
        <f>O54-O60</f>
        <v>39</v>
      </c>
      <c r="P66" s="199">
        <f>P54-P60</f>
        <v>54</v>
      </c>
      <c r="Q66" s="199">
        <f>Q54-Q60</f>
        <v>70</v>
      </c>
      <c r="R66" s="199">
        <f>R54-R60</f>
        <v>32</v>
      </c>
      <c r="S66" s="201">
        <f>O66+P66+Q66+R66</f>
        <v>195</v>
      </c>
      <c r="T66" s="197"/>
      <c r="U66" s="198">
        <f>U54-U60</f>
        <v>36</v>
      </c>
      <c r="V66" s="199">
        <f>V54-V60</f>
        <v>47</v>
      </c>
      <c r="W66" s="199">
        <f>W54-W60</f>
        <v>72</v>
      </c>
      <c r="X66" s="199">
        <f>X54-X60</f>
        <v>15</v>
      </c>
      <c r="Y66" s="201">
        <f>U66+V66+W66+X66</f>
        <v>170</v>
      </c>
      <c r="Z66" s="259"/>
      <c r="AA66" s="198">
        <f>AA54-AA60</f>
        <v>22</v>
      </c>
      <c r="AB66" s="199">
        <f>AB54-AB60</f>
        <v>43</v>
      </c>
      <c r="AC66" s="199">
        <f>AC54-AC60</f>
        <v>63</v>
      </c>
      <c r="AD66" s="199">
        <f>AD54-AD60</f>
        <v>53</v>
      </c>
      <c r="AE66" s="201">
        <f>AA66+AB66+AC66+AD66</f>
        <v>181</v>
      </c>
      <c r="AF66" s="259"/>
      <c r="AG66" s="198">
        <f>AG54-AG60</f>
        <v>26</v>
      </c>
      <c r="AH66" s="199">
        <f>AH54-AH60</f>
        <v>44</v>
      </c>
      <c r="AI66" s="199">
        <f>AI54-AI60</f>
        <v>52</v>
      </c>
      <c r="AJ66" s="199">
        <f>AJ54-AJ60</f>
        <v>17</v>
      </c>
      <c r="AK66" s="201">
        <f>AG66+AH66+AI66+AJ66</f>
        <v>139</v>
      </c>
      <c r="AL66" s="259"/>
      <c r="AM66" s="198">
        <f>AM54-AM60</f>
        <v>14</v>
      </c>
      <c r="AN66" s="199">
        <f>AN54-AN60</f>
        <v>34.5</v>
      </c>
      <c r="AO66" s="199">
        <f>AO54-AO60</f>
        <v>35</v>
      </c>
      <c r="AP66" s="199">
        <f>AP54-AP60</f>
        <v>38</v>
      </c>
      <c r="AQ66" s="201">
        <f>AM66+AN66+AO66+AP66</f>
        <v>121.5</v>
      </c>
      <c r="AR66" s="259"/>
      <c r="AS66" s="198">
        <f>AS54-AS60</f>
        <v>17</v>
      </c>
      <c r="AT66" s="199">
        <f>AT54-AT60</f>
        <v>27.295000000000002</v>
      </c>
      <c r="AU66" s="199">
        <f>AU54-AU60</f>
        <v>36.694000000000003</v>
      </c>
      <c r="AV66" s="199">
        <f>AV54-AV60</f>
        <v>34.72</v>
      </c>
      <c r="AW66" s="201">
        <f>AS66+AT66+AU66+AV66</f>
        <v>115.709</v>
      </c>
      <c r="AX66" s="259"/>
      <c r="AY66" s="198">
        <f>AY54-AY60</f>
        <v>15.280000000000001</v>
      </c>
      <c r="AZ66" s="199">
        <f>AZ54-AZ60</f>
        <v>28.638874999999999</v>
      </c>
      <c r="BA66" s="199">
        <f>BA54-BA60</f>
        <v>34.675339999999998</v>
      </c>
      <c r="BB66" s="199">
        <f>BB54-BB60</f>
        <v>34.826399999999992</v>
      </c>
      <c r="BC66" s="201">
        <f>AY66+AZ66+BA66+BB66</f>
        <v>113.42061499999998</v>
      </c>
      <c r="BD66" s="259"/>
      <c r="BE66" s="198">
        <f>BE54-BE60</f>
        <v>8.5</v>
      </c>
      <c r="BF66" s="199">
        <f>BF54-BF60</f>
        <v>25.802652000000002</v>
      </c>
      <c r="BG66" s="199">
        <f>BG54-BG60</f>
        <v>37.1228014</v>
      </c>
      <c r="BH66" s="199">
        <f>BH54-BH60</f>
        <v>28.159999999999997</v>
      </c>
      <c r="BI66" s="201">
        <f>BE66+BF66+BG66+BH66</f>
        <v>99.585453400000006</v>
      </c>
      <c r="BJ66" s="259"/>
      <c r="BK66" s="198">
        <f>BK54-BK60</f>
        <v>14.112000000000002</v>
      </c>
      <c r="BL66" s="199">
        <f>BL54-BL60</f>
        <v>23.251481171999998</v>
      </c>
      <c r="BM66" s="199">
        <f>BM54-BM60</f>
        <v>35.500818668599997</v>
      </c>
      <c r="BN66" s="199">
        <f>BN54-BN60</f>
        <v>27.92987999999999</v>
      </c>
      <c r="BO66" s="201">
        <f>BK66+BL66+BM66+BN66</f>
        <v>100.79417984059998</v>
      </c>
      <c r="BP66" s="259"/>
      <c r="BQ66" s="198">
        <f>BQ54-BQ60</f>
        <v>14.755476438501216</v>
      </c>
      <c r="BR66" s="199">
        <f>BR54-BR60</f>
        <v>25.774558869552543</v>
      </c>
      <c r="BS66" s="199">
        <f>BS54-BS60</f>
        <v>36.111421652358608</v>
      </c>
      <c r="BT66" s="199">
        <f>BT54-BT60</f>
        <v>28.512132269084269</v>
      </c>
      <c r="BU66" s="201">
        <f>BQ66+BR66+BS66+BT66</f>
        <v>105.15358922949665</v>
      </c>
      <c r="BV66" s="259"/>
      <c r="BW66" s="198">
        <f>BW54-BW60</f>
        <v>14.892414967022493</v>
      </c>
      <c r="BX66" s="199">
        <f>BX54-BX60</f>
        <v>27.652687086352081</v>
      </c>
      <c r="BY66" s="199">
        <f>BY54-BY60</f>
        <v>35.072576751451862</v>
      </c>
      <c r="BZ66" s="199">
        <f>BZ54-BZ60</f>
        <v>29.448759689313359</v>
      </c>
      <c r="CA66" s="201">
        <f>BW66+BX66+BY66+BZ66</f>
        <v>107.0664384941398</v>
      </c>
      <c r="CB66" s="259"/>
      <c r="CC66" s="198">
        <f>CC54-CC60</f>
        <v>15.385260542224637</v>
      </c>
      <c r="CD66" s="199">
        <f>CD54-CD60</f>
        <v>29.939855838127482</v>
      </c>
      <c r="CE66" s="199">
        <f>CE54-CE60</f>
        <v>35.896415743155607</v>
      </c>
      <c r="CF66" s="199">
        <f>CF54-CF60</f>
        <v>30.669916899939246</v>
      </c>
      <c r="CG66" s="201">
        <f>CC66+CD66+CE66+CF66</f>
        <v>111.89144902344697</v>
      </c>
      <c r="CH66" s="259"/>
      <c r="CI66" s="198">
        <f>CI54-CI60</f>
        <v>15.439103246557135</v>
      </c>
      <c r="CJ66" s="199">
        <f>CJ54-CJ60</f>
        <v>31.334621395730352</v>
      </c>
      <c r="CK66" s="199">
        <f>CK54-CK60</f>
        <v>36.368817429111246</v>
      </c>
      <c r="CL66" s="199">
        <f>CL54-CL60</f>
        <v>32.144678195411757</v>
      </c>
      <c r="CM66" s="201">
        <f>CI66+CJ66+CK66+CL66</f>
        <v>115.28722026681049</v>
      </c>
      <c r="CN66" s="259"/>
      <c r="CO66" s="198">
        <f>CO54-CO60</f>
        <v>15.527139186761614</v>
      </c>
      <c r="CP66" s="199">
        <f>CP54-CP60</f>
        <v>31.792569370908801</v>
      </c>
      <c r="CQ66" s="199">
        <f>CQ54-CQ60</f>
        <v>36.934913795916216</v>
      </c>
      <c r="CR66" s="199">
        <f>CR54-CR60</f>
        <v>32.949730668411007</v>
      </c>
      <c r="CS66" s="201">
        <f>CO66+CP66+CQ66+CR66</f>
        <v>117.20435302199763</v>
      </c>
      <c r="CT66" s="259"/>
      <c r="CU66" s="198">
        <f>CU54-CU60</f>
        <v>15.681200653629455</v>
      </c>
      <c r="CV66" s="199">
        <f>CV54-CV60</f>
        <v>32.395736860753068</v>
      </c>
      <c r="CW66" s="199">
        <f>CW54-CW60</f>
        <v>37.67311734789547</v>
      </c>
      <c r="CX66" s="199">
        <f>CX54-CX60</f>
        <v>33.612220408522809</v>
      </c>
      <c r="CY66" s="201">
        <f>CU66+CV66+CW66+CX66</f>
        <v>119.36227527080081</v>
      </c>
      <c r="CZ66" s="259"/>
      <c r="DA66" s="198">
        <f>DA54-DA60</f>
        <v>15.773740365130944</v>
      </c>
      <c r="DB66" s="199">
        <f>DB54-DB60</f>
        <v>32.89442802185404</v>
      </c>
      <c r="DC66" s="199">
        <f>DC54-DC60</f>
        <v>38.284381267387985</v>
      </c>
      <c r="DD66" s="199">
        <f>DD54-DD60</f>
        <v>34.16768921576972</v>
      </c>
      <c r="DE66" s="201">
        <f>DA66+DB66+DC66+DD66</f>
        <v>121.12023887014269</v>
      </c>
      <c r="DF66" s="259"/>
      <c r="DG66" s="198">
        <f>DG54-DG60</f>
        <v>15.791557573338258</v>
      </c>
      <c r="DH66" s="199">
        <f>DH54-DH60</f>
        <v>33.261087525466209</v>
      </c>
      <c r="DI66" s="199">
        <f>DI54-DI60</f>
        <v>38.735422960821424</v>
      </c>
      <c r="DJ66" s="199">
        <f>DJ54-DJ60</f>
        <v>34.588669747212599</v>
      </c>
      <c r="DK66" s="201">
        <f>DG66+DH66+DI66+DJ66</f>
        <v>122.37673780683849</v>
      </c>
    </row>
    <row r="67" spans="1:115" ht="15.75" thickBot="1" x14ac:dyDescent="0.35">
      <c r="B67" s="41" t="s">
        <v>23</v>
      </c>
      <c r="C67" s="155" t="s">
        <v>35</v>
      </c>
      <c r="D67" s="106" t="s">
        <v>35</v>
      </c>
      <c r="E67" s="106" t="s">
        <v>35</v>
      </c>
      <c r="F67" s="106" t="s">
        <v>35</v>
      </c>
      <c r="G67" s="108" t="s">
        <v>35</v>
      </c>
      <c r="I67" s="109">
        <f>I66/C66-1</f>
        <v>1.0588235294117645</v>
      </c>
      <c r="J67" s="110">
        <f>J66/D66-1</f>
        <v>-8.1967213114754078E-2</v>
      </c>
      <c r="K67" s="110">
        <f>K66/E66-1</f>
        <v>0.11688311688311681</v>
      </c>
      <c r="L67" s="110">
        <f>L66/F66-1</f>
        <v>0.35714285714285721</v>
      </c>
      <c r="M67" s="122">
        <f>M66/G66-1</f>
        <v>0.17486338797814205</v>
      </c>
      <c r="O67" s="109">
        <f>O66/I66-1</f>
        <v>0.11428571428571432</v>
      </c>
      <c r="P67" s="110">
        <f>P66/J66-1</f>
        <v>-3.5714285714285698E-2</v>
      </c>
      <c r="Q67" s="110">
        <f>Q66/K66-1</f>
        <v>-0.18604651162790697</v>
      </c>
      <c r="R67" s="110">
        <f>R66/L66-1</f>
        <v>-0.15789473684210531</v>
      </c>
      <c r="S67" s="122">
        <f>S66/M66-1</f>
        <v>-9.3023255813953543E-2</v>
      </c>
      <c r="T67" s="107"/>
      <c r="U67" s="109">
        <f>U66/O66-1</f>
        <v>-7.6923076923076872E-2</v>
      </c>
      <c r="V67" s="110">
        <f>V66/P66-1</f>
        <v>-0.12962962962962965</v>
      </c>
      <c r="W67" s="110">
        <f>W66/Q66-1</f>
        <v>2.857142857142847E-2</v>
      </c>
      <c r="X67" s="120">
        <f>X66/R66-1</f>
        <v>-0.53125</v>
      </c>
      <c r="Y67" s="122">
        <f>Y66/S66-1</f>
        <v>-0.12820512820512819</v>
      </c>
      <c r="AA67" s="109">
        <f>AA66/U66-1</f>
        <v>-0.38888888888888884</v>
      </c>
      <c r="AB67" s="110">
        <f>AB66/V66-1</f>
        <v>-8.5106382978723416E-2</v>
      </c>
      <c r="AC67" s="110">
        <f>AC66/W66-1</f>
        <v>-0.125</v>
      </c>
      <c r="AD67" s="120">
        <f>AD66/X66-1</f>
        <v>2.5333333333333332</v>
      </c>
      <c r="AE67" s="122">
        <f>AE66/Y66-1</f>
        <v>6.4705882352941169E-2</v>
      </c>
      <c r="AG67" s="109">
        <f>AG66/AA66-1</f>
        <v>0.18181818181818188</v>
      </c>
      <c r="AH67" s="110">
        <f>AH66/AB66-1</f>
        <v>2.3255813953488413E-2</v>
      </c>
      <c r="AI67" s="110">
        <f>AI66/AC66-1</f>
        <v>-0.17460317460317465</v>
      </c>
      <c r="AJ67" s="120">
        <f>AJ66/AD66-1</f>
        <v>-0.679245283018868</v>
      </c>
      <c r="AK67" s="122">
        <f>AK66/AE66-1</f>
        <v>-0.23204419889502759</v>
      </c>
      <c r="AM67" s="109">
        <f>AM66/AG66-1</f>
        <v>-0.46153846153846156</v>
      </c>
      <c r="AN67" s="110">
        <f>AN66/AH66-1</f>
        <v>-0.21590909090909094</v>
      </c>
      <c r="AO67" s="110">
        <f>AO66/AI66-1</f>
        <v>-0.32692307692307687</v>
      </c>
      <c r="AP67" s="120">
        <f>AP66/AJ66-1</f>
        <v>1.2352941176470589</v>
      </c>
      <c r="AQ67" s="122">
        <f>AQ66/AK66-1</f>
        <v>-0.12589928057553956</v>
      </c>
      <c r="AS67" s="109">
        <f>AS66/AM66-1</f>
        <v>0.21428571428571419</v>
      </c>
      <c r="AT67" s="110">
        <f>AT66/AN66-1</f>
        <v>-0.20884057971014491</v>
      </c>
      <c r="AU67" s="110">
        <f>AU66/AO66-1</f>
        <v>4.8399999999999999E-2</v>
      </c>
      <c r="AV67" s="120">
        <f>AV66/AP66-1</f>
        <v>-8.6315789473684235E-2</v>
      </c>
      <c r="AW67" s="122">
        <f>AW66/AQ66-1</f>
        <v>-4.7662551440329159E-2</v>
      </c>
      <c r="AY67" s="109">
        <f>AY66/AS66-1</f>
        <v>-0.1011764705882352</v>
      </c>
      <c r="AZ67" s="110">
        <f>AZ66/AT66-1</f>
        <v>4.9235207913537193E-2</v>
      </c>
      <c r="BA67" s="110">
        <f>BA66/AU66-1</f>
        <v>-5.5013353681800936E-2</v>
      </c>
      <c r="BB67" s="120">
        <f>BB66/AV66-1</f>
        <v>3.0645161290321354E-3</v>
      </c>
      <c r="BC67" s="122">
        <f>BC66/AW66-1</f>
        <v>-1.9777070063694446E-2</v>
      </c>
      <c r="BE67" s="109">
        <f>BE66/AY66-1</f>
        <v>-0.44371727748691103</v>
      </c>
      <c r="BF67" s="110">
        <f>BF66/AZ66-1</f>
        <v>-9.9034022809904254E-2</v>
      </c>
      <c r="BG67" s="110">
        <f>BG66/BA66-1</f>
        <v>7.0582188956186176E-2</v>
      </c>
      <c r="BH67" s="120">
        <f>BH66/BB66-1</f>
        <v>-0.19141800473204229</v>
      </c>
      <c r="BI67" s="122">
        <f>BI66/BC66-1</f>
        <v>-0.12198101376896942</v>
      </c>
      <c r="BK67" s="109">
        <f>BK66/BE66-1</f>
        <v>0.66023529411764725</v>
      </c>
      <c r="BL67" s="110">
        <f>BL66/BF66-1</f>
        <v>-9.8872427066799329E-2</v>
      </c>
      <c r="BM67" s="110">
        <f>BM66/BG66-1</f>
        <v>-4.3692358071877657E-2</v>
      </c>
      <c r="BN67" s="120">
        <f>BN66/BH66-1</f>
        <v>-8.1718750000002727E-3</v>
      </c>
      <c r="BO67" s="122">
        <f>BO66/BI66-1</f>
        <v>1.2137580332590714E-2</v>
      </c>
      <c r="BQ67" s="109">
        <f>BQ66/BK66-1</f>
        <v>4.5597820188578053E-2</v>
      </c>
      <c r="BR67" s="110">
        <f>BR66/BL66-1</f>
        <v>0.10851255792645564</v>
      </c>
      <c r="BS67" s="110">
        <f>BS66/BM66-1</f>
        <v>1.7199687406045161E-2</v>
      </c>
      <c r="BT67" s="120">
        <f>BT66/BN66-1</f>
        <v>2.0846930566270849E-2</v>
      </c>
      <c r="BU67" s="122">
        <f>BU66/BO66-1</f>
        <v>4.325060629285149E-2</v>
      </c>
      <c r="BW67" s="109">
        <f>BW66/BQ66-1</f>
        <v>9.2805223262033554E-3</v>
      </c>
      <c r="BX67" s="110">
        <f>BX66/BR66-1</f>
        <v>7.28675212757246E-2</v>
      </c>
      <c r="BY67" s="110">
        <f>BY66/BS66-1</f>
        <v>-2.8767765249111843E-2</v>
      </c>
      <c r="BZ67" s="120">
        <f>BZ66/BT66-1</f>
        <v>3.2850135913709888E-2</v>
      </c>
      <c r="CA67" s="122">
        <f>CA66/BU66-1</f>
        <v>1.8191003071406087E-2</v>
      </c>
      <c r="CC67" s="109">
        <f>CC66/BW66-1</f>
        <v>3.3093731023040585E-2</v>
      </c>
      <c r="CD67" s="110">
        <f>CD66/BX66-1</f>
        <v>8.2710542546305721E-2</v>
      </c>
      <c r="CE67" s="110">
        <f>CE66/BY66-1</f>
        <v>2.3489548473784261E-2</v>
      </c>
      <c r="CF67" s="120">
        <f>CF66/BZ66-1</f>
        <v>4.14671865134284E-2</v>
      </c>
      <c r="CG67" s="122">
        <f>CG66/CA66-1</f>
        <v>4.5065574209524728E-2</v>
      </c>
      <c r="CI67" s="109">
        <f>CI66/CC66-1</f>
        <v>3.4996290238131778E-3</v>
      </c>
      <c r="CJ67" s="110">
        <f>CJ66/CD66-1</f>
        <v>4.65855802761308E-2</v>
      </c>
      <c r="CK67" s="110">
        <f>CK66/CE66-1</f>
        <v>1.316013524402404E-2</v>
      </c>
      <c r="CL67" s="120">
        <f>CL66/CF66-1</f>
        <v>4.8084945918957844E-2</v>
      </c>
      <c r="CM67" s="122">
        <f>CM66/CG66-1</f>
        <v>3.0348800314954794E-2</v>
      </c>
      <c r="CO67" s="109">
        <f>CO66/CI66-1</f>
        <v>5.702140778423237E-3</v>
      </c>
      <c r="CP67" s="110">
        <f>CP66/CJ66-1</f>
        <v>1.4614760120920112E-2</v>
      </c>
      <c r="CQ67" s="110">
        <f>CQ66/CK66-1</f>
        <v>1.556543233522456E-2</v>
      </c>
      <c r="CR67" s="120">
        <f>CR66/CL66-1</f>
        <v>2.5044658033445799E-2</v>
      </c>
      <c r="CS67" s="122">
        <f>CS66/CM66-1</f>
        <v>1.6629187092466191E-2</v>
      </c>
      <c r="CU67" s="109">
        <f>CU66/CO66-1</f>
        <v>9.9220767595871173E-3</v>
      </c>
      <c r="CV67" s="110">
        <f>CV66/CP66-1</f>
        <v>1.8971964260182883E-2</v>
      </c>
      <c r="CW67" s="110">
        <f>CW66/CQ66-1</f>
        <v>1.9986605520678768E-2</v>
      </c>
      <c r="CX67" s="120">
        <f>CX66/CR66-1</f>
        <v>2.0106074516321737E-2</v>
      </c>
      <c r="CY67" s="122">
        <f>CY66/CS66-1</f>
        <v>1.8411622035899633E-2</v>
      </c>
      <c r="DA67" s="109">
        <f>DA66/CU66-1</f>
        <v>5.9013154378628752E-3</v>
      </c>
      <c r="DB67" s="110">
        <f>DB66/CV66-1</f>
        <v>1.5393727984780892E-2</v>
      </c>
      <c r="DC67" s="110">
        <f>DC66/CW66-1</f>
        <v>1.6225466925068766E-2</v>
      </c>
      <c r="DD67" s="120">
        <f>DD66/CX66-1</f>
        <v>1.6525799262760543E-2</v>
      </c>
      <c r="DE67" s="122">
        <f>DE66/CY66-1</f>
        <v>1.4727966565261319E-2</v>
      </c>
      <c r="DG67" s="109">
        <f>DG66/DA66-1</f>
        <v>1.1295487179883157E-3</v>
      </c>
      <c r="DH67" s="110">
        <f>DH66/DB66-1</f>
        <v>1.1146553555166694E-2</v>
      </c>
      <c r="DI67" s="110">
        <f>DI66/DC66-1</f>
        <v>1.1781349952693532E-2</v>
      </c>
      <c r="DJ67" s="120">
        <f>DJ66/DD66-1</f>
        <v>1.2321012661534736E-2</v>
      </c>
      <c r="DK67" s="122">
        <f>DK66/DE66-1</f>
        <v>1.0373980008765882E-2</v>
      </c>
    </row>
    <row r="68" spans="1:115" ht="15.75" thickBot="1" x14ac:dyDescent="0.35">
      <c r="B68" s="1"/>
      <c r="AA68" s="103"/>
      <c r="AB68" s="103"/>
      <c r="AC68" s="103"/>
      <c r="AD68" s="103"/>
      <c r="AE68" s="103"/>
      <c r="AG68" s="103"/>
      <c r="AH68" s="103"/>
      <c r="AI68" s="103"/>
      <c r="AJ68" s="103"/>
      <c r="AK68" s="103"/>
      <c r="AM68" s="103"/>
      <c r="AN68" s="103"/>
      <c r="AO68" s="103"/>
      <c r="AP68" s="103"/>
      <c r="AQ68" s="103"/>
      <c r="AS68" s="103"/>
      <c r="AT68" s="103"/>
      <c r="AU68" s="103"/>
      <c r="AV68" s="103"/>
      <c r="AW68" s="103"/>
      <c r="AY68" s="103"/>
      <c r="AZ68" s="103"/>
      <c r="BA68" s="103"/>
      <c r="BB68" s="103"/>
      <c r="BC68" s="103"/>
      <c r="BE68" s="103"/>
      <c r="BF68" s="103"/>
      <c r="BG68" s="103"/>
      <c r="BH68" s="103"/>
      <c r="BI68" s="103"/>
      <c r="BK68" s="103"/>
      <c r="BL68" s="103"/>
      <c r="BM68" s="103"/>
      <c r="BN68" s="103"/>
      <c r="BO68" s="103"/>
      <c r="BQ68" s="103"/>
      <c r="BR68" s="103"/>
      <c r="BS68" s="103"/>
      <c r="BT68" s="103"/>
      <c r="BU68" s="103"/>
      <c r="BW68" s="103"/>
      <c r="BX68" s="103"/>
      <c r="BY68" s="103"/>
      <c r="BZ68" s="103"/>
      <c r="CA68" s="103"/>
      <c r="CC68" s="103"/>
      <c r="CD68" s="103"/>
      <c r="CE68" s="103"/>
      <c r="CF68" s="103"/>
      <c r="CG68" s="103"/>
      <c r="CI68" s="103"/>
      <c r="CJ68" s="103"/>
      <c r="CK68" s="103"/>
      <c r="CL68" s="103"/>
      <c r="CM68" s="103"/>
      <c r="CO68" s="103"/>
      <c r="CP68" s="103"/>
      <c r="CQ68" s="103"/>
      <c r="CR68" s="103"/>
      <c r="CS68" s="103"/>
      <c r="CU68" s="103"/>
      <c r="CV68" s="103"/>
      <c r="CW68" s="103"/>
      <c r="CX68" s="103"/>
      <c r="CY68" s="103"/>
      <c r="DA68" s="103"/>
      <c r="DB68" s="103"/>
      <c r="DC68" s="103"/>
      <c r="DD68" s="103"/>
      <c r="DE68" s="103"/>
      <c r="DG68" s="103"/>
      <c r="DH68" s="103"/>
      <c r="DI68" s="103"/>
      <c r="DJ68" s="103"/>
      <c r="DK68" s="103"/>
    </row>
    <row r="69" spans="1:115" ht="15" x14ac:dyDescent="0.3">
      <c r="B69" s="42" t="s">
        <v>162</v>
      </c>
      <c r="C69" s="111">
        <f>C75-C72</f>
        <v>692.0272509666728</v>
      </c>
      <c r="D69" s="112">
        <f>D75-D72</f>
        <v>797.83011378671597</v>
      </c>
      <c r="E69" s="112">
        <f>E75-E72</f>
        <v>958.35952001636974</v>
      </c>
      <c r="F69" s="112">
        <f>F75-F72</f>
        <v>723.66058669637039</v>
      </c>
      <c r="G69" s="113">
        <f>C69+D69+E69+F69</f>
        <v>3171.877471466129</v>
      </c>
      <c r="I69" s="111">
        <f>I75-I72</f>
        <v>681.99205799846982</v>
      </c>
      <c r="J69" s="112">
        <f>J75-J72</f>
        <v>800.99253422719471</v>
      </c>
      <c r="K69" s="112">
        <f>K75-K72</f>
        <v>949.8225906080761</v>
      </c>
      <c r="L69" s="112">
        <f>L75-L72</f>
        <v>738.50391272226489</v>
      </c>
      <c r="M69" s="113">
        <f>I69+J69+K69+L69</f>
        <v>3171.3110955560055</v>
      </c>
      <c r="O69" s="111">
        <f>O75-O72</f>
        <v>664.44887344501331</v>
      </c>
      <c r="P69" s="112">
        <f>P75-P72</f>
        <v>739.96720081777335</v>
      </c>
      <c r="Q69" s="112">
        <f>Q75-Q72</f>
        <v>790.99438247507987</v>
      </c>
      <c r="R69" s="112">
        <f>R75-R72</f>
        <v>607.53412192902636</v>
      </c>
      <c r="S69" s="113">
        <f>O69+P69+Q69+R69</f>
        <v>2802.9445786668925</v>
      </c>
      <c r="U69" s="111">
        <f>U75-U72</f>
        <v>581.44194688331083</v>
      </c>
      <c r="V69" s="112">
        <f>V75-V72</f>
        <v>664.16358009031399</v>
      </c>
      <c r="W69" s="112">
        <f>W75-W72</f>
        <v>766.89341088082153</v>
      </c>
      <c r="X69" s="112">
        <f>X75-X72</f>
        <v>565.50535226209513</v>
      </c>
      <c r="Y69" s="113">
        <f>U69+V69+W69+X69</f>
        <v>2578.0042901165416</v>
      </c>
      <c r="AA69" s="111">
        <f>AA75-AA72</f>
        <v>480.89591567852437</v>
      </c>
      <c r="AB69" s="112">
        <f>AB75-AB72</f>
        <v>547.00955788322085</v>
      </c>
      <c r="AC69" s="112">
        <f>AC75-AC72</f>
        <v>581.83527726163561</v>
      </c>
      <c r="AD69" s="112">
        <f>AD75-AD72</f>
        <v>458.0621945002548</v>
      </c>
      <c r="AE69" s="113">
        <f>AA69+AB69+AC69+AD69</f>
        <v>2067.8029453236354</v>
      </c>
      <c r="AG69" s="111">
        <f>AG75-AG72</f>
        <v>448.41761629840096</v>
      </c>
      <c r="AH69" s="112">
        <f>AH75-AH72</f>
        <v>486.31967182266379</v>
      </c>
      <c r="AI69" s="112">
        <f>AI75-AI72</f>
        <v>591.08367831896112</v>
      </c>
      <c r="AJ69" s="112">
        <f>AJ75-AJ72</f>
        <v>404.74917747679251</v>
      </c>
      <c r="AK69" s="113">
        <f>AG69+AH69+AI69+AJ69</f>
        <v>1930.5701439168183</v>
      </c>
      <c r="AM69" s="111">
        <f>AM75-AM72</f>
        <v>373.71270835545181</v>
      </c>
      <c r="AN69" s="112">
        <f>AN75-AN72</f>
        <v>415.88901566384317</v>
      </c>
      <c r="AO69" s="112">
        <f>AO75-AO72</f>
        <v>398.33123354431814</v>
      </c>
      <c r="AP69" s="112">
        <f>AP75-AP72</f>
        <v>347.87650384113635</v>
      </c>
      <c r="AQ69" s="113">
        <f>AM69+AN69+AO69+AP69</f>
        <v>1535.8094614047495</v>
      </c>
      <c r="AS69" s="111">
        <f>AS75-AS72</f>
        <v>305.19053373923418</v>
      </c>
      <c r="AT69" s="112">
        <f>AT75-AT72</f>
        <v>340.76832465706576</v>
      </c>
      <c r="AU69" s="112">
        <f>AU75-AU72</f>
        <v>395.77695620688343</v>
      </c>
      <c r="AV69" s="112">
        <f>AV75-AV72</f>
        <v>335.75825405707894</v>
      </c>
      <c r="AW69" s="113">
        <f>AS69+AT69+AU69+AV69</f>
        <v>1377.4940686602622</v>
      </c>
      <c r="AY69" s="111">
        <f>AY75-AY72</f>
        <v>274.6260860213402</v>
      </c>
      <c r="AZ69" s="112">
        <f>AZ75-AZ72</f>
        <v>286.30060199999997</v>
      </c>
      <c r="BA69" s="112">
        <f>BA75-BA72</f>
        <v>316.90694160000004</v>
      </c>
      <c r="BB69" s="112">
        <f>BB75-BB72</f>
        <v>275.76613079999998</v>
      </c>
      <c r="BC69" s="113">
        <f>AY69+AZ69+BA69+BB69</f>
        <v>1153.5997604213401</v>
      </c>
      <c r="BE69" s="111">
        <f>BE75-BE72</f>
        <v>256.39831800000002</v>
      </c>
      <c r="BF69" s="112">
        <f>BF75-BF72</f>
        <v>275.55055200000004</v>
      </c>
      <c r="BG69" s="112">
        <f>BG75-BG72</f>
        <v>321.01811280000004</v>
      </c>
      <c r="BH69" s="112">
        <f>BH75-BH72</f>
        <v>263.31445000000002</v>
      </c>
      <c r="BI69" s="113">
        <f>BE69+BF69+BG69+BH69</f>
        <v>1116.2814328000002</v>
      </c>
      <c r="BK69" s="111">
        <f>BK75-BK72</f>
        <v>257.61770999999999</v>
      </c>
      <c r="BL69" s="112">
        <f>BL75-BL72</f>
        <v>273.91943250000003</v>
      </c>
      <c r="BM69" s="112">
        <f>BM75-BM72</f>
        <v>317.59590589999999</v>
      </c>
      <c r="BN69" s="112">
        <f>BN75-BN72</f>
        <v>240.68510099999997</v>
      </c>
      <c r="BO69" s="113">
        <f>BK69+BL69+BM69+BN69</f>
        <v>1089.8181494</v>
      </c>
      <c r="BQ69" s="111">
        <f>BQ75-BQ72</f>
        <v>228.38664853417333</v>
      </c>
      <c r="BR69" s="112">
        <f>BR75-BR72</f>
        <v>241.91637867726564</v>
      </c>
      <c r="BS69" s="112">
        <f>BS75-BS72</f>
        <v>281.36027243681735</v>
      </c>
      <c r="BT69" s="112">
        <f>BT75-BT72</f>
        <v>215.74363701022452</v>
      </c>
      <c r="BU69" s="113">
        <f>BQ69+BR69+BS69+BT69</f>
        <v>967.40693665848084</v>
      </c>
      <c r="BW69" s="111">
        <f>BW75-BW72</f>
        <v>208.06390895368821</v>
      </c>
      <c r="BX69" s="112">
        <f>BX75-BX72</f>
        <v>224.05912306636742</v>
      </c>
      <c r="BY69" s="112">
        <f>BY75-BY72</f>
        <v>264.30339694712313</v>
      </c>
      <c r="BZ69" s="112">
        <f>BZ75-BZ72</f>
        <v>203.55723251055917</v>
      </c>
      <c r="CA69" s="113">
        <f>BW69+BX69+BY69+BZ69</f>
        <v>899.98366147773788</v>
      </c>
      <c r="CC69" s="111">
        <f>CC75-CC72</f>
        <v>195.89358583850174</v>
      </c>
      <c r="CD69" s="112">
        <f>CD75-CD72</f>
        <v>210.94495705515482</v>
      </c>
      <c r="CE69" s="112">
        <f>CE75-CE72</f>
        <v>248.54808852995018</v>
      </c>
      <c r="CF69" s="112">
        <f>CF75-CF72</f>
        <v>191.19487612450587</v>
      </c>
      <c r="CG69" s="113">
        <f>CC69+CD69+CE69+CF69</f>
        <v>846.58150754811265</v>
      </c>
      <c r="CI69" s="111">
        <f>CI75-CI72</f>
        <v>184.97583483815345</v>
      </c>
      <c r="CJ69" s="112">
        <f>CJ75-CJ72</f>
        <v>199.18176582431408</v>
      </c>
      <c r="CK69" s="112">
        <f>CK75-CK72</f>
        <v>234.68026576800531</v>
      </c>
      <c r="CL69" s="112">
        <f>CL75-CL72</f>
        <v>180.51236032437225</v>
      </c>
      <c r="CM69" s="113">
        <f>CI69+CJ69+CK69+CL69</f>
        <v>799.35022675484504</v>
      </c>
      <c r="CO69" s="111">
        <f>CO75-CO72</f>
        <v>174.62669040724529</v>
      </c>
      <c r="CP69" s="112">
        <f>CP75-CP72</f>
        <v>188.03179107622071</v>
      </c>
      <c r="CQ69" s="112">
        <f>CQ75-CQ72</f>
        <v>221.53605255893592</v>
      </c>
      <c r="CR69" s="112">
        <f>CR75-CR72</f>
        <v>170.56797375336026</v>
      </c>
      <c r="CS69" s="113">
        <f>CO69+CP69+CQ69+CR69</f>
        <v>754.7625077957623</v>
      </c>
      <c r="CU69" s="111">
        <f>CU75-CU72</f>
        <v>165.16536210984566</v>
      </c>
      <c r="CV69" s="112">
        <f>CV75-CV72</f>
        <v>177.83785877452635</v>
      </c>
      <c r="CW69" s="112">
        <f>CW75-CW72</f>
        <v>209.51831975645325</v>
      </c>
      <c r="CX69" s="112">
        <f>CX75-CX72</f>
        <v>161.29816241310562</v>
      </c>
      <c r="CY69" s="113">
        <f>CU69+CV69+CW69+CX69</f>
        <v>713.81970305393088</v>
      </c>
      <c r="DA69" s="111">
        <f>DA75-DA72</f>
        <v>156.17294899108657</v>
      </c>
      <c r="DB69" s="112">
        <f>DB75-DB72</f>
        <v>168.14972121879572</v>
      </c>
      <c r="DC69" s="112">
        <f>DC75-DC72</f>
        <v>198.09754288877957</v>
      </c>
      <c r="DD69" s="112">
        <f>DD75-DD72</f>
        <v>152.49034158909507</v>
      </c>
      <c r="DE69" s="113">
        <f>DA69+DB69+DC69+DD69</f>
        <v>674.91055468775699</v>
      </c>
      <c r="DG69" s="111">
        <f>DG75-DG72</f>
        <v>147.63016343461538</v>
      </c>
      <c r="DH69" s="112">
        <f>DH75-DH72</f>
        <v>158.94651741287237</v>
      </c>
      <c r="DI69" s="112">
        <f>DI75-DI72</f>
        <v>187.24903501577353</v>
      </c>
      <c r="DJ69" s="112">
        <f>DJ75-DJ72</f>
        <v>144.12525468462195</v>
      </c>
      <c r="DK69" s="113">
        <f>DG69+DH69+DI69+DJ69</f>
        <v>637.95097054788323</v>
      </c>
    </row>
    <row r="70" spans="1:115" ht="15" x14ac:dyDescent="0.3">
      <c r="B70" s="40" t="s">
        <v>23</v>
      </c>
      <c r="C70" s="144" t="s">
        <v>35</v>
      </c>
      <c r="D70" s="107" t="s">
        <v>35</v>
      </c>
      <c r="E70" s="107" t="s">
        <v>35</v>
      </c>
      <c r="F70" s="107" t="s">
        <v>35</v>
      </c>
      <c r="G70" s="138" t="s">
        <v>35</v>
      </c>
      <c r="I70" s="151">
        <f>I69/C69-1</f>
        <v>-1.4501152886949309E-2</v>
      </c>
      <c r="J70" s="133">
        <f>J69/D69-1</f>
        <v>3.963776731200408E-3</v>
      </c>
      <c r="K70" s="133">
        <f>K69/E69-1</f>
        <v>-8.9078568428556659E-3</v>
      </c>
      <c r="L70" s="133">
        <f>L69/F69-1</f>
        <v>2.0511447353595225E-2</v>
      </c>
      <c r="M70" s="153">
        <f>M69/G69-1</f>
        <v>-1.7856172415819938E-4</v>
      </c>
      <c r="N70" s="107"/>
      <c r="O70" s="151">
        <f>O69/I69-1</f>
        <v>-2.572344406024718E-2</v>
      </c>
      <c r="P70" s="133">
        <f>P69/J69-1</f>
        <v>-7.6187143826876191E-2</v>
      </c>
      <c r="Q70" s="133">
        <f>Q69/K69-1</f>
        <v>-0.16721881507504943</v>
      </c>
      <c r="R70" s="152">
        <f>R69/L69-1</f>
        <v>-0.17734474866958949</v>
      </c>
      <c r="S70" s="153">
        <f>S69/M69-1</f>
        <v>-0.11615590706484435</v>
      </c>
      <c r="T70" s="107"/>
      <c r="U70" s="151">
        <f>U69/O69-1</f>
        <v>-0.12492597982946496</v>
      </c>
      <c r="V70" s="133">
        <f>V69/P69-1</f>
        <v>-0.10244186586065585</v>
      </c>
      <c r="W70" s="133">
        <f>W69/Q69-1</f>
        <v>-3.0469207023752332E-2</v>
      </c>
      <c r="X70" s="152">
        <f>X69/R69-1</f>
        <v>-6.9179274299001614E-2</v>
      </c>
      <c r="Y70" s="153">
        <f>Y69/S69-1</f>
        <v>-8.0251422116000115E-2</v>
      </c>
      <c r="AA70" s="151">
        <f>AA69/U69-1</f>
        <v>-0.17292531394362054</v>
      </c>
      <c r="AB70" s="133">
        <f>AB69/V69-1</f>
        <v>-0.17639332495642468</v>
      </c>
      <c r="AC70" s="133">
        <f>AC69/W69-1</f>
        <v>-0.24130880640457708</v>
      </c>
      <c r="AD70" s="152">
        <f>AD69/X69-1</f>
        <v>-0.18999494404792761</v>
      </c>
      <c r="AE70" s="153">
        <f>AE69/Y69-1</f>
        <v>-0.19790554528900417</v>
      </c>
      <c r="AG70" s="151">
        <f>AG69/AA69-1</f>
        <v>-6.7537066382229227E-2</v>
      </c>
      <c r="AH70" s="133">
        <f>AH69/AB69-1</f>
        <v>-0.11094849292105702</v>
      </c>
      <c r="AI70" s="133">
        <f>AI69/AC69-1</f>
        <v>1.5895222271245624E-2</v>
      </c>
      <c r="AJ70" s="152">
        <f>AJ69/AD69-1</f>
        <v>-0.11638816227046789</v>
      </c>
      <c r="AK70" s="153">
        <f>AK69/AE69-1</f>
        <v>-6.6366479319110661E-2</v>
      </c>
      <c r="AM70" s="151">
        <f>AM69/AG69-1</f>
        <v>-0.16659672864688824</v>
      </c>
      <c r="AN70" s="133">
        <f>AN69/AH69-1</f>
        <v>-0.14482378616282487</v>
      </c>
      <c r="AO70" s="133">
        <f>AO69/AI69-1</f>
        <v>-0.3261000968980059</v>
      </c>
      <c r="AP70" s="152">
        <f>AP69/AJ69-1</f>
        <v>-0.14051337667985042</v>
      </c>
      <c r="AQ70" s="153">
        <f>AQ69/AK69-1</f>
        <v>-0.20447880837479571</v>
      </c>
      <c r="AS70" s="151">
        <f>AS69/AM69-1</f>
        <v>-0.18335521667902099</v>
      </c>
      <c r="AT70" s="133">
        <f>AT69/AN69-1</f>
        <v>-0.18062677343586375</v>
      </c>
      <c r="AU70" s="133">
        <f>AU69/AO69-1</f>
        <v>-6.4124455285792248E-3</v>
      </c>
      <c r="AV70" s="152">
        <f>AV69/AP69-1</f>
        <v>-3.4834918858421715E-2</v>
      </c>
      <c r="AW70" s="153">
        <f>AW69/AQ69-1</f>
        <v>-0.10308270441287815</v>
      </c>
      <c r="AY70" s="151">
        <f>AY69/AS69-1</f>
        <v>-0.10014874099604065</v>
      </c>
      <c r="AZ70" s="133">
        <f>AZ69/AT69-1</f>
        <v>-0.15983798585704734</v>
      </c>
      <c r="BA70" s="133">
        <f>BA69/AU69-1</f>
        <v>-0.1992789458051617</v>
      </c>
      <c r="BB70" s="152">
        <f>BB69/AV69-1</f>
        <v>-0.17867654043400016</v>
      </c>
      <c r="BC70" s="153">
        <f>BC69/AW69-1</f>
        <v>-0.16253740276114559</v>
      </c>
      <c r="BE70" s="151">
        <f>BE69/AY69-1</f>
        <v>-6.6373039376615428E-2</v>
      </c>
      <c r="BF70" s="133">
        <f>BF69/AZ69-1</f>
        <v>-3.7548122235523396E-2</v>
      </c>
      <c r="BG70" s="133">
        <f>BG69/BA69-1</f>
        <v>1.2972802612790657E-2</v>
      </c>
      <c r="BH70" s="152">
        <f>BH69/BB69-1</f>
        <v>-4.5153046038966194E-2</v>
      </c>
      <c r="BI70" s="153">
        <f>BI69/BC69-1</f>
        <v>-3.2349458539857712E-2</v>
      </c>
      <c r="BK70" s="151">
        <f>BK69/BE69-1</f>
        <v>4.7558502314355433E-3</v>
      </c>
      <c r="BL70" s="133">
        <f>BL69/BF69-1</f>
        <v>-5.9194927687896692E-3</v>
      </c>
      <c r="BM70" s="133">
        <f>BM69/BG69-1</f>
        <v>-1.0660479155368274E-2</v>
      </c>
      <c r="BN70" s="152">
        <f>BN69/BH69-1</f>
        <v>-8.5940399396994938E-2</v>
      </c>
      <c r="BO70" s="153">
        <f>BO69/BI69-1</f>
        <v>-2.3706641194973122E-2</v>
      </c>
      <c r="BQ70" s="151">
        <f>BQ69/BK69-1</f>
        <v>-0.11346681664791858</v>
      </c>
      <c r="BR70" s="133">
        <f>BR69/BL69-1</f>
        <v>-0.11683382055318181</v>
      </c>
      <c r="BS70" s="133">
        <f>BS69/BM69-1</f>
        <v>-0.11409351565946191</v>
      </c>
      <c r="BT70" s="152">
        <f>BT69/BN69-1</f>
        <v>-0.10362695441532732</v>
      </c>
      <c r="BU70" s="153">
        <f>BU69/BO69-1</f>
        <v>-0.11232260428853447</v>
      </c>
      <c r="BW70" s="151">
        <f>BW69/BQ69-1</f>
        <v>-8.8983921393479548E-2</v>
      </c>
      <c r="BX70" s="133">
        <f>BX69/BR69-1</f>
        <v>-7.3815818955859647E-2</v>
      </c>
      <c r="BY70" s="133">
        <f>BY69/BS69-1</f>
        <v>-6.0622899395025742E-2</v>
      </c>
      <c r="BZ70" s="152">
        <f>BZ69/BT69-1</f>
        <v>-5.6485580147551673E-2</v>
      </c>
      <c r="CA70" s="153">
        <f>CA69/BU69-1</f>
        <v>-6.9694843633879233E-2</v>
      </c>
      <c r="CC70" s="151">
        <f>CC69/BW69-1</f>
        <v>-5.8493196520187474E-2</v>
      </c>
      <c r="CD70" s="133">
        <f>CD69/BX69-1</f>
        <v>-5.8529935455152726E-2</v>
      </c>
      <c r="CE70" s="133">
        <f>CE69/BY69-1</f>
        <v>-5.9610692102928131E-2</v>
      </c>
      <c r="CF70" s="152">
        <f>CF69/BZ69-1</f>
        <v>-6.073159982371068E-2</v>
      </c>
      <c r="CG70" s="153">
        <f>CG69/CA69-1</f>
        <v>-5.9336803783683112E-2</v>
      </c>
      <c r="CI70" s="151">
        <f>CI69/CC69-1</f>
        <v>-5.5733070348454872E-2</v>
      </c>
      <c r="CJ70" s="133">
        <f>CJ69/CD69-1</f>
        <v>-5.5764268532691563E-2</v>
      </c>
      <c r="CK70" s="133">
        <f>CK69/CE69-1</f>
        <v>-5.5795330569495705E-2</v>
      </c>
      <c r="CL70" s="152">
        <f>CL69/CF69-1</f>
        <v>-5.587239583333381E-2</v>
      </c>
      <c r="CM70" s="153">
        <f>CM69/CG69-1</f>
        <v>-5.5790588823585119E-2</v>
      </c>
      <c r="CO70" s="151">
        <f>CO69/CI69-1</f>
        <v>-5.59486293977981E-2</v>
      </c>
      <c r="CP70" s="133">
        <f>CP69/CJ69-1</f>
        <v>-5.597889295713987E-2</v>
      </c>
      <c r="CQ70" s="133">
        <f>CQ69/CK69-1</f>
        <v>-5.6009026434558407E-2</v>
      </c>
      <c r="CR70" s="152">
        <f>CR69/CL69-1</f>
        <v>-5.508978195810188E-2</v>
      </c>
      <c r="CS70" s="153">
        <f>CS69/CM69-1</f>
        <v>-5.5779954101092044E-2</v>
      </c>
      <c r="CU70" s="151">
        <f>CU69/CO69-1</f>
        <v>-5.418031044014493E-2</v>
      </c>
      <c r="CV70" s="133">
        <f>CV69/CP69-1</f>
        <v>-5.4213876511776338E-2</v>
      </c>
      <c r="CW70" s="133">
        <f>CW69/CQ69-1</f>
        <v>-5.4247300444633328E-2</v>
      </c>
      <c r="CX70" s="152">
        <f>CX69/CR69-1</f>
        <v>-5.4346728382074327E-2</v>
      </c>
      <c r="CY70" s="153">
        <f>CY69/CS69-1</f>
        <v>-5.4245944014100989E-2</v>
      </c>
      <c r="DA70" s="151">
        <f>DA69/CU69-1</f>
        <v>-5.4444909052895452E-2</v>
      </c>
      <c r="DB70" s="133">
        <f>DB69/CV69-1</f>
        <v>-5.447736282078075E-2</v>
      </c>
      <c r="DC70" s="133">
        <f>DC69/CW69-1</f>
        <v>-5.4509681449093961E-2</v>
      </c>
      <c r="DD70" s="152">
        <f>DD69/CX69-1</f>
        <v>-5.4605834885164795E-2</v>
      </c>
      <c r="DE70" s="153">
        <f>DE69/CY69-1</f>
        <v>-5.4508369830237435E-2</v>
      </c>
      <c r="DG70" s="151">
        <f>DG69/DA69-1</f>
        <v>-5.4700801974090663E-2</v>
      </c>
      <c r="DH70" s="133">
        <f>DH69/DB69-1</f>
        <v>-5.473219782474803E-2</v>
      </c>
      <c r="DI70" s="133">
        <f>DI69/DC69-1</f>
        <v>-5.4763465082940721E-2</v>
      </c>
      <c r="DJ70" s="152">
        <f>DJ69/DD69-1</f>
        <v>-5.4856503154894432E-2</v>
      </c>
      <c r="DK70" s="153">
        <f>DK69/DE69-1</f>
        <v>-5.4762196091262649E-2</v>
      </c>
    </row>
    <row r="71" spans="1:115" ht="15" x14ac:dyDescent="0.3">
      <c r="B71" s="40"/>
      <c r="C71" s="144"/>
      <c r="D71" s="107"/>
      <c r="E71" s="107"/>
      <c r="F71" s="107"/>
      <c r="G71" s="138"/>
      <c r="I71" s="144"/>
      <c r="J71" s="107"/>
      <c r="K71" s="107"/>
      <c r="L71" s="107"/>
      <c r="M71" s="138"/>
      <c r="O71" s="144"/>
      <c r="P71" s="107"/>
      <c r="Q71" s="107"/>
      <c r="R71" s="107"/>
      <c r="S71" s="138"/>
      <c r="U71" s="144"/>
      <c r="V71" s="107"/>
      <c r="W71" s="107"/>
      <c r="X71" s="107"/>
      <c r="Y71" s="138"/>
      <c r="AA71" s="144"/>
      <c r="AB71" s="107"/>
      <c r="AC71" s="107"/>
      <c r="AD71" s="107"/>
      <c r="AE71" s="138"/>
      <c r="AG71" s="144"/>
      <c r="AH71" s="107"/>
      <c r="AI71" s="107"/>
      <c r="AJ71" s="107"/>
      <c r="AK71" s="138"/>
      <c r="AM71" s="144"/>
      <c r="AN71" s="107"/>
      <c r="AO71" s="107"/>
      <c r="AP71" s="107"/>
      <c r="AQ71" s="138"/>
      <c r="AS71" s="144"/>
      <c r="AT71" s="107"/>
      <c r="AU71" s="107"/>
      <c r="AV71" s="107"/>
      <c r="AW71" s="138"/>
      <c r="AY71" s="144"/>
      <c r="AZ71" s="107"/>
      <c r="BA71" s="107"/>
      <c r="BB71" s="107"/>
      <c r="BC71" s="138"/>
      <c r="BE71" s="144"/>
      <c r="BF71" s="107"/>
      <c r="BG71" s="107"/>
      <c r="BH71" s="107"/>
      <c r="BI71" s="138"/>
      <c r="BK71" s="144"/>
      <c r="BL71" s="107"/>
      <c r="BM71" s="107"/>
      <c r="BN71" s="107"/>
      <c r="BO71" s="138"/>
      <c r="BQ71" s="144"/>
      <c r="BR71" s="107"/>
      <c r="BS71" s="107"/>
      <c r="BT71" s="107"/>
      <c r="BU71" s="138"/>
      <c r="BW71" s="144"/>
      <c r="BX71" s="107"/>
      <c r="BY71" s="107"/>
      <c r="BZ71" s="107"/>
      <c r="CA71" s="138"/>
      <c r="CC71" s="144"/>
      <c r="CD71" s="107"/>
      <c r="CE71" s="107"/>
      <c r="CF71" s="107"/>
      <c r="CG71" s="138"/>
      <c r="CI71" s="144"/>
      <c r="CJ71" s="107"/>
      <c r="CK71" s="107"/>
      <c r="CL71" s="107"/>
      <c r="CM71" s="138"/>
      <c r="CO71" s="144"/>
      <c r="CP71" s="107"/>
      <c r="CQ71" s="107"/>
      <c r="CR71" s="107"/>
      <c r="CS71" s="138"/>
      <c r="CU71" s="144"/>
      <c r="CV71" s="107"/>
      <c r="CW71" s="107"/>
      <c r="CX71" s="107"/>
      <c r="CY71" s="138"/>
      <c r="DA71" s="144"/>
      <c r="DB71" s="107"/>
      <c r="DC71" s="107"/>
      <c r="DD71" s="107"/>
      <c r="DE71" s="138"/>
      <c r="DG71" s="144"/>
      <c r="DH71" s="107"/>
      <c r="DI71" s="107"/>
      <c r="DJ71" s="107"/>
      <c r="DK71" s="138"/>
    </row>
    <row r="72" spans="1:115" ht="15" x14ac:dyDescent="0.3">
      <c r="B72" s="39" t="s">
        <v>163</v>
      </c>
      <c r="C72" s="116">
        <f>C75*C15</f>
        <v>162.32737985638005</v>
      </c>
      <c r="D72" s="117">
        <f>D75*D15</f>
        <v>187.14533533268647</v>
      </c>
      <c r="E72" s="117">
        <f>E75*E15</f>
        <v>254.75379646004762</v>
      </c>
      <c r="F72" s="117">
        <f>F75*F15</f>
        <v>192.36547241295921</v>
      </c>
      <c r="G72" s="118">
        <f>C72+D72+E72+F72</f>
        <v>796.59198406207338</v>
      </c>
      <c r="I72" s="116">
        <f>I75*I15</f>
        <v>192.35673430726075</v>
      </c>
      <c r="J72" s="117">
        <f>J75*J15</f>
        <v>200.24813355679868</v>
      </c>
      <c r="K72" s="117">
        <f>K75*K15</f>
        <v>299.94397598149772</v>
      </c>
      <c r="L72" s="117">
        <f>L75*L15</f>
        <v>208.29597538320292</v>
      </c>
      <c r="M72" s="118">
        <f>I72+J72+K72+L72</f>
        <v>900.84481922876012</v>
      </c>
      <c r="O72" s="116">
        <f>O75*O15</f>
        <v>209.82596003526731</v>
      </c>
      <c r="P72" s="117">
        <f>P75*P15</f>
        <v>208.70869766655147</v>
      </c>
      <c r="Q72" s="117">
        <f>Q75*Q15</f>
        <v>307.60892651808666</v>
      </c>
      <c r="R72" s="117">
        <f>R75*R15</f>
        <v>171.35577797998178</v>
      </c>
      <c r="S72" s="118">
        <f>O72+P72+Q72+R72</f>
        <v>897.49936219988729</v>
      </c>
      <c r="U72" s="116">
        <f>U75*U15</f>
        <v>183.61324638420342</v>
      </c>
      <c r="V72" s="117">
        <f>V75*V15</f>
        <v>198.38652392308083</v>
      </c>
      <c r="W72" s="117">
        <f>W75*W15</f>
        <v>255.63113696027384</v>
      </c>
      <c r="X72" s="117">
        <f>X75*X15</f>
        <v>178.58063755645108</v>
      </c>
      <c r="Y72" s="118">
        <f>U72+V72+W72+X72</f>
        <v>816.21154482400914</v>
      </c>
      <c r="AA72" s="116">
        <f>AA75*AA15</f>
        <v>177.86561264822137</v>
      </c>
      <c r="AB72" s="117">
        <f>AB75*AB15</f>
        <v>192.19254736437492</v>
      </c>
      <c r="AC72" s="117">
        <f>AC75*AC15</f>
        <v>261.40425500160438</v>
      </c>
      <c r="AD72" s="117">
        <f>AD75*AD15</f>
        <v>246.64887396167566</v>
      </c>
      <c r="AE72" s="118">
        <f>AA72+AB72+AC72+AD72</f>
        <v>878.11128897587639</v>
      </c>
      <c r="AG72" s="116">
        <f>AG75*AG15</f>
        <v>201.46298703261493</v>
      </c>
      <c r="AH72" s="117">
        <f>AH75*AH15</f>
        <v>198.63761243460914</v>
      </c>
      <c r="AI72" s="117">
        <f>AI75*AI15</f>
        <v>253.32157642241185</v>
      </c>
      <c r="AJ72" s="117">
        <f>AJ75*AJ15</f>
        <v>227.67141233069574</v>
      </c>
      <c r="AK72" s="118">
        <f>AG72+AH72+AI72+AJ72</f>
        <v>881.09358822033164</v>
      </c>
      <c r="AM72" s="116">
        <f>AM75*AM15</f>
        <v>210.21339844994159</v>
      </c>
      <c r="AN72" s="117">
        <f>AN75*AN15</f>
        <v>233.93757131091178</v>
      </c>
      <c r="AO72" s="117">
        <f>AO75*AO15</f>
        <v>265.55415569621209</v>
      </c>
      <c r="AP72" s="117">
        <f>AP75*AP15</f>
        <v>231.91766922742428</v>
      </c>
      <c r="AQ72" s="118">
        <f>AM72+AN72+AO72+AP72</f>
        <v>941.6227946844898</v>
      </c>
      <c r="AS72" s="116">
        <f>AS75*AS15</f>
        <v>230.23145527696613</v>
      </c>
      <c r="AT72" s="117">
        <f>AT75*AT15</f>
        <v>236.80510696507957</v>
      </c>
      <c r="AU72" s="117">
        <f>AU75*AU15</f>
        <v>275.03144414376646</v>
      </c>
      <c r="AV72" s="117">
        <f>AV75*AV15</f>
        <v>223.83883603805262</v>
      </c>
      <c r="AW72" s="118">
        <f>AS72+AT72+AU72+AV72</f>
        <v>965.90684242386476</v>
      </c>
      <c r="AY72" s="116">
        <f>AY75*AY15</f>
        <v>224.69407038109654</v>
      </c>
      <c r="AZ72" s="117">
        <f>AZ75*AZ15</f>
        <v>243.88569799999999</v>
      </c>
      <c r="BA72" s="117">
        <f>BA75*BA15</f>
        <v>304.47921839999998</v>
      </c>
      <c r="BB72" s="117">
        <f>BB75*BB15</f>
        <v>234.91188920000002</v>
      </c>
      <c r="BC72" s="118">
        <f>AY72+AZ72+BA72+BB72</f>
        <v>1007.9708759810966</v>
      </c>
      <c r="BE72" s="116">
        <f>BE75*BE15</f>
        <v>246.34348199999999</v>
      </c>
      <c r="BF72" s="117">
        <f>BF75*BF15</f>
        <v>264.74464799999998</v>
      </c>
      <c r="BG72" s="117">
        <f>BG75*BG15</f>
        <v>308.42916720000005</v>
      </c>
      <c r="BH72" s="117">
        <f>BH75*BH15</f>
        <v>263.31445000000002</v>
      </c>
      <c r="BI72" s="118">
        <f>BE72+BF72+BG72+BH72</f>
        <v>1082.8317472000001</v>
      </c>
      <c r="BK72" s="116">
        <f>BK75*BK15</f>
        <v>257.61770999999999</v>
      </c>
      <c r="BL72" s="117">
        <f>BL75*BL15</f>
        <v>285.09981750000003</v>
      </c>
      <c r="BM72" s="117">
        <f>BM75*BM15</f>
        <v>358.14006410000007</v>
      </c>
      <c r="BN72" s="117">
        <f>BN75*BN15</f>
        <v>294.17067900000001</v>
      </c>
      <c r="BO72" s="118">
        <f>BK72+BL72+BM72+BN72</f>
        <v>1195.0282706</v>
      </c>
      <c r="BQ72" s="116">
        <f>BQ75*BQ15</f>
        <v>288.07861349196855</v>
      </c>
      <c r="BR72" s="117">
        <f>BR75*BR15</f>
        <v>311.87688985781989</v>
      </c>
      <c r="BS72" s="117">
        <f>BS75*BS15</f>
        <v>380.73432610599116</v>
      </c>
      <c r="BT72" s="117">
        <f>BT75*BT15</f>
        <v>311.4979862815515</v>
      </c>
      <c r="BU72" s="118">
        <f>BQ72+BR72+BS72+BT72</f>
        <v>1292.187815737331</v>
      </c>
      <c r="BW72" s="116">
        <f>BW75*BW15</f>
        <v>308.58829253783148</v>
      </c>
      <c r="BX72" s="117">
        <f>BX75*BX15</f>
        <v>332.8117047051436</v>
      </c>
      <c r="BY72" s="117">
        <f>BY75*BY15</f>
        <v>405.7247615730513</v>
      </c>
      <c r="BZ72" s="117">
        <f>BZ75*BZ15</f>
        <v>331.82578914217856</v>
      </c>
      <c r="CA72" s="118">
        <f>BW72+BX72+BY72+BZ72</f>
        <v>1378.9505479582049</v>
      </c>
      <c r="CC72" s="116">
        <f>CC75*CC15</f>
        <v>329.79986566866637</v>
      </c>
      <c r="CD72" s="117">
        <f>CD75*CD15</f>
        <v>355.67445401679339</v>
      </c>
      <c r="CE72" s="117">
        <f>CE75*CE15</f>
        <v>433.09858283135736</v>
      </c>
      <c r="CF72" s="117">
        <f>CF75*CF15</f>
        <v>353.7915156865397</v>
      </c>
      <c r="CG72" s="118">
        <f>CC72+CD72+CE72+CF72</f>
        <v>1472.3644182033568</v>
      </c>
      <c r="CI72" s="116">
        <f>CI75*CI15</f>
        <v>351.60221707759763</v>
      </c>
      <c r="CJ72" s="117">
        <f>CJ75*CJ15</f>
        <v>379.17478996281875</v>
      </c>
      <c r="CK72" s="117">
        <f>CK75*CK15</f>
        <v>461.69934348898568</v>
      </c>
      <c r="CL72" s="117">
        <f>CL75*CL15</f>
        <v>377.12425041248139</v>
      </c>
      <c r="CM72" s="118">
        <f>CI72+CJ72+CK72+CL72</f>
        <v>1569.6006009418834</v>
      </c>
      <c r="CO72" s="116">
        <f>CO75*CO15</f>
        <v>374.76030396325041</v>
      </c>
      <c r="CP72" s="117">
        <f>CP75*CP15</f>
        <v>404.13597336840479</v>
      </c>
      <c r="CQ72" s="117">
        <f>CQ75*CQ15</f>
        <v>492.07743375529833</v>
      </c>
      <c r="CR72" s="117">
        <f>CR75*CR15</f>
        <v>402.32901674242208</v>
      </c>
      <c r="CS72" s="118">
        <f>CO72+CP72+CQ72+CR72</f>
        <v>1673.3027278293757</v>
      </c>
      <c r="CU72" s="116">
        <f>CU75*CU15</f>
        <v>400.19189039954028</v>
      </c>
      <c r="CV72" s="117">
        <f>CV75*CV15</f>
        <v>431.54570472575904</v>
      </c>
      <c r="CW72" s="117">
        <f>CW75*CW15</f>
        <v>525.4330531532994</v>
      </c>
      <c r="CX72" s="117">
        <f>CX75*CX15</f>
        <v>429.55584784597772</v>
      </c>
      <c r="CY72" s="118">
        <f>CU72+CV72+CW72+CX72</f>
        <v>1786.7264961245764</v>
      </c>
      <c r="DA72" s="116">
        <f>DA75*DA15</f>
        <v>423.16088010317441</v>
      </c>
      <c r="DB72" s="117">
        <f>DB75*DB15</f>
        <v>456.29858291128068</v>
      </c>
      <c r="DC72" s="117">
        <f>DC75*DC15</f>
        <v>555.55219289807678</v>
      </c>
      <c r="DD72" s="117">
        <f>DD75*DD15</f>
        <v>454.13287723690877</v>
      </c>
      <c r="DE72" s="118">
        <f>DA72+DB72+DC72+DD72</f>
        <v>1889.1445331494406</v>
      </c>
      <c r="DG72" s="116">
        <f>DG75*DG15</f>
        <v>443.02586001655163</v>
      </c>
      <c r="DH72" s="117">
        <f>DH75*DH15</f>
        <v>477.70332189500539</v>
      </c>
      <c r="DI72" s="117">
        <f>DI75*DI15</f>
        <v>581.59363083222411</v>
      </c>
      <c r="DJ72" s="117">
        <f>DJ75*DJ15</f>
        <v>475.37350289542076</v>
      </c>
      <c r="DK72" s="118">
        <f>DG72+DH72+DI72+DJ72</f>
        <v>1977.6963156392017</v>
      </c>
    </row>
    <row r="73" spans="1:115" ht="15" x14ac:dyDescent="0.3">
      <c r="B73" s="40" t="s">
        <v>23</v>
      </c>
      <c r="C73" s="144" t="s">
        <v>35</v>
      </c>
      <c r="D73" s="107" t="s">
        <v>35</v>
      </c>
      <c r="E73" s="107" t="s">
        <v>35</v>
      </c>
      <c r="F73" s="107" t="s">
        <v>35</v>
      </c>
      <c r="G73" s="138" t="s">
        <v>35</v>
      </c>
      <c r="I73" s="151">
        <f>I72/C72-1</f>
        <v>0.18499254086063188</v>
      </c>
      <c r="J73" s="133">
        <f>J72/D72-1</f>
        <v>7.0014025200358265E-2</v>
      </c>
      <c r="K73" s="133">
        <f>K72/E72-1</f>
        <v>0.17738765878818663</v>
      </c>
      <c r="L73" s="133">
        <f>L72/F72-1</f>
        <v>8.2813733516818422E-2</v>
      </c>
      <c r="M73" s="153">
        <f>M72/G72-1</f>
        <v>0.13087356796520688</v>
      </c>
      <c r="N73" s="107"/>
      <c r="O73" s="151">
        <f>O72/I72-1</f>
        <v>9.0816813827282683E-2</v>
      </c>
      <c r="P73" s="133">
        <f>P72/J72-1</f>
        <v>4.2250401836344764E-2</v>
      </c>
      <c r="Q73" s="133">
        <f>Q72/K72-1</f>
        <v>2.5554607361282011E-2</v>
      </c>
      <c r="R73" s="152">
        <f>R72/L72-1</f>
        <v>-0.1773447486695896</v>
      </c>
      <c r="S73" s="153">
        <f>S72/M72-1</f>
        <v>-3.713688481593258E-3</v>
      </c>
      <c r="T73" s="107"/>
      <c r="U73" s="151">
        <f>U72/O72-1</f>
        <v>-0.12492597982946485</v>
      </c>
      <c r="V73" s="133">
        <f>V72/P72-1</f>
        <v>-4.9457324293988525E-2</v>
      </c>
      <c r="W73" s="133">
        <f>W72/Q72-1</f>
        <v>-0.16897360602035927</v>
      </c>
      <c r="X73" s="152">
        <f>X72/R72-1</f>
        <v>4.2162917770495856E-2</v>
      </c>
      <c r="Y73" s="153">
        <f>Y72/S72-1</f>
        <v>-9.0571448626583062E-2</v>
      </c>
      <c r="AA73" s="151">
        <f>AA72/U72-1</f>
        <v>-3.1302936194240294E-2</v>
      </c>
      <c r="AB73" s="133">
        <f>AB72/V72-1</f>
        <v>-3.1221760612668792E-2</v>
      </c>
      <c r="AC73" s="133">
        <f>AC72/W72-1</f>
        <v>2.2583782672091823E-2</v>
      </c>
      <c r="AD73" s="152">
        <f>AD72/X72-1</f>
        <v>0.38116246720032865</v>
      </c>
      <c r="AE73" s="153">
        <f>AE72/Y72-1</f>
        <v>7.5837868925529683E-2</v>
      </c>
      <c r="AG73" s="151">
        <f>AG72/AA72-1</f>
        <v>0.13266968265003487</v>
      </c>
      <c r="AH73" s="133">
        <f>AH72/AB72-1</f>
        <v>3.3534417221782853E-2</v>
      </c>
      <c r="AI73" s="133">
        <f>AI72/AC72-1</f>
        <v>-3.0920225759687558E-2</v>
      </c>
      <c r="AJ73" s="152">
        <f>AJ72/AD72-1</f>
        <v>-7.6941205228971077E-2</v>
      </c>
      <c r="AK73" s="153">
        <f>AK72/AE72-1</f>
        <v>3.3962656919415135E-3</v>
      </c>
      <c r="AM73" s="151">
        <f>AM72/AG72-1</f>
        <v>4.3434337722343175E-2</v>
      </c>
      <c r="AN73" s="133">
        <f>AN72/AH72-1</f>
        <v>0.17771034621110982</v>
      </c>
      <c r="AO73" s="133">
        <f>AO72/AI72-1</f>
        <v>4.828873815865764E-2</v>
      </c>
      <c r="AP73" s="152">
        <f>AP72/AJ72-1</f>
        <v>1.8650812823881369E-2</v>
      </c>
      <c r="AQ73" s="153">
        <f>AQ72/AK72-1</f>
        <v>6.8697817432104458E-2</v>
      </c>
      <c r="AS73" s="151">
        <f>AS72/AM72-1</f>
        <v>9.5227311744315202E-2</v>
      </c>
      <c r="AT73" s="133">
        <f>AT72/AN72-1</f>
        <v>1.2257696094299941E-2</v>
      </c>
      <c r="AU73" s="133">
        <f>AU72/AO72-1</f>
        <v>3.568872203376916E-2</v>
      </c>
      <c r="AV73" s="152">
        <f>AV72/AP72-1</f>
        <v>-3.4834918858421937E-2</v>
      </c>
      <c r="AW73" s="153">
        <f>AW72/AQ72-1</f>
        <v>2.5789570809521267E-2</v>
      </c>
      <c r="AY73" s="151">
        <f>AY72/AS72-1</f>
        <v>-2.4051382940737498E-2</v>
      </c>
      <c r="AZ73" s="133">
        <f>AZ72/AT72-1</f>
        <v>2.9900499721758678E-2</v>
      </c>
      <c r="BA73" s="133">
        <f>BA72/AU72-1</f>
        <v>0.1070705727772725</v>
      </c>
      <c r="BB73" s="152">
        <f>BB72/AV72-1</f>
        <v>4.9468865001000006E-2</v>
      </c>
      <c r="BC73" s="153">
        <f>BC72/AW72-1</f>
        <v>4.3548747880981509E-2</v>
      </c>
      <c r="BE73" s="151">
        <f>BE72/AY72-1</f>
        <v>9.6350613891076797E-2</v>
      </c>
      <c r="BF73" s="133">
        <f>BF72/AZ72-1</f>
        <v>8.5527565458143329E-2</v>
      </c>
      <c r="BG73" s="133">
        <f>BG72/BA72-1</f>
        <v>1.2972802612790879E-2</v>
      </c>
      <c r="BH73" s="152">
        <f>BH72/BB72-1</f>
        <v>0.12090729378034393</v>
      </c>
      <c r="BI73" s="153">
        <f>BI72/BC72-1</f>
        <v>7.4268883161964894E-2</v>
      </c>
      <c r="BK73" s="151">
        <f>BK72/BE72-1</f>
        <v>4.5766293098024713E-2</v>
      </c>
      <c r="BL73" s="133">
        <f>BL72/BF72-1</f>
        <v>7.6886047192161078E-2</v>
      </c>
      <c r="BM73" s="133">
        <f>BM72/BG72-1</f>
        <v>0.16117443545073384</v>
      </c>
      <c r="BN73" s="152">
        <f>BN72/BH72-1</f>
        <v>0.11718395629256184</v>
      </c>
      <c r="BO73" s="153">
        <f>BO72/BI72-1</f>
        <v>0.10361399514755565</v>
      </c>
      <c r="BQ73" s="151">
        <f>BQ72/BK72-1</f>
        <v>0.1182407199100115</v>
      </c>
      <c r="BR73" s="133">
        <f>BR72/BL72-1</f>
        <v>9.3921744996626977E-2</v>
      </c>
      <c r="BS73" s="133">
        <f>BS72/BM72-1</f>
        <v>6.3087781208645444E-2</v>
      </c>
      <c r="BT73" s="152">
        <f>BT72/BN72-1</f>
        <v>5.8902224179696372E-2</v>
      </c>
      <c r="BU73" s="153">
        <f>BU72/BO72-1</f>
        <v>8.130313527105848E-2</v>
      </c>
      <c r="BW73" s="151">
        <f>BW72/BQ72-1</f>
        <v>7.1194729790084565E-2</v>
      </c>
      <c r="BX73" s="133">
        <f>BX72/BR72-1</f>
        <v>6.7125252072596897E-2</v>
      </c>
      <c r="BY73" s="133">
        <f>BY72/BS72-1</f>
        <v>6.5637463589514056E-2</v>
      </c>
      <c r="BZ73" s="152">
        <f>BZ72/BT72-1</f>
        <v>6.5258215962441302E-2</v>
      </c>
      <c r="CA73" s="153">
        <f>CA72/BU72-1</f>
        <v>6.7144056896532911E-2</v>
      </c>
      <c r="CC73" s="151">
        <f>CC72/BW72-1</f>
        <v>6.8737452598706339E-2</v>
      </c>
      <c r="CD73" s="133">
        <f>CD72/BX72-1</f>
        <v>6.869574894279995E-2</v>
      </c>
      <c r="CE73" s="133">
        <f>CE72/BY72-1</f>
        <v>6.746894409937898E-2</v>
      </c>
      <c r="CF73" s="152">
        <f>CF72/BZ72-1</f>
        <v>6.6196562362274447E-2</v>
      </c>
      <c r="CG73" s="153">
        <f>CG72/CA72-1</f>
        <v>6.7742726802979769E-2</v>
      </c>
      <c r="CI73" s="151">
        <f>CI72/CC72-1</f>
        <v>6.6107823800131582E-2</v>
      </c>
      <c r="CJ73" s="133">
        <f>CJ72/CD72-1</f>
        <v>6.607260004373483E-2</v>
      </c>
      <c r="CK73" s="133">
        <f>CK72/CE72-1</f>
        <v>6.6037530002182043E-2</v>
      </c>
      <c r="CL73" s="152">
        <f>CL72/CF72-1</f>
        <v>6.5950520833333304E-2</v>
      </c>
      <c r="CM73" s="153">
        <f>CM72/CG72-1</f>
        <v>6.604083984668585E-2</v>
      </c>
      <c r="CO73" s="151">
        <f>CO72/CI72-1</f>
        <v>6.5864450679905318E-2</v>
      </c>
      <c r="CP73" s="133">
        <f>CP72/CJ72-1</f>
        <v>6.5830282145165064E-2</v>
      </c>
      <c r="CQ73" s="133">
        <f>CQ72/CK72-1</f>
        <v>6.5796260477111401E-2</v>
      </c>
      <c r="CR73" s="152">
        <f>CR72/CL72-1</f>
        <v>6.683411714407872E-2</v>
      </c>
      <c r="CS73" s="153">
        <f>CS72/CM72-1</f>
        <v>6.6069117726677007E-2</v>
      </c>
      <c r="CU73" s="151">
        <f>CU72/CO72-1</f>
        <v>6.7860939825643118E-2</v>
      </c>
      <c r="CV73" s="133">
        <f>CV72/CP72-1</f>
        <v>6.782304264799488E-2</v>
      </c>
      <c r="CW73" s="133">
        <f>CW72/CQ72-1</f>
        <v>6.7785305949608521E-2</v>
      </c>
      <c r="CX73" s="152">
        <f>CX72/CR72-1</f>
        <v>6.7673048600883634E-2</v>
      </c>
      <c r="CY73" s="153">
        <f>CY72/CS72-1</f>
        <v>6.7784368248974936E-2</v>
      </c>
      <c r="DA73" s="151">
        <f>DA72/CU72-1</f>
        <v>5.73949404139662E-2</v>
      </c>
      <c r="DB73" s="133">
        <f>DB72/CV72-1</f>
        <v>5.7358648028374537E-2</v>
      </c>
      <c r="DC73" s="133">
        <f>DC72/CW72-1</f>
        <v>5.7322506766603887E-2</v>
      </c>
      <c r="DD73" s="152">
        <f>DD72/CX72-1</f>
        <v>5.7214980343472055E-2</v>
      </c>
      <c r="DE73" s="153">
        <f>DE72/CY72-1</f>
        <v>5.732160867766245E-2</v>
      </c>
      <c r="DG73" s="151">
        <f>DG72/DA72-1</f>
        <v>4.6944273082459187E-2</v>
      </c>
      <c r="DH73" s="133">
        <f>DH72/DB72-1</f>
        <v>4.6909501333880943E-2</v>
      </c>
      <c r="DI73" s="133">
        <f>DI72/DC72-1</f>
        <v>4.6874872004915247E-2</v>
      </c>
      <c r="DJ73" s="152">
        <f>DJ72/DD72-1</f>
        <v>4.6771829839202139E-2</v>
      </c>
      <c r="DK73" s="153">
        <f>DK72/DE72-1</f>
        <v>4.6874011456462972E-2</v>
      </c>
    </row>
    <row r="74" spans="1:115" ht="15" x14ac:dyDescent="0.3">
      <c r="B74" s="40"/>
      <c r="C74" s="144"/>
      <c r="D74" s="107"/>
      <c r="E74" s="107"/>
      <c r="F74" s="107"/>
      <c r="G74" s="138"/>
      <c r="I74" s="144"/>
      <c r="J74" s="107"/>
      <c r="K74" s="107"/>
      <c r="L74" s="107"/>
      <c r="M74" s="138"/>
      <c r="O74" s="144"/>
      <c r="P74" s="107"/>
      <c r="Q74" s="107"/>
      <c r="R74" s="107"/>
      <c r="S74" s="138"/>
      <c r="U74" s="144"/>
      <c r="V74" s="107"/>
      <c r="W74" s="107"/>
      <c r="X74" s="107"/>
      <c r="Y74" s="138"/>
      <c r="AA74" s="144"/>
      <c r="AB74" s="107"/>
      <c r="AC74" s="107"/>
      <c r="AD74" s="107"/>
      <c r="AE74" s="138"/>
      <c r="AG74" s="144"/>
      <c r="AH74" s="107"/>
      <c r="AI74" s="107"/>
      <c r="AJ74" s="107"/>
      <c r="AK74" s="138"/>
      <c r="AM74" s="144"/>
      <c r="AN74" s="107"/>
      <c r="AO74" s="107"/>
      <c r="AP74" s="107"/>
      <c r="AQ74" s="138"/>
      <c r="AS74" s="144"/>
      <c r="AT74" s="107"/>
      <c r="AU74" s="107"/>
      <c r="AV74" s="107"/>
      <c r="AW74" s="138"/>
      <c r="AY74" s="144"/>
      <c r="AZ74" s="107"/>
      <c r="BA74" s="107"/>
      <c r="BB74" s="107"/>
      <c r="BC74" s="138"/>
      <c r="BE74" s="144"/>
      <c r="BF74" s="107"/>
      <c r="BG74" s="107"/>
      <c r="BH74" s="107"/>
      <c r="BI74" s="138"/>
      <c r="BK74" s="144"/>
      <c r="BL74" s="107"/>
      <c r="BM74" s="107"/>
      <c r="BN74" s="107"/>
      <c r="BO74" s="138"/>
      <c r="BQ74" s="144"/>
      <c r="BR74" s="107"/>
      <c r="BS74" s="107"/>
      <c r="BT74" s="107"/>
      <c r="BU74" s="138"/>
      <c r="BW74" s="144"/>
      <c r="BX74" s="107"/>
      <c r="BY74" s="107"/>
      <c r="BZ74" s="107"/>
      <c r="CA74" s="138"/>
      <c r="CC74" s="144"/>
      <c r="CD74" s="107"/>
      <c r="CE74" s="107"/>
      <c r="CF74" s="107"/>
      <c r="CG74" s="138"/>
      <c r="CI74" s="144"/>
      <c r="CJ74" s="107"/>
      <c r="CK74" s="107"/>
      <c r="CL74" s="107"/>
      <c r="CM74" s="138"/>
      <c r="CO74" s="144"/>
      <c r="CP74" s="107"/>
      <c r="CQ74" s="107"/>
      <c r="CR74" s="107"/>
      <c r="CS74" s="138"/>
      <c r="CU74" s="144"/>
      <c r="CV74" s="107"/>
      <c r="CW74" s="107"/>
      <c r="CX74" s="107"/>
      <c r="CY74" s="138"/>
      <c r="DA74" s="144"/>
      <c r="DB74" s="107"/>
      <c r="DC74" s="107"/>
      <c r="DD74" s="107"/>
      <c r="DE74" s="138"/>
      <c r="DG74" s="144"/>
      <c r="DH74" s="107"/>
      <c r="DI74" s="107"/>
      <c r="DJ74" s="107"/>
      <c r="DK74" s="138"/>
    </row>
    <row r="75" spans="1:115" ht="15.75" thickBot="1" x14ac:dyDescent="0.35">
      <c r="B75" s="76" t="s">
        <v>164</v>
      </c>
      <c r="C75" s="124">
        <f>C25</f>
        <v>854.35463082305284</v>
      </c>
      <c r="D75" s="124">
        <f>D25</f>
        <v>984.97544911940247</v>
      </c>
      <c r="E75" s="124">
        <f>E25</f>
        <v>1213.1133164764174</v>
      </c>
      <c r="F75" s="124">
        <f>F25</f>
        <v>916.02605910932959</v>
      </c>
      <c r="G75" s="121">
        <f>G25</f>
        <v>3968.4694555282026</v>
      </c>
      <c r="I75" s="123">
        <f>I25</f>
        <v>874.34879230573063</v>
      </c>
      <c r="J75" s="124">
        <f>J25</f>
        <v>1001.2406677839933</v>
      </c>
      <c r="K75" s="124">
        <f>K25</f>
        <v>1249.7665665895738</v>
      </c>
      <c r="L75" s="124">
        <f>L25</f>
        <v>946.79988810546774</v>
      </c>
      <c r="M75" s="121">
        <f>M25</f>
        <v>4072.1559147847656</v>
      </c>
      <c r="O75" s="123">
        <f>O25</f>
        <v>874.27483348028056</v>
      </c>
      <c r="P75" s="124">
        <f>P25</f>
        <v>948.67589848432488</v>
      </c>
      <c r="Q75" s="124">
        <f>Q25</f>
        <v>1098.6033089931666</v>
      </c>
      <c r="R75" s="124">
        <f>R25</f>
        <v>778.88989990900814</v>
      </c>
      <c r="S75" s="121">
        <f>S25</f>
        <v>3700.4439408667804</v>
      </c>
      <c r="U75" s="123">
        <f>U25</f>
        <v>765.05519326751426</v>
      </c>
      <c r="V75" s="124">
        <f>V25</f>
        <v>862.55010401339484</v>
      </c>
      <c r="W75" s="124">
        <f>W25</f>
        <v>1022.5245478410953</v>
      </c>
      <c r="X75" s="124">
        <f>X25</f>
        <v>744.08598981854618</v>
      </c>
      <c r="Y75" s="121">
        <f>Y25</f>
        <v>3394.2158349405508</v>
      </c>
      <c r="AA75" s="123">
        <f>AA25</f>
        <v>658.76152832674575</v>
      </c>
      <c r="AB75" s="124">
        <f>AB25</f>
        <v>739.2021052475958</v>
      </c>
      <c r="AC75" s="124">
        <f>AC25</f>
        <v>843.23953226323999</v>
      </c>
      <c r="AD75" s="124">
        <f>AD25</f>
        <v>704.71106846193049</v>
      </c>
      <c r="AE75" s="121">
        <f>AE25</f>
        <v>2945.9142342995124</v>
      </c>
      <c r="AG75" s="123">
        <f>AG25</f>
        <v>649.88060333101589</v>
      </c>
      <c r="AH75" s="124">
        <f>AH25</f>
        <v>684.95728425727293</v>
      </c>
      <c r="AI75" s="124">
        <f>AI25</f>
        <v>844.40525474137291</v>
      </c>
      <c r="AJ75" s="124">
        <f>AJ25</f>
        <v>632.42058980748823</v>
      </c>
      <c r="AK75" s="121">
        <f>AK25</f>
        <v>2811.66373213715</v>
      </c>
      <c r="AM75" s="123">
        <f>AM25</f>
        <v>583.92610680539337</v>
      </c>
      <c r="AN75" s="124">
        <f>AN25</f>
        <v>649.82658697475495</v>
      </c>
      <c r="AO75" s="124">
        <f>AO25</f>
        <v>663.88538924053023</v>
      </c>
      <c r="AP75" s="124">
        <f>AP25</f>
        <v>579.79417306856067</v>
      </c>
      <c r="AQ75" s="121">
        <f>AQ25</f>
        <v>2477.4322560892392</v>
      </c>
      <c r="AS75" s="123">
        <f>AS25</f>
        <v>535.42198901620031</v>
      </c>
      <c r="AT75" s="124">
        <f>AT25</f>
        <v>577.57343162214534</v>
      </c>
      <c r="AU75" s="124">
        <f>AU25</f>
        <v>670.80840035064989</v>
      </c>
      <c r="AV75" s="124">
        <f>AV25</f>
        <v>559.59709009513153</v>
      </c>
      <c r="AW75" s="121">
        <f>AW25</f>
        <v>2343.4009110841271</v>
      </c>
      <c r="AY75" s="123">
        <f>AY25</f>
        <v>499.32015640243674</v>
      </c>
      <c r="AZ75" s="124">
        <f>AZ25</f>
        <v>530.18629999999996</v>
      </c>
      <c r="BA75" s="124">
        <f>BA25</f>
        <v>621.38616000000002</v>
      </c>
      <c r="BB75" s="124">
        <f>BB25</f>
        <v>510.67802</v>
      </c>
      <c r="BC75" s="121">
        <f>BC25</f>
        <v>2161.5706364024368</v>
      </c>
      <c r="BE75" s="123">
        <f>BE25</f>
        <v>502.74180000000001</v>
      </c>
      <c r="BF75" s="124">
        <f>BF25</f>
        <v>540.29520000000002</v>
      </c>
      <c r="BG75" s="124">
        <f>BG25</f>
        <v>629.44728000000009</v>
      </c>
      <c r="BH75" s="124">
        <f>BH25</f>
        <v>526.62890000000004</v>
      </c>
      <c r="BI75" s="121">
        <f>BI25</f>
        <v>2199.1131800000003</v>
      </c>
      <c r="BK75" s="123">
        <f>BK25</f>
        <v>515.23541999999998</v>
      </c>
      <c r="BL75" s="124">
        <f>BL25</f>
        <v>559.01925000000006</v>
      </c>
      <c r="BM75" s="124">
        <f>BM25</f>
        <v>675.73597000000007</v>
      </c>
      <c r="BN75" s="124">
        <f>BN25</f>
        <v>534.85577999999998</v>
      </c>
      <c r="BO75" s="121">
        <f>BO25</f>
        <v>2284.8464199999999</v>
      </c>
      <c r="BQ75" s="123">
        <f>BQ25</f>
        <v>516.46526202614189</v>
      </c>
      <c r="BR75" s="124">
        <f>BR25</f>
        <v>553.79326853508553</v>
      </c>
      <c r="BS75" s="124">
        <f>BS25</f>
        <v>662.09459854280851</v>
      </c>
      <c r="BT75" s="124">
        <f>BT25</f>
        <v>527.24162329177602</v>
      </c>
      <c r="BU75" s="121">
        <f>BU25</f>
        <v>2259.5947523958121</v>
      </c>
      <c r="BW75" s="123">
        <f>BW25</f>
        <v>516.65220149151969</v>
      </c>
      <c r="BX75" s="124">
        <f>BX25</f>
        <v>556.87082777151102</v>
      </c>
      <c r="BY75" s="124">
        <f>BY25</f>
        <v>670.02815852017443</v>
      </c>
      <c r="BZ75" s="124">
        <f>BZ25</f>
        <v>535.38302165273774</v>
      </c>
      <c r="CA75" s="121">
        <f>CA25</f>
        <v>2278.9342094359431</v>
      </c>
      <c r="CC75" s="123">
        <f>CC25</f>
        <v>525.69345150716811</v>
      </c>
      <c r="CD75" s="124">
        <f>CD25</f>
        <v>566.61941107194821</v>
      </c>
      <c r="CE75" s="124">
        <f>CE25</f>
        <v>681.64667136130754</v>
      </c>
      <c r="CF75" s="124">
        <f>CF25</f>
        <v>544.98639181104556</v>
      </c>
      <c r="CG75" s="121">
        <f>CG25</f>
        <v>2318.9459257514695</v>
      </c>
      <c r="CI75" s="123">
        <f>CI25</f>
        <v>536.57805191575108</v>
      </c>
      <c r="CJ75" s="124">
        <f>CJ25</f>
        <v>578.35655578713283</v>
      </c>
      <c r="CK75" s="124">
        <f>CK25</f>
        <v>696.37960925699099</v>
      </c>
      <c r="CL75" s="124">
        <f>CL25</f>
        <v>557.63661073685364</v>
      </c>
      <c r="CM75" s="121">
        <f>CM25</f>
        <v>2368.9508276967285</v>
      </c>
      <c r="CO75" s="123">
        <f>CO25</f>
        <v>549.3869943704957</v>
      </c>
      <c r="CP75" s="124">
        <f>CP25</f>
        <v>592.1677644446255</v>
      </c>
      <c r="CQ75" s="124">
        <f>CQ25</f>
        <v>713.61348631423425</v>
      </c>
      <c r="CR75" s="124">
        <f>CR25</f>
        <v>572.89699049578235</v>
      </c>
      <c r="CS75" s="121">
        <f>CS25</f>
        <v>2428.0652356251376</v>
      </c>
      <c r="CU75" s="123">
        <f>CU25</f>
        <v>565.35725250938594</v>
      </c>
      <c r="CV75" s="124">
        <f>CV25</f>
        <v>609.38356350028539</v>
      </c>
      <c r="CW75" s="124">
        <f>CW25</f>
        <v>734.95137290975265</v>
      </c>
      <c r="CX75" s="124">
        <f>CX25</f>
        <v>590.85401025908334</v>
      </c>
      <c r="CY75" s="121">
        <f>CY25</f>
        <v>2500.5461991785073</v>
      </c>
      <c r="DA75" s="123">
        <f>DA25</f>
        <v>579.33382909426098</v>
      </c>
      <c r="DB75" s="124">
        <f>DB25</f>
        <v>624.44830413007639</v>
      </c>
      <c r="DC75" s="124">
        <f>DC25</f>
        <v>753.64973578685635</v>
      </c>
      <c r="DD75" s="124">
        <f>DD25</f>
        <v>606.62321882600384</v>
      </c>
      <c r="DE75" s="121">
        <f>DE25</f>
        <v>2564.0550878371978</v>
      </c>
      <c r="DG75" s="123">
        <f>DG25</f>
        <v>590.65602345116702</v>
      </c>
      <c r="DH75" s="124">
        <f>DH25</f>
        <v>636.64983930787776</v>
      </c>
      <c r="DI75" s="124">
        <f>DI25</f>
        <v>768.84266584799764</v>
      </c>
      <c r="DJ75" s="124">
        <f>DJ25</f>
        <v>619.49875758004271</v>
      </c>
      <c r="DK75" s="121">
        <f>DK25</f>
        <v>2615.6472861870852</v>
      </c>
    </row>
    <row r="77" spans="1:115" x14ac:dyDescent="0.2">
      <c r="A77" s="278"/>
      <c r="B77" s="278"/>
      <c r="C77" s="279"/>
      <c r="D77" s="279"/>
      <c r="E77" s="279"/>
      <c r="F77" s="279"/>
      <c r="G77" s="279"/>
      <c r="H77" s="279"/>
      <c r="I77" s="279"/>
      <c r="J77" s="279"/>
      <c r="K77" s="279"/>
      <c r="L77" s="279"/>
      <c r="M77" s="279"/>
      <c r="N77" s="279"/>
      <c r="O77" s="279"/>
      <c r="P77" s="279"/>
      <c r="Q77" s="279"/>
      <c r="R77" s="279"/>
      <c r="S77" s="279"/>
      <c r="T77" s="279"/>
      <c r="U77" s="279"/>
      <c r="V77" s="279"/>
      <c r="W77" s="279"/>
      <c r="X77" s="279"/>
      <c r="Y77" s="279"/>
      <c r="Z77" s="278"/>
      <c r="AA77" s="278"/>
      <c r="AB77" s="278"/>
      <c r="AC77" s="278"/>
      <c r="AD77" s="278"/>
      <c r="AE77" s="278"/>
      <c r="AF77" s="278"/>
      <c r="AG77" s="278"/>
      <c r="AH77" s="278"/>
      <c r="AI77" s="278"/>
      <c r="AJ77" s="278"/>
      <c r="AK77" s="278"/>
      <c r="AL77" s="278"/>
      <c r="AM77" s="278"/>
      <c r="AN77" s="278"/>
      <c r="AO77" s="278"/>
      <c r="AP77" s="278"/>
      <c r="AQ77" s="278"/>
      <c r="AR77" s="278"/>
      <c r="AS77" s="278"/>
      <c r="AT77" s="278"/>
      <c r="AU77" s="278"/>
      <c r="AV77" s="278"/>
      <c r="AW77" s="278"/>
      <c r="AX77" s="278"/>
      <c r="AY77" s="278"/>
      <c r="AZ77" s="278"/>
      <c r="BA77" s="278"/>
      <c r="BB77" s="278"/>
      <c r="BC77" s="278"/>
      <c r="BD77" s="278"/>
      <c r="BE77" s="278"/>
      <c r="BF77" s="278"/>
      <c r="BG77" s="278"/>
      <c r="BH77" s="278"/>
      <c r="BI77" s="278"/>
      <c r="BJ77" s="278"/>
      <c r="BK77" s="278"/>
      <c r="BL77" s="278"/>
      <c r="BM77" s="278"/>
      <c r="BN77" s="278"/>
      <c r="BO77" s="278"/>
      <c r="BP77" s="278"/>
      <c r="BQ77" s="278"/>
      <c r="BR77" s="278"/>
      <c r="BS77" s="278"/>
      <c r="BT77" s="278"/>
      <c r="BU77" s="278"/>
      <c r="BV77" s="278"/>
      <c r="BW77" s="278"/>
      <c r="BX77" s="278"/>
      <c r="BY77" s="278"/>
      <c r="BZ77" s="278"/>
      <c r="CA77" s="278"/>
      <c r="CB77" s="278"/>
      <c r="CC77" s="278"/>
      <c r="CD77" s="278"/>
      <c r="CE77" s="278"/>
      <c r="CF77" s="278"/>
      <c r="CG77" s="278"/>
      <c r="CH77" s="278"/>
      <c r="CI77" s="278"/>
      <c r="CJ77" s="278"/>
      <c r="CK77" s="278"/>
      <c r="CL77" s="278"/>
      <c r="CM77" s="278"/>
      <c r="CN77" s="278"/>
      <c r="CO77" s="278"/>
      <c r="CP77" s="278"/>
      <c r="CQ77" s="278"/>
      <c r="CR77" s="278"/>
      <c r="CS77" s="278"/>
      <c r="CT77" s="278"/>
      <c r="CU77" s="278"/>
      <c r="CV77" s="278"/>
      <c r="CW77" s="278"/>
      <c r="CX77" s="278"/>
      <c r="CY77" s="278"/>
      <c r="CZ77" s="278"/>
      <c r="DA77" s="278"/>
      <c r="DB77" s="278"/>
      <c r="DC77" s="278"/>
      <c r="DD77" s="278"/>
      <c r="DE77" s="278"/>
      <c r="DF77" s="278"/>
      <c r="DG77" s="278"/>
      <c r="DH77" s="278"/>
      <c r="DI77" s="278"/>
      <c r="DJ77" s="278"/>
      <c r="DK77" s="278"/>
    </row>
    <row r="78" spans="1:115" ht="13.5" thickBot="1" x14ac:dyDescent="0.25"/>
    <row r="79" spans="1:115" x14ac:dyDescent="0.2">
      <c r="B79" s="281" t="s">
        <v>144</v>
      </c>
      <c r="C79" s="712">
        <v>2007</v>
      </c>
      <c r="D79" s="713"/>
      <c r="E79" s="713"/>
      <c r="F79" s="713"/>
      <c r="G79" s="714"/>
      <c r="H79" s="129"/>
      <c r="I79" s="712">
        <v>2008</v>
      </c>
      <c r="J79" s="713"/>
      <c r="K79" s="713"/>
      <c r="L79" s="713"/>
      <c r="M79" s="714"/>
      <c r="N79" s="129"/>
      <c r="O79" s="712">
        <v>2009</v>
      </c>
      <c r="P79" s="713"/>
      <c r="Q79" s="713"/>
      <c r="R79" s="713"/>
      <c r="S79" s="714"/>
      <c r="T79" s="129"/>
      <c r="U79" s="712">
        <v>2010</v>
      </c>
      <c r="V79" s="713"/>
      <c r="W79" s="713"/>
      <c r="X79" s="713"/>
      <c r="Y79" s="714"/>
      <c r="AA79" s="712">
        <v>2011</v>
      </c>
      <c r="AB79" s="713"/>
      <c r="AC79" s="713"/>
      <c r="AD79" s="713"/>
      <c r="AE79" s="714"/>
      <c r="AG79" s="712">
        <v>2012</v>
      </c>
      <c r="AH79" s="713"/>
      <c r="AI79" s="713"/>
      <c r="AJ79" s="713"/>
      <c r="AK79" s="714"/>
      <c r="AM79" s="712">
        <v>2013</v>
      </c>
      <c r="AN79" s="713"/>
      <c r="AO79" s="713"/>
      <c r="AP79" s="713"/>
      <c r="AQ79" s="714"/>
      <c r="AS79" s="712">
        <v>2014</v>
      </c>
      <c r="AT79" s="713"/>
      <c r="AU79" s="713"/>
      <c r="AV79" s="713"/>
      <c r="AW79" s="714"/>
      <c r="AY79" s="712">
        <v>2015</v>
      </c>
      <c r="AZ79" s="713"/>
      <c r="BA79" s="713"/>
      <c r="BB79" s="713"/>
      <c r="BC79" s="714"/>
      <c r="BE79" s="712">
        <v>2016</v>
      </c>
      <c r="BF79" s="713"/>
      <c r="BG79" s="713"/>
      <c r="BH79" s="713"/>
      <c r="BI79" s="714"/>
      <c r="BK79" s="712">
        <v>2017</v>
      </c>
      <c r="BL79" s="713"/>
      <c r="BM79" s="713"/>
      <c r="BN79" s="713"/>
      <c r="BO79" s="714"/>
      <c r="BQ79" s="712">
        <v>2018</v>
      </c>
      <c r="BR79" s="713"/>
      <c r="BS79" s="713"/>
      <c r="BT79" s="713"/>
      <c r="BU79" s="714"/>
      <c r="BW79" s="712">
        <v>2019</v>
      </c>
      <c r="BX79" s="713"/>
      <c r="BY79" s="713"/>
      <c r="BZ79" s="713"/>
      <c r="CA79" s="714"/>
      <c r="CC79" s="712">
        <v>2020</v>
      </c>
      <c r="CD79" s="713"/>
      <c r="CE79" s="713"/>
      <c r="CF79" s="713"/>
      <c r="CG79" s="714"/>
      <c r="CI79" s="712">
        <v>2021</v>
      </c>
      <c r="CJ79" s="713"/>
      <c r="CK79" s="713"/>
      <c r="CL79" s="713"/>
      <c r="CM79" s="714"/>
      <c r="CO79" s="712">
        <v>2022</v>
      </c>
      <c r="CP79" s="713"/>
      <c r="CQ79" s="713"/>
      <c r="CR79" s="713"/>
      <c r="CS79" s="714"/>
      <c r="CU79" s="712">
        <v>2023</v>
      </c>
      <c r="CV79" s="713"/>
      <c r="CW79" s="713"/>
      <c r="CX79" s="713"/>
      <c r="CY79" s="714"/>
      <c r="DA79" s="712">
        <v>2024</v>
      </c>
      <c r="DB79" s="713"/>
      <c r="DC79" s="713"/>
      <c r="DD79" s="713"/>
      <c r="DE79" s="714"/>
      <c r="DG79" s="712">
        <v>2025</v>
      </c>
      <c r="DH79" s="713"/>
      <c r="DI79" s="713"/>
      <c r="DJ79" s="713"/>
      <c r="DK79" s="714"/>
    </row>
    <row r="80" spans="1:115" ht="13.5" thickBot="1" x14ac:dyDescent="0.25">
      <c r="C80" s="130" t="s">
        <v>20</v>
      </c>
      <c r="D80" s="131" t="s">
        <v>19</v>
      </c>
      <c r="E80" s="131" t="s">
        <v>22</v>
      </c>
      <c r="F80" s="131" t="s">
        <v>21</v>
      </c>
      <c r="G80" s="132" t="s">
        <v>39</v>
      </c>
      <c r="H80" s="129"/>
      <c r="I80" s="130" t="s">
        <v>20</v>
      </c>
      <c r="J80" s="131" t="s">
        <v>19</v>
      </c>
      <c r="K80" s="131" t="s">
        <v>22</v>
      </c>
      <c r="L80" s="131" t="s">
        <v>21</v>
      </c>
      <c r="M80" s="132" t="s">
        <v>39</v>
      </c>
      <c r="N80" s="129"/>
      <c r="O80" s="130" t="s">
        <v>20</v>
      </c>
      <c r="P80" s="131" t="s">
        <v>19</v>
      </c>
      <c r="Q80" s="131" t="s">
        <v>22</v>
      </c>
      <c r="R80" s="131" t="s">
        <v>21</v>
      </c>
      <c r="S80" s="132" t="s">
        <v>39</v>
      </c>
      <c r="T80" s="129"/>
      <c r="U80" s="130" t="s">
        <v>20</v>
      </c>
      <c r="V80" s="131" t="s">
        <v>19</v>
      </c>
      <c r="W80" s="131" t="s">
        <v>22</v>
      </c>
      <c r="X80" s="131" t="s">
        <v>21</v>
      </c>
      <c r="Y80" s="132" t="s">
        <v>39</v>
      </c>
      <c r="AA80" s="130" t="s">
        <v>20</v>
      </c>
      <c r="AB80" s="131" t="s">
        <v>19</v>
      </c>
      <c r="AC80" s="131" t="s">
        <v>22</v>
      </c>
      <c r="AD80" s="131" t="s">
        <v>21</v>
      </c>
      <c r="AE80" s="132" t="s">
        <v>39</v>
      </c>
      <c r="AG80" s="130" t="s">
        <v>20</v>
      </c>
      <c r="AH80" s="131" t="s">
        <v>19</v>
      </c>
      <c r="AI80" s="131" t="s">
        <v>22</v>
      </c>
      <c r="AJ80" s="131" t="s">
        <v>21</v>
      </c>
      <c r="AK80" s="132" t="s">
        <v>39</v>
      </c>
      <c r="AM80" s="130" t="s">
        <v>20</v>
      </c>
      <c r="AN80" s="131" t="s">
        <v>19</v>
      </c>
      <c r="AO80" s="131" t="s">
        <v>22</v>
      </c>
      <c r="AP80" s="131" t="s">
        <v>21</v>
      </c>
      <c r="AQ80" s="132" t="s">
        <v>39</v>
      </c>
      <c r="AS80" s="130" t="s">
        <v>20</v>
      </c>
      <c r="AT80" s="131" t="s">
        <v>19</v>
      </c>
      <c r="AU80" s="131" t="s">
        <v>22</v>
      </c>
      <c r="AV80" s="131" t="s">
        <v>21</v>
      </c>
      <c r="AW80" s="132" t="s">
        <v>39</v>
      </c>
      <c r="AY80" s="130" t="s">
        <v>20</v>
      </c>
      <c r="AZ80" s="131" t="s">
        <v>19</v>
      </c>
      <c r="BA80" s="131" t="s">
        <v>22</v>
      </c>
      <c r="BB80" s="131" t="s">
        <v>21</v>
      </c>
      <c r="BC80" s="132" t="s">
        <v>39</v>
      </c>
      <c r="BE80" s="130" t="s">
        <v>20</v>
      </c>
      <c r="BF80" s="131" t="s">
        <v>19</v>
      </c>
      <c r="BG80" s="131" t="s">
        <v>22</v>
      </c>
      <c r="BH80" s="131" t="s">
        <v>21</v>
      </c>
      <c r="BI80" s="132" t="s">
        <v>39</v>
      </c>
      <c r="BK80" s="130" t="s">
        <v>20</v>
      </c>
      <c r="BL80" s="131" t="s">
        <v>19</v>
      </c>
      <c r="BM80" s="131" t="s">
        <v>22</v>
      </c>
      <c r="BN80" s="131" t="s">
        <v>21</v>
      </c>
      <c r="BO80" s="132" t="s">
        <v>39</v>
      </c>
      <c r="BQ80" s="130" t="s">
        <v>20</v>
      </c>
      <c r="BR80" s="131" t="s">
        <v>19</v>
      </c>
      <c r="BS80" s="131" t="s">
        <v>22</v>
      </c>
      <c r="BT80" s="131" t="s">
        <v>21</v>
      </c>
      <c r="BU80" s="132" t="s">
        <v>39</v>
      </c>
      <c r="BW80" s="130" t="s">
        <v>20</v>
      </c>
      <c r="BX80" s="131" t="s">
        <v>19</v>
      </c>
      <c r="BY80" s="131" t="s">
        <v>22</v>
      </c>
      <c r="BZ80" s="131" t="s">
        <v>21</v>
      </c>
      <c r="CA80" s="132" t="s">
        <v>39</v>
      </c>
      <c r="CC80" s="130" t="s">
        <v>20</v>
      </c>
      <c r="CD80" s="131" t="s">
        <v>19</v>
      </c>
      <c r="CE80" s="131" t="s">
        <v>22</v>
      </c>
      <c r="CF80" s="131" t="s">
        <v>21</v>
      </c>
      <c r="CG80" s="132" t="s">
        <v>39</v>
      </c>
      <c r="CI80" s="130" t="s">
        <v>20</v>
      </c>
      <c r="CJ80" s="131" t="s">
        <v>19</v>
      </c>
      <c r="CK80" s="131" t="s">
        <v>22</v>
      </c>
      <c r="CL80" s="131" t="s">
        <v>21</v>
      </c>
      <c r="CM80" s="132" t="s">
        <v>39</v>
      </c>
      <c r="CO80" s="130" t="s">
        <v>20</v>
      </c>
      <c r="CP80" s="131" t="s">
        <v>19</v>
      </c>
      <c r="CQ80" s="131" t="s">
        <v>22</v>
      </c>
      <c r="CR80" s="131" t="s">
        <v>21</v>
      </c>
      <c r="CS80" s="132" t="s">
        <v>39</v>
      </c>
      <c r="CU80" s="130" t="s">
        <v>20</v>
      </c>
      <c r="CV80" s="131" t="s">
        <v>19</v>
      </c>
      <c r="CW80" s="131" t="s">
        <v>22</v>
      </c>
      <c r="CX80" s="131" t="s">
        <v>21</v>
      </c>
      <c r="CY80" s="132" t="s">
        <v>39</v>
      </c>
      <c r="DA80" s="130" t="s">
        <v>20</v>
      </c>
      <c r="DB80" s="131" t="s">
        <v>19</v>
      </c>
      <c r="DC80" s="131" t="s">
        <v>22</v>
      </c>
      <c r="DD80" s="131" t="s">
        <v>21</v>
      </c>
      <c r="DE80" s="132" t="s">
        <v>39</v>
      </c>
      <c r="DG80" s="130" t="s">
        <v>20</v>
      </c>
      <c r="DH80" s="131" t="s">
        <v>19</v>
      </c>
      <c r="DI80" s="131" t="s">
        <v>22</v>
      </c>
      <c r="DJ80" s="131" t="s">
        <v>21</v>
      </c>
      <c r="DK80" s="132" t="s">
        <v>39</v>
      </c>
    </row>
    <row r="81" spans="2:115" ht="15.75" thickBot="1" x14ac:dyDescent="0.35">
      <c r="G81" s="2"/>
      <c r="H81" s="2"/>
      <c r="I81" s="2"/>
      <c r="J81" s="2"/>
      <c r="K81" s="2"/>
      <c r="L81" s="1"/>
      <c r="M81" s="1"/>
      <c r="N81" s="1"/>
      <c r="O81" s="1"/>
      <c r="P81" s="1"/>
      <c r="Q81" s="1"/>
      <c r="R81" s="1"/>
      <c r="S81" s="1"/>
      <c r="U81" s="1"/>
    </row>
    <row r="82" spans="2:115" ht="15" x14ac:dyDescent="0.3">
      <c r="B82" s="104" t="s">
        <v>146</v>
      </c>
      <c r="C82" s="111"/>
      <c r="D82" s="112"/>
      <c r="E82" s="112"/>
      <c r="F82" s="112"/>
      <c r="G82" s="113"/>
      <c r="H82" s="2"/>
      <c r="I82" s="111"/>
      <c r="J82" s="112"/>
      <c r="K82" s="112"/>
      <c r="L82" s="112"/>
      <c r="M82" s="113"/>
      <c r="N82" s="1"/>
      <c r="O82" s="111">
        <f>M84</f>
        <v>1550</v>
      </c>
      <c r="P82" s="112">
        <f>O84</f>
        <v>1531</v>
      </c>
      <c r="Q82" s="112">
        <f>P84</f>
        <v>1513</v>
      </c>
      <c r="R82" s="112">
        <f>Q84</f>
        <v>1497</v>
      </c>
      <c r="S82" s="113">
        <f>O82</f>
        <v>1550</v>
      </c>
      <c r="U82" s="111">
        <f>S84</f>
        <v>1484</v>
      </c>
      <c r="V82" s="112">
        <f>U84</f>
        <v>1462</v>
      </c>
      <c r="W82" s="112">
        <f>V84</f>
        <v>1446</v>
      </c>
      <c r="X82" s="112">
        <f>W84</f>
        <v>1437</v>
      </c>
      <c r="Y82" s="113">
        <f>U82</f>
        <v>1484</v>
      </c>
      <c r="AA82" s="111">
        <f>Y84</f>
        <v>1431</v>
      </c>
      <c r="AB82" s="112">
        <f>AA84</f>
        <v>1418</v>
      </c>
      <c r="AC82" s="112">
        <f>AB84</f>
        <v>1407</v>
      </c>
      <c r="AD82" s="112">
        <f>AC84</f>
        <v>1395</v>
      </c>
      <c r="AE82" s="113">
        <f>AA82</f>
        <v>1431</v>
      </c>
      <c r="AG82" s="111">
        <f>AE84</f>
        <v>1387</v>
      </c>
      <c r="AH82" s="112">
        <f>AG84</f>
        <v>1367</v>
      </c>
      <c r="AI82" s="112">
        <f>AH84</f>
        <v>1317</v>
      </c>
      <c r="AJ82" s="112">
        <f>AI84</f>
        <v>1267</v>
      </c>
      <c r="AK82" s="113">
        <f>AG82</f>
        <v>1387</v>
      </c>
      <c r="AM82" s="111">
        <f>AK84</f>
        <v>1208</v>
      </c>
      <c r="AN82" s="112">
        <f>AM84</f>
        <v>1192</v>
      </c>
      <c r="AO82" s="112">
        <f>AN84</f>
        <v>1174</v>
      </c>
      <c r="AP82" s="112">
        <f>AO84</f>
        <v>1156</v>
      </c>
      <c r="AQ82" s="113">
        <f>AM82</f>
        <v>1208</v>
      </c>
      <c r="AS82" s="111">
        <f>AQ84</f>
        <v>1133</v>
      </c>
      <c r="AT82" s="112">
        <f>AS84</f>
        <v>1138</v>
      </c>
      <c r="AU82" s="112">
        <f>AT84</f>
        <v>1114</v>
      </c>
      <c r="AV82" s="112">
        <f>AU84</f>
        <v>1094</v>
      </c>
      <c r="AW82" s="113">
        <f>AS82</f>
        <v>1133</v>
      </c>
      <c r="AY82" s="111">
        <f>AW84</f>
        <v>1076</v>
      </c>
      <c r="AZ82" s="112">
        <f>AY84</f>
        <v>1052</v>
      </c>
      <c r="BA82" s="112">
        <f>AZ84</f>
        <v>1038</v>
      </c>
      <c r="BB82" s="112">
        <f>BA84</f>
        <v>1020</v>
      </c>
      <c r="BC82" s="113">
        <f>AY82</f>
        <v>1076</v>
      </c>
      <c r="BE82" s="111">
        <f>BC84</f>
        <v>1004</v>
      </c>
      <c r="BF82" s="112">
        <f>BE84</f>
        <v>1012</v>
      </c>
      <c r="BG82" s="112">
        <f>BF84</f>
        <v>1009</v>
      </c>
      <c r="BH82" s="112">
        <f>BG84</f>
        <v>1004</v>
      </c>
      <c r="BI82" s="113">
        <f>BE82</f>
        <v>1004</v>
      </c>
      <c r="BK82" s="111">
        <f>BI84</f>
        <v>1001</v>
      </c>
      <c r="BL82" s="112">
        <f>BK84</f>
        <v>992</v>
      </c>
      <c r="BM82" s="112">
        <f>BL84</f>
        <v>986</v>
      </c>
      <c r="BN82" s="112">
        <f>BM84</f>
        <v>974</v>
      </c>
      <c r="BO82" s="113">
        <f>BK82</f>
        <v>1001</v>
      </c>
      <c r="BQ82" s="111">
        <f>BO84</f>
        <v>967</v>
      </c>
      <c r="BR82" s="112">
        <f>BQ84</f>
        <v>963</v>
      </c>
      <c r="BS82" s="112">
        <f>BR84</f>
        <v>959</v>
      </c>
      <c r="BT82" s="112">
        <f>BS84</f>
        <v>955</v>
      </c>
      <c r="BU82" s="113">
        <f>BQ82</f>
        <v>967</v>
      </c>
      <c r="BW82" s="111">
        <f>BU84</f>
        <v>951</v>
      </c>
      <c r="BX82" s="112">
        <f>BW84</f>
        <v>948</v>
      </c>
      <c r="BY82" s="112">
        <f>BX84</f>
        <v>945</v>
      </c>
      <c r="BZ82" s="112">
        <f>BY84</f>
        <v>942</v>
      </c>
      <c r="CA82" s="113">
        <f>BW82</f>
        <v>951</v>
      </c>
      <c r="CC82" s="111">
        <f>CA84</f>
        <v>939</v>
      </c>
      <c r="CD82" s="112">
        <f>CC84</f>
        <v>937</v>
      </c>
      <c r="CE82" s="112">
        <f>CD84</f>
        <v>935</v>
      </c>
      <c r="CF82" s="112">
        <f>CE84</f>
        <v>933</v>
      </c>
      <c r="CG82" s="113">
        <f>CC82</f>
        <v>939</v>
      </c>
      <c r="CI82" s="111">
        <f>CG84</f>
        <v>931</v>
      </c>
      <c r="CJ82" s="112">
        <f>CI84</f>
        <v>929</v>
      </c>
      <c r="CK82" s="112">
        <f>CJ84</f>
        <v>927</v>
      </c>
      <c r="CL82" s="112">
        <f>CK84</f>
        <v>925</v>
      </c>
      <c r="CM82" s="113">
        <f>CI82</f>
        <v>931</v>
      </c>
      <c r="CO82" s="111">
        <f>CM84</f>
        <v>923</v>
      </c>
      <c r="CP82" s="112">
        <f>CO84</f>
        <v>921</v>
      </c>
      <c r="CQ82" s="112">
        <f>CP84</f>
        <v>919</v>
      </c>
      <c r="CR82" s="112">
        <f>CQ84</f>
        <v>917</v>
      </c>
      <c r="CS82" s="113">
        <f>CO82</f>
        <v>923</v>
      </c>
      <c r="CU82" s="111">
        <f>CS84</f>
        <v>915</v>
      </c>
      <c r="CV82" s="112">
        <f>CU84</f>
        <v>913</v>
      </c>
      <c r="CW82" s="112">
        <f>CV84</f>
        <v>911</v>
      </c>
      <c r="CX82" s="112">
        <f>CW84</f>
        <v>909</v>
      </c>
      <c r="CY82" s="113">
        <f>CU82</f>
        <v>915</v>
      </c>
      <c r="DA82" s="111">
        <f>CY84</f>
        <v>907</v>
      </c>
      <c r="DB82" s="112">
        <f>DA84</f>
        <v>905</v>
      </c>
      <c r="DC82" s="112">
        <f>DB84</f>
        <v>903</v>
      </c>
      <c r="DD82" s="112">
        <f>DC84</f>
        <v>901</v>
      </c>
      <c r="DE82" s="113">
        <f>DA82</f>
        <v>907</v>
      </c>
      <c r="DG82" s="111">
        <f>DE84</f>
        <v>899</v>
      </c>
      <c r="DH82" s="112">
        <f>DG84</f>
        <v>897</v>
      </c>
      <c r="DI82" s="112">
        <f>DH84</f>
        <v>895</v>
      </c>
      <c r="DJ82" s="112">
        <f>DI84</f>
        <v>893</v>
      </c>
      <c r="DK82" s="113">
        <f>DG82</f>
        <v>899</v>
      </c>
    </row>
    <row r="83" spans="2:115" ht="15" x14ac:dyDescent="0.3">
      <c r="B83" s="105" t="s">
        <v>26</v>
      </c>
      <c r="C83" s="116"/>
      <c r="D83" s="117"/>
      <c r="E83" s="117"/>
      <c r="F83" s="117"/>
      <c r="G83" s="118"/>
      <c r="H83" s="2"/>
      <c r="I83" s="116"/>
      <c r="J83" s="117"/>
      <c r="K83" s="117"/>
      <c r="L83" s="117"/>
      <c r="M83" s="118"/>
      <c r="N83" s="1"/>
      <c r="O83" s="116">
        <f>O84-O82</f>
        <v>-19</v>
      </c>
      <c r="P83" s="117">
        <f>P84-P82</f>
        <v>-18</v>
      </c>
      <c r="Q83" s="117">
        <f>Q84-Q82</f>
        <v>-16</v>
      </c>
      <c r="R83" s="117">
        <f>R84-R82</f>
        <v>-13</v>
      </c>
      <c r="S83" s="118">
        <f>S84-S82</f>
        <v>-66</v>
      </c>
      <c r="U83" s="116">
        <f>U84-U82</f>
        <v>-22</v>
      </c>
      <c r="V83" s="117">
        <f>V84-V82</f>
        <v>-16</v>
      </c>
      <c r="W83" s="117">
        <v>-9</v>
      </c>
      <c r="X83" s="117">
        <v>-6</v>
      </c>
      <c r="Y83" s="118">
        <f>Y84-Y82</f>
        <v>-53</v>
      </c>
      <c r="AA83" s="116">
        <v>-13</v>
      </c>
      <c r="AB83" s="117">
        <v>-11</v>
      </c>
      <c r="AC83" s="117">
        <v>-12</v>
      </c>
      <c r="AD83" s="117">
        <v>-8</v>
      </c>
      <c r="AE83" s="118">
        <f>AE84-AE82</f>
        <v>-44</v>
      </c>
      <c r="AG83" s="116">
        <v>-20</v>
      </c>
      <c r="AH83" s="117">
        <v>-50</v>
      </c>
      <c r="AI83" s="117">
        <v>-50</v>
      </c>
      <c r="AJ83" s="117">
        <v>-59</v>
      </c>
      <c r="AK83" s="118">
        <f>AK84-AK82</f>
        <v>-179</v>
      </c>
      <c r="AM83" s="116">
        <v>-16</v>
      </c>
      <c r="AN83" s="117">
        <v>-18</v>
      </c>
      <c r="AO83" s="117">
        <v>-18</v>
      </c>
      <c r="AP83" s="117">
        <v>-23</v>
      </c>
      <c r="AQ83" s="118">
        <f>AQ84-AQ82</f>
        <v>-75</v>
      </c>
      <c r="AS83" s="116">
        <v>5</v>
      </c>
      <c r="AT83" s="117">
        <v>-24</v>
      </c>
      <c r="AU83" s="117">
        <v>-20</v>
      </c>
      <c r="AV83" s="117">
        <v>-18</v>
      </c>
      <c r="AW83" s="118">
        <f>AW84-AW82</f>
        <v>-57</v>
      </c>
      <c r="AY83" s="116">
        <v>-24</v>
      </c>
      <c r="AZ83" s="117">
        <v>-14</v>
      </c>
      <c r="BA83" s="117">
        <v>-18</v>
      </c>
      <c r="BB83" s="117">
        <v>-16</v>
      </c>
      <c r="BC83" s="118">
        <f>BC84-BC82</f>
        <v>-72</v>
      </c>
      <c r="BE83" s="116">
        <v>8</v>
      </c>
      <c r="BF83" s="117">
        <v>-3</v>
      </c>
      <c r="BG83" s="117">
        <v>-5</v>
      </c>
      <c r="BH83" s="117">
        <v>-3</v>
      </c>
      <c r="BI83" s="118">
        <f>BI84-BI82</f>
        <v>-3</v>
      </c>
      <c r="BK83" s="116">
        <v>-9</v>
      </c>
      <c r="BL83" s="117">
        <v>-6</v>
      </c>
      <c r="BM83" s="117">
        <v>-12</v>
      </c>
      <c r="BN83" s="117">
        <v>-7</v>
      </c>
      <c r="BO83" s="118">
        <f>BO84-BO82</f>
        <v>-34</v>
      </c>
      <c r="BQ83" s="116">
        <v>-4</v>
      </c>
      <c r="BR83" s="117">
        <f>BQ83</f>
        <v>-4</v>
      </c>
      <c r="BS83" s="117">
        <f>BR83</f>
        <v>-4</v>
      </c>
      <c r="BT83" s="117">
        <f>BS83</f>
        <v>-4</v>
      </c>
      <c r="BU83" s="118">
        <f>BU84-BU82</f>
        <v>-16</v>
      </c>
      <c r="BW83" s="116">
        <v>-3</v>
      </c>
      <c r="BX83" s="117">
        <f>BW83</f>
        <v>-3</v>
      </c>
      <c r="BY83" s="117">
        <f>BX83</f>
        <v>-3</v>
      </c>
      <c r="BZ83" s="117">
        <f>BY83</f>
        <v>-3</v>
      </c>
      <c r="CA83" s="118">
        <f>CA84-CA82</f>
        <v>-12</v>
      </c>
      <c r="CC83" s="116">
        <v>-2</v>
      </c>
      <c r="CD83" s="117">
        <f>CC83</f>
        <v>-2</v>
      </c>
      <c r="CE83" s="117">
        <f>CD83</f>
        <v>-2</v>
      </c>
      <c r="CF83" s="117">
        <f>CE83</f>
        <v>-2</v>
      </c>
      <c r="CG83" s="118">
        <f>CG84-CG82</f>
        <v>-8</v>
      </c>
      <c r="CI83" s="116">
        <v>-2</v>
      </c>
      <c r="CJ83" s="117">
        <f>CI83</f>
        <v>-2</v>
      </c>
      <c r="CK83" s="117">
        <f>CJ83</f>
        <v>-2</v>
      </c>
      <c r="CL83" s="117">
        <f>CK83</f>
        <v>-2</v>
      </c>
      <c r="CM83" s="118">
        <f>CM84-CM82</f>
        <v>-8</v>
      </c>
      <c r="CO83" s="116">
        <v>-2</v>
      </c>
      <c r="CP83" s="117">
        <f>CO83</f>
        <v>-2</v>
      </c>
      <c r="CQ83" s="117">
        <f>CP83</f>
        <v>-2</v>
      </c>
      <c r="CR83" s="117">
        <f>CQ83</f>
        <v>-2</v>
      </c>
      <c r="CS83" s="118">
        <f>CS84-CS82</f>
        <v>-8</v>
      </c>
      <c r="CU83" s="116">
        <v>-2</v>
      </c>
      <c r="CV83" s="117">
        <f>CU83</f>
        <v>-2</v>
      </c>
      <c r="CW83" s="117">
        <f>CV83</f>
        <v>-2</v>
      </c>
      <c r="CX83" s="117">
        <f>CW83</f>
        <v>-2</v>
      </c>
      <c r="CY83" s="118">
        <f>CY84-CY82</f>
        <v>-8</v>
      </c>
      <c r="DA83" s="116">
        <v>-2</v>
      </c>
      <c r="DB83" s="117">
        <f>DA83</f>
        <v>-2</v>
      </c>
      <c r="DC83" s="117">
        <f>DB83</f>
        <v>-2</v>
      </c>
      <c r="DD83" s="117">
        <f>DC83</f>
        <v>-2</v>
      </c>
      <c r="DE83" s="118">
        <f>DE84-DE82</f>
        <v>-8</v>
      </c>
      <c r="DG83" s="116">
        <v>-2</v>
      </c>
      <c r="DH83" s="117">
        <f>DG83</f>
        <v>-2</v>
      </c>
      <c r="DI83" s="117">
        <f>DH83</f>
        <v>-2</v>
      </c>
      <c r="DJ83" s="117">
        <f>DI83</f>
        <v>-2</v>
      </c>
      <c r="DK83" s="118">
        <f>DK84-DK82</f>
        <v>-8</v>
      </c>
    </row>
    <row r="84" spans="2:115" ht="15.75" thickBot="1" x14ac:dyDescent="0.35">
      <c r="B84" s="5" t="s">
        <v>147</v>
      </c>
      <c r="C84" s="116"/>
      <c r="D84" s="117"/>
      <c r="E84" s="117"/>
      <c r="F84" s="117"/>
      <c r="G84" s="121"/>
      <c r="H84" s="2"/>
      <c r="I84" s="116"/>
      <c r="J84" s="117"/>
      <c r="K84" s="117"/>
      <c r="L84" s="117"/>
      <c r="M84" s="121">
        <v>1550</v>
      </c>
      <c r="N84" s="1"/>
      <c r="O84" s="116">
        <v>1531</v>
      </c>
      <c r="P84" s="117">
        <v>1513</v>
      </c>
      <c r="Q84" s="117">
        <v>1497</v>
      </c>
      <c r="R84" s="117">
        <v>1484</v>
      </c>
      <c r="S84" s="121">
        <f>R84</f>
        <v>1484</v>
      </c>
      <c r="U84" s="116">
        <v>1462</v>
      </c>
      <c r="V84" s="117">
        <v>1446</v>
      </c>
      <c r="W84" s="117">
        <f>W82+W83</f>
        <v>1437</v>
      </c>
      <c r="X84" s="117">
        <f>X82+X83</f>
        <v>1431</v>
      </c>
      <c r="Y84" s="121">
        <f>X84</f>
        <v>1431</v>
      </c>
      <c r="AA84" s="116">
        <f>AA82+AA83</f>
        <v>1418</v>
      </c>
      <c r="AB84" s="117">
        <f>AB82+AB83</f>
        <v>1407</v>
      </c>
      <c r="AC84" s="117">
        <f>AC82+AC83</f>
        <v>1395</v>
      </c>
      <c r="AD84" s="117">
        <f>AD82+AD83</f>
        <v>1387</v>
      </c>
      <c r="AE84" s="121">
        <f>AD84</f>
        <v>1387</v>
      </c>
      <c r="AG84" s="116">
        <f>AG82+AG83</f>
        <v>1367</v>
      </c>
      <c r="AH84" s="117">
        <f>AH82+AH83</f>
        <v>1317</v>
      </c>
      <c r="AI84" s="117">
        <f>AI82+AI83</f>
        <v>1267</v>
      </c>
      <c r="AJ84" s="117">
        <f>AJ82+AJ83</f>
        <v>1208</v>
      </c>
      <c r="AK84" s="121">
        <f>AJ84</f>
        <v>1208</v>
      </c>
      <c r="AM84" s="116">
        <f>AM82+AM83</f>
        <v>1192</v>
      </c>
      <c r="AN84" s="117">
        <f>AN82+AN83</f>
        <v>1174</v>
      </c>
      <c r="AO84" s="117">
        <f>AO82+AO83</f>
        <v>1156</v>
      </c>
      <c r="AP84" s="117">
        <f>AP82+AP83</f>
        <v>1133</v>
      </c>
      <c r="AQ84" s="121">
        <f>AP84</f>
        <v>1133</v>
      </c>
      <c r="AS84" s="116">
        <f>AS82+AS83</f>
        <v>1138</v>
      </c>
      <c r="AT84" s="117">
        <f>AT82+AT83</f>
        <v>1114</v>
      </c>
      <c r="AU84" s="117">
        <f>AU82+AU83</f>
        <v>1094</v>
      </c>
      <c r="AV84" s="117">
        <f>AV82+AV83</f>
        <v>1076</v>
      </c>
      <c r="AW84" s="121">
        <f>AV84</f>
        <v>1076</v>
      </c>
      <c r="AY84" s="116">
        <f>AY82+AY83</f>
        <v>1052</v>
      </c>
      <c r="AZ84" s="117">
        <f>AZ82+AZ83</f>
        <v>1038</v>
      </c>
      <c r="BA84" s="117">
        <f>BA82+BA83</f>
        <v>1020</v>
      </c>
      <c r="BB84" s="117">
        <f>BB82+BB83</f>
        <v>1004</v>
      </c>
      <c r="BC84" s="121">
        <f>BB84</f>
        <v>1004</v>
      </c>
      <c r="BE84" s="116">
        <f>BE82+BE83</f>
        <v>1012</v>
      </c>
      <c r="BF84" s="117">
        <f>BF82+BF83</f>
        <v>1009</v>
      </c>
      <c r="BG84" s="117">
        <f>BG82+BG83</f>
        <v>1004</v>
      </c>
      <c r="BH84" s="117">
        <f>BH82+BH83</f>
        <v>1001</v>
      </c>
      <c r="BI84" s="121">
        <f>BH84</f>
        <v>1001</v>
      </c>
      <c r="BK84" s="116">
        <f>BK82+BK83</f>
        <v>992</v>
      </c>
      <c r="BL84" s="117">
        <f>BL82+BL83</f>
        <v>986</v>
      </c>
      <c r="BM84" s="117">
        <f>BM82+BM83</f>
        <v>974</v>
      </c>
      <c r="BN84" s="117">
        <f>BN82+BN83</f>
        <v>967</v>
      </c>
      <c r="BO84" s="121">
        <f>BN84</f>
        <v>967</v>
      </c>
      <c r="BQ84" s="116">
        <f>BQ82+BQ83</f>
        <v>963</v>
      </c>
      <c r="BR84" s="117">
        <f>BR82+BR83</f>
        <v>959</v>
      </c>
      <c r="BS84" s="117">
        <f>BS82+BS83</f>
        <v>955</v>
      </c>
      <c r="BT84" s="117">
        <f>BT82+BT83</f>
        <v>951</v>
      </c>
      <c r="BU84" s="121">
        <f>BT84</f>
        <v>951</v>
      </c>
      <c r="BW84" s="116">
        <f>BW82+BW83</f>
        <v>948</v>
      </c>
      <c r="BX84" s="117">
        <f>BX82+BX83</f>
        <v>945</v>
      </c>
      <c r="BY84" s="117">
        <f>BY82+BY83</f>
        <v>942</v>
      </c>
      <c r="BZ84" s="117">
        <f>BZ82+BZ83</f>
        <v>939</v>
      </c>
      <c r="CA84" s="121">
        <f>BZ84</f>
        <v>939</v>
      </c>
      <c r="CC84" s="116">
        <f>CC82+CC83</f>
        <v>937</v>
      </c>
      <c r="CD84" s="117">
        <f>CD82+CD83</f>
        <v>935</v>
      </c>
      <c r="CE84" s="117">
        <f>CE82+CE83</f>
        <v>933</v>
      </c>
      <c r="CF84" s="117">
        <f>CF82+CF83</f>
        <v>931</v>
      </c>
      <c r="CG84" s="121">
        <f>CF84</f>
        <v>931</v>
      </c>
      <c r="CI84" s="116">
        <f>CI82+CI83</f>
        <v>929</v>
      </c>
      <c r="CJ84" s="117">
        <f>CJ82+CJ83</f>
        <v>927</v>
      </c>
      <c r="CK84" s="117">
        <f>CK82+CK83</f>
        <v>925</v>
      </c>
      <c r="CL84" s="117">
        <f>CL82+CL83</f>
        <v>923</v>
      </c>
      <c r="CM84" s="121">
        <f>CL84</f>
        <v>923</v>
      </c>
      <c r="CO84" s="116">
        <f>CO82+CO83</f>
        <v>921</v>
      </c>
      <c r="CP84" s="117">
        <f>CP82+CP83</f>
        <v>919</v>
      </c>
      <c r="CQ84" s="117">
        <f>CQ82+CQ83</f>
        <v>917</v>
      </c>
      <c r="CR84" s="117">
        <f>CR82+CR83</f>
        <v>915</v>
      </c>
      <c r="CS84" s="121">
        <f>CR84</f>
        <v>915</v>
      </c>
      <c r="CU84" s="116">
        <f>CU82+CU83</f>
        <v>913</v>
      </c>
      <c r="CV84" s="117">
        <f>CV82+CV83</f>
        <v>911</v>
      </c>
      <c r="CW84" s="117">
        <f>CW82+CW83</f>
        <v>909</v>
      </c>
      <c r="CX84" s="117">
        <f>CX82+CX83</f>
        <v>907</v>
      </c>
      <c r="CY84" s="121">
        <f>CX84</f>
        <v>907</v>
      </c>
      <c r="DA84" s="116">
        <f>DA82+DA83</f>
        <v>905</v>
      </c>
      <c r="DB84" s="117">
        <f>DB82+DB83</f>
        <v>903</v>
      </c>
      <c r="DC84" s="117">
        <f>DC82+DC83</f>
        <v>901</v>
      </c>
      <c r="DD84" s="117">
        <f>DD82+DD83</f>
        <v>899</v>
      </c>
      <c r="DE84" s="121">
        <f>DD84</f>
        <v>899</v>
      </c>
      <c r="DG84" s="116">
        <f>DG82+DG83</f>
        <v>897</v>
      </c>
      <c r="DH84" s="117">
        <f>DH82+DH83</f>
        <v>895</v>
      </c>
      <c r="DI84" s="117">
        <f>DI82+DI83</f>
        <v>893</v>
      </c>
      <c r="DJ84" s="117">
        <f>DJ82+DJ83</f>
        <v>891</v>
      </c>
      <c r="DK84" s="121">
        <f>DJ84</f>
        <v>891</v>
      </c>
    </row>
    <row r="85" spans="2:115" ht="15" x14ac:dyDescent="0.3">
      <c r="B85" s="38" t="s">
        <v>28</v>
      </c>
      <c r="C85" s="112"/>
      <c r="D85" s="112"/>
      <c r="E85" s="112"/>
      <c r="F85" s="112"/>
      <c r="G85" s="118"/>
      <c r="H85" s="2"/>
      <c r="I85" s="111"/>
      <c r="J85" s="112"/>
      <c r="K85" s="112"/>
      <c r="L85" s="112"/>
      <c r="M85" s="113"/>
      <c r="N85" s="1"/>
      <c r="O85" s="111">
        <f>O84-O83/2</f>
        <v>1540.5</v>
      </c>
      <c r="P85" s="112">
        <f>P84-P83/2</f>
        <v>1522</v>
      </c>
      <c r="Q85" s="112">
        <f>Q84-Q83/2</f>
        <v>1505</v>
      </c>
      <c r="R85" s="115">
        <f>R84-R83/2</f>
        <v>1490.5</v>
      </c>
      <c r="S85" s="113">
        <f>(O85+P85+Q85+R85)/4</f>
        <v>1514.5</v>
      </c>
      <c r="U85" s="111">
        <f>U84-U83/2</f>
        <v>1473</v>
      </c>
      <c r="V85" s="112">
        <f>V84-V83/2</f>
        <v>1454</v>
      </c>
      <c r="W85" s="112">
        <f>W84-W83/2</f>
        <v>1441.5</v>
      </c>
      <c r="X85" s="112">
        <f>X84-X83/2</f>
        <v>1434</v>
      </c>
      <c r="Y85" s="113">
        <f>(U85+V85+W85+X85)/4</f>
        <v>1450.625</v>
      </c>
      <c r="AA85" s="111">
        <f>AA84-AA83/2</f>
        <v>1424.5</v>
      </c>
      <c r="AB85" s="112">
        <f>AB84-AB83/2</f>
        <v>1412.5</v>
      </c>
      <c r="AC85" s="112">
        <f>AC84-AC83/2</f>
        <v>1401</v>
      </c>
      <c r="AD85" s="115">
        <f>AD84-AD83/2</f>
        <v>1391</v>
      </c>
      <c r="AE85" s="113">
        <f>(AA85+AB85+AC85+AD85)/4</f>
        <v>1407.25</v>
      </c>
      <c r="AG85" s="111">
        <f>AG84-AG83/2</f>
        <v>1377</v>
      </c>
      <c r="AH85" s="112">
        <f>AH84-AH83/2</f>
        <v>1342</v>
      </c>
      <c r="AI85" s="112">
        <f>AI84-AI83/2</f>
        <v>1292</v>
      </c>
      <c r="AJ85" s="115">
        <f>AJ84-AJ83/2</f>
        <v>1237.5</v>
      </c>
      <c r="AK85" s="113">
        <f>(AG85+AH85+AI85+AJ85)/4</f>
        <v>1312.125</v>
      </c>
      <c r="AM85" s="111">
        <f>AM84-AM83/2</f>
        <v>1200</v>
      </c>
      <c r="AN85" s="112">
        <f>AN84-AN83/2</f>
        <v>1183</v>
      </c>
      <c r="AO85" s="112">
        <f>AO84-AO83/2</f>
        <v>1165</v>
      </c>
      <c r="AP85" s="115">
        <f>AP84-AP83/2</f>
        <v>1144.5</v>
      </c>
      <c r="AQ85" s="113">
        <f>(AM85+AN85+AO85+AP85)/4</f>
        <v>1173.125</v>
      </c>
      <c r="AS85" s="111">
        <f>AS84-AS83/2</f>
        <v>1135.5</v>
      </c>
      <c r="AT85" s="112">
        <f>AT84-AT83/2</f>
        <v>1126</v>
      </c>
      <c r="AU85" s="112">
        <f>AU84-AU83/2</f>
        <v>1104</v>
      </c>
      <c r="AV85" s="115">
        <f>AV84-AV83/2</f>
        <v>1085</v>
      </c>
      <c r="AW85" s="113">
        <f>(AS85+AT85+AU85+AV85)/4</f>
        <v>1112.625</v>
      </c>
      <c r="AY85" s="111">
        <f>AY84-AY83/2</f>
        <v>1064</v>
      </c>
      <c r="AZ85" s="112">
        <f>AZ84-AZ83/2</f>
        <v>1045</v>
      </c>
      <c r="BA85" s="112">
        <f>BA84-BA83/2</f>
        <v>1029</v>
      </c>
      <c r="BB85" s="115">
        <f>BB84-BB83/2</f>
        <v>1012</v>
      </c>
      <c r="BC85" s="113">
        <f>(AY85+AZ85+BA85+BB85)/4</f>
        <v>1037.5</v>
      </c>
      <c r="BE85" s="111">
        <f>BE84-BE83/2</f>
        <v>1008</v>
      </c>
      <c r="BF85" s="112">
        <f>BF84-BF83/2</f>
        <v>1010.5</v>
      </c>
      <c r="BG85" s="112">
        <f>BG84-BG83/2</f>
        <v>1006.5</v>
      </c>
      <c r="BH85" s="115">
        <f>BH84-BH83/2</f>
        <v>1002.5</v>
      </c>
      <c r="BI85" s="113">
        <f>(BE85+BF85+BG85+BH85)/4</f>
        <v>1006.875</v>
      </c>
      <c r="BK85" s="111">
        <f>BK84-BK83/2</f>
        <v>996.5</v>
      </c>
      <c r="BL85" s="112">
        <f>BL84-BL83/2</f>
        <v>989</v>
      </c>
      <c r="BM85" s="112">
        <f>BM84-BM83/2</f>
        <v>980</v>
      </c>
      <c r="BN85" s="115">
        <f>BN84-BN83/2</f>
        <v>970.5</v>
      </c>
      <c r="BO85" s="113">
        <f>(BK85+BL85+BM85+BN85)/4</f>
        <v>984</v>
      </c>
      <c r="BQ85" s="111">
        <f>BQ84-BQ83/2</f>
        <v>965</v>
      </c>
      <c r="BR85" s="112">
        <f>BR84-BR83/2</f>
        <v>961</v>
      </c>
      <c r="BS85" s="112">
        <f>BS84-BS83/2</f>
        <v>957</v>
      </c>
      <c r="BT85" s="115">
        <f>BT84-BT83/2</f>
        <v>953</v>
      </c>
      <c r="BU85" s="113">
        <f>(BQ85+BR85+BS85+BT85)/4</f>
        <v>959</v>
      </c>
      <c r="BW85" s="111">
        <f>BW84-BW83/2</f>
        <v>949.5</v>
      </c>
      <c r="BX85" s="112">
        <f>BX84-BX83/2</f>
        <v>946.5</v>
      </c>
      <c r="BY85" s="112">
        <f>BY84-BY83/2</f>
        <v>943.5</v>
      </c>
      <c r="BZ85" s="115">
        <f>BZ84-BZ83/2</f>
        <v>940.5</v>
      </c>
      <c r="CA85" s="113">
        <f>(BW85+BX85+BY85+BZ85)/4</f>
        <v>945</v>
      </c>
      <c r="CC85" s="111">
        <f>CC84-CC83/2</f>
        <v>938</v>
      </c>
      <c r="CD85" s="112">
        <f>CD84-CD83/2</f>
        <v>936</v>
      </c>
      <c r="CE85" s="112">
        <f>CE84-CE83/2</f>
        <v>934</v>
      </c>
      <c r="CF85" s="115">
        <f>CF84-CF83/2</f>
        <v>932</v>
      </c>
      <c r="CG85" s="113">
        <f>(CC85+CD85+CE85+CF85)/4</f>
        <v>935</v>
      </c>
      <c r="CI85" s="111">
        <f>CI84-CI83/2</f>
        <v>930</v>
      </c>
      <c r="CJ85" s="112">
        <f>CJ84-CJ83/2</f>
        <v>928</v>
      </c>
      <c r="CK85" s="112">
        <f>CK84-CK83/2</f>
        <v>926</v>
      </c>
      <c r="CL85" s="115">
        <f>CL84-CL83/2</f>
        <v>924</v>
      </c>
      <c r="CM85" s="113">
        <f>(CI85+CJ85+CK85+CL85)/4</f>
        <v>927</v>
      </c>
      <c r="CO85" s="111">
        <f>CO84-CO83/2</f>
        <v>922</v>
      </c>
      <c r="CP85" s="112">
        <f>CP84-CP83/2</f>
        <v>920</v>
      </c>
      <c r="CQ85" s="112">
        <f>CQ84-CQ83/2</f>
        <v>918</v>
      </c>
      <c r="CR85" s="115">
        <f>CR84-CR83/2</f>
        <v>916</v>
      </c>
      <c r="CS85" s="113">
        <f>(CO85+CP85+CQ85+CR85)/4</f>
        <v>919</v>
      </c>
      <c r="CU85" s="111">
        <f>CU84-CU83/2</f>
        <v>914</v>
      </c>
      <c r="CV85" s="112">
        <f>CV84-CV83/2</f>
        <v>912</v>
      </c>
      <c r="CW85" s="112">
        <f>CW84-CW83/2</f>
        <v>910</v>
      </c>
      <c r="CX85" s="115">
        <f>CX84-CX83/2</f>
        <v>908</v>
      </c>
      <c r="CY85" s="113">
        <f>(CU85+CV85+CW85+CX85)/4</f>
        <v>911</v>
      </c>
      <c r="DA85" s="111">
        <f>DA84-DA83/2</f>
        <v>906</v>
      </c>
      <c r="DB85" s="112">
        <f>DB84-DB83/2</f>
        <v>904</v>
      </c>
      <c r="DC85" s="112">
        <f>DC84-DC83/2</f>
        <v>902</v>
      </c>
      <c r="DD85" s="115">
        <f>DD84-DD83/2</f>
        <v>900</v>
      </c>
      <c r="DE85" s="113">
        <f>(DA85+DB85+DC85+DD85)/4</f>
        <v>903</v>
      </c>
      <c r="DG85" s="111">
        <f>DG84-DG83/2</f>
        <v>898</v>
      </c>
      <c r="DH85" s="112">
        <f>DH84-DH83/2</f>
        <v>896</v>
      </c>
      <c r="DI85" s="112">
        <f>DI84-DI83/2</f>
        <v>894</v>
      </c>
      <c r="DJ85" s="115">
        <f>DJ84-DJ83/2</f>
        <v>892</v>
      </c>
      <c r="DK85" s="113">
        <f>(DG85+DH85+DI85+DJ85)/4</f>
        <v>895</v>
      </c>
    </row>
    <row r="86" spans="2:115" ht="15.75" thickBot="1" x14ac:dyDescent="0.35">
      <c r="B86" s="41" t="s">
        <v>56</v>
      </c>
      <c r="C86" s="106"/>
      <c r="D86" s="106"/>
      <c r="E86" s="106"/>
      <c r="F86" s="106"/>
      <c r="G86" s="122"/>
      <c r="H86" s="2"/>
      <c r="I86" s="155"/>
      <c r="J86" s="106"/>
      <c r="K86" s="106"/>
      <c r="L86" s="106"/>
      <c r="M86" s="122"/>
      <c r="N86" s="1"/>
      <c r="O86" s="155" t="s">
        <v>35</v>
      </c>
      <c r="P86" s="106" t="s">
        <v>35</v>
      </c>
      <c r="Q86" s="110" t="s">
        <v>35</v>
      </c>
      <c r="R86" s="120" t="s">
        <v>35</v>
      </c>
      <c r="S86" s="122" t="s">
        <v>35</v>
      </c>
      <c r="U86" s="109">
        <f>U85/O85-1</f>
        <v>-4.3816942551119786E-2</v>
      </c>
      <c r="V86" s="110">
        <f>V85/P85-1</f>
        <v>-4.4678055190538801E-2</v>
      </c>
      <c r="W86" s="110">
        <f>W85/Q85-1</f>
        <v>-4.2192691029900309E-2</v>
      </c>
      <c r="X86" s="110">
        <f>X85/R85-1</f>
        <v>-3.7906742703790686E-2</v>
      </c>
      <c r="Y86" s="122">
        <f>Y85/S85-1</f>
        <v>-4.2175635523274968E-2</v>
      </c>
      <c r="AA86" s="109">
        <f>AA85/U85-1</f>
        <v>-3.2926001357773238E-2</v>
      </c>
      <c r="AB86" s="110">
        <f>AB85/V85-1</f>
        <v>-2.8541953232462225E-2</v>
      </c>
      <c r="AC86" s="110">
        <f>AC85/W85-1</f>
        <v>-2.8095733610822071E-2</v>
      </c>
      <c r="AD86" s="110">
        <f>AD85/X85-1</f>
        <v>-2.998605299860535E-2</v>
      </c>
      <c r="AE86" s="122">
        <f>AE85/Y85-1</f>
        <v>-2.9900904782421356E-2</v>
      </c>
      <c r="AG86" s="109">
        <f>AG85/AA85-1</f>
        <v>-3.3345033345033359E-2</v>
      </c>
      <c r="AH86" s="110">
        <f>AH85/AB85-1</f>
        <v>-4.9911504424778763E-2</v>
      </c>
      <c r="AI86" s="110">
        <f>AI85/AC85-1</f>
        <v>-7.7801570306923584E-2</v>
      </c>
      <c r="AJ86" s="110">
        <f>AJ85/AD85-1</f>
        <v>-0.11035226455787206</v>
      </c>
      <c r="AK86" s="122">
        <f>AK85/AE85-1</f>
        <v>-6.7596375910463635E-2</v>
      </c>
      <c r="AM86" s="109">
        <f>AM85/AG85-1</f>
        <v>-0.1285403050108932</v>
      </c>
      <c r="AN86" s="110">
        <f>AN85/AH85-1</f>
        <v>-0.11847988077496274</v>
      </c>
      <c r="AO86" s="110">
        <f>AO85/AI85-1</f>
        <v>-9.8297213622291046E-2</v>
      </c>
      <c r="AP86" s="110">
        <f>AP85/AJ85-1</f>
        <v>-7.5151515151515191E-2</v>
      </c>
      <c r="AQ86" s="122">
        <f>AQ85/AK85-1</f>
        <v>-0.10593502905592078</v>
      </c>
      <c r="AS86" s="109">
        <f>AS85/AM85-1</f>
        <v>-5.3749999999999964E-2</v>
      </c>
      <c r="AT86" s="110">
        <f>AT85/AN85-1</f>
        <v>-4.8182586644125114E-2</v>
      </c>
      <c r="AU86" s="110">
        <f>AU85/AO85-1</f>
        <v>-5.236051502145922E-2</v>
      </c>
      <c r="AV86" s="110">
        <f>AV85/AP85-1</f>
        <v>-5.1987767584097844E-2</v>
      </c>
      <c r="AW86" s="122">
        <f>AW85/AQ85-1</f>
        <v>-5.1571656899307428E-2</v>
      </c>
      <c r="AY86" s="109">
        <f>AY85/AS85-1</f>
        <v>-6.2967855570233322E-2</v>
      </c>
      <c r="AZ86" s="110">
        <f>AZ85/AT85-1</f>
        <v>-7.1936056838365903E-2</v>
      </c>
      <c r="BA86" s="110">
        <f>BA85/AU85-1</f>
        <v>-6.7934782608695676E-2</v>
      </c>
      <c r="BB86" s="110">
        <f>BB85/AV85-1</f>
        <v>-6.7281105990783407E-2</v>
      </c>
      <c r="BC86" s="122">
        <f>BC85/AW85-1</f>
        <v>-6.7520503314234315E-2</v>
      </c>
      <c r="BE86" s="109">
        <f>BE85/AY85-1</f>
        <v>-5.2631578947368474E-2</v>
      </c>
      <c r="BF86" s="110">
        <f>BF85/AZ85-1</f>
        <v>-3.3014354066985607E-2</v>
      </c>
      <c r="BG86" s="110">
        <f>BG85/BA85-1</f>
        <v>-2.1865889212827949E-2</v>
      </c>
      <c r="BH86" s="110">
        <f>BH85/BB85-1</f>
        <v>-9.3873517786561278E-3</v>
      </c>
      <c r="BI86" s="122">
        <f>BI85/BC85-1</f>
        <v>-2.9518072289156594E-2</v>
      </c>
      <c r="BK86" s="109">
        <f>BK85/BE85-1</f>
        <v>-1.1408730158730118E-2</v>
      </c>
      <c r="BL86" s="110">
        <f>BL85/BF85-1</f>
        <v>-2.1276595744680882E-2</v>
      </c>
      <c r="BM86" s="110">
        <f>BM85/BG85-1</f>
        <v>-2.6328862394436214E-2</v>
      </c>
      <c r="BN86" s="110">
        <f>BN85/BH85-1</f>
        <v>-3.1920199501246915E-2</v>
      </c>
      <c r="BO86" s="122">
        <f>BO85/BI85-1</f>
        <v>-2.271880819366856E-2</v>
      </c>
      <c r="BQ86" s="109">
        <f>BQ85/BK85-1</f>
        <v>-3.1610637230306105E-2</v>
      </c>
      <c r="BR86" s="110">
        <f>BR85/BL85-1</f>
        <v>-2.8311425682507552E-2</v>
      </c>
      <c r="BS86" s="110">
        <f>BS85/BM85-1</f>
        <v>-2.3469387755101989E-2</v>
      </c>
      <c r="BT86" s="110">
        <f>BT85/BN85-1</f>
        <v>-1.8031942297784598E-2</v>
      </c>
      <c r="BU86" s="122">
        <f>BU85/BO85-1</f>
        <v>-2.5406504065040636E-2</v>
      </c>
      <c r="BW86" s="109">
        <f>BW85/BQ85-1</f>
        <v>-1.6062176165803077E-2</v>
      </c>
      <c r="BX86" s="110">
        <f>BX85/BR85-1</f>
        <v>-1.5088449531737824E-2</v>
      </c>
      <c r="BY86" s="110">
        <f>BY85/BS85-1</f>
        <v>-1.4106583072100332E-2</v>
      </c>
      <c r="BZ86" s="110">
        <f>BZ85/BT85-1</f>
        <v>-1.3116474291710367E-2</v>
      </c>
      <c r="CA86" s="122">
        <f>CA85/BU85-1</f>
        <v>-1.4598540145985384E-2</v>
      </c>
      <c r="CC86" s="109">
        <f>CC85/BW85-1</f>
        <v>-1.2111637704054767E-2</v>
      </c>
      <c r="CD86" s="110">
        <f>CD85/BX85-1</f>
        <v>-1.1093502377179099E-2</v>
      </c>
      <c r="CE86" s="110">
        <f>CE85/BY85-1</f>
        <v>-1.006889242183362E-2</v>
      </c>
      <c r="CF86" s="110">
        <f>CF85/BZ85-1</f>
        <v>-9.0377458798511778E-3</v>
      </c>
      <c r="CG86" s="122">
        <f>CG85/CA85-1</f>
        <v>-1.0582010582010581E-2</v>
      </c>
      <c r="CI86" s="109">
        <f>CI85/CC85-1</f>
        <v>-8.5287846481876262E-3</v>
      </c>
      <c r="CJ86" s="110">
        <f>CJ85/CD85-1</f>
        <v>-8.5470085470085166E-3</v>
      </c>
      <c r="CK86" s="110">
        <f>CK85/CE85-1</f>
        <v>-8.565310492505307E-3</v>
      </c>
      <c r="CL86" s="110">
        <f>CL85/CF85-1</f>
        <v>-8.5836909871244149E-3</v>
      </c>
      <c r="CM86" s="122">
        <f>CM85/CG85-1</f>
        <v>-8.5561497326203106E-3</v>
      </c>
      <c r="CO86" s="109">
        <f>CO85/CI85-1</f>
        <v>-8.6021505376343566E-3</v>
      </c>
      <c r="CP86" s="110">
        <f>CP85/CJ85-1</f>
        <v>-8.6206896551723755E-3</v>
      </c>
      <c r="CQ86" s="110">
        <f>CQ85/CK85-1</f>
        <v>-8.6393088552916275E-3</v>
      </c>
      <c r="CR86" s="110">
        <f>CR85/CL85-1</f>
        <v>-8.6580086580086979E-3</v>
      </c>
      <c r="CS86" s="122">
        <f>CS85/CM85-1</f>
        <v>-8.6299892125134559E-3</v>
      </c>
      <c r="CU86" s="109">
        <f>CU85/CO85-1</f>
        <v>-8.6767895878524515E-3</v>
      </c>
      <c r="CV86" s="110">
        <f>CV85/CP85-1</f>
        <v>-8.6956521739129933E-3</v>
      </c>
      <c r="CW86" s="110">
        <f>CW85/CQ85-1</f>
        <v>-8.7145969498910736E-3</v>
      </c>
      <c r="CX86" s="110">
        <f>CX85/CR85-1</f>
        <v>-8.733624454148492E-3</v>
      </c>
      <c r="CY86" s="122">
        <f>CY85/CS85-1</f>
        <v>-8.705114254624613E-3</v>
      </c>
      <c r="DA86" s="109">
        <f>DA85/CU85-1</f>
        <v>-8.7527352297592786E-3</v>
      </c>
      <c r="DB86" s="110">
        <f>DB85/CV85-1</f>
        <v>-8.7719298245614308E-3</v>
      </c>
      <c r="DC86" s="110">
        <f>DC85/CW85-1</f>
        <v>-8.79120879120876E-3</v>
      </c>
      <c r="DD86" s="110">
        <f>DD85/CX85-1</f>
        <v>-8.8105726872246271E-3</v>
      </c>
      <c r="DE86" s="122">
        <f>DE85/CY85-1</f>
        <v>-8.7815587266739659E-3</v>
      </c>
      <c r="DG86" s="109">
        <f>DG85/DA85-1</f>
        <v>-8.8300220750552327E-3</v>
      </c>
      <c r="DH86" s="110">
        <f>DH85/DB85-1</f>
        <v>-8.8495575221239076E-3</v>
      </c>
      <c r="DI86" s="110">
        <f>DI85/DC85-1</f>
        <v>-8.8691796008869561E-3</v>
      </c>
      <c r="DJ86" s="110">
        <f>DJ85/DD85-1</f>
        <v>-8.8888888888888351E-3</v>
      </c>
      <c r="DK86" s="122">
        <f>DK85/DE85-1</f>
        <v>-8.8593576965669829E-3</v>
      </c>
    </row>
    <row r="87" spans="2:115" ht="13.5" thickBot="1" x14ac:dyDescent="0.25">
      <c r="AA87" s="103"/>
      <c r="AB87" s="103"/>
      <c r="AC87" s="103"/>
      <c r="AD87" s="103"/>
      <c r="AE87" s="103"/>
      <c r="AG87" s="103"/>
      <c r="AH87" s="103"/>
      <c r="AI87" s="103"/>
      <c r="AJ87" s="103"/>
      <c r="AK87" s="103"/>
      <c r="AM87" s="103"/>
      <c r="AN87" s="103"/>
      <c r="AO87" s="103"/>
      <c r="AP87" s="103"/>
      <c r="AQ87" s="103"/>
      <c r="AS87" s="103"/>
      <c r="AT87" s="103"/>
      <c r="AU87" s="103"/>
      <c r="AV87" s="103"/>
      <c r="AW87" s="103"/>
      <c r="AY87" s="103"/>
      <c r="AZ87" s="103"/>
      <c r="BA87" s="103"/>
      <c r="BB87" s="103"/>
      <c r="BC87" s="103"/>
      <c r="BE87" s="103"/>
      <c r="BF87" s="103"/>
      <c r="BG87" s="103"/>
      <c r="BH87" s="103"/>
      <c r="BI87" s="103"/>
      <c r="BK87" s="103"/>
      <c r="BL87" s="103"/>
      <c r="BM87" s="103"/>
      <c r="BN87" s="103"/>
      <c r="BO87" s="103"/>
      <c r="BQ87" s="103"/>
      <c r="BR87" s="103"/>
      <c r="BS87" s="103"/>
      <c r="BT87" s="103"/>
      <c r="BU87" s="103"/>
      <c r="BW87" s="103"/>
      <c r="BX87" s="103"/>
      <c r="BY87" s="103"/>
      <c r="BZ87" s="103"/>
      <c r="CA87" s="103"/>
      <c r="CC87" s="103"/>
      <c r="CD87" s="103"/>
      <c r="CE87" s="103"/>
      <c r="CF87" s="103"/>
      <c r="CG87" s="103"/>
      <c r="CI87" s="103"/>
      <c r="CJ87" s="103"/>
      <c r="CK87" s="103"/>
      <c r="CL87" s="103"/>
      <c r="CM87" s="103"/>
      <c r="CO87" s="103"/>
      <c r="CP87" s="103"/>
      <c r="CQ87" s="103"/>
      <c r="CR87" s="103"/>
      <c r="CS87" s="103"/>
      <c r="CU87" s="103"/>
      <c r="CV87" s="103"/>
      <c r="CW87" s="103"/>
      <c r="CX87" s="103"/>
      <c r="CY87" s="103"/>
      <c r="DA87" s="103"/>
      <c r="DB87" s="103"/>
      <c r="DC87" s="103"/>
      <c r="DD87" s="103"/>
      <c r="DE87" s="103"/>
      <c r="DG87" s="103"/>
      <c r="DH87" s="103"/>
      <c r="DI87" s="103"/>
      <c r="DJ87" s="103"/>
      <c r="DK87" s="103"/>
    </row>
    <row r="88" spans="2:115" ht="15" x14ac:dyDescent="0.3">
      <c r="B88" s="335" t="s">
        <v>96</v>
      </c>
      <c r="C88" s="221"/>
      <c r="D88" s="222"/>
      <c r="E88" s="222"/>
      <c r="F88" s="222"/>
      <c r="G88" s="224"/>
      <c r="I88" s="221"/>
      <c r="J88" s="222"/>
      <c r="K88" s="222"/>
      <c r="L88" s="222"/>
      <c r="M88" s="224"/>
      <c r="O88" s="269">
        <f>O94*1000/(O85*3)</f>
        <v>36.784593746619066</v>
      </c>
      <c r="P88" s="270">
        <f>P94*1000/(P85*3)</f>
        <v>37.01270258431888</v>
      </c>
      <c r="Q88" s="270">
        <f>Q94*1000/(Q85*3)</f>
        <v>39.424141749723148</v>
      </c>
      <c r="R88" s="271">
        <f>R94*1000/(R85*3)</f>
        <v>38.018562003801854</v>
      </c>
      <c r="S88" s="272">
        <f>S94*1000/(S85*12)</f>
        <v>37.801254539451968</v>
      </c>
      <c r="T88" s="129"/>
      <c r="U88" s="269">
        <f>U94*1000/(U85*3)</f>
        <v>36.65987780040733</v>
      </c>
      <c r="V88" s="270">
        <f>V94*1000/(V85*3)</f>
        <v>38.972948188904169</v>
      </c>
      <c r="W88" s="270">
        <f>W94*1000/(W85*3)</f>
        <v>40.929587235518554</v>
      </c>
      <c r="X88" s="270">
        <f>X94*1000/(X85*3)</f>
        <v>40.446304044630402</v>
      </c>
      <c r="Y88" s="272">
        <f>Y94*1000/(Y85*12)</f>
        <v>39.235961510843026</v>
      </c>
      <c r="Z88" s="226"/>
      <c r="AA88" s="269">
        <f>AA94*1000/(AA85*3)</f>
        <v>36.270036270036272</v>
      </c>
      <c r="AB88" s="270">
        <f>AB94*1000/(AB85*3)</f>
        <v>37.286135693215343</v>
      </c>
      <c r="AC88" s="270">
        <f>AC94*1000/(AC85*3)</f>
        <v>41.161075422317396</v>
      </c>
      <c r="AD88" s="270">
        <f>AD94*1000/(AD85*3)</f>
        <v>38.34172058471124</v>
      </c>
      <c r="AE88" s="272">
        <f>AE94*1000/(AE85*12)</f>
        <v>38.254278439035943</v>
      </c>
      <c r="AF88" s="226"/>
      <c r="AG88" s="269">
        <f>AG94*1000/(AG85*3)</f>
        <v>34.858387799564269</v>
      </c>
      <c r="AH88" s="270">
        <f>AH94*1000/(AH85*3)</f>
        <v>35.767511177347245</v>
      </c>
      <c r="AI88" s="270">
        <f>AI94*1000/(AI85*3)</f>
        <v>37.40970072239422</v>
      </c>
      <c r="AJ88" s="270">
        <f>AJ94*1000/(AJ85*3)</f>
        <v>38.787878787878789</v>
      </c>
      <c r="AK88" s="272">
        <f>AK94*1000/(AK85*12)</f>
        <v>36.645390746562512</v>
      </c>
      <c r="AL88" s="226"/>
      <c r="AM88" s="269">
        <f>AM94*1000/(AM85*3)</f>
        <v>37.5</v>
      </c>
      <c r="AN88" s="270">
        <f>AN94*1000/(AN85*3)</f>
        <v>38.884192730346577</v>
      </c>
      <c r="AO88" s="270">
        <f>AO94*1000/(AO85*3)</f>
        <v>39.19885550786838</v>
      </c>
      <c r="AP88" s="270">
        <f>AP94*1000/(AP85*3)</f>
        <v>42.230959662152323</v>
      </c>
      <c r="AQ88" s="272">
        <f>AQ94*1000/(AQ85*12)</f>
        <v>39.424613745338306</v>
      </c>
      <c r="AR88" s="226"/>
      <c r="AS88" s="269">
        <f>AS94*1000/(AS85*3)</f>
        <v>37.281667400557758</v>
      </c>
      <c r="AT88" s="270">
        <f>AT94*1000/(AT85*3)</f>
        <v>38.484310242747185</v>
      </c>
      <c r="AU88" s="270">
        <f>AU94*1000/(AU85*3)</f>
        <v>42.572463768115945</v>
      </c>
      <c r="AV88" s="270">
        <f>AV94*1000/(AV85*3)</f>
        <v>42.703533026113668</v>
      </c>
      <c r="AW88" s="272">
        <f>AW94*1000/(AW85*12)</f>
        <v>40.220199977530612</v>
      </c>
      <c r="AX88" s="226"/>
      <c r="AY88" s="269">
        <f>AY94*1000/(AY85*3)</f>
        <v>40.413533834586467</v>
      </c>
      <c r="AZ88" s="270">
        <f>AZ94*1000/(AZ85*3)</f>
        <v>44.338118022328551</v>
      </c>
      <c r="BA88" s="270">
        <f>BA94*1000/(BA85*3)</f>
        <v>47.295108519598315</v>
      </c>
      <c r="BB88" s="270">
        <f>BB94*1000/(BB85*3)</f>
        <v>44.795783926218711</v>
      </c>
      <c r="BC88" s="272">
        <f>BC94*1000/(BC85*12)</f>
        <v>44.176706827309239</v>
      </c>
      <c r="BD88" s="226"/>
      <c r="BE88" s="269">
        <f>BE94*1000/(BE85*3)</f>
        <v>44.31216931216931</v>
      </c>
      <c r="BF88" s="270">
        <f>BF94*1000/(BF85*3)</f>
        <v>45.192149101105066</v>
      </c>
      <c r="BG88" s="270">
        <f>BG94*1000/(BG85*3)</f>
        <v>45.040569630733565</v>
      </c>
      <c r="BH88" s="270">
        <f>BH94*1000/(BH85*3)</f>
        <v>47.880299251870326</v>
      </c>
      <c r="BI88" s="272">
        <f>BI94*1000/(BI85*12)</f>
        <v>45.603145044485828</v>
      </c>
      <c r="BJ88" s="226"/>
      <c r="BK88" s="269">
        <f>BK94*1000/(BK85*3)</f>
        <v>44.489044990801141</v>
      </c>
      <c r="BL88" s="270">
        <f>BL94*1000/(BL85*3)</f>
        <v>45.163464779238289</v>
      </c>
      <c r="BM88" s="270">
        <f>BM94*1000/(BM85*3)</f>
        <v>48.979591836734691</v>
      </c>
      <c r="BN88" s="270">
        <f>BN94*1000/(BN85*3)</f>
        <v>48.428645028335907</v>
      </c>
      <c r="BO88" s="272">
        <f>BO94*1000/(BO85*12)</f>
        <v>46.747967479674799</v>
      </c>
      <c r="BP88" s="226"/>
      <c r="BQ88" s="269">
        <f>BQ91/BQ23</f>
        <v>44.294360929921396</v>
      </c>
      <c r="BR88" s="270">
        <f>BR91/BR23</f>
        <v>44.883993259184358</v>
      </c>
      <c r="BS88" s="270">
        <f>BS91/BS23</f>
        <v>48.494171428571427</v>
      </c>
      <c r="BT88" s="270">
        <f>BT91/BT23</f>
        <v>48.642893353941268</v>
      </c>
      <c r="BU88" s="272">
        <f>BU94*1000/(BU85*12)</f>
        <v>46.570170814103015</v>
      </c>
      <c r="BV88" s="226"/>
      <c r="BW88" s="269">
        <f>BW91/BW23</f>
        <v>44.294360929921396</v>
      </c>
      <c r="BX88" s="270">
        <f>BX91/BX23</f>
        <v>44.883993259184358</v>
      </c>
      <c r="BY88" s="270">
        <f>BY91/BY23</f>
        <v>48.494171428571427</v>
      </c>
      <c r="BZ88" s="270">
        <f>BZ91/BZ23</f>
        <v>48.642893353941268</v>
      </c>
      <c r="CA88" s="272">
        <f>CA94*1000/(CA85*12)</f>
        <v>46.572245308205623</v>
      </c>
      <c r="CB88" s="226"/>
      <c r="CC88" s="269">
        <f>CC91/CC23</f>
        <v>44.737304539220617</v>
      </c>
      <c r="CD88" s="270">
        <f>CD91/CD23</f>
        <v>45.332833191776203</v>
      </c>
      <c r="CE88" s="270">
        <f>CE91/CE23</f>
        <v>48.979113142857138</v>
      </c>
      <c r="CF88" s="270">
        <f>CF91/CF23</f>
        <v>49.129322287480683</v>
      </c>
      <c r="CG88" s="272">
        <f>CG94*1000/(CG85*12)</f>
        <v>47.040145340281285</v>
      </c>
      <c r="CH88" s="226"/>
      <c r="CI88" s="269">
        <f>CI91/CI23</f>
        <v>45.184677584612821</v>
      </c>
      <c r="CJ88" s="270">
        <f>CJ91/CJ23</f>
        <v>45.786161523693963</v>
      </c>
      <c r="CK88" s="270">
        <f>CK91/CK23</f>
        <v>49.468904274285705</v>
      </c>
      <c r="CL88" s="270">
        <f>CL91/CL23</f>
        <v>49.620615510355492</v>
      </c>
      <c r="CM88" s="272">
        <f>CM94*1000/(CM85*12)</f>
        <v>47.510507588251066</v>
      </c>
      <c r="CN88" s="226"/>
      <c r="CO88" s="269">
        <f>CO91/CO23</f>
        <v>45.636524360458949</v>
      </c>
      <c r="CP88" s="270">
        <f>CP91/CP23</f>
        <v>46.244023138930899</v>
      </c>
      <c r="CQ88" s="270">
        <f>CQ91/CQ23</f>
        <v>49.963593317028561</v>
      </c>
      <c r="CR88" s="270">
        <f>CR91/CR23</f>
        <v>50.116821665459049</v>
      </c>
      <c r="CS88" s="272">
        <f>CS94*1000/(CS85*12)</f>
        <v>47.985572377244907</v>
      </c>
      <c r="CT88" s="226"/>
      <c r="CU88" s="269">
        <f>CU91/CU23</f>
        <v>46.092889604063544</v>
      </c>
      <c r="CV88" s="270">
        <f>CV91/CV23</f>
        <v>46.706463370320208</v>
      </c>
      <c r="CW88" s="270">
        <f>CW91/CW23</f>
        <v>50.46322925019885</v>
      </c>
      <c r="CX88" s="270">
        <f>CX91/CX23</f>
        <v>50.61798988211364</v>
      </c>
      <c r="CY88" s="272">
        <f>CY94*1000/(CY85*12)</f>
        <v>48.465386696620818</v>
      </c>
      <c r="CZ88" s="226"/>
      <c r="DA88" s="269">
        <f>DA91/DA23</f>
        <v>46.553818500104178</v>
      </c>
      <c r="DB88" s="270">
        <f>DB91/DB23</f>
        <v>47.17352800402341</v>
      </c>
      <c r="DC88" s="270">
        <f>DC91/DC23</f>
        <v>50.967861542700838</v>
      </c>
      <c r="DD88" s="270">
        <f>DD91/DD23</f>
        <v>51.124169780934771</v>
      </c>
      <c r="DE88" s="272">
        <f>DE94*1000/(DE85*12)</f>
        <v>48.949998004177466</v>
      </c>
      <c r="DF88" s="226"/>
      <c r="DG88" s="269">
        <f>DG91/DG23</f>
        <v>47.019356685105222</v>
      </c>
      <c r="DH88" s="270">
        <f>DH91/DH23</f>
        <v>47.645263284063645</v>
      </c>
      <c r="DI88" s="270">
        <f>DI91/DI23</f>
        <v>51.477540158127844</v>
      </c>
      <c r="DJ88" s="270">
        <f>DJ91/DJ23</f>
        <v>51.635411478744125</v>
      </c>
      <c r="DK88" s="272">
        <f>DK94*1000/(DK85*12)</f>
        <v>49.43945423076859</v>
      </c>
    </row>
    <row r="89" spans="2:115" ht="15.75" thickBot="1" x14ac:dyDescent="0.35">
      <c r="B89" s="41" t="s">
        <v>56</v>
      </c>
      <c r="C89" s="155"/>
      <c r="D89" s="106"/>
      <c r="E89" s="106"/>
      <c r="F89" s="106"/>
      <c r="G89" s="108"/>
      <c r="I89" s="155"/>
      <c r="J89" s="106"/>
      <c r="K89" s="106"/>
      <c r="L89" s="106"/>
      <c r="M89" s="108"/>
      <c r="O89" s="155" t="s">
        <v>35</v>
      </c>
      <c r="P89" s="106" t="s">
        <v>35</v>
      </c>
      <c r="Q89" s="106" t="s">
        <v>35</v>
      </c>
      <c r="R89" s="154" t="s">
        <v>35</v>
      </c>
      <c r="S89" s="122" t="s">
        <v>35</v>
      </c>
      <c r="U89" s="109">
        <f>U88/O88-1</f>
        <v>-3.3904396789267155E-3</v>
      </c>
      <c r="V89" s="110">
        <f>V88/P88-1</f>
        <v>5.2961428583055747E-2</v>
      </c>
      <c r="W89" s="110">
        <f>W88/Q88-1</f>
        <v>3.8185878473967705E-2</v>
      </c>
      <c r="X89" s="110">
        <f>X88/R88-1</f>
        <v>6.3856756091557942E-2</v>
      </c>
      <c r="Y89" s="122">
        <f>Y88/S88-1</f>
        <v>3.7953951234441119E-2</v>
      </c>
      <c r="AA89" s="109">
        <f>AA88/U88-1</f>
        <v>-1.0634010634010482E-2</v>
      </c>
      <c r="AB89" s="110">
        <f>AB88/V88-1</f>
        <v>-4.3281624154086207E-2</v>
      </c>
      <c r="AC89" s="110">
        <f>AC88/W88-1</f>
        <v>5.6557664622123305E-3</v>
      </c>
      <c r="AD89" s="110">
        <f>AD88/X88-1</f>
        <v>-5.203401175041511E-2</v>
      </c>
      <c r="AE89" s="122">
        <f>AE88/Y88-1</f>
        <v>-2.5019982536576557E-2</v>
      </c>
      <c r="AG89" s="109">
        <f>AG88/AA88-1</f>
        <v>-3.8920514442336129E-2</v>
      </c>
      <c r="AH89" s="110">
        <f>AH88/AB88-1</f>
        <v>-4.072893282272827E-2</v>
      </c>
      <c r="AI89" s="110">
        <f>AI88/AC88-1</f>
        <v>-9.1138889385994792E-2</v>
      </c>
      <c r="AJ89" s="110">
        <f>AJ88/AD88-1</f>
        <v>1.1636363636363667E-2</v>
      </c>
      <c r="AK89" s="122">
        <f>AK88/AE88-1</f>
        <v>-4.2057718982660752E-2</v>
      </c>
      <c r="AM89" s="109">
        <f>AM88/AG88-1</f>
        <v>7.5781249999999911E-2</v>
      </c>
      <c r="AN89" s="110">
        <f>AN88/AH88-1</f>
        <v>8.7137221752606298E-2</v>
      </c>
      <c r="AO89" s="110">
        <f>AO88/AI88-1</f>
        <v>4.7825958265502289E-2</v>
      </c>
      <c r="AP89" s="110">
        <f>AP88/AJ88-1</f>
        <v>8.8766928789864474E-2</v>
      </c>
      <c r="AQ89" s="122">
        <f>AQ88/AK88-1</f>
        <v>7.5840997794149434E-2</v>
      </c>
      <c r="AS89" s="109">
        <f>AS88/AM88-1</f>
        <v>-5.822202651793118E-3</v>
      </c>
      <c r="AT89" s="110">
        <f>AT88/AN88-1</f>
        <v>-1.0283934409349604E-2</v>
      </c>
      <c r="AU89" s="110">
        <f>AU88/AO88-1</f>
        <v>8.6063947953030961E-2</v>
      </c>
      <c r="AV89" s="110">
        <f>AV88/AP88-1</f>
        <v>1.1190211345939893E-2</v>
      </c>
      <c r="AW89" s="122">
        <f>AW88/AQ88-1</f>
        <v>2.0179937267904791E-2</v>
      </c>
      <c r="AY89" s="109">
        <f>AY88/AS88-1</f>
        <v>8.4005535492273964E-2</v>
      </c>
      <c r="AZ89" s="110">
        <f>AZ88/AT88-1</f>
        <v>0.1521089436878913</v>
      </c>
      <c r="BA89" s="110">
        <f>BA88/AU88-1</f>
        <v>0.11093191075822428</v>
      </c>
      <c r="BB89" s="110">
        <f>BB88/AV88-1</f>
        <v>4.8994796257855411E-2</v>
      </c>
      <c r="BC89" s="122">
        <f>BC88/AW88-1</f>
        <v>9.8371138184021101E-2</v>
      </c>
      <c r="BE89" s="109">
        <f>BE88/AY88-1</f>
        <v>9.6468561584840629E-2</v>
      </c>
      <c r="BF89" s="110">
        <f>BF88/AZ88-1</f>
        <v>1.9261780086074598E-2</v>
      </c>
      <c r="BG89" s="110">
        <f>BG88/BA88-1</f>
        <v>-4.7669599657023887E-2</v>
      </c>
      <c r="BH89" s="110">
        <f>BH88/BB88-1</f>
        <v>6.885726859322272E-2</v>
      </c>
      <c r="BI89" s="122">
        <f>BI88/BC88-1</f>
        <v>3.2289374188815501E-2</v>
      </c>
      <c r="BK89" s="109">
        <f>BK88/BE88-1</f>
        <v>3.9915824789751309E-3</v>
      </c>
      <c r="BL89" s="110">
        <f>BL88/BF88-1</f>
        <v>-6.3471913678203595E-4</v>
      </c>
      <c r="BM89" s="110">
        <f>BM88/BG88-1</f>
        <v>8.7454981992796998E-2</v>
      </c>
      <c r="BN89" s="110">
        <f>BN88/BH88-1</f>
        <v>1.1452430018890514E-2</v>
      </c>
      <c r="BO89" s="122">
        <f>BO88/BI88-1</f>
        <v>2.5104023726262747E-2</v>
      </c>
      <c r="BQ89" s="109">
        <f>BQ88/BK88-1</f>
        <v>-4.3759999999999355E-3</v>
      </c>
      <c r="BR89" s="110">
        <f>BR88/BL88-1</f>
        <v>-6.1880000000000823E-3</v>
      </c>
      <c r="BS89" s="110">
        <f>BS88/BM88-1</f>
        <v>-9.9106666666666232E-3</v>
      </c>
      <c r="BT89" s="110">
        <f>BT88/BN88-1</f>
        <v>4.4239999999999835E-3</v>
      </c>
      <c r="BU89" s="122">
        <f>BU88/BO88-1</f>
        <v>-3.803302585274615E-3</v>
      </c>
      <c r="BW89" s="109">
        <f>BW88/BQ88-1</f>
        <v>0</v>
      </c>
      <c r="BX89" s="110">
        <f>BX88/BR88-1</f>
        <v>0</v>
      </c>
      <c r="BY89" s="110">
        <f>BY88/BS88-1</f>
        <v>0</v>
      </c>
      <c r="BZ89" s="110">
        <f>BZ88/BT88-1</f>
        <v>0</v>
      </c>
      <c r="CA89" s="122">
        <f>CA88/BU88-1</f>
        <v>4.4545554940933485E-5</v>
      </c>
      <c r="CC89" s="109">
        <f>CC88/BW88-1</f>
        <v>1.0000000000000231E-2</v>
      </c>
      <c r="CD89" s="110">
        <f>CD88/BX88-1</f>
        <v>1.0000000000000009E-2</v>
      </c>
      <c r="CE89" s="110">
        <f>CE88/BY88-1</f>
        <v>1.0000000000000009E-2</v>
      </c>
      <c r="CF89" s="110">
        <f>CF88/BZ88-1</f>
        <v>1.0000000000000009E-2</v>
      </c>
      <c r="CG89" s="122">
        <f>CG88/CA88-1</f>
        <v>1.0046757011159535E-2</v>
      </c>
      <c r="CI89" s="109">
        <f>CI88/CC88-1</f>
        <v>1.0000000000000009E-2</v>
      </c>
      <c r="CJ89" s="110">
        <f>CJ88/CD88-1</f>
        <v>1.0000000000000009E-2</v>
      </c>
      <c r="CK89" s="110">
        <f>CK88/CE88-1</f>
        <v>1.0000000000000009E-2</v>
      </c>
      <c r="CL89" s="110">
        <f>CL88/CF88-1</f>
        <v>1.0000000000000009E-2</v>
      </c>
      <c r="CM89" s="122">
        <f>CM88/CG88-1</f>
        <v>9.9991665537435548E-3</v>
      </c>
      <c r="CO89" s="109">
        <f>CO88/CI88-1</f>
        <v>1.0000000000000009E-2</v>
      </c>
      <c r="CP89" s="110">
        <f>CP88/CJ88-1</f>
        <v>1.0000000000000009E-2</v>
      </c>
      <c r="CQ89" s="110">
        <f>CQ88/CK88-1</f>
        <v>1.0000000000000009E-2</v>
      </c>
      <c r="CR89" s="110">
        <f>CR88/CL88-1</f>
        <v>1.0000000000000009E-2</v>
      </c>
      <c r="CS89" s="122">
        <f>CS88/CM88-1</f>
        <v>9.9991520425539715E-3</v>
      </c>
      <c r="CU89" s="109">
        <f>CU88/CO88-1</f>
        <v>1.0000000000000009E-2</v>
      </c>
      <c r="CV89" s="110">
        <f>CV88/CP88-1</f>
        <v>1.0000000000000009E-2</v>
      </c>
      <c r="CW89" s="110">
        <f>CW88/CQ88-1</f>
        <v>1.0000000000000009E-2</v>
      </c>
      <c r="CX89" s="110">
        <f>CX88/CR88-1</f>
        <v>1.0000000000000009E-2</v>
      </c>
      <c r="CY89" s="122">
        <f>CY88/CS88-1</f>
        <v>9.9991371490535386E-3</v>
      </c>
      <c r="DA89" s="109">
        <f>DA88/CU88-1</f>
        <v>1.0000000000000009E-2</v>
      </c>
      <c r="DB89" s="110">
        <f>DB88/CV88-1</f>
        <v>1.0000000000000009E-2</v>
      </c>
      <c r="DC89" s="110">
        <f>DC88/CW88-1</f>
        <v>1.0000000000000009E-2</v>
      </c>
      <c r="DD89" s="110">
        <f>DD88/CX88-1</f>
        <v>9.9999999999997868E-3</v>
      </c>
      <c r="DE89" s="122">
        <f>DE88/CY88-1</f>
        <v>9.9991218596928721E-3</v>
      </c>
      <c r="DG89" s="109">
        <f>DG88/DA88-1</f>
        <v>1.0000000000000009E-2</v>
      </c>
      <c r="DH89" s="110">
        <f>DH88/DB88-1</f>
        <v>1.0000000000000009E-2</v>
      </c>
      <c r="DI89" s="110">
        <f>DI88/DC88-1</f>
        <v>1.0000000000000009E-2</v>
      </c>
      <c r="DJ89" s="110">
        <f>DJ88/DD88-1</f>
        <v>1.0000000000000009E-2</v>
      </c>
      <c r="DK89" s="122">
        <f>DK88/DE88-1</f>
        <v>9.999106160317961E-3</v>
      </c>
    </row>
    <row r="90" spans="2:115" ht="13.5" thickBot="1" x14ac:dyDescent="0.25">
      <c r="AA90" s="103"/>
      <c r="AB90" s="103"/>
      <c r="AC90" s="103"/>
      <c r="AD90" s="103"/>
      <c r="AE90" s="103"/>
      <c r="AG90" s="103"/>
      <c r="AH90" s="103"/>
      <c r="AI90" s="103"/>
      <c r="AJ90" s="103"/>
      <c r="AK90" s="103"/>
      <c r="AM90" s="103"/>
      <c r="AN90" s="103"/>
      <c r="AO90" s="103"/>
      <c r="AP90" s="103"/>
      <c r="AQ90" s="103"/>
      <c r="AS90" s="103"/>
      <c r="AT90" s="103"/>
      <c r="AU90" s="103"/>
      <c r="AV90" s="103"/>
      <c r="AW90" s="103"/>
      <c r="AY90" s="103"/>
      <c r="AZ90" s="103"/>
      <c r="BA90" s="103"/>
      <c r="BB90" s="103"/>
      <c r="BC90" s="103"/>
      <c r="BE90" s="103"/>
      <c r="BF90" s="103"/>
      <c r="BG90" s="103"/>
      <c r="BH90" s="103"/>
      <c r="BI90" s="103"/>
      <c r="BK90" s="103"/>
      <c r="BL90" s="103"/>
      <c r="BM90" s="103"/>
      <c r="BN90" s="103"/>
      <c r="BO90" s="103"/>
      <c r="BQ90" s="103"/>
      <c r="BR90" s="103"/>
      <c r="BS90" s="103"/>
      <c r="BT90" s="103"/>
      <c r="BU90" s="103"/>
      <c r="BW90" s="103"/>
      <c r="BX90" s="103"/>
      <c r="BY90" s="103"/>
      <c r="BZ90" s="103"/>
      <c r="CA90" s="103"/>
      <c r="CC90" s="103"/>
      <c r="CD90" s="103"/>
      <c r="CE90" s="103"/>
      <c r="CF90" s="103"/>
      <c r="CG90" s="103"/>
      <c r="CI90" s="103"/>
      <c r="CJ90" s="103"/>
      <c r="CK90" s="103"/>
      <c r="CL90" s="103"/>
      <c r="CM90" s="103"/>
      <c r="CO90" s="103"/>
      <c r="CP90" s="103"/>
      <c r="CQ90" s="103"/>
      <c r="CR90" s="103"/>
      <c r="CS90" s="103"/>
      <c r="CU90" s="103"/>
      <c r="CV90" s="103"/>
      <c r="CW90" s="103"/>
      <c r="CX90" s="103"/>
      <c r="CY90" s="103"/>
      <c r="DA90" s="103"/>
      <c r="DB90" s="103"/>
      <c r="DC90" s="103"/>
      <c r="DD90" s="103"/>
      <c r="DE90" s="103"/>
      <c r="DG90" s="103"/>
      <c r="DH90" s="103"/>
      <c r="DI90" s="103"/>
      <c r="DJ90" s="103"/>
      <c r="DK90" s="103"/>
    </row>
    <row r="91" spans="2:115" ht="15" x14ac:dyDescent="0.3">
      <c r="B91" s="335" t="s">
        <v>160</v>
      </c>
      <c r="C91" s="221"/>
      <c r="D91" s="222"/>
      <c r="E91" s="222"/>
      <c r="F91" s="222"/>
      <c r="G91" s="224"/>
      <c r="I91" s="221"/>
      <c r="J91" s="222"/>
      <c r="K91" s="222"/>
      <c r="L91" s="222"/>
      <c r="M91" s="224"/>
      <c r="O91" s="198">
        <f>O88*O23</f>
        <v>272.54105569885724</v>
      </c>
      <c r="P91" s="199">
        <f>P88*P23</f>
        <v>272.19425487993647</v>
      </c>
      <c r="Q91" s="199">
        <f>Q88*Q23</f>
        <v>288.74328386974332</v>
      </c>
      <c r="R91" s="199">
        <f>R88*R23</f>
        <v>276.75022386752943</v>
      </c>
      <c r="S91" s="201">
        <f>(O91+P91+Q91+R91)/4</f>
        <v>277.55720457901663</v>
      </c>
      <c r="U91" s="198">
        <f>U88*U23</f>
        <v>267.11266567384843</v>
      </c>
      <c r="V91" s="199">
        <f>V88*V23</f>
        <v>282.4884076810751</v>
      </c>
      <c r="W91" s="199">
        <f>W88*W23</f>
        <v>296.81920341362604</v>
      </c>
      <c r="X91" s="199">
        <f>X88*X23</f>
        <v>297.97552653020477</v>
      </c>
      <c r="Y91" s="201">
        <f>(U91+V91+W91+X91)/4</f>
        <v>286.09895082468859</v>
      </c>
      <c r="Z91" s="226"/>
      <c r="AA91" s="198">
        <f>AA88*AA23</f>
        <v>268.46409579455724</v>
      </c>
      <c r="AB91" s="199">
        <f>AB88*AB23</f>
        <v>275.61990000972304</v>
      </c>
      <c r="AC91" s="199">
        <f>AC88*AC23</f>
        <v>307.15615917315807</v>
      </c>
      <c r="AD91" s="199">
        <f>AD88*AD23</f>
        <v>287.44505191404949</v>
      </c>
      <c r="AE91" s="201">
        <f>(AA91+AB91+AC91+AD91)/4</f>
        <v>284.67130172287193</v>
      </c>
      <c r="AF91" s="226"/>
      <c r="AG91" s="198">
        <f>AG88*AG23</f>
        <v>263.41616388752732</v>
      </c>
      <c r="AH91" s="199">
        <f>AH88*AH23</f>
        <v>269.22216835909256</v>
      </c>
      <c r="AI91" s="199">
        <f>AI88*AI23</f>
        <v>279.54821122382134</v>
      </c>
      <c r="AJ91" s="199">
        <f>AJ88*AJ23</f>
        <v>292.02682357632932</v>
      </c>
      <c r="AK91" s="201">
        <f>(AG91+AH91+AI91+AJ91)/4</f>
        <v>276.05334176169265</v>
      </c>
      <c r="AL91" s="226"/>
      <c r="AM91" s="198">
        <f>AM88*AM23</f>
        <v>284.37959747015907</v>
      </c>
      <c r="AN91" s="199">
        <f>AN88*AN23</f>
        <v>293.81374708406622</v>
      </c>
      <c r="AO91" s="199">
        <f>AO88*AO23</f>
        <v>295.72213007527841</v>
      </c>
      <c r="AP91" s="199">
        <f>AP88*AP23</f>
        <v>322.17453072643877</v>
      </c>
      <c r="AQ91" s="201">
        <f>(AM91+AN91+AO91+AP91)/4</f>
        <v>299.02250133898565</v>
      </c>
      <c r="AR91" s="226"/>
      <c r="AS91" s="198">
        <f>AS88*AS23</f>
        <v>285.16320733495814</v>
      </c>
      <c r="AT91" s="199">
        <f>AT88*AT23</f>
        <v>292.46730434887854</v>
      </c>
      <c r="AU91" s="199">
        <f>AU88*AU23</f>
        <v>324.52234453722565</v>
      </c>
      <c r="AV91" s="199">
        <f>AV88*AV23</f>
        <v>327.35305230403503</v>
      </c>
      <c r="AW91" s="201">
        <f>(AS91+AT91+AU91+AV91)/4</f>
        <v>307.37647713127433</v>
      </c>
      <c r="AX91" s="226"/>
      <c r="AY91" s="198">
        <f>AY88*AY23</f>
        <v>310.45064669324432</v>
      </c>
      <c r="AZ91" s="199">
        <f>AZ88*AZ23</f>
        <v>335.82089633173848</v>
      </c>
      <c r="BA91" s="199">
        <f>BA88*BA23</f>
        <v>358.39665694849373</v>
      </c>
      <c r="BB91" s="199">
        <f>BB88*BB23</f>
        <v>341.43615283267462</v>
      </c>
      <c r="BC91" s="201">
        <f>(AY91+AZ91+BA91+BB91)/4</f>
        <v>336.52608820153779</v>
      </c>
      <c r="BD91" s="226"/>
      <c r="BE91" s="198">
        <f>BE88*BE23</f>
        <v>337.5390873015873</v>
      </c>
      <c r="BF91" s="199">
        <f>BF88*BF23</f>
        <v>339.12640606960252</v>
      </c>
      <c r="BG91" s="199">
        <f>BG88*BG23</f>
        <v>337.50790528233154</v>
      </c>
      <c r="BH91" s="199">
        <f>BH88*BH23</f>
        <v>360.21641895261848</v>
      </c>
      <c r="BI91" s="201">
        <f>(BE91+BF91+BG91+BH91)/4</f>
        <v>343.59745440153495</v>
      </c>
      <c r="BJ91" s="226"/>
      <c r="BK91" s="198">
        <f>BK88*BK23</f>
        <v>332.20770697441048</v>
      </c>
      <c r="BL91" s="199">
        <f>BL88*BL23</f>
        <v>336.62994944388271</v>
      </c>
      <c r="BM91" s="199">
        <f>BM88*BM23</f>
        <v>363.70628571428568</v>
      </c>
      <c r="BN91" s="199">
        <f>BN88*BN23</f>
        <v>364.82170015455949</v>
      </c>
      <c r="BO91" s="201">
        <f>(BK91+BL91+BM91+BN91)/4</f>
        <v>349.34141057178459</v>
      </c>
      <c r="BP91" s="226"/>
      <c r="BQ91" s="198">
        <f>BK91*(1+BQ92)</f>
        <v>332.20770697441048</v>
      </c>
      <c r="BR91" s="199">
        <f>BL91*(1+BR92)</f>
        <v>336.62994944388271</v>
      </c>
      <c r="BS91" s="199">
        <f>BM91*(1+BS92)</f>
        <v>363.70628571428568</v>
      </c>
      <c r="BT91" s="199">
        <f>BN91*(1+BT92)</f>
        <v>364.82170015455949</v>
      </c>
      <c r="BU91" s="201">
        <f>(BQ91+BR91+BS91+BT91)/4</f>
        <v>349.34141057178459</v>
      </c>
      <c r="BV91" s="226"/>
      <c r="BW91" s="198">
        <f>BQ91*(1+BW92)</f>
        <v>332.20770697441048</v>
      </c>
      <c r="BX91" s="199">
        <f>BR91*(1+BX92)</f>
        <v>336.62994944388271</v>
      </c>
      <c r="BY91" s="199">
        <f>BS91*(1+BY92)</f>
        <v>363.70628571428568</v>
      </c>
      <c r="BZ91" s="199">
        <f>BT91*(1+BZ92)</f>
        <v>364.82170015455949</v>
      </c>
      <c r="CA91" s="201">
        <f>(BW91+BX91+BY91+BZ91)/4</f>
        <v>349.34141057178459</v>
      </c>
      <c r="CB91" s="226"/>
      <c r="CC91" s="198">
        <f>BW91*(1+CC92)</f>
        <v>335.52978404415461</v>
      </c>
      <c r="CD91" s="199">
        <f>BX91*(1+CD92)</f>
        <v>339.99624893832151</v>
      </c>
      <c r="CE91" s="199">
        <f>BY91*(1+CE92)</f>
        <v>367.34334857142852</v>
      </c>
      <c r="CF91" s="199">
        <f>BZ91*(1+CF92)</f>
        <v>368.46991715610511</v>
      </c>
      <c r="CG91" s="201">
        <f>(CC91+CD91+CE91+CF91)/4</f>
        <v>352.83482467750247</v>
      </c>
      <c r="CH91" s="226"/>
      <c r="CI91" s="198">
        <f>CC91*(1+CI92)</f>
        <v>338.88508188459616</v>
      </c>
      <c r="CJ91" s="199">
        <f>CD91*(1+CJ92)</f>
        <v>343.39621142770471</v>
      </c>
      <c r="CK91" s="199">
        <f>CE91*(1+CK92)</f>
        <v>371.01678205714279</v>
      </c>
      <c r="CL91" s="199">
        <f>CF91*(1+CL92)</f>
        <v>372.15461632766619</v>
      </c>
      <c r="CM91" s="201">
        <f>(CI91+CJ91+CK91+CL91)/4</f>
        <v>356.36317292427748</v>
      </c>
      <c r="CN91" s="226"/>
      <c r="CO91" s="198">
        <f>CI91*(1+CO92)</f>
        <v>342.27393270344214</v>
      </c>
      <c r="CP91" s="199">
        <f>CJ91*(1+CP92)</f>
        <v>346.83017354198176</v>
      </c>
      <c r="CQ91" s="199">
        <f>CK91*(1+CQ92)</f>
        <v>374.72694987771422</v>
      </c>
      <c r="CR91" s="199">
        <f>CL91*(1+CR92)</f>
        <v>375.87616249094287</v>
      </c>
      <c r="CS91" s="201">
        <f>(CO91+CP91+CQ91+CR91)/4</f>
        <v>359.92680465352032</v>
      </c>
      <c r="CT91" s="226"/>
      <c r="CU91" s="198">
        <f>CO91*(1+CU92)</f>
        <v>345.69667203047658</v>
      </c>
      <c r="CV91" s="199">
        <f>CP91*(1+CV92)</f>
        <v>350.29847527740156</v>
      </c>
      <c r="CW91" s="199">
        <f>CQ91*(1+CW92)</f>
        <v>378.47421937649136</v>
      </c>
      <c r="CX91" s="199">
        <f>CR91*(1+CX92)</f>
        <v>379.6349241158523</v>
      </c>
      <c r="CY91" s="201">
        <f>(CU91+CV91+CW91+CX91)/4</f>
        <v>363.52607270005547</v>
      </c>
      <c r="CZ91" s="226"/>
      <c r="DA91" s="198">
        <f>CU91*(1+DA92)</f>
        <v>349.15363875078134</v>
      </c>
      <c r="DB91" s="199">
        <f>CV91*(1+DB92)</f>
        <v>353.80146003017558</v>
      </c>
      <c r="DC91" s="199">
        <f>CW91*(1+DC92)</f>
        <v>382.2589615702563</v>
      </c>
      <c r="DD91" s="199">
        <f>CX91*(1+DD92)</f>
        <v>383.43127335701081</v>
      </c>
      <c r="DE91" s="201">
        <f>(DA91+DB91+DC91+DD91)/4</f>
        <v>367.16133342705598</v>
      </c>
      <c r="DF91" s="226"/>
      <c r="DG91" s="198">
        <f>DA91*(1+DG92)</f>
        <v>352.64517513828918</v>
      </c>
      <c r="DH91" s="199">
        <f>DB91*(1+DH92)</f>
        <v>357.33947463047735</v>
      </c>
      <c r="DI91" s="199">
        <f>DC91*(1+DI92)</f>
        <v>386.08155118595886</v>
      </c>
      <c r="DJ91" s="199">
        <f>DD91*(1+DJ92)</f>
        <v>387.26558609058094</v>
      </c>
      <c r="DK91" s="201">
        <f>(DG91+DH91+DI91+DJ91)/4</f>
        <v>370.83294676132658</v>
      </c>
    </row>
    <row r="92" spans="2:115" ht="15.75" thickBot="1" x14ac:dyDescent="0.35">
      <c r="B92" s="41" t="s">
        <v>56</v>
      </c>
      <c r="C92" s="155"/>
      <c r="D92" s="106"/>
      <c r="E92" s="106"/>
      <c r="F92" s="106"/>
      <c r="G92" s="108"/>
      <c r="I92" s="155"/>
      <c r="J92" s="106"/>
      <c r="K92" s="106"/>
      <c r="L92" s="106"/>
      <c r="M92" s="108"/>
      <c r="O92" s="155" t="s">
        <v>35</v>
      </c>
      <c r="P92" s="106" t="s">
        <v>35</v>
      </c>
      <c r="Q92" s="106" t="s">
        <v>35</v>
      </c>
      <c r="R92" s="106" t="s">
        <v>35</v>
      </c>
      <c r="S92" s="122" t="s">
        <v>35</v>
      </c>
      <c r="U92" s="109">
        <f>U91/O91-1</f>
        <v>-1.9917696477285585E-2</v>
      </c>
      <c r="V92" s="110">
        <f>V91/P91-1</f>
        <v>3.7819140619552494E-2</v>
      </c>
      <c r="W92" s="110">
        <f>W91/Q91-1</f>
        <v>2.7969203077727434E-2</v>
      </c>
      <c r="X92" s="110">
        <f>X91/R91-1</f>
        <v>7.669479853008232E-2</v>
      </c>
      <c r="Y92" s="122">
        <f>Y91/S91-1</f>
        <v>3.0774723569606532E-2</v>
      </c>
      <c r="AA92" s="109">
        <f>AA91/U91-1</f>
        <v>5.0594011231162028E-3</v>
      </c>
      <c r="AB92" s="110">
        <f>AB91/V91-1</f>
        <v>-2.43142992228782E-2</v>
      </c>
      <c r="AC92" s="110">
        <f>AC91/W91-1</f>
        <v>3.482576477751409E-2</v>
      </c>
      <c r="AD92" s="110">
        <f>AD91/X91-1</f>
        <v>-3.5340065470403137E-2</v>
      </c>
      <c r="AE92" s="122">
        <f>AE91/Y91-1</f>
        <v>-4.9900536080311753E-3</v>
      </c>
      <c r="AG92" s="109">
        <f>AG91/AA91-1</f>
        <v>-1.8803005638760917E-2</v>
      </c>
      <c r="AH92" s="110">
        <f>AH91/AB91-1</f>
        <v>-2.321215431253254E-2</v>
      </c>
      <c r="AI92" s="110">
        <f>AI91/AC91-1</f>
        <v>-8.9882449447392876E-2</v>
      </c>
      <c r="AJ92" s="110">
        <f>AJ91/AD91-1</f>
        <v>1.5939643531069914E-2</v>
      </c>
      <c r="AK92" s="122">
        <f>AK91/AE91-1</f>
        <v>-3.0273371109142855E-2</v>
      </c>
      <c r="AM92" s="109">
        <f>AM91/AG91-1</f>
        <v>7.9582943101330184E-2</v>
      </c>
      <c r="AN92" s="110">
        <f>AN91/AH91-1</f>
        <v>9.134306760419908E-2</v>
      </c>
      <c r="AO92" s="110">
        <f>AO91/AI91-1</f>
        <v>5.7857350546619557E-2</v>
      </c>
      <c r="AP92" s="110">
        <f>AP91/AJ91-1</f>
        <v>0.10323608900341141</v>
      </c>
      <c r="AQ92" s="122">
        <f>AQ91/AK91-1</f>
        <v>8.3205511770697793E-2</v>
      </c>
      <c r="AS92" s="109">
        <f>AS91/AM91-1</f>
        <v>2.7555066248425852E-3</v>
      </c>
      <c r="AT92" s="110">
        <f>AT91/AN91-1</f>
        <v>-4.5826403582213127E-3</v>
      </c>
      <c r="AU92" s="110">
        <f>AU91/AO91-1</f>
        <v>9.7389446148707037E-2</v>
      </c>
      <c r="AV92" s="110">
        <f>AV91/AP91-1</f>
        <v>1.6073652892175438E-2</v>
      </c>
      <c r="AW92" s="122">
        <f>AW91/AQ91-1</f>
        <v>2.7937615914791047E-2</v>
      </c>
      <c r="AY92" s="109">
        <f>AY91/AS91-1</f>
        <v>8.8677075821296469E-2</v>
      </c>
      <c r="AZ92" s="110">
        <f>AZ91/AT91-1</f>
        <v>0.14823397808304861</v>
      </c>
      <c r="BA92" s="110">
        <f>BA91/AU91-1</f>
        <v>0.10438206484540657</v>
      </c>
      <c r="BB92" s="110">
        <f>BB91/AV91-1</f>
        <v>4.3021137055290648E-2</v>
      </c>
      <c r="BC92" s="122">
        <f>BC91/AW91-1</f>
        <v>9.4833577840161887E-2</v>
      </c>
      <c r="BE92" s="109">
        <f>BE91/AY91-1</f>
        <v>8.7255223646253155E-2</v>
      </c>
      <c r="BF92" s="110">
        <f>BF91/AZ91-1</f>
        <v>9.8430734179171253E-3</v>
      </c>
      <c r="BG92" s="110">
        <f>BG91/BA91-1</f>
        <v>-5.8283890938090388E-2</v>
      </c>
      <c r="BH92" s="110">
        <f>BH91/BB91-1</f>
        <v>5.5003742175912418E-2</v>
      </c>
      <c r="BI92" s="122">
        <f>BI91/BC91-1</f>
        <v>2.1012832133722403E-2</v>
      </c>
      <c r="BK92" s="109">
        <f>BK91/BE91-1</f>
        <v>-1.5794853182183544E-2</v>
      </c>
      <c r="BL92" s="110">
        <f>BL91/BF91-1</f>
        <v>-7.3614339108922788E-3</v>
      </c>
      <c r="BM92" s="110">
        <f>BM91/BG91-1</f>
        <v>7.7623012741105279E-2</v>
      </c>
      <c r="BN92" s="110">
        <f>BN91/BH91-1</f>
        <v>1.2784762047581166E-2</v>
      </c>
      <c r="BO92" s="122">
        <f>BO91/BI91-1</f>
        <v>1.6717109212157188E-2</v>
      </c>
      <c r="BQ92" s="174">
        <v>0</v>
      </c>
      <c r="BR92" s="175">
        <v>0</v>
      </c>
      <c r="BS92" s="175">
        <v>0</v>
      </c>
      <c r="BT92" s="175">
        <v>0</v>
      </c>
      <c r="BU92" s="122">
        <f>BU91/BO91-1</f>
        <v>0</v>
      </c>
      <c r="BW92" s="174">
        <v>0</v>
      </c>
      <c r="BX92" s="175">
        <v>0</v>
      </c>
      <c r="BY92" s="175">
        <v>0</v>
      </c>
      <c r="BZ92" s="175">
        <v>0</v>
      </c>
      <c r="CA92" s="122">
        <f>CA91/BU91-1</f>
        <v>0</v>
      </c>
      <c r="CC92" s="174">
        <v>0.01</v>
      </c>
      <c r="CD92" s="175">
        <v>0.01</v>
      </c>
      <c r="CE92" s="175">
        <v>0.01</v>
      </c>
      <c r="CF92" s="175">
        <v>0.01</v>
      </c>
      <c r="CG92" s="122">
        <f>CG91/CA91-1</f>
        <v>1.0000000000000009E-2</v>
      </c>
      <c r="CI92" s="174">
        <v>0.01</v>
      </c>
      <c r="CJ92" s="175">
        <v>0.01</v>
      </c>
      <c r="CK92" s="175">
        <v>0.01</v>
      </c>
      <c r="CL92" s="175">
        <v>0.01</v>
      </c>
      <c r="CM92" s="122">
        <f>CM91/CG91-1</f>
        <v>1.0000000000000009E-2</v>
      </c>
      <c r="CO92" s="174">
        <v>0.01</v>
      </c>
      <c r="CP92" s="175">
        <v>0.01</v>
      </c>
      <c r="CQ92" s="175">
        <v>0.01</v>
      </c>
      <c r="CR92" s="175">
        <v>0.01</v>
      </c>
      <c r="CS92" s="122">
        <f>CS91/CM91-1</f>
        <v>1.0000000000000231E-2</v>
      </c>
      <c r="CU92" s="174">
        <v>0.01</v>
      </c>
      <c r="CV92" s="175">
        <v>0.01</v>
      </c>
      <c r="CW92" s="175">
        <v>0.01</v>
      </c>
      <c r="CX92" s="175">
        <v>0.01</v>
      </c>
      <c r="CY92" s="122">
        <f>CY91/CS91-1</f>
        <v>9.9999999999997868E-3</v>
      </c>
      <c r="DA92" s="174">
        <v>0.01</v>
      </c>
      <c r="DB92" s="175">
        <v>0.01</v>
      </c>
      <c r="DC92" s="175">
        <v>0.01</v>
      </c>
      <c r="DD92" s="175">
        <v>0.01</v>
      </c>
      <c r="DE92" s="122">
        <f>DE91/CY91-1</f>
        <v>9.9999999999997868E-3</v>
      </c>
      <c r="DG92" s="174">
        <v>0.01</v>
      </c>
      <c r="DH92" s="175">
        <v>0.01</v>
      </c>
      <c r="DI92" s="175">
        <v>0.01</v>
      </c>
      <c r="DJ92" s="175">
        <v>0.01</v>
      </c>
      <c r="DK92" s="122">
        <f>DK91/DE91-1</f>
        <v>1.0000000000000009E-2</v>
      </c>
    </row>
    <row r="93" spans="2:115" ht="13.5" thickBot="1" x14ac:dyDescent="0.25">
      <c r="AA93" s="103"/>
      <c r="AB93" s="103"/>
      <c r="AC93" s="103"/>
      <c r="AD93" s="103"/>
      <c r="AE93" s="103"/>
      <c r="AG93" s="103"/>
      <c r="AH93" s="103"/>
      <c r="AI93" s="103"/>
      <c r="AJ93" s="103"/>
      <c r="AK93" s="103"/>
      <c r="AM93" s="103"/>
      <c r="AN93" s="103"/>
      <c r="AO93" s="103"/>
      <c r="AP93" s="103"/>
      <c r="AQ93" s="103"/>
      <c r="AS93" s="103"/>
      <c r="AT93" s="103"/>
      <c r="AU93" s="103"/>
      <c r="AV93" s="103"/>
      <c r="AW93" s="103"/>
      <c r="AY93" s="103"/>
      <c r="AZ93" s="103"/>
      <c r="BA93" s="103"/>
      <c r="BB93" s="103"/>
      <c r="BC93" s="103"/>
      <c r="BE93" s="103"/>
      <c r="BF93" s="103"/>
      <c r="BG93" s="103"/>
      <c r="BH93" s="103"/>
      <c r="BI93" s="103"/>
      <c r="BK93" s="103"/>
      <c r="BL93" s="103"/>
      <c r="BM93" s="103"/>
      <c r="BN93" s="103"/>
      <c r="BO93" s="103"/>
      <c r="BQ93" s="103"/>
      <c r="BR93" s="103"/>
      <c r="BS93" s="103"/>
      <c r="BT93" s="103"/>
      <c r="BU93" s="103"/>
      <c r="BW93" s="103"/>
      <c r="BX93" s="103"/>
      <c r="BY93" s="103"/>
      <c r="BZ93" s="103"/>
      <c r="CA93" s="103"/>
      <c r="CC93" s="103"/>
      <c r="CD93" s="103"/>
      <c r="CE93" s="103"/>
      <c r="CF93" s="103"/>
      <c r="CG93" s="103"/>
      <c r="CI93" s="103"/>
      <c r="CJ93" s="103"/>
      <c r="CK93" s="103"/>
      <c r="CL93" s="103"/>
      <c r="CM93" s="103"/>
      <c r="CO93" s="103"/>
      <c r="CP93" s="103"/>
      <c r="CQ93" s="103"/>
      <c r="CR93" s="103"/>
      <c r="CS93" s="103"/>
      <c r="CU93" s="103"/>
      <c r="CV93" s="103"/>
      <c r="CW93" s="103"/>
      <c r="CX93" s="103"/>
      <c r="CY93" s="103"/>
      <c r="DA93" s="103"/>
      <c r="DB93" s="103"/>
      <c r="DC93" s="103"/>
      <c r="DD93" s="103"/>
      <c r="DE93" s="103"/>
      <c r="DG93" s="103"/>
      <c r="DH93" s="103"/>
      <c r="DI93" s="103"/>
      <c r="DJ93" s="103"/>
      <c r="DK93" s="103"/>
    </row>
    <row r="94" spans="2:115" x14ac:dyDescent="0.2">
      <c r="B94" s="244" t="s">
        <v>106</v>
      </c>
      <c r="C94" s="221"/>
      <c r="D94" s="222"/>
      <c r="E94" s="222"/>
      <c r="F94" s="222"/>
      <c r="G94" s="167"/>
      <c r="H94" s="129"/>
      <c r="I94" s="126"/>
      <c r="J94" s="127"/>
      <c r="K94" s="127"/>
      <c r="L94" s="127"/>
      <c r="M94" s="167">
        <v>720</v>
      </c>
      <c r="N94" s="129"/>
      <c r="O94" s="126">
        <v>170</v>
      </c>
      <c r="P94" s="127">
        <v>169</v>
      </c>
      <c r="Q94" s="127">
        <v>178</v>
      </c>
      <c r="R94" s="127">
        <v>170</v>
      </c>
      <c r="S94" s="167">
        <f>O94+P94+Q94+R94</f>
        <v>687</v>
      </c>
      <c r="T94" s="129"/>
      <c r="U94" s="126">
        <v>162</v>
      </c>
      <c r="V94" s="127">
        <v>170</v>
      </c>
      <c r="W94" s="252">
        <v>177</v>
      </c>
      <c r="X94" s="252">
        <v>174</v>
      </c>
      <c r="Y94" s="253">
        <f>U94+V94+W94+X94</f>
        <v>683</v>
      </c>
      <c r="Z94" s="226"/>
      <c r="AA94" s="251">
        <v>155</v>
      </c>
      <c r="AB94" s="252">
        <v>158</v>
      </c>
      <c r="AC94" s="252">
        <v>173</v>
      </c>
      <c r="AD94" s="252">
        <v>160</v>
      </c>
      <c r="AE94" s="253">
        <f>AA94+AB94+AC94+AD94</f>
        <v>646</v>
      </c>
      <c r="AF94" s="226"/>
      <c r="AG94" s="251">
        <v>144</v>
      </c>
      <c r="AH94" s="252">
        <v>144</v>
      </c>
      <c r="AI94" s="252">
        <v>145</v>
      </c>
      <c r="AJ94" s="252">
        <v>144</v>
      </c>
      <c r="AK94" s="253">
        <f>AG94+AH94+AI94+AJ94</f>
        <v>577</v>
      </c>
      <c r="AL94" s="226"/>
      <c r="AM94" s="251">
        <v>135</v>
      </c>
      <c r="AN94" s="252">
        <v>138</v>
      </c>
      <c r="AO94" s="252">
        <v>137</v>
      </c>
      <c r="AP94" s="252">
        <v>145</v>
      </c>
      <c r="AQ94" s="253">
        <f>AM94+AN94+AO94+AP94</f>
        <v>555</v>
      </c>
      <c r="AR94" s="226"/>
      <c r="AS94" s="251">
        <v>127</v>
      </c>
      <c r="AT94" s="252">
        <v>130</v>
      </c>
      <c r="AU94" s="252">
        <v>141</v>
      </c>
      <c r="AV94" s="252">
        <v>139</v>
      </c>
      <c r="AW94" s="253">
        <f>AS94+AT94+AU94+AV94</f>
        <v>537</v>
      </c>
      <c r="AX94" s="226"/>
      <c r="AY94" s="251">
        <v>129</v>
      </c>
      <c r="AZ94" s="252">
        <v>139</v>
      </c>
      <c r="BA94" s="252">
        <v>146</v>
      </c>
      <c r="BB94" s="252">
        <v>136</v>
      </c>
      <c r="BC94" s="253">
        <f>AY94+AZ94+BA94+BB94</f>
        <v>550</v>
      </c>
      <c r="BD94" s="226"/>
      <c r="BE94" s="251">
        <v>134</v>
      </c>
      <c r="BF94" s="252">
        <v>137</v>
      </c>
      <c r="BG94" s="252">
        <v>136</v>
      </c>
      <c r="BH94" s="252">
        <v>144</v>
      </c>
      <c r="BI94" s="253">
        <f>BE94+BF94+BG94+BH94</f>
        <v>551</v>
      </c>
      <c r="BJ94" s="226"/>
      <c r="BK94" s="251">
        <v>133</v>
      </c>
      <c r="BL94" s="252">
        <v>134</v>
      </c>
      <c r="BM94" s="252">
        <v>144</v>
      </c>
      <c r="BN94" s="199">
        <v>141</v>
      </c>
      <c r="BO94" s="253">
        <f>BK94+BL94+BM94+BN94</f>
        <v>552</v>
      </c>
      <c r="BP94" s="226"/>
      <c r="BQ94" s="251">
        <f>BQ88*3*BQ85/1000</f>
        <v>128.23217489212243</v>
      </c>
      <c r="BR94" s="252">
        <f>BR88*3*BR85/1000</f>
        <v>129.4005525662285</v>
      </c>
      <c r="BS94" s="252">
        <f>BS88*3*BS85/1000</f>
        <v>139.22676617142855</v>
      </c>
      <c r="BT94" s="252">
        <f>BT88*3*BT85/1000</f>
        <v>139.07003209891806</v>
      </c>
      <c r="BU94" s="253">
        <f>BQ94+BR94+BS94+BT94</f>
        <v>535.92952572869751</v>
      </c>
      <c r="BV94" s="226"/>
      <c r="BW94" s="251">
        <f>BW88*3*BW85/1000</f>
        <v>126.17248710888109</v>
      </c>
      <c r="BX94" s="252">
        <f>BX88*3*BX85/1000</f>
        <v>127.44809885945398</v>
      </c>
      <c r="BY94" s="252">
        <f>BY88*3*BY85/1000</f>
        <v>137.26275222857143</v>
      </c>
      <c r="BZ94" s="252">
        <f>BZ88*3*BZ85/1000</f>
        <v>137.24592359814528</v>
      </c>
      <c r="CA94" s="253">
        <f>BW94+BX94+BY94+BZ94</f>
        <v>528.12926179505178</v>
      </c>
      <c r="CB94" s="226"/>
      <c r="CC94" s="251">
        <f>CC88*3*CC85/1000</f>
        <v>125.89077497336682</v>
      </c>
      <c r="CD94" s="252">
        <f>CD88*3*CD85/1000</f>
        <v>127.29459560250756</v>
      </c>
      <c r="CE94" s="252">
        <f>CE88*3*CE85/1000</f>
        <v>137.2394750262857</v>
      </c>
      <c r="CF94" s="252">
        <f>CF88*3*CF85/1000</f>
        <v>137.36558511579599</v>
      </c>
      <c r="CG94" s="253">
        <f>CC94+CD94+CE94+CF94</f>
        <v>527.79043071795604</v>
      </c>
      <c r="CH94" s="226"/>
      <c r="CI94" s="251">
        <f>CI88*3*CI85/1000</f>
        <v>126.06525046106978</v>
      </c>
      <c r="CJ94" s="252">
        <f>CJ88*3*CJ85/1000</f>
        <v>127.46867368196398</v>
      </c>
      <c r="CK94" s="252">
        <f>CK88*3*CK85/1000</f>
        <v>137.42461607396567</v>
      </c>
      <c r="CL94" s="252">
        <f>CL88*3*CL85/1000</f>
        <v>137.54834619470543</v>
      </c>
      <c r="CM94" s="253">
        <f>CI94+CJ94+CK94+CL94</f>
        <v>528.50688641170484</v>
      </c>
      <c r="CN94" s="226"/>
      <c r="CO94" s="251">
        <f>CO88*3*CO85/1000</f>
        <v>126.23062638102945</v>
      </c>
      <c r="CP94" s="252">
        <f>CP88*3*CP85/1000</f>
        <v>127.63350386344926</v>
      </c>
      <c r="CQ94" s="252">
        <f>CQ88*3*CQ85/1000</f>
        <v>137.59973599509664</v>
      </c>
      <c r="CR94" s="252">
        <f>CR88*3*CR85/1000</f>
        <v>137.72102593668149</v>
      </c>
      <c r="CS94" s="253">
        <f>CO94+CP94+CQ94+CR94</f>
        <v>529.18489217625688</v>
      </c>
      <c r="CT94" s="226"/>
      <c r="CU94" s="251">
        <f>CU88*3*CU85/1000</f>
        <v>126.38670329434224</v>
      </c>
      <c r="CV94" s="252">
        <f>CV88*3*CV85/1000</f>
        <v>127.78888378119611</v>
      </c>
      <c r="CW94" s="252">
        <f>CW88*3*CW85/1000</f>
        <v>137.76461585304287</v>
      </c>
      <c r="CX94" s="252">
        <f>CX88*3*CX85/1000</f>
        <v>137.88340443887753</v>
      </c>
      <c r="CY94" s="253">
        <f>CU94+CV94+CW94+CX94</f>
        <v>529.82360736745875</v>
      </c>
      <c r="CZ94" s="226"/>
      <c r="DA94" s="251">
        <f>DA88*3*DA85/1000</f>
        <v>126.53327868328316</v>
      </c>
      <c r="DB94" s="252">
        <f>DB88*3*DB85/1000</f>
        <v>127.9346079469115</v>
      </c>
      <c r="DC94" s="252">
        <f>DC88*3*DC85/1000</f>
        <v>137.91903333454846</v>
      </c>
      <c r="DD94" s="252">
        <f>DD88*3*DD85/1000</f>
        <v>138.03525840852387</v>
      </c>
      <c r="DE94" s="253">
        <f>DA94+DB94+DC94+DD94</f>
        <v>530.422178373267</v>
      </c>
      <c r="DF94" s="226"/>
      <c r="DG94" s="251">
        <f>DG88*3*DG85/1000</f>
        <v>126.67014690967348</v>
      </c>
      <c r="DH94" s="252">
        <f>DH88*3*DH85/1000</f>
        <v>128.07046770756307</v>
      </c>
      <c r="DI94" s="252">
        <f>DI88*3*DI85/1000</f>
        <v>138.06276270409887</v>
      </c>
      <c r="DJ94" s="252">
        <f>DJ88*3*DJ85/1000</f>
        <v>138.17636111711928</v>
      </c>
      <c r="DK94" s="253">
        <f>DG94+DH94+DI94+DJ94</f>
        <v>530.97973843845466</v>
      </c>
    </row>
    <row r="95" spans="2:115" ht="15.75" thickBot="1" x14ac:dyDescent="0.35">
      <c r="B95" s="41" t="s">
        <v>56</v>
      </c>
      <c r="C95" s="155"/>
      <c r="D95" s="106"/>
      <c r="E95" s="106"/>
      <c r="F95" s="106"/>
      <c r="G95" s="108"/>
      <c r="I95" s="155"/>
      <c r="J95" s="106"/>
      <c r="K95" s="106"/>
      <c r="L95" s="106"/>
      <c r="M95" s="108" t="s">
        <v>35</v>
      </c>
      <c r="O95" s="155" t="s">
        <v>35</v>
      </c>
      <c r="P95" s="106" t="s">
        <v>35</v>
      </c>
      <c r="Q95" s="106" t="s">
        <v>35</v>
      </c>
      <c r="R95" s="106" t="s">
        <v>35</v>
      </c>
      <c r="S95" s="122">
        <f>S94/M94-1</f>
        <v>-4.5833333333333282E-2</v>
      </c>
      <c r="U95" s="109">
        <f>U94/O94-1</f>
        <v>-4.705882352941182E-2</v>
      </c>
      <c r="V95" s="110">
        <f>V94/P94-1</f>
        <v>5.9171597633136397E-3</v>
      </c>
      <c r="W95" s="110">
        <f>W94/Q94-1</f>
        <v>-5.6179775280899014E-3</v>
      </c>
      <c r="X95" s="110">
        <f>X94/R94-1</f>
        <v>2.3529411764705799E-2</v>
      </c>
      <c r="Y95" s="122">
        <f>Y94/S94-1</f>
        <v>-5.8224163027656983E-3</v>
      </c>
      <c r="AA95" s="109">
        <f>AA94/U94-1</f>
        <v>-4.3209876543209846E-2</v>
      </c>
      <c r="AB95" s="110">
        <f>AB94/V94-1</f>
        <v>-7.0588235294117618E-2</v>
      </c>
      <c r="AC95" s="110">
        <f>AC94/W94-1</f>
        <v>-2.2598870056497189E-2</v>
      </c>
      <c r="AD95" s="110">
        <f>AD94/X94-1</f>
        <v>-8.0459770114942541E-2</v>
      </c>
      <c r="AE95" s="122">
        <f>AE94/Y94-1</f>
        <v>-5.4172767203513938E-2</v>
      </c>
      <c r="AG95" s="109">
        <f>AG94/AA94-1</f>
        <v>-7.096774193548383E-2</v>
      </c>
      <c r="AH95" s="110">
        <f>AH94/AB94-1</f>
        <v>-8.8607594936708889E-2</v>
      </c>
      <c r="AI95" s="110">
        <f>AI94/AC94-1</f>
        <v>-0.16184971098265899</v>
      </c>
      <c r="AJ95" s="110">
        <f>AJ94/AD94-1</f>
        <v>-9.9999999999999978E-2</v>
      </c>
      <c r="AK95" s="122">
        <f>AK94/AE94-1</f>
        <v>-0.10681114551083593</v>
      </c>
      <c r="AM95" s="109">
        <f>AM94/AG94-1</f>
        <v>-6.25E-2</v>
      </c>
      <c r="AN95" s="110">
        <f>AN94/AH94-1</f>
        <v>-4.166666666666663E-2</v>
      </c>
      <c r="AO95" s="110">
        <f>AO94/AI94-1</f>
        <v>-5.5172413793103448E-2</v>
      </c>
      <c r="AP95" s="110">
        <f>AP94/AJ94-1</f>
        <v>6.9444444444444198E-3</v>
      </c>
      <c r="AQ95" s="122">
        <f>AQ94/AK94-1</f>
        <v>-3.8128249566724448E-2</v>
      </c>
      <c r="AS95" s="109">
        <f>AS94/AM94-1</f>
        <v>-5.9259259259259234E-2</v>
      </c>
      <c r="AT95" s="110">
        <f>AT94/AN94-1</f>
        <v>-5.7971014492753659E-2</v>
      </c>
      <c r="AU95" s="110">
        <f>AU94/AO94-1</f>
        <v>2.9197080291970767E-2</v>
      </c>
      <c r="AV95" s="110">
        <f>AV94/AP94-1</f>
        <v>-4.1379310344827558E-2</v>
      </c>
      <c r="AW95" s="122">
        <f>AW94/AQ94-1</f>
        <v>-3.2432432432432434E-2</v>
      </c>
      <c r="AY95" s="109">
        <f>AY94/AS94-1</f>
        <v>1.5748031496062964E-2</v>
      </c>
      <c r="AZ95" s="110">
        <f>AZ94/AT94-1</f>
        <v>6.9230769230769207E-2</v>
      </c>
      <c r="BA95" s="110">
        <f>BA94/AU94-1</f>
        <v>3.5460992907801359E-2</v>
      </c>
      <c r="BB95" s="110">
        <f>BB94/AV94-1</f>
        <v>-2.1582733812949617E-2</v>
      </c>
      <c r="BC95" s="122">
        <f>BC94/AW94-1</f>
        <v>2.4208566108007368E-2</v>
      </c>
      <c r="BE95" s="109">
        <f>BE94/AY94-1</f>
        <v>3.8759689922480689E-2</v>
      </c>
      <c r="BF95" s="110">
        <f>BF94/AZ94-1</f>
        <v>-1.4388489208633115E-2</v>
      </c>
      <c r="BG95" s="110">
        <f>BG94/BA94-1</f>
        <v>-6.8493150684931559E-2</v>
      </c>
      <c r="BH95" s="110">
        <f>BH94/BB94-1</f>
        <v>5.8823529411764719E-2</v>
      </c>
      <c r="BI95" s="122">
        <f>BI94/BC94-1</f>
        <v>1.8181818181817189E-3</v>
      </c>
      <c r="BK95" s="109">
        <f>BK94/BE94-1</f>
        <v>-7.4626865671642006E-3</v>
      </c>
      <c r="BL95" s="110">
        <f>BL94/BF94-1</f>
        <v>-2.1897810218978075E-2</v>
      </c>
      <c r="BM95" s="110">
        <f>BM94/BG94-1</f>
        <v>5.8823529411764719E-2</v>
      </c>
      <c r="BN95" s="110">
        <f>BN94/BH94-1</f>
        <v>-2.083333333333337E-2</v>
      </c>
      <c r="BO95" s="122">
        <f>BO94/BI94-1</f>
        <v>1.814882032667775E-3</v>
      </c>
      <c r="BQ95" s="109">
        <f>BQ94/BK94-1</f>
        <v>-3.5848309081786267E-2</v>
      </c>
      <c r="BR95" s="110">
        <f>BR94/BL94-1</f>
        <v>-3.4324234580384361E-2</v>
      </c>
      <c r="BS95" s="110">
        <f>BS94/BM94-1</f>
        <v>-3.3147457142857273E-2</v>
      </c>
      <c r="BT95" s="110">
        <f>BT94/BN94-1</f>
        <v>-1.3687715610510187E-2</v>
      </c>
      <c r="BU95" s="122">
        <f>BU94/BO94-1</f>
        <v>-2.9113178027721842E-2</v>
      </c>
      <c r="BW95" s="109">
        <f>BW94/BQ94-1</f>
        <v>-1.6062176165803077E-2</v>
      </c>
      <c r="BX95" s="110">
        <f>BX94/BR94-1</f>
        <v>-1.5088449531737824E-2</v>
      </c>
      <c r="BY95" s="110">
        <f>BY94/BS94-1</f>
        <v>-1.410658307210011E-2</v>
      </c>
      <c r="BZ95" s="110">
        <f>BZ94/BT94-1</f>
        <v>-1.3116474291710256E-2</v>
      </c>
      <c r="CA95" s="122">
        <f>CA94/BU94-1</f>
        <v>-1.4554644891116575E-2</v>
      </c>
      <c r="CC95" s="109">
        <f>CC94/BW94-1</f>
        <v>-2.232754081095023E-3</v>
      </c>
      <c r="CD95" s="110">
        <f>CD94/BX94-1</f>
        <v>-1.2044374009509973E-3</v>
      </c>
      <c r="CE95" s="110">
        <f>CE94/BY94-1</f>
        <v>-1.6958134605205011E-4</v>
      </c>
      <c r="CF95" s="110">
        <f>CF94/BZ94-1</f>
        <v>8.7187666135046804E-4</v>
      </c>
      <c r="CG95" s="122">
        <f>CG94/CA94-1</f>
        <v>-6.4156845985785527E-4</v>
      </c>
      <c r="CI95" s="109">
        <f>CI94/CC94-1</f>
        <v>1.3859275053305087E-3</v>
      </c>
      <c r="CJ95" s="110">
        <f>CJ94/CD94-1</f>
        <v>1.3675213675212738E-3</v>
      </c>
      <c r="CK95" s="110">
        <f>CK94/CE94-1</f>
        <v>1.3490364025692259E-3</v>
      </c>
      <c r="CL95" s="110">
        <f>CL94/CF94-1</f>
        <v>1.3304721030042987E-3</v>
      </c>
      <c r="CM95" s="122">
        <f>CM94/CG94-1</f>
        <v>1.3574624548879921E-3</v>
      </c>
      <c r="CO95" s="109">
        <f>CO94/CI94-1</f>
        <v>1.3118279569892533E-3</v>
      </c>
      <c r="CP95" s="110">
        <f>CP94/CJ94-1</f>
        <v>1.293103448275712E-3</v>
      </c>
      <c r="CQ95" s="110">
        <f>CQ94/CK94-1</f>
        <v>1.2742980561555317E-3</v>
      </c>
      <c r="CR95" s="110">
        <f>CR94/CL94-1</f>
        <v>1.2554112554112873E-3</v>
      </c>
      <c r="CS95" s="122">
        <f>CS94/CM94-1</f>
        <v>1.2828702557792226E-3</v>
      </c>
      <c r="CU95" s="109">
        <f>CU94/CO94-1</f>
        <v>1.2364425162691983E-3</v>
      </c>
      <c r="CV95" s="110">
        <f>CV94/CP94-1</f>
        <v>1.2173913043480589E-3</v>
      </c>
      <c r="CW95" s="110">
        <f>CW94/CQ94-1</f>
        <v>1.1982570806103876E-3</v>
      </c>
      <c r="CX95" s="110">
        <f>CX94/CR94-1</f>
        <v>1.1790393013098033E-3</v>
      </c>
      <c r="CY95" s="122">
        <f>CY94/CS94-1</f>
        <v>1.2069792630986509E-3</v>
      </c>
      <c r="DA95" s="109">
        <f>DA94/CU94-1</f>
        <v>1.1597374179430631E-3</v>
      </c>
      <c r="DB95" s="110">
        <f>DB94/CV94-1</f>
        <v>1.1403508771929971E-3</v>
      </c>
      <c r="DC95" s="110">
        <f>DC94/CW94-1</f>
        <v>1.1208791208789926E-3</v>
      </c>
      <c r="DD95" s="110">
        <f>DD94/CX94-1</f>
        <v>1.1013215859030367E-3</v>
      </c>
      <c r="DE95" s="122">
        <f>DE94/CY94-1</f>
        <v>1.1297552571927216E-3</v>
      </c>
      <c r="DG95" s="109">
        <f>DG94/DA94-1</f>
        <v>1.0816777041944281E-3</v>
      </c>
      <c r="DH95" s="110">
        <f>DH94/DB94-1</f>
        <v>1.061946902654709E-3</v>
      </c>
      <c r="DI95" s="110">
        <f>DI94/DC94-1</f>
        <v>1.0421286031041532E-3</v>
      </c>
      <c r="DJ95" s="110">
        <f>DJ94/DD94-1</f>
        <v>1.0222222222224797E-3</v>
      </c>
      <c r="DK95" s="122">
        <f>DK94/DE94-1</f>
        <v>1.0511628056308897E-3</v>
      </c>
    </row>
    <row r="96" spans="2:115" ht="13.5" thickBot="1" x14ac:dyDescent="0.25">
      <c r="AA96" s="103"/>
      <c r="AB96" s="103"/>
      <c r="AC96" s="103"/>
      <c r="AD96" s="103"/>
      <c r="AE96" s="103"/>
      <c r="AG96" s="103"/>
      <c r="AH96" s="103"/>
      <c r="AI96" s="103"/>
      <c r="AJ96" s="103"/>
      <c r="AK96" s="103"/>
      <c r="AM96" s="103"/>
      <c r="AN96" s="103"/>
      <c r="AO96" s="103"/>
      <c r="AP96" s="103"/>
      <c r="AQ96" s="103"/>
      <c r="AS96" s="103"/>
      <c r="AT96" s="103"/>
      <c r="AU96" s="103"/>
      <c r="AV96" s="103"/>
      <c r="AW96" s="103"/>
      <c r="AY96" s="103"/>
      <c r="AZ96" s="103"/>
      <c r="BA96" s="103"/>
      <c r="BB96" s="103"/>
      <c r="BC96" s="103"/>
      <c r="BE96" s="103"/>
      <c r="BF96" s="103"/>
      <c r="BG96" s="103"/>
      <c r="BH96" s="103"/>
      <c r="BI96" s="103"/>
      <c r="BK96" s="103"/>
      <c r="BL96" s="103"/>
      <c r="BM96" s="103"/>
      <c r="BN96" s="103"/>
      <c r="BO96" s="103"/>
      <c r="BQ96" s="103"/>
      <c r="BR96" s="103"/>
      <c r="BS96" s="103"/>
      <c r="BT96" s="103"/>
      <c r="BU96" s="103"/>
      <c r="BW96" s="103"/>
      <c r="BX96" s="103"/>
      <c r="BY96" s="103"/>
      <c r="BZ96" s="103"/>
      <c r="CA96" s="103"/>
      <c r="CC96" s="103"/>
      <c r="CD96" s="103"/>
      <c r="CE96" s="103"/>
      <c r="CF96" s="103"/>
      <c r="CG96" s="103"/>
      <c r="CI96" s="103"/>
      <c r="CJ96" s="103"/>
      <c r="CK96" s="103"/>
      <c r="CL96" s="103"/>
      <c r="CM96" s="103"/>
      <c r="CO96" s="103"/>
      <c r="CP96" s="103"/>
      <c r="CQ96" s="103"/>
      <c r="CR96" s="103"/>
      <c r="CS96" s="103"/>
      <c r="CU96" s="103"/>
      <c r="CV96" s="103"/>
      <c r="CW96" s="103"/>
      <c r="CX96" s="103"/>
      <c r="CY96" s="103"/>
      <c r="DA96" s="103"/>
      <c r="DB96" s="103"/>
      <c r="DC96" s="103"/>
      <c r="DD96" s="103"/>
      <c r="DE96" s="103"/>
      <c r="DG96" s="103"/>
      <c r="DH96" s="103"/>
      <c r="DI96" s="103"/>
      <c r="DJ96" s="103"/>
      <c r="DK96" s="103"/>
    </row>
    <row r="97" spans="2:115" ht="15" x14ac:dyDescent="0.3">
      <c r="B97" s="42" t="s">
        <v>61</v>
      </c>
      <c r="C97" s="221"/>
      <c r="D97" s="222"/>
      <c r="E97" s="222"/>
      <c r="F97" s="222"/>
      <c r="G97" s="224"/>
      <c r="I97" s="221"/>
      <c r="J97" s="222"/>
      <c r="K97" s="222"/>
      <c r="L97" s="222"/>
      <c r="M97" s="167">
        <v>286</v>
      </c>
      <c r="O97" s="126">
        <v>71</v>
      </c>
      <c r="P97" s="127">
        <v>69</v>
      </c>
      <c r="Q97" s="127">
        <v>67</v>
      </c>
      <c r="R97" s="127">
        <v>68</v>
      </c>
      <c r="S97" s="167">
        <f>O97+P97+Q97+R97</f>
        <v>275</v>
      </c>
      <c r="T97" s="129"/>
      <c r="U97" s="126">
        <v>66</v>
      </c>
      <c r="V97" s="127">
        <v>66</v>
      </c>
      <c r="W97" s="252">
        <v>78</v>
      </c>
      <c r="X97" s="252">
        <v>76</v>
      </c>
      <c r="Y97" s="253">
        <f>U97+V97+W97+X97</f>
        <v>286</v>
      </c>
      <c r="Z97" s="226"/>
      <c r="AA97" s="251">
        <v>70</v>
      </c>
      <c r="AB97" s="252">
        <v>68</v>
      </c>
      <c r="AC97" s="252">
        <v>83</v>
      </c>
      <c r="AD97" s="258">
        <v>75</v>
      </c>
      <c r="AE97" s="253">
        <f>AA97+AB97+AC97+AD97</f>
        <v>296</v>
      </c>
      <c r="AF97" s="226"/>
      <c r="AG97" s="251">
        <v>68</v>
      </c>
      <c r="AH97" s="252">
        <v>64</v>
      </c>
      <c r="AI97" s="252">
        <f>AC97-10</f>
        <v>73</v>
      </c>
      <c r="AJ97" s="258">
        <v>70</v>
      </c>
      <c r="AK97" s="253">
        <f>AG97+AH97+AI97+AJ97</f>
        <v>275</v>
      </c>
      <c r="AL97" s="226"/>
      <c r="AM97" s="251">
        <v>60</v>
      </c>
      <c r="AN97" s="252">
        <v>56</v>
      </c>
      <c r="AO97" s="252">
        <v>58</v>
      </c>
      <c r="AP97" s="258">
        <v>63</v>
      </c>
      <c r="AQ97" s="253">
        <f>AM97+AN97+AO97+AP97</f>
        <v>237</v>
      </c>
      <c r="AR97" s="226"/>
      <c r="AS97" s="251">
        <v>56</v>
      </c>
      <c r="AT97" s="199">
        <f>AN97*0.87</f>
        <v>48.72</v>
      </c>
      <c r="AU97" s="199">
        <f>AO97*0.962</f>
        <v>55.795999999999999</v>
      </c>
      <c r="AV97" s="258">
        <v>54</v>
      </c>
      <c r="AW97" s="253">
        <f>AS97+AT97+AU97+AV97</f>
        <v>214.51599999999999</v>
      </c>
      <c r="AX97" s="226"/>
      <c r="AY97" s="251">
        <v>56</v>
      </c>
      <c r="AZ97" s="252">
        <f>AT97*1.045</f>
        <v>50.912399999999998</v>
      </c>
      <c r="BA97" s="199">
        <f>AU97*1.01</f>
        <v>56.353960000000001</v>
      </c>
      <c r="BB97" s="199">
        <f>AV97*0.98</f>
        <v>52.92</v>
      </c>
      <c r="BC97" s="253">
        <f>AY97+AZ97+BA97+BB97</f>
        <v>216.18635999999998</v>
      </c>
      <c r="BD97" s="226"/>
      <c r="BE97" s="198">
        <f>AY97*1.01</f>
        <v>56.56</v>
      </c>
      <c r="BF97" s="199">
        <f>AZ97*1.056</f>
        <v>53.763494399999999</v>
      </c>
      <c r="BG97" s="199">
        <f>BA97*1.01</f>
        <v>56.917499599999999</v>
      </c>
      <c r="BH97" s="199">
        <f>BB97*1</f>
        <v>52.92</v>
      </c>
      <c r="BI97" s="253">
        <f>BE97+BF97+BG97+BH97</f>
        <v>220.16099400000002</v>
      </c>
      <c r="BJ97" s="226"/>
      <c r="BK97" s="198">
        <f>BE97*1.024</f>
        <v>57.917440000000006</v>
      </c>
      <c r="BL97" s="199">
        <f>BF97*1.011</f>
        <v>54.354892838399991</v>
      </c>
      <c r="BM97" s="199">
        <f>BG97*1.049</f>
        <v>59.706457080399993</v>
      </c>
      <c r="BN97" s="199">
        <f>BH97*1.043</f>
        <v>55.19556</v>
      </c>
      <c r="BO97" s="253">
        <f>BK97+BL97+BM97+BN97</f>
        <v>227.17434991879998</v>
      </c>
      <c r="BP97" s="226"/>
      <c r="BQ97" s="251">
        <f>BQ100*BQ94</f>
        <v>55.200036835193586</v>
      </c>
      <c r="BR97" s="252">
        <f>BR100*BR94</f>
        <v>51.842199983191954</v>
      </c>
      <c r="BS97" s="252">
        <f>BS100*BS94</f>
        <v>57.031206022318443</v>
      </c>
      <c r="BT97" s="258">
        <f>BT100*BT94</f>
        <v>53.744708711262561</v>
      </c>
      <c r="BU97" s="253">
        <f>BQ97+BR97+BS97+BT97</f>
        <v>217.81815155196654</v>
      </c>
      <c r="BV97" s="226"/>
      <c r="BW97" s="251">
        <f>BW100*BW94</f>
        <v>53.997972901415679</v>
      </c>
      <c r="BX97" s="252">
        <f>BX100*BX94</f>
        <v>50.741361317982665</v>
      </c>
      <c r="BY97" s="252">
        <f>BY100*BY94</f>
        <v>55.883533696291124</v>
      </c>
      <c r="BZ97" s="258">
        <f>BZ100*BZ94</f>
        <v>52.696652812140464</v>
      </c>
      <c r="CA97" s="253">
        <f>BW97+BX97+BY97+BZ97</f>
        <v>213.31952072782994</v>
      </c>
      <c r="CB97" s="226"/>
      <c r="CC97" s="251">
        <f>CC100*CC94</f>
        <v>53.562681769615764</v>
      </c>
      <c r="CD97" s="252">
        <f>CD100*CD94</f>
        <v>50.362010035629851</v>
      </c>
      <c r="CE97" s="252">
        <f>CE100*CE94</f>
        <v>55.530958203859051</v>
      </c>
      <c r="CF97" s="258">
        <f>CF100*CF94</f>
        <v>52.399183831069166</v>
      </c>
      <c r="CG97" s="253">
        <f>CC97+CD97+CE97+CF97</f>
        <v>211.85483384017382</v>
      </c>
      <c r="CH97" s="226"/>
      <c r="CI97" s="251">
        <f>CI100*CI94</f>
        <v>53.321752637386865</v>
      </c>
      <c r="CJ97" s="252">
        <f>CJ100*CJ94</f>
        <v>50.112209476259991</v>
      </c>
      <c r="CK97" s="252">
        <f>CK100*CK94</f>
        <v>55.262309947760691</v>
      </c>
      <c r="CL97" s="258">
        <f>CL100*CL94</f>
        <v>52.125028617889839</v>
      </c>
      <c r="CM97" s="253">
        <f>CI97+CJ97+CK97+CL97</f>
        <v>210.82130067929739</v>
      </c>
      <c r="CN97" s="226"/>
      <c r="CO97" s="251">
        <f>CO100*CO94</f>
        <v>53.076125037259679</v>
      </c>
      <c r="CP97" s="252">
        <f>CP100*CP94</f>
        <v>49.857925987475838</v>
      </c>
      <c r="CQ97" s="252">
        <f>CQ100*CQ94</f>
        <v>54.988731261918048</v>
      </c>
      <c r="CR97" s="258">
        <f>CR100*CR94</f>
        <v>51.846164400663675</v>
      </c>
      <c r="CS97" s="253">
        <f>CO97+CP97+CQ97+CR97</f>
        <v>209.76894668731723</v>
      </c>
      <c r="CT97" s="226"/>
      <c r="CU97" s="251">
        <f>CU100*CU94</f>
        <v>52.825783856618706</v>
      </c>
      <c r="CV97" s="252">
        <f>CV100*CV94</f>
        <v>49.599150383572834</v>
      </c>
      <c r="CW97" s="252">
        <f>CW100*CW94</f>
        <v>54.710210358873809</v>
      </c>
      <c r="CX97" s="258">
        <f>CX100*CX94</f>
        <v>51.562584555017033</v>
      </c>
      <c r="CY97" s="253">
        <f>CU97+CV97+CW97+CX97</f>
        <v>208.69772915408237</v>
      </c>
      <c r="CZ97" s="226"/>
      <c r="DA97" s="251">
        <f>DA100*DA94</f>
        <v>52.57071469808119</v>
      </c>
      <c r="DB97" s="252">
        <f>DB100*DB94</f>
        <v>49.335874298353481</v>
      </c>
      <c r="DC97" s="252">
        <f>DC100*DC94</f>
        <v>54.4267363080276</v>
      </c>
      <c r="DD97" s="258">
        <f>DD100*DD94</f>
        <v>51.274283396391112</v>
      </c>
      <c r="DE97" s="253">
        <f>DA97+DB97+DC97+DD97</f>
        <v>207.6076087008534</v>
      </c>
      <c r="DF97" s="226"/>
      <c r="DG97" s="251">
        <f>DG100*DG94</f>
        <v>52.310903900789484</v>
      </c>
      <c r="DH97" s="252">
        <f>DH100*DH94</f>
        <v>49.068090207985477</v>
      </c>
      <c r="DI97" s="252">
        <f>DI100*DI94</f>
        <v>54.138299059947556</v>
      </c>
      <c r="DJ97" s="258">
        <f>DJ100*DJ94</f>
        <v>50.98125620551464</v>
      </c>
      <c r="DK97" s="253">
        <f>DG97+DH97+DI97+DJ97</f>
        <v>206.49854937423714</v>
      </c>
    </row>
    <row r="98" spans="2:115" ht="15.75" thickBot="1" x14ac:dyDescent="0.35">
      <c r="B98" s="41" t="s">
        <v>23</v>
      </c>
      <c r="C98" s="155"/>
      <c r="D98" s="106"/>
      <c r="E98" s="106"/>
      <c r="F98" s="106"/>
      <c r="G98" s="108"/>
      <c r="I98" s="155"/>
      <c r="J98" s="106"/>
      <c r="K98" s="106"/>
      <c r="L98" s="106"/>
      <c r="M98" s="108" t="s">
        <v>35</v>
      </c>
      <c r="O98" s="155" t="s">
        <v>35</v>
      </c>
      <c r="P98" s="106" t="s">
        <v>35</v>
      </c>
      <c r="Q98" s="106" t="s">
        <v>35</v>
      </c>
      <c r="R98" s="106" t="s">
        <v>35</v>
      </c>
      <c r="S98" s="122">
        <f>S97/M97-1</f>
        <v>-3.8461538461538436E-2</v>
      </c>
      <c r="U98" s="109">
        <f>U97/O97-1</f>
        <v>-7.0422535211267623E-2</v>
      </c>
      <c r="V98" s="110">
        <f>V97/P97-1</f>
        <v>-4.3478260869565188E-2</v>
      </c>
      <c r="W98" s="110">
        <f>W97/Q97-1</f>
        <v>0.16417910447761197</v>
      </c>
      <c r="X98" s="110">
        <f>X97/R97-1</f>
        <v>0.11764705882352944</v>
      </c>
      <c r="Y98" s="122">
        <f>Y97/S97-1</f>
        <v>4.0000000000000036E-2</v>
      </c>
      <c r="AA98" s="109">
        <f>AA97/U97-1</f>
        <v>6.0606060606060552E-2</v>
      </c>
      <c r="AB98" s="110">
        <f>AB97/V97-1</f>
        <v>3.0303030303030276E-2</v>
      </c>
      <c r="AC98" s="110">
        <f>AC97/W97-1</f>
        <v>6.4102564102564097E-2</v>
      </c>
      <c r="AD98" s="120">
        <f>AD97/X97-1</f>
        <v>-1.3157894736842146E-2</v>
      </c>
      <c r="AE98" s="122">
        <f>AE97/Y97-1</f>
        <v>3.4965034965035002E-2</v>
      </c>
      <c r="AG98" s="109">
        <f>AG97/AA97-1</f>
        <v>-2.8571428571428581E-2</v>
      </c>
      <c r="AH98" s="110">
        <f>AH97/AB97-1</f>
        <v>-5.8823529411764719E-2</v>
      </c>
      <c r="AI98" s="110">
        <f>AI97/AC97-1</f>
        <v>-0.12048192771084343</v>
      </c>
      <c r="AJ98" s="120">
        <f>AJ97/AD97-1</f>
        <v>-6.6666666666666652E-2</v>
      </c>
      <c r="AK98" s="122">
        <f>AK97/AE97-1</f>
        <v>-7.0945945945945943E-2</v>
      </c>
      <c r="AM98" s="109">
        <f>AM97/AG97-1</f>
        <v>-0.11764705882352944</v>
      </c>
      <c r="AN98" s="110">
        <f>AN97/AH97-1</f>
        <v>-0.125</v>
      </c>
      <c r="AO98" s="110">
        <f>AO97/AI97-1</f>
        <v>-0.20547945205479456</v>
      </c>
      <c r="AP98" s="120">
        <f>AP97/AJ97-1</f>
        <v>-9.9999999999999978E-2</v>
      </c>
      <c r="AQ98" s="122">
        <f>AQ97/AK97-1</f>
        <v>-0.13818181818181818</v>
      </c>
      <c r="AS98" s="109">
        <f>AS97/AM97-1</f>
        <v>-6.6666666666666652E-2</v>
      </c>
      <c r="AT98" s="110">
        <f>AT97/AN97-1</f>
        <v>-0.13</v>
      </c>
      <c r="AU98" s="110">
        <f>AU97/AO97-1</f>
        <v>-3.8000000000000034E-2</v>
      </c>
      <c r="AV98" s="120">
        <f>AV97/AP97-1</f>
        <v>-0.1428571428571429</v>
      </c>
      <c r="AW98" s="122">
        <f>AW97/AQ97-1</f>
        <v>-9.486919831223628E-2</v>
      </c>
      <c r="AY98" s="109">
        <f>AY97/AS97-1</f>
        <v>0</v>
      </c>
      <c r="AZ98" s="110">
        <f>AZ97/AT97-1</f>
        <v>4.4999999999999929E-2</v>
      </c>
      <c r="BA98" s="110">
        <f>BA97/AU97-1</f>
        <v>1.0000000000000009E-2</v>
      </c>
      <c r="BB98" s="120">
        <f>BB97/AV97-1</f>
        <v>-2.0000000000000018E-2</v>
      </c>
      <c r="BC98" s="122">
        <f>BC97/AW97-1</f>
        <v>7.7866452852000112E-3</v>
      </c>
      <c r="BE98" s="109">
        <f>BE97/AY97-1</f>
        <v>1.0000000000000009E-2</v>
      </c>
      <c r="BF98" s="110">
        <f>BF97/AZ97-1</f>
        <v>5.600000000000005E-2</v>
      </c>
      <c r="BG98" s="110">
        <f>BG97/BA97-1</f>
        <v>1.0000000000000009E-2</v>
      </c>
      <c r="BH98" s="120">
        <f>BH97/BB97-1</f>
        <v>0</v>
      </c>
      <c r="BI98" s="122">
        <f>BI97/BC97-1</f>
        <v>1.8385220973238248E-2</v>
      </c>
      <c r="BK98" s="109">
        <f>BK97/BE97-1</f>
        <v>2.4000000000000021E-2</v>
      </c>
      <c r="BL98" s="110">
        <f>BL97/BF97-1</f>
        <v>1.0999999999999899E-2</v>
      </c>
      <c r="BM98" s="110">
        <f>BM97/BG97-1</f>
        <v>4.8999999999999932E-2</v>
      </c>
      <c r="BN98" s="120">
        <f>BN97/BH97-1</f>
        <v>4.2999999999999927E-2</v>
      </c>
      <c r="BO98" s="122">
        <f>BO97/BI97-1</f>
        <v>3.1855578916944571E-2</v>
      </c>
      <c r="BQ98" s="109">
        <f>BQ97/BK97-1</f>
        <v>-4.6918564853806077E-2</v>
      </c>
      <c r="BR98" s="110">
        <f>BR97/BL97-1</f>
        <v>-4.622753765108889E-2</v>
      </c>
      <c r="BS98" s="110">
        <f>BS97/BM97-1</f>
        <v>-4.4806729270153944E-2</v>
      </c>
      <c r="BT98" s="120">
        <f>BT97/BN97-1</f>
        <v>-2.628565212016043E-2</v>
      </c>
      <c r="BU98" s="122">
        <f>BU97/BO97-1</f>
        <v>-4.1185100211259207E-2</v>
      </c>
      <c r="BW98" s="109">
        <f>BW97/BQ97-1</f>
        <v>-2.1776506007900265E-2</v>
      </c>
      <c r="BX98" s="110">
        <f>BX97/BR97-1</f>
        <v>-2.1234412613010178E-2</v>
      </c>
      <c r="BY98" s="110">
        <f>BY97/BS97-1</f>
        <v>-2.0123585069868444E-2</v>
      </c>
      <c r="BZ98" s="120">
        <f>BZ97/BT97-1</f>
        <v>-1.9500634095026226E-2</v>
      </c>
      <c r="CA98" s="122">
        <f>CA97/BU97-1</f>
        <v>-2.0653149391286263E-2</v>
      </c>
      <c r="CC98" s="109">
        <f>CC97/BW97-1</f>
        <v>-8.0612494953213876E-3</v>
      </c>
      <c r="CD98" s="110">
        <f>CD97/BX97-1</f>
        <v>-7.4761747122927824E-3</v>
      </c>
      <c r="CE98" s="110">
        <f>CE97/BY97-1</f>
        <v>-6.3091123469072308E-3</v>
      </c>
      <c r="CF98" s="120">
        <f>CF97/BZ97-1</f>
        <v>-5.6449312280184571E-3</v>
      </c>
      <c r="CG98" s="122">
        <f>CG97/CA97-1</f>
        <v>-6.8661643466041422E-3</v>
      </c>
      <c r="CI98" s="109">
        <f>CI97/CC97-1</f>
        <v>-4.4980782191822444E-3</v>
      </c>
      <c r="CJ98" s="110">
        <f>CJ97/CD97-1</f>
        <v>-4.9600990745430895E-3</v>
      </c>
      <c r="CK98" s="110">
        <f>CK97/CE97-1</f>
        <v>-4.8378105616713185E-3</v>
      </c>
      <c r="CL98" s="120">
        <f>CL97/CF97-1</f>
        <v>-5.2320512102475014E-3</v>
      </c>
      <c r="CM98" s="122">
        <f>CM97/CG97-1</f>
        <v>-4.8784969506815434E-3</v>
      </c>
      <c r="CO98" s="109">
        <f>CO97/CI97-1</f>
        <v>-4.606517752662187E-3</v>
      </c>
      <c r="CP98" s="110">
        <f>CP97/CJ97-1</f>
        <v>-5.0742821248904724E-3</v>
      </c>
      <c r="CQ98" s="110">
        <f>CQ97/CK97-1</f>
        <v>-4.9505474183264564E-3</v>
      </c>
      <c r="CR98" s="120">
        <f>CR97/CL97-1</f>
        <v>-5.3499101030796137E-3</v>
      </c>
      <c r="CS98" s="122">
        <f>CS97/CM97-1</f>
        <v>-4.9916872184609939E-3</v>
      </c>
      <c r="CU98" s="109">
        <f>CU97/CO97-1</f>
        <v>-4.7166438858381454E-3</v>
      </c>
      <c r="CV98" s="110">
        <f>CV97/CP97-1</f>
        <v>-5.1902600996280857E-3</v>
      </c>
      <c r="CW98" s="110">
        <f>CW97/CQ97-1</f>
        <v>-5.0650541784208469E-3</v>
      </c>
      <c r="CX98" s="120">
        <f>CX97/CR97-1</f>
        <v>-5.4696398262975565E-3</v>
      </c>
      <c r="CY98" s="122">
        <f>CY97/CS97-1</f>
        <v>-5.106654488910678E-3</v>
      </c>
      <c r="DA98" s="109">
        <f>DA97/CU97-1</f>
        <v>-4.8284973722270141E-3</v>
      </c>
      <c r="DB98" s="110">
        <f>DB97/CV97-1</f>
        <v>-5.3080765130716356E-3</v>
      </c>
      <c r="DC98" s="110">
        <f>DC97/CW97-1</f>
        <v>-5.1813738054879988E-3</v>
      </c>
      <c r="DD98" s="120">
        <f>DD97/CX97-1</f>
        <v>-5.5912860286959631E-3</v>
      </c>
      <c r="DE98" s="122">
        <f>DE97/CY97-1</f>
        <v>-5.2234418536682981E-3</v>
      </c>
      <c r="DG98" s="109">
        <f>DG97/DA97-1</f>
        <v>-4.9421203189613516E-3</v>
      </c>
      <c r="DH98" s="110">
        <f>DH97/DB97-1</f>
        <v>-5.4277763225316633E-3</v>
      </c>
      <c r="DI98" s="110">
        <f>DI97/DC97-1</f>
        <v>-5.2995506922853819E-3</v>
      </c>
      <c r="DJ98" s="120">
        <f>DJ97/DD97-1</f>
        <v>-5.7148958789172699E-3</v>
      </c>
      <c r="DK98" s="122">
        <f>DK97/DE97-1</f>
        <v>-5.3420938353677672E-3</v>
      </c>
    </row>
    <row r="99" spans="2:115" ht="15.75" thickBot="1" x14ac:dyDescent="0.35">
      <c r="B99" s="1"/>
      <c r="AA99" s="103"/>
      <c r="AB99" s="103"/>
      <c r="AC99" s="103"/>
      <c r="AD99" s="103"/>
      <c r="AE99" s="103"/>
      <c r="AG99" s="103"/>
      <c r="AH99" s="103"/>
      <c r="AI99" s="103"/>
      <c r="AJ99" s="103"/>
      <c r="AK99" s="103"/>
      <c r="AM99" s="103"/>
      <c r="AN99" s="103"/>
      <c r="AO99" s="103"/>
      <c r="AP99" s="103"/>
      <c r="AQ99" s="103"/>
      <c r="AS99" s="103"/>
      <c r="AT99" s="103"/>
      <c r="AU99" s="103"/>
      <c r="AV99" s="103"/>
      <c r="AW99" s="103"/>
      <c r="AY99" s="103"/>
      <c r="AZ99" s="103"/>
      <c r="BA99" s="103"/>
      <c r="BB99" s="103"/>
      <c r="BC99" s="103"/>
      <c r="BE99" s="114"/>
      <c r="BF99" s="103"/>
      <c r="BG99" s="103"/>
      <c r="BH99" s="103"/>
      <c r="BI99" s="103"/>
      <c r="BK99" s="114"/>
      <c r="BL99" s="103"/>
      <c r="BM99" s="103"/>
      <c r="BN99" s="103"/>
      <c r="BO99" s="103"/>
      <c r="BQ99" s="103"/>
      <c r="BR99" s="103"/>
      <c r="BS99" s="103"/>
      <c r="BT99" s="103"/>
      <c r="BU99" s="103"/>
      <c r="BW99" s="103"/>
      <c r="BX99" s="103"/>
      <c r="BY99" s="103"/>
      <c r="BZ99" s="103"/>
      <c r="CA99" s="103"/>
      <c r="CC99" s="103"/>
      <c r="CD99" s="103"/>
      <c r="CE99" s="103"/>
      <c r="CF99" s="103"/>
      <c r="CG99" s="103"/>
      <c r="CI99" s="103"/>
      <c r="CJ99" s="103"/>
      <c r="CK99" s="103"/>
      <c r="CL99" s="103"/>
      <c r="CM99" s="103"/>
      <c r="CO99" s="103"/>
      <c r="CP99" s="103"/>
      <c r="CQ99" s="103"/>
      <c r="CR99" s="103"/>
      <c r="CS99" s="103"/>
      <c r="CU99" s="103"/>
      <c r="CV99" s="103"/>
      <c r="CW99" s="103"/>
      <c r="CX99" s="103"/>
      <c r="CY99" s="103"/>
      <c r="DA99" s="103"/>
      <c r="DB99" s="103"/>
      <c r="DC99" s="103"/>
      <c r="DD99" s="103"/>
      <c r="DE99" s="103"/>
      <c r="DG99" s="103"/>
      <c r="DH99" s="103"/>
      <c r="DI99" s="103"/>
      <c r="DJ99" s="103"/>
      <c r="DK99" s="103"/>
    </row>
    <row r="100" spans="2:115" ht="15" x14ac:dyDescent="0.3">
      <c r="B100" s="42" t="s">
        <v>36</v>
      </c>
      <c r="C100" s="221"/>
      <c r="D100" s="222"/>
      <c r="E100" s="222"/>
      <c r="F100" s="222"/>
      <c r="G100" s="223"/>
      <c r="I100" s="221"/>
      <c r="J100" s="222"/>
      <c r="K100" s="222"/>
      <c r="L100" s="222"/>
      <c r="M100" s="208">
        <f>M97/M94</f>
        <v>0.3972222222222222</v>
      </c>
      <c r="O100" s="209">
        <f>O97/O94</f>
        <v>0.41764705882352943</v>
      </c>
      <c r="P100" s="206">
        <f>P97/P94</f>
        <v>0.40828402366863903</v>
      </c>
      <c r="Q100" s="206">
        <f>Q97/Q94</f>
        <v>0.37640449438202245</v>
      </c>
      <c r="R100" s="206">
        <f>R97/R94</f>
        <v>0.4</v>
      </c>
      <c r="S100" s="208">
        <f>S97/S94</f>
        <v>0.40029112081513829</v>
      </c>
      <c r="T100" s="129"/>
      <c r="U100" s="209">
        <f>U97/U94</f>
        <v>0.40740740740740738</v>
      </c>
      <c r="V100" s="206">
        <f>V97/V94</f>
        <v>0.38823529411764707</v>
      </c>
      <c r="W100" s="206">
        <f>W97/W94</f>
        <v>0.44067796610169491</v>
      </c>
      <c r="X100" s="206">
        <f>X97/X94</f>
        <v>0.43678160919540232</v>
      </c>
      <c r="Y100" s="208">
        <f>Y97/Y94</f>
        <v>0.41874084919472915</v>
      </c>
      <c r="Z100" s="226"/>
      <c r="AA100" s="209">
        <f>AA97/AA94</f>
        <v>0.45161290322580644</v>
      </c>
      <c r="AB100" s="206">
        <f>AB97/AB94</f>
        <v>0.43037974683544306</v>
      </c>
      <c r="AC100" s="206">
        <f>AC97/AC94</f>
        <v>0.47976878612716761</v>
      </c>
      <c r="AD100" s="206">
        <f>AD97/AD94</f>
        <v>0.46875</v>
      </c>
      <c r="AE100" s="208">
        <f>AE97/AE94</f>
        <v>0.45820433436532509</v>
      </c>
      <c r="AF100" s="226"/>
      <c r="AG100" s="209">
        <f>AG97/AG94</f>
        <v>0.47222222222222221</v>
      </c>
      <c r="AH100" s="206">
        <f>AH97/AH94</f>
        <v>0.44444444444444442</v>
      </c>
      <c r="AI100" s="206">
        <f>AI97/AI94</f>
        <v>0.50344827586206897</v>
      </c>
      <c r="AJ100" s="206">
        <f>AJ97/AJ94</f>
        <v>0.4861111111111111</v>
      </c>
      <c r="AK100" s="208">
        <f>AK97/AK94</f>
        <v>0.47660311958405543</v>
      </c>
      <c r="AL100" s="226"/>
      <c r="AM100" s="209">
        <f>AM97/AM94</f>
        <v>0.44444444444444442</v>
      </c>
      <c r="AN100" s="206">
        <f>AN97/AN94</f>
        <v>0.40579710144927539</v>
      </c>
      <c r="AO100" s="206">
        <f>AO97/AO94</f>
        <v>0.42335766423357662</v>
      </c>
      <c r="AP100" s="206">
        <f>AP97/AP94</f>
        <v>0.43448275862068964</v>
      </c>
      <c r="AQ100" s="208">
        <f>AQ97/AQ94</f>
        <v>0.42702702702702705</v>
      </c>
      <c r="AR100" s="226"/>
      <c r="AS100" s="209">
        <f>AS97/AS94</f>
        <v>0.44094488188976377</v>
      </c>
      <c r="AT100" s="347">
        <f>AT97/AT94</f>
        <v>0.37476923076923074</v>
      </c>
      <c r="AU100" s="347">
        <f>AU97/AU94</f>
        <v>0.39571631205673757</v>
      </c>
      <c r="AV100" s="347">
        <f>AV97/AV94</f>
        <v>0.38848920863309355</v>
      </c>
      <c r="AW100" s="208">
        <f>AW97/AW94</f>
        <v>0.39947113594040967</v>
      </c>
      <c r="AX100" s="226"/>
      <c r="AY100" s="209">
        <f>AY97/AY94</f>
        <v>0.43410852713178294</v>
      </c>
      <c r="AZ100" s="347">
        <f>AZ97/AZ94</f>
        <v>0.36627625899280575</v>
      </c>
      <c r="BA100" s="347">
        <f>BA97/BA94</f>
        <v>0.38598602739726029</v>
      </c>
      <c r="BB100" s="347">
        <f>BB97/BB94</f>
        <v>0.38911764705882357</v>
      </c>
      <c r="BC100" s="208">
        <f>BC97/BC94</f>
        <v>0.39306610909090905</v>
      </c>
      <c r="BD100" s="226"/>
      <c r="BE100" s="209">
        <f>BE97/BE94</f>
        <v>0.42208955223880601</v>
      </c>
      <c r="BF100" s="347">
        <f>BF97/BF94</f>
        <v>0.39243426569343065</v>
      </c>
      <c r="BG100" s="347">
        <f>BG97/BG94</f>
        <v>0.41851102647058824</v>
      </c>
      <c r="BH100" s="347">
        <f>BH97/BH94</f>
        <v>0.36749999999999999</v>
      </c>
      <c r="BI100" s="208">
        <f>BI97/BI94</f>
        <v>0.39956623230490024</v>
      </c>
      <c r="BJ100" s="226"/>
      <c r="BK100" s="209">
        <f>BK97/BK94</f>
        <v>0.43546947368421057</v>
      </c>
      <c r="BL100" s="347">
        <f>BL97/BL94</f>
        <v>0.40563352864477603</v>
      </c>
      <c r="BM100" s="347">
        <f>BM97/BM94</f>
        <v>0.41462817416944442</v>
      </c>
      <c r="BN100" s="347">
        <f>BN97/BN94</f>
        <v>0.39145787234042556</v>
      </c>
      <c r="BO100" s="208">
        <f>BO97/BO94</f>
        <v>0.41154773536014488</v>
      </c>
      <c r="BP100" s="226"/>
      <c r="BQ100" s="348">
        <f>BK100+BQ101</f>
        <v>0.43046947368421057</v>
      </c>
      <c r="BR100" s="347">
        <f>BL100+BR101</f>
        <v>0.40063352864477603</v>
      </c>
      <c r="BS100" s="347">
        <f>BM100+BS101</f>
        <v>0.40962817416944441</v>
      </c>
      <c r="BT100" s="347">
        <f>BN100+BT101</f>
        <v>0.38645787234042556</v>
      </c>
      <c r="BU100" s="208">
        <f>BU97/BU94</f>
        <v>0.40643058666305348</v>
      </c>
      <c r="BV100" s="226"/>
      <c r="BW100" s="348">
        <f>BQ100+BW101</f>
        <v>0.42796947368421057</v>
      </c>
      <c r="BX100" s="347">
        <f>BR100+BX101</f>
        <v>0.39813352864477602</v>
      </c>
      <c r="BY100" s="347">
        <f>BS100+BY101</f>
        <v>0.40712817416944441</v>
      </c>
      <c r="BZ100" s="347">
        <f>BT100+BZ101</f>
        <v>0.38395787234042555</v>
      </c>
      <c r="CA100" s="208">
        <f>CA97/CA94</f>
        <v>0.40391535966551251</v>
      </c>
      <c r="CB100" s="226"/>
      <c r="CC100" s="348">
        <f>BW100+CC101</f>
        <v>0.42546947368421056</v>
      </c>
      <c r="CD100" s="347">
        <f>BX100+CD101</f>
        <v>0.39563352864477602</v>
      </c>
      <c r="CE100" s="347">
        <f>BY100+CE101</f>
        <v>0.40462817416944441</v>
      </c>
      <c r="CF100" s="347">
        <f>BZ100+CF101</f>
        <v>0.38145787234042555</v>
      </c>
      <c r="CG100" s="208">
        <f>CG97/CG94</f>
        <v>0.4013995357058418</v>
      </c>
      <c r="CH100" s="226"/>
      <c r="CI100" s="348">
        <f>CC100+CI101</f>
        <v>0.42296947368421056</v>
      </c>
      <c r="CJ100" s="347">
        <f>CD100+CJ101</f>
        <v>0.39313352864477602</v>
      </c>
      <c r="CK100" s="347">
        <f>CE100+CK101</f>
        <v>0.40212817416944441</v>
      </c>
      <c r="CL100" s="347">
        <f>CF100+CL101</f>
        <v>0.37895787234042555</v>
      </c>
      <c r="CM100" s="208">
        <f>CM97/CM94</f>
        <v>0.39889981776901279</v>
      </c>
      <c r="CN100" s="226"/>
      <c r="CO100" s="348">
        <f>CI100+CO101</f>
        <v>0.42046947368421056</v>
      </c>
      <c r="CP100" s="347">
        <f>CJ100+CP101</f>
        <v>0.39063352864477602</v>
      </c>
      <c r="CQ100" s="347">
        <f>CK100+CQ101</f>
        <v>0.39962817416944441</v>
      </c>
      <c r="CR100" s="347">
        <f>CL100+CR101</f>
        <v>0.37645787234042555</v>
      </c>
      <c r="CS100" s="208">
        <f>CS97/CS94</f>
        <v>0.39640010474344567</v>
      </c>
      <c r="CT100" s="226"/>
      <c r="CU100" s="348">
        <f>CO100+CU101</f>
        <v>0.41796947368421056</v>
      </c>
      <c r="CV100" s="347">
        <f>CP100+CV101</f>
        <v>0.38813352864477602</v>
      </c>
      <c r="CW100" s="347">
        <f>CQ100+CW101</f>
        <v>0.3971281741694444</v>
      </c>
      <c r="CX100" s="347">
        <f>CR100+CX101</f>
        <v>0.37395787234042555</v>
      </c>
      <c r="CY100" s="208">
        <f>CY97/CY94</f>
        <v>0.39390039675853894</v>
      </c>
      <c r="CZ100" s="226"/>
      <c r="DA100" s="348">
        <f>CU100+DA101</f>
        <v>0.41546947368421056</v>
      </c>
      <c r="DB100" s="347">
        <f>CV100+DB101</f>
        <v>0.38563352864477601</v>
      </c>
      <c r="DC100" s="347">
        <f>CW100+DC101</f>
        <v>0.3946281741694444</v>
      </c>
      <c r="DD100" s="347">
        <f>CX100+DD101</f>
        <v>0.37145787234042554</v>
      </c>
      <c r="DE100" s="208">
        <f>DE97/DE94</f>
        <v>0.39140069394827687</v>
      </c>
      <c r="DF100" s="226"/>
      <c r="DG100" s="348">
        <f>DA100+DG101</f>
        <v>0.41296947368421055</v>
      </c>
      <c r="DH100" s="347">
        <f>DB100+DH101</f>
        <v>0.38313352864477601</v>
      </c>
      <c r="DI100" s="347">
        <f>DC100+DI101</f>
        <v>0.3921281741694444</v>
      </c>
      <c r="DJ100" s="347">
        <f>DD100+DJ101</f>
        <v>0.36895787234042554</v>
      </c>
      <c r="DK100" s="208">
        <f>DK97/DK94</f>
        <v>0.38890099645143461</v>
      </c>
    </row>
    <row r="101" spans="2:115" ht="15.75" thickBot="1" x14ac:dyDescent="0.35">
      <c r="B101" s="41" t="s">
        <v>37</v>
      </c>
      <c r="C101" s="155"/>
      <c r="D101" s="106"/>
      <c r="E101" s="106"/>
      <c r="F101" s="106"/>
      <c r="G101" s="154"/>
      <c r="I101" s="155"/>
      <c r="J101" s="106"/>
      <c r="K101" s="106"/>
      <c r="L101" s="106"/>
      <c r="M101" s="108" t="s">
        <v>35</v>
      </c>
      <c r="O101" s="155" t="s">
        <v>35</v>
      </c>
      <c r="P101" s="106" t="s">
        <v>35</v>
      </c>
      <c r="Q101" s="106" t="s">
        <v>35</v>
      </c>
      <c r="R101" s="106" t="s">
        <v>35</v>
      </c>
      <c r="S101" s="177">
        <f>S100-M100</f>
        <v>3.0688985929160917E-3</v>
      </c>
      <c r="U101" s="174">
        <f>U100-O100</f>
        <v>-1.0239651416122042E-2</v>
      </c>
      <c r="V101" s="175">
        <f>V100-P100</f>
        <v>-2.0048729550991962E-2</v>
      </c>
      <c r="W101" s="175">
        <f>W100-Q100</f>
        <v>6.4273471719672459E-2</v>
      </c>
      <c r="X101" s="175">
        <f>X100-R100</f>
        <v>3.6781609195402298E-2</v>
      </c>
      <c r="Y101" s="177">
        <f>Y100-S100</f>
        <v>1.8449728379590857E-2</v>
      </c>
      <c r="AA101" s="174">
        <f>AA100-U100</f>
        <v>4.4205495818399054E-2</v>
      </c>
      <c r="AB101" s="175">
        <f>AB100-V100</f>
        <v>4.2144452717795988E-2</v>
      </c>
      <c r="AC101" s="175">
        <f>AC100-W100</f>
        <v>3.9090820025472706E-2</v>
      </c>
      <c r="AD101" s="175">
        <f>AD100-X100</f>
        <v>3.1968390804597679E-2</v>
      </c>
      <c r="AE101" s="177">
        <f>AE100-Y100</f>
        <v>3.9463485170595947E-2</v>
      </c>
      <c r="AG101" s="174">
        <f>AG100-AA100</f>
        <v>2.0609318996415771E-2</v>
      </c>
      <c r="AH101" s="175">
        <f>AH100-AB100</f>
        <v>1.4064697609001364E-2</v>
      </c>
      <c r="AI101" s="175">
        <f>AI100-AC100</f>
        <v>2.367948973490136E-2</v>
      </c>
      <c r="AJ101" s="175">
        <f>AJ100-AD100</f>
        <v>1.7361111111111105E-2</v>
      </c>
      <c r="AK101" s="177">
        <f>AK100-AE100</f>
        <v>1.839878521873034E-2</v>
      </c>
      <c r="AM101" s="174">
        <f>AM100-AG100</f>
        <v>-2.777777777777779E-2</v>
      </c>
      <c r="AN101" s="175">
        <f>AN100-AH100</f>
        <v>-3.8647342995169032E-2</v>
      </c>
      <c r="AO101" s="175">
        <f>AO100-AI100</f>
        <v>-8.0090611628492347E-2</v>
      </c>
      <c r="AP101" s="175">
        <f>AP100-AJ100</f>
        <v>-5.162835249042147E-2</v>
      </c>
      <c r="AQ101" s="177">
        <f>AQ100-AK100</f>
        <v>-4.9576092557028384E-2</v>
      </c>
      <c r="AS101" s="174">
        <f>AS100-AM100</f>
        <v>-3.4995625546806464E-3</v>
      </c>
      <c r="AT101" s="175">
        <f>AT100-AN100</f>
        <v>-3.1027870680044645E-2</v>
      </c>
      <c r="AU101" s="175">
        <f>AU100-AO100</f>
        <v>-2.7641352176839051E-2</v>
      </c>
      <c r="AV101" s="175">
        <f>AV100-AP100</f>
        <v>-4.5993549987596083E-2</v>
      </c>
      <c r="AW101" s="177">
        <f>AW100-AQ100</f>
        <v>-2.7555891086617379E-2</v>
      </c>
      <c r="AY101" s="174">
        <f>AY100-AS100</f>
        <v>-6.8363547579808337E-3</v>
      </c>
      <c r="AZ101" s="175">
        <f>AZ100-AT100</f>
        <v>-8.4929717764249957E-3</v>
      </c>
      <c r="BA101" s="175">
        <f>BA100-AU100</f>
        <v>-9.730284659477284E-3</v>
      </c>
      <c r="BB101" s="175">
        <f>BB100-AV100</f>
        <v>6.2843842573001574E-4</v>
      </c>
      <c r="BC101" s="177">
        <f>BC100-AW100</f>
        <v>-6.4050268495006168E-3</v>
      </c>
      <c r="BE101" s="174">
        <f>BE100-AY100</f>
        <v>-1.201897489297693E-2</v>
      </c>
      <c r="BF101" s="175">
        <f>BF100-AZ100</f>
        <v>2.6158006700624903E-2</v>
      </c>
      <c r="BG101" s="175">
        <f>BG100-BA100</f>
        <v>3.2524999073327954E-2</v>
      </c>
      <c r="BH101" s="175">
        <f>BH100-BB100</f>
        <v>-2.1617647058823575E-2</v>
      </c>
      <c r="BI101" s="177">
        <f>BI100-BC100</f>
        <v>6.5001232139911824E-3</v>
      </c>
      <c r="BK101" s="174">
        <f>BK100-BE100</f>
        <v>1.3379921445404563E-2</v>
      </c>
      <c r="BL101" s="175">
        <f>BL100-BF100</f>
        <v>1.3199262951345381E-2</v>
      </c>
      <c r="BM101" s="175">
        <f>BM100-BG100</f>
        <v>-3.8828523011438243E-3</v>
      </c>
      <c r="BN101" s="175">
        <f>BN100-BH100</f>
        <v>2.3957872340425568E-2</v>
      </c>
      <c r="BO101" s="177">
        <f>BO100-BI100</f>
        <v>1.1981503055244647E-2</v>
      </c>
      <c r="BQ101" s="174">
        <v>-5.0000000000000001E-3</v>
      </c>
      <c r="BR101" s="175">
        <v>-5.0000000000000001E-3</v>
      </c>
      <c r="BS101" s="175">
        <v>-5.0000000000000001E-3</v>
      </c>
      <c r="BT101" s="175">
        <f>BS101</f>
        <v>-5.0000000000000001E-3</v>
      </c>
      <c r="BU101" s="177">
        <f>BU100-BO100</f>
        <v>-5.1171486970914004E-3</v>
      </c>
      <c r="BW101" s="174">
        <v>-2.5000000000000001E-3</v>
      </c>
      <c r="BX101" s="175">
        <f>BW101</f>
        <v>-2.5000000000000001E-3</v>
      </c>
      <c r="BY101" s="175">
        <f>BX101</f>
        <v>-2.5000000000000001E-3</v>
      </c>
      <c r="BZ101" s="175">
        <f>BY101</f>
        <v>-2.5000000000000001E-3</v>
      </c>
      <c r="CA101" s="177">
        <f>CA100-BU100</f>
        <v>-2.5152269975409758E-3</v>
      </c>
      <c r="CC101" s="174">
        <v>-2.5000000000000001E-3</v>
      </c>
      <c r="CD101" s="175">
        <f>CC101</f>
        <v>-2.5000000000000001E-3</v>
      </c>
      <c r="CE101" s="175">
        <f>CD101</f>
        <v>-2.5000000000000001E-3</v>
      </c>
      <c r="CF101" s="175">
        <f>CE101</f>
        <v>-2.5000000000000001E-3</v>
      </c>
      <c r="CG101" s="177">
        <f>CG100-CA100</f>
        <v>-2.5158239596707044E-3</v>
      </c>
      <c r="CI101" s="174">
        <v>-2.5000000000000001E-3</v>
      </c>
      <c r="CJ101" s="175">
        <f>CI101</f>
        <v>-2.5000000000000001E-3</v>
      </c>
      <c r="CK101" s="175">
        <f>CJ101</f>
        <v>-2.5000000000000001E-3</v>
      </c>
      <c r="CL101" s="175">
        <f>CK101</f>
        <v>-2.5000000000000001E-3</v>
      </c>
      <c r="CM101" s="177">
        <f>CM100-CG100</f>
        <v>-2.4997179368290157E-3</v>
      </c>
      <c r="CO101" s="174">
        <v>-2.5000000000000001E-3</v>
      </c>
      <c r="CP101" s="175">
        <v>-2.5000000000000001E-3</v>
      </c>
      <c r="CQ101" s="175">
        <v>-2.5000000000000001E-3</v>
      </c>
      <c r="CR101" s="175">
        <v>-2.5000000000000001E-3</v>
      </c>
      <c r="CS101" s="177">
        <f>CS100-CM100</f>
        <v>-2.4997130255671185E-3</v>
      </c>
      <c r="CU101" s="174">
        <v>-2.5000000000000001E-3</v>
      </c>
      <c r="CV101" s="175">
        <v>-2.5000000000000001E-3</v>
      </c>
      <c r="CW101" s="175">
        <v>-2.5000000000000001E-3</v>
      </c>
      <c r="CX101" s="175">
        <v>-2.5000000000000001E-3</v>
      </c>
      <c r="CY101" s="177">
        <f>CY100-CS100</f>
        <v>-2.4997079849067294E-3</v>
      </c>
      <c r="DA101" s="174">
        <v>-2.5000000000000001E-3</v>
      </c>
      <c r="DB101" s="175">
        <v>-2.5000000000000001E-3</v>
      </c>
      <c r="DC101" s="175">
        <v>-2.5000000000000001E-3</v>
      </c>
      <c r="DD101" s="175">
        <v>-2.5000000000000001E-3</v>
      </c>
      <c r="DE101" s="177">
        <f>DE100-CY100</f>
        <v>-2.4997028102620722E-3</v>
      </c>
      <c r="DG101" s="174">
        <v>-2.5000000000000001E-3</v>
      </c>
      <c r="DH101" s="175">
        <v>-2.5000000000000001E-3</v>
      </c>
      <c r="DI101" s="175">
        <v>-2.5000000000000001E-3</v>
      </c>
      <c r="DJ101" s="175">
        <v>-2.5000000000000001E-3</v>
      </c>
      <c r="DK101" s="177">
        <f>DK100-DE100</f>
        <v>-2.4996974968422569E-3</v>
      </c>
    </row>
    <row r="102" spans="2:115" ht="15.75" thickBot="1" x14ac:dyDescent="0.35">
      <c r="B102" s="1"/>
      <c r="AA102" s="103"/>
      <c r="AB102" s="103"/>
      <c r="AC102" s="103"/>
      <c r="AD102" s="103"/>
      <c r="AE102" s="103"/>
      <c r="AG102" s="103"/>
      <c r="AH102" s="103"/>
      <c r="AI102" s="103"/>
      <c r="AJ102" s="246"/>
      <c r="AK102" s="103"/>
      <c r="AM102" s="103"/>
      <c r="AN102" s="103"/>
      <c r="AO102" s="103"/>
      <c r="AP102" s="103"/>
      <c r="AQ102" s="103"/>
      <c r="AS102" s="103"/>
      <c r="AT102" s="103"/>
      <c r="AU102" s="103"/>
      <c r="AV102" s="103"/>
      <c r="AW102" s="103"/>
      <c r="AY102" s="103"/>
      <c r="AZ102" s="103"/>
      <c r="BA102" s="103"/>
      <c r="BB102" s="103"/>
      <c r="BC102" s="103"/>
      <c r="BE102" s="103"/>
      <c r="BF102" s="103"/>
      <c r="BG102" s="103"/>
      <c r="BH102" s="103"/>
      <c r="BI102" s="103"/>
      <c r="BK102" s="103"/>
      <c r="BL102" s="103"/>
      <c r="BM102" s="103"/>
      <c r="BN102" s="103"/>
      <c r="BO102" s="103"/>
      <c r="BQ102" s="103"/>
      <c r="BR102" s="103"/>
      <c r="BS102" s="103"/>
      <c r="BT102" s="103"/>
      <c r="BU102" s="103"/>
      <c r="BW102" s="103"/>
      <c r="BX102" s="103"/>
      <c r="BY102" s="103"/>
      <c r="BZ102" s="103"/>
      <c r="CA102" s="103"/>
      <c r="CC102" s="103"/>
      <c r="CD102" s="103"/>
      <c r="CE102" s="103"/>
      <c r="CF102" s="103"/>
      <c r="CG102" s="103"/>
      <c r="CI102" s="103"/>
      <c r="CJ102" s="103"/>
      <c r="CK102" s="103"/>
      <c r="CL102" s="103"/>
      <c r="CM102" s="103"/>
      <c r="CO102" s="103"/>
      <c r="CP102" s="103"/>
      <c r="CQ102" s="103"/>
      <c r="CR102" s="103"/>
      <c r="CS102" s="103"/>
      <c r="CU102" s="103"/>
      <c r="CV102" s="103"/>
      <c r="CW102" s="103"/>
      <c r="CX102" s="103"/>
      <c r="CY102" s="103"/>
      <c r="DA102" s="103"/>
      <c r="DB102" s="103"/>
      <c r="DC102" s="103"/>
      <c r="DD102" s="103"/>
      <c r="DE102" s="103"/>
      <c r="DG102" s="103"/>
      <c r="DH102" s="103"/>
      <c r="DI102" s="103"/>
      <c r="DJ102" s="103"/>
      <c r="DK102" s="103"/>
    </row>
    <row r="103" spans="2:115" ht="15" x14ac:dyDescent="0.3">
      <c r="B103" s="139" t="s">
        <v>62</v>
      </c>
      <c r="C103" s="221"/>
      <c r="D103" s="222"/>
      <c r="E103" s="222"/>
      <c r="F103" s="222"/>
      <c r="G103" s="224"/>
      <c r="I103" s="221"/>
      <c r="J103" s="222"/>
      <c r="K103" s="222"/>
      <c r="L103" s="222"/>
      <c r="M103" s="167">
        <v>177</v>
      </c>
      <c r="O103" s="126">
        <v>50</v>
      </c>
      <c r="P103" s="127">
        <v>25</v>
      </c>
      <c r="Q103" s="127">
        <v>45</v>
      </c>
      <c r="R103" s="127">
        <v>42</v>
      </c>
      <c r="S103" s="167">
        <f>O103+P103+Q103+R103</f>
        <v>162</v>
      </c>
      <c r="T103" s="129"/>
      <c r="U103" s="126">
        <v>29</v>
      </c>
      <c r="V103" s="127">
        <v>19</v>
      </c>
      <c r="W103" s="252">
        <v>27</v>
      </c>
      <c r="X103" s="252">
        <v>41</v>
      </c>
      <c r="Y103" s="253">
        <f>U103+V103+W103+X103</f>
        <v>116</v>
      </c>
      <c r="Z103" s="226"/>
      <c r="AA103" s="251">
        <v>23</v>
      </c>
      <c r="AB103" s="252">
        <v>23</v>
      </c>
      <c r="AC103" s="252">
        <v>19</v>
      </c>
      <c r="AD103" s="252">
        <v>15</v>
      </c>
      <c r="AE103" s="253">
        <f>AA103+AB103+AC103+AD103</f>
        <v>80</v>
      </c>
      <c r="AF103" s="226"/>
      <c r="AG103" s="251">
        <v>13</v>
      </c>
      <c r="AH103" s="252">
        <v>16</v>
      </c>
      <c r="AI103" s="252">
        <v>20</v>
      </c>
      <c r="AJ103" s="252">
        <v>33</v>
      </c>
      <c r="AK103" s="253">
        <f>AG103+AH103+AI103+AJ103</f>
        <v>82</v>
      </c>
      <c r="AL103" s="226"/>
      <c r="AM103" s="251">
        <v>26</v>
      </c>
      <c r="AN103" s="252">
        <v>25</v>
      </c>
      <c r="AO103" s="252">
        <v>32</v>
      </c>
      <c r="AP103" s="252">
        <v>32</v>
      </c>
      <c r="AQ103" s="253">
        <f>AM103+AN103+AO103+AP103</f>
        <v>115</v>
      </c>
      <c r="AR103" s="226"/>
      <c r="AS103" s="251">
        <v>20</v>
      </c>
      <c r="AT103" s="252">
        <f>AN103*1.21</f>
        <v>30.25</v>
      </c>
      <c r="AU103" s="252">
        <f>AO103*0.71</f>
        <v>22.72</v>
      </c>
      <c r="AV103" s="252">
        <f>AV106*AV94</f>
        <v>15.385862068965517</v>
      </c>
      <c r="AW103" s="253">
        <f>AS103+AT103+AU103+AV103</f>
        <v>88.355862068965521</v>
      </c>
      <c r="AX103" s="226"/>
      <c r="AY103" s="251">
        <f>AY106*AY94</f>
        <v>20.314960629921259</v>
      </c>
      <c r="AZ103" s="252">
        <v>29</v>
      </c>
      <c r="BA103" s="199">
        <f>AU103*1.29</f>
        <v>29.308799999999998</v>
      </c>
      <c r="BB103" s="252">
        <f>AV103*0.87</f>
        <v>13.3857</v>
      </c>
      <c r="BC103" s="253">
        <f>AY103+AZ103+BA103+BB103</f>
        <v>92.009460629921264</v>
      </c>
      <c r="BD103" s="226"/>
      <c r="BE103" s="251">
        <v>35</v>
      </c>
      <c r="BF103" s="252">
        <v>25</v>
      </c>
      <c r="BG103" s="252">
        <v>26</v>
      </c>
      <c r="BH103" s="252">
        <v>15</v>
      </c>
      <c r="BI103" s="253">
        <f>BE103+BF103+BG103+BH103</f>
        <v>101</v>
      </c>
      <c r="BJ103" s="226"/>
      <c r="BK103" s="251">
        <v>22</v>
      </c>
      <c r="BL103" s="252">
        <v>30</v>
      </c>
      <c r="BM103" s="252">
        <v>37</v>
      </c>
      <c r="BN103" s="252">
        <v>26</v>
      </c>
      <c r="BO103" s="253">
        <f>BK103+BL103+BM103+BN103</f>
        <v>115</v>
      </c>
      <c r="BP103" s="226"/>
      <c r="BQ103" s="251">
        <f>BQ106*BQ94</f>
        <v>20.570176325740089</v>
      </c>
      <c r="BR103" s="252">
        <f>BR106*BR94</f>
        <v>28.323270199757328</v>
      </c>
      <c r="BS103" s="252">
        <f>BS106*BS94</f>
        <v>35.077410254857135</v>
      </c>
      <c r="BT103" s="252">
        <f>BT106*BT94</f>
        <v>24.948769233632142</v>
      </c>
      <c r="BU103" s="253">
        <f>BQ103+BR103+BS103+BT103</f>
        <v>108.91962601398669</v>
      </c>
      <c r="BV103" s="226"/>
      <c r="BW103" s="251">
        <f>BW106*BW94</f>
        <v>19.608912094290012</v>
      </c>
      <c r="BX103" s="252">
        <f>BX106*BX94</f>
        <v>27.258675472477247</v>
      </c>
      <c r="BY103" s="252">
        <f>BY106*BY94</f>
        <v>33.896274091999999</v>
      </c>
      <c r="BZ103" s="252">
        <f>BZ106*BZ94</f>
        <v>23.935299725378666</v>
      </c>
      <c r="CA103" s="253">
        <f>BW103+BX103+BY103+BZ103</f>
        <v>104.69916138414592</v>
      </c>
      <c r="CB103" s="226"/>
      <c r="CC103" s="251">
        <f>CC106*CC94</f>
        <v>18.935676340918818</v>
      </c>
      <c r="CD103" s="252">
        <f>CD106*CD94</f>
        <v>26.58937112622527</v>
      </c>
      <c r="CE103" s="252">
        <f>CE106*CE94</f>
        <v>33.2043285410819</v>
      </c>
      <c r="CF103" s="252">
        <f>CF106*CF94</f>
        <v>23.269340429012672</v>
      </c>
      <c r="CG103" s="253">
        <f>CC103+CD103+CE103+CF103</f>
        <v>101.99871643723866</v>
      </c>
      <c r="CH103" s="226"/>
      <c r="CI103" s="251">
        <f>CI106*CI94</f>
        <v>18.646756689439059</v>
      </c>
      <c r="CJ103" s="252">
        <f>CJ106*CJ94</f>
        <v>26.307060975184431</v>
      </c>
      <c r="CK103" s="252">
        <f>CK106*CK94</f>
        <v>32.905560848821771</v>
      </c>
      <c r="CL103" s="252">
        <f>CL106*CL94</f>
        <v>22.956428771822022</v>
      </c>
      <c r="CM103" s="253">
        <f>CI103+CJ103+CK103+CL103</f>
        <v>100.81580728526727</v>
      </c>
      <c r="CN103" s="226"/>
      <c r="CO103" s="251">
        <f>CO106*CO94</f>
        <v>18.355641460218866</v>
      </c>
      <c r="CP103" s="252">
        <f>CP106*CP94</f>
        <v>26.021994966786817</v>
      </c>
      <c r="CQ103" s="252">
        <f>CQ106*CQ94</f>
        <v>32.603493001060393</v>
      </c>
      <c r="CR103" s="252">
        <f>CR106*CR94</f>
        <v>22.640945966044512</v>
      </c>
      <c r="CS103" s="253">
        <f>CO103+CP103+CQ103+CR103</f>
        <v>99.622075394110595</v>
      </c>
      <c r="CT103" s="226"/>
      <c r="CU103" s="251">
        <f>CU106*CU94</f>
        <v>18.062370397497816</v>
      </c>
      <c r="CV103" s="252">
        <f>CV106*CV94</f>
        <v>25.734201707728186</v>
      </c>
      <c r="CW103" s="252">
        <f>CW106*CW94</f>
        <v>32.298148827768934</v>
      </c>
      <c r="CX103" s="252">
        <f>CX106*CX94</f>
        <v>22.322932020060115</v>
      </c>
      <c r="CY103" s="253">
        <f>CU103+CV103+CW103+CX103</f>
        <v>98.41765295305504</v>
      </c>
      <c r="CZ103" s="226"/>
      <c r="DA103" s="251">
        <f>DA106*DA94</f>
        <v>17.766984807596334</v>
      </c>
      <c r="DB103" s="252">
        <f>DB106*DB94</f>
        <v>25.443711207352173</v>
      </c>
      <c r="DC103" s="252">
        <f>DC106*DC94</f>
        <v>31.989553565096649</v>
      </c>
      <c r="DD103" s="252">
        <f>DD106*DD94</f>
        <v>22.002428600933143</v>
      </c>
      <c r="DE103" s="253">
        <f>DA103+DB103+DC103+DD103</f>
        <v>97.202678180978296</v>
      </c>
      <c r="DF103" s="226"/>
      <c r="DG103" s="251">
        <f>DG106*DG94</f>
        <v>17.469527591659286</v>
      </c>
      <c r="DH103" s="252">
        <f>DH106*DH94</f>
        <v>25.150554908391953</v>
      </c>
      <c r="DI103" s="252">
        <f>DI106*DI94</f>
        <v>31.677733887107124</v>
      </c>
      <c r="DJ103" s="252">
        <f>DJ106*DJ94</f>
        <v>21.679479069599083</v>
      </c>
      <c r="DK103" s="253">
        <f>DG103+DH103+DI103+DJ103</f>
        <v>95.977295456757446</v>
      </c>
    </row>
    <row r="104" spans="2:115" ht="15" x14ac:dyDescent="0.3">
      <c r="B104" s="5" t="s">
        <v>40</v>
      </c>
      <c r="C104" s="144"/>
      <c r="D104" s="107"/>
      <c r="E104" s="107"/>
      <c r="F104" s="107"/>
      <c r="G104" s="138"/>
      <c r="I104" s="144"/>
      <c r="J104" s="107"/>
      <c r="K104" s="107"/>
      <c r="L104" s="107"/>
      <c r="M104" s="138" t="s">
        <v>35</v>
      </c>
      <c r="O104" s="144" t="s">
        <v>35</v>
      </c>
      <c r="P104" s="107" t="s">
        <v>35</v>
      </c>
      <c r="Q104" s="107" t="s">
        <v>35</v>
      </c>
      <c r="R104" s="107" t="s">
        <v>35</v>
      </c>
      <c r="S104" s="153">
        <f>S103/M103-1</f>
        <v>-8.4745762711864403E-2</v>
      </c>
      <c r="U104" s="151">
        <f>U103/O103-1</f>
        <v>-0.42000000000000004</v>
      </c>
      <c r="V104" s="133">
        <f>V103/P103-1</f>
        <v>-0.24</v>
      </c>
      <c r="W104" s="133">
        <f>W103/Q103-1</f>
        <v>-0.4</v>
      </c>
      <c r="X104" s="152">
        <f>X103/R103-1</f>
        <v>-2.3809523809523836E-2</v>
      </c>
      <c r="Y104" s="153">
        <f>Y103/S103-1</f>
        <v>-0.28395061728395066</v>
      </c>
      <c r="AA104" s="151">
        <f>AA103/U103-1</f>
        <v>-0.2068965517241379</v>
      </c>
      <c r="AB104" s="133">
        <f>AB103/V103-1</f>
        <v>0.21052631578947367</v>
      </c>
      <c r="AC104" s="133">
        <f>AC103/W103-1</f>
        <v>-0.29629629629629628</v>
      </c>
      <c r="AD104" s="152">
        <f>AD103/X103-1</f>
        <v>-0.63414634146341464</v>
      </c>
      <c r="AE104" s="153">
        <f>AE103/Y103-1</f>
        <v>-0.31034482758620685</v>
      </c>
      <c r="AG104" s="151">
        <f>AG103/AA103-1</f>
        <v>-0.43478260869565222</v>
      </c>
      <c r="AH104" s="133">
        <f>AH103/AB103-1</f>
        <v>-0.30434782608695654</v>
      </c>
      <c r="AI104" s="133">
        <f>AI103/AC103-1</f>
        <v>5.2631578947368363E-2</v>
      </c>
      <c r="AJ104" s="152">
        <f>AJ103/AD103-1</f>
        <v>1.2000000000000002</v>
      </c>
      <c r="AK104" s="153">
        <f>AK103/AE103-1</f>
        <v>2.4999999999999911E-2</v>
      </c>
      <c r="AM104" s="151">
        <f>AM103/AG103-1</f>
        <v>1</v>
      </c>
      <c r="AN104" s="133">
        <f>AN103/AH103-1</f>
        <v>0.5625</v>
      </c>
      <c r="AO104" s="133">
        <f>AO103/AI103-1</f>
        <v>0.60000000000000009</v>
      </c>
      <c r="AP104" s="133">
        <f>AP103/AJ103-1</f>
        <v>-3.0303030303030276E-2</v>
      </c>
      <c r="AQ104" s="153">
        <f>AQ103/AK103-1</f>
        <v>0.40243902439024382</v>
      </c>
      <c r="AS104" s="151">
        <f>AS103/AM103-1</f>
        <v>-0.23076923076923073</v>
      </c>
      <c r="AT104" s="133">
        <f>AT103/AN103-1</f>
        <v>0.20999999999999996</v>
      </c>
      <c r="AU104" s="133">
        <f>AU103/AO103-1</f>
        <v>-0.29000000000000004</v>
      </c>
      <c r="AV104" s="152">
        <f>AV103/AP103-1</f>
        <v>-0.51919181034482764</v>
      </c>
      <c r="AW104" s="153">
        <f>AW103/AQ103-1</f>
        <v>-0.23168815592203895</v>
      </c>
      <c r="AY104" s="151">
        <f>AY103/AS103-1</f>
        <v>1.5748031496062964E-2</v>
      </c>
      <c r="AZ104" s="133">
        <f>AZ103/AT103-1</f>
        <v>-4.132231404958675E-2</v>
      </c>
      <c r="BA104" s="133">
        <f>BA103/AU103-1</f>
        <v>0.29000000000000004</v>
      </c>
      <c r="BB104" s="152">
        <f>BB103/AV103-1</f>
        <v>-0.13</v>
      </c>
      <c r="BC104" s="153">
        <f>BC103/AW103-1</f>
        <v>4.1350946902696251E-2</v>
      </c>
      <c r="BE104" s="151">
        <f>BE103/AY103-1</f>
        <v>0.72286821705426352</v>
      </c>
      <c r="BF104" s="133">
        <f>BF103/AZ103-1</f>
        <v>-0.13793103448275867</v>
      </c>
      <c r="BG104" s="133">
        <f>BG103/BA103-1</f>
        <v>-0.11289442078829559</v>
      </c>
      <c r="BH104" s="133">
        <f>BH103/BB103-1</f>
        <v>0.12059884802438425</v>
      </c>
      <c r="BI104" s="153">
        <f>BI103/BC103-1</f>
        <v>9.7713205886950316E-2</v>
      </c>
      <c r="BK104" s="151">
        <f>BK103/BE103-1</f>
        <v>-0.37142857142857144</v>
      </c>
      <c r="BL104" s="133">
        <f>BL103/BF103-1</f>
        <v>0.19999999999999996</v>
      </c>
      <c r="BM104" s="133">
        <f>BM103/BG103-1</f>
        <v>0.42307692307692313</v>
      </c>
      <c r="BN104" s="133">
        <f>BN103/BH103-1</f>
        <v>0.73333333333333339</v>
      </c>
      <c r="BO104" s="153">
        <f>BO103/BI103-1</f>
        <v>0.13861386138613851</v>
      </c>
      <c r="BQ104" s="151">
        <f>BQ103/BK103-1</f>
        <v>-6.4991985193632362E-2</v>
      </c>
      <c r="BR104" s="133">
        <f>BR103/BL103-1</f>
        <v>-5.5890993341422446E-2</v>
      </c>
      <c r="BS104" s="133">
        <f>BS103/BM103-1</f>
        <v>-5.196188500386123E-2</v>
      </c>
      <c r="BT104" s="152">
        <f>BT103/BN103-1</f>
        <v>-4.0431952552609896E-2</v>
      </c>
      <c r="BU104" s="153">
        <f>BU103/BO103-1</f>
        <v>-5.2872817269680961E-2</v>
      </c>
      <c r="BW104" s="151">
        <f>BW103/BQ103-1</f>
        <v>-4.6730967018849379E-2</v>
      </c>
      <c r="BX104" s="133">
        <f>BX103/BR103-1</f>
        <v>-3.7587281404009687E-2</v>
      </c>
      <c r="BY104" s="133">
        <f>BY103/BS103-1</f>
        <v>-3.3672273815983478E-2</v>
      </c>
      <c r="BZ104" s="152">
        <f>BZ103/BT103-1</f>
        <v>-4.0622024227442433E-2</v>
      </c>
      <c r="CA104" s="153">
        <f>CA103/BU103-1</f>
        <v>-3.8748431153250551E-2</v>
      </c>
      <c r="CC104" s="151">
        <f>CC103/BW103-1</f>
        <v>-3.4333151688065167E-2</v>
      </c>
      <c r="CD104" s="133">
        <f>CD103/BX103-1</f>
        <v>-2.4553810287949118E-2</v>
      </c>
      <c r="CE104" s="133">
        <f>CE103/BY103-1</f>
        <v>-2.0413616819360381E-2</v>
      </c>
      <c r="CF104" s="152">
        <f>CF103/BZ103-1</f>
        <v>-2.7823311343783796E-2</v>
      </c>
      <c r="CG104" s="153">
        <f>CG103/CA103-1</f>
        <v>-2.5792421937356425E-2</v>
      </c>
      <c r="CI104" s="151">
        <f>CI103/CC103-1</f>
        <v>-1.5257952569426969E-2</v>
      </c>
      <c r="CJ104" s="133">
        <f>CJ103/CD103-1</f>
        <v>-1.0617406094362125E-2</v>
      </c>
      <c r="CK104" s="133">
        <f>CK103/CE103-1</f>
        <v>-8.9978537554367133E-3</v>
      </c>
      <c r="CL104" s="152">
        <f>CL103/CF103-1</f>
        <v>-1.344737974611887E-2</v>
      </c>
      <c r="CM104" s="153">
        <f>CM103/CG103-1</f>
        <v>-1.1597294488497334E-2</v>
      </c>
      <c r="CO104" s="151">
        <f>CO103/CI103-1</f>
        <v>-1.561211067794277E-2</v>
      </c>
      <c r="CP104" s="133">
        <f>CP103/CJ103-1</f>
        <v>-1.0836102469466979E-2</v>
      </c>
      <c r="CQ104" s="133">
        <f>CQ103/CK103-1</f>
        <v>-9.1798419467509218E-3</v>
      </c>
      <c r="CR104" s="152">
        <f>CR103/CL103-1</f>
        <v>-1.3742677875260401E-2</v>
      </c>
      <c r="CS104" s="153">
        <f>CS103/CM103-1</f>
        <v>-1.1840721443403202E-2</v>
      </c>
      <c r="CU104" s="151">
        <f>CU103/CO103-1</f>
        <v>-1.597716229948376E-2</v>
      </c>
      <c r="CV104" s="133">
        <f>CV103/CP103-1</f>
        <v>-1.1059615507033826E-2</v>
      </c>
      <c r="CW104" s="133">
        <f>CW103/CQ103-1</f>
        <v>-9.3653822086341432E-3</v>
      </c>
      <c r="CX104" s="152">
        <f>CX103/CR103-1</f>
        <v>-1.4045965502560431E-2</v>
      </c>
      <c r="CY104" s="153">
        <f>CY103/CS103-1</f>
        <v>-1.2089915174832377E-2</v>
      </c>
      <c r="DA104" s="151">
        <f>DA103/CU103-1</f>
        <v>-1.6353644809675827E-2</v>
      </c>
      <c r="DB104" s="133">
        <f>DB103/CV103-1</f>
        <v>-1.1288110028638498E-2</v>
      </c>
      <c r="DC104" s="133">
        <f>DC103/CW103-1</f>
        <v>-9.5545804905996512E-3</v>
      </c>
      <c r="DD104" s="152">
        <f>DD103/CX103-1</f>
        <v>-1.4357586128872168E-2</v>
      </c>
      <c r="DE104" s="153">
        <f>DE103/CY103-1</f>
        <v>-1.2345089886021565E-2</v>
      </c>
      <c r="DG104" s="151">
        <f>DG103/DA103-1</f>
        <v>-1.674213262173041E-2</v>
      </c>
      <c r="DH104" s="133">
        <f>DH103/DB103-1</f>
        <v>-1.1521758621262368E-2</v>
      </c>
      <c r="DI104" s="133">
        <f>DI103/DC103-1</f>
        <v>-9.7475470345340653E-3</v>
      </c>
      <c r="DJ104" s="152">
        <f>DJ103/DD103-1</f>
        <v>-1.4677903843776763E-2</v>
      </c>
      <c r="DK104" s="153">
        <f>DK103/DE103-1</f>
        <v>-1.260647080052002E-2</v>
      </c>
    </row>
    <row r="105" spans="2:115" ht="15" x14ac:dyDescent="0.3">
      <c r="B105" s="105"/>
      <c r="C105" s="144"/>
      <c r="D105" s="107"/>
      <c r="E105" s="107"/>
      <c r="F105" s="107"/>
      <c r="G105" s="138"/>
      <c r="I105" s="144"/>
      <c r="J105" s="107"/>
      <c r="K105" s="107"/>
      <c r="L105" s="107"/>
      <c r="M105" s="138"/>
      <c r="O105" s="144"/>
      <c r="P105" s="107"/>
      <c r="Q105" s="107"/>
      <c r="R105" s="107"/>
      <c r="S105" s="138"/>
      <c r="U105" s="144"/>
      <c r="V105" s="107"/>
      <c r="W105" s="107"/>
      <c r="X105" s="107"/>
      <c r="Y105" s="138"/>
      <c r="AA105" s="144"/>
      <c r="AB105" s="107"/>
      <c r="AC105" s="107"/>
      <c r="AD105" s="107"/>
      <c r="AE105" s="138"/>
      <c r="AG105" s="144"/>
      <c r="AH105" s="107"/>
      <c r="AI105" s="107"/>
      <c r="AJ105" s="107"/>
      <c r="AK105" s="138"/>
      <c r="AM105" s="144"/>
      <c r="AN105" s="107"/>
      <c r="AO105" s="107"/>
      <c r="AP105" s="107"/>
      <c r="AQ105" s="138"/>
      <c r="AS105" s="144"/>
      <c r="AT105" s="107"/>
      <c r="AU105" s="107"/>
      <c r="AV105" s="107"/>
      <c r="AW105" s="138"/>
      <c r="AY105" s="144"/>
      <c r="AZ105" s="107"/>
      <c r="BA105" s="107"/>
      <c r="BB105" s="107"/>
      <c r="BC105" s="138"/>
      <c r="BE105" s="144"/>
      <c r="BF105" s="107"/>
      <c r="BG105" s="107"/>
      <c r="BH105" s="107"/>
      <c r="BI105" s="138"/>
      <c r="BK105" s="144"/>
      <c r="BL105" s="107"/>
      <c r="BM105" s="107"/>
      <c r="BN105" s="107"/>
      <c r="BO105" s="138"/>
      <c r="BQ105" s="144"/>
      <c r="BR105" s="107"/>
      <c r="BS105" s="107"/>
      <c r="BT105" s="107"/>
      <c r="BU105" s="138"/>
      <c r="BW105" s="144"/>
      <c r="BX105" s="107"/>
      <c r="BY105" s="107"/>
      <c r="BZ105" s="107"/>
      <c r="CA105" s="138"/>
      <c r="CC105" s="144"/>
      <c r="CD105" s="107"/>
      <c r="CE105" s="107"/>
      <c r="CF105" s="107"/>
      <c r="CG105" s="138"/>
      <c r="CI105" s="144"/>
      <c r="CJ105" s="107"/>
      <c r="CK105" s="107"/>
      <c r="CL105" s="107"/>
      <c r="CM105" s="138"/>
      <c r="CO105" s="144"/>
      <c r="CP105" s="107"/>
      <c r="CQ105" s="107"/>
      <c r="CR105" s="107"/>
      <c r="CS105" s="138"/>
      <c r="CU105" s="144"/>
      <c r="CV105" s="107"/>
      <c r="CW105" s="107"/>
      <c r="CX105" s="107"/>
      <c r="CY105" s="138"/>
      <c r="DA105" s="144"/>
      <c r="DB105" s="107"/>
      <c r="DC105" s="107"/>
      <c r="DD105" s="107"/>
      <c r="DE105" s="138"/>
      <c r="DG105" s="144"/>
      <c r="DH105" s="107"/>
      <c r="DI105" s="107"/>
      <c r="DJ105" s="107"/>
      <c r="DK105" s="138"/>
    </row>
    <row r="106" spans="2:115" ht="15" x14ac:dyDescent="0.3">
      <c r="B106" s="105" t="s">
        <v>24</v>
      </c>
      <c r="C106" s="144"/>
      <c r="D106" s="107"/>
      <c r="E106" s="107"/>
      <c r="F106" s="107"/>
      <c r="G106" s="138"/>
      <c r="I106" s="144"/>
      <c r="J106" s="107"/>
      <c r="K106" s="107"/>
      <c r="L106" s="107"/>
      <c r="M106" s="173">
        <f>M103/M94</f>
        <v>0.24583333333333332</v>
      </c>
      <c r="O106" s="171">
        <f>O103/O94</f>
        <v>0.29411764705882354</v>
      </c>
      <c r="P106" s="165">
        <f>P103/P94</f>
        <v>0.14792899408284024</v>
      </c>
      <c r="Q106" s="165">
        <f>Q103/Q94</f>
        <v>0.25280898876404495</v>
      </c>
      <c r="R106" s="165">
        <f>R103/R94</f>
        <v>0.24705882352941178</v>
      </c>
      <c r="S106" s="173">
        <f>S103/S94</f>
        <v>0.23580786026200873</v>
      </c>
      <c r="U106" s="171">
        <f>U103/U94</f>
        <v>0.17901234567901234</v>
      </c>
      <c r="V106" s="165">
        <f>V103/V94</f>
        <v>0.11176470588235295</v>
      </c>
      <c r="W106" s="165">
        <f>W103/W94</f>
        <v>0.15254237288135594</v>
      </c>
      <c r="X106" s="165">
        <f>X103/X94</f>
        <v>0.23563218390804597</v>
      </c>
      <c r="Y106" s="173">
        <f>Y103/Y94</f>
        <v>0.1698389458272328</v>
      </c>
      <c r="Z106" s="226"/>
      <c r="AA106" s="171">
        <f>AA103/AA94</f>
        <v>0.14838709677419354</v>
      </c>
      <c r="AB106" s="165">
        <f>AB103/AB94</f>
        <v>0.14556962025316456</v>
      </c>
      <c r="AC106" s="165">
        <f>AC103/AC94</f>
        <v>0.10982658959537572</v>
      </c>
      <c r="AD106" s="165">
        <f>AD103/AD94</f>
        <v>9.375E-2</v>
      </c>
      <c r="AE106" s="173">
        <f>AE103/AE94</f>
        <v>0.1238390092879257</v>
      </c>
      <c r="AF106" s="226"/>
      <c r="AG106" s="171">
        <f>AG103/AG94</f>
        <v>9.0277777777777776E-2</v>
      </c>
      <c r="AH106" s="165">
        <f>AH103/AH94</f>
        <v>0.1111111111111111</v>
      </c>
      <c r="AI106" s="165">
        <f>AI103/AI94</f>
        <v>0.13793103448275862</v>
      </c>
      <c r="AJ106" s="165">
        <f>AJ103/AJ94</f>
        <v>0.22916666666666666</v>
      </c>
      <c r="AK106" s="173">
        <f>AK103/AK94</f>
        <v>0.14211438474870017</v>
      </c>
      <c r="AL106" s="226"/>
      <c r="AM106" s="171">
        <f>AM103/AM94</f>
        <v>0.19259259259259259</v>
      </c>
      <c r="AN106" s="165">
        <f>AN103/AN94</f>
        <v>0.18115942028985507</v>
      </c>
      <c r="AO106" s="165">
        <f>AO103/AO94</f>
        <v>0.23357664233576642</v>
      </c>
      <c r="AP106" s="165">
        <f>AP103/AP94</f>
        <v>0.22068965517241379</v>
      </c>
      <c r="AQ106" s="173">
        <f>AQ103/AQ94</f>
        <v>0.2072072072072072</v>
      </c>
      <c r="AR106" s="226"/>
      <c r="AS106" s="171">
        <f>AS103/AS94</f>
        <v>0.15748031496062992</v>
      </c>
      <c r="AT106" s="165">
        <f>AT103/AT94</f>
        <v>0.2326923076923077</v>
      </c>
      <c r="AU106" s="165">
        <f>AU103/AU94</f>
        <v>0.16113475177304964</v>
      </c>
      <c r="AV106" s="349">
        <f>AP106+AV107</f>
        <v>0.11068965517241379</v>
      </c>
      <c r="AW106" s="173">
        <f>AW103/AW94</f>
        <v>0.1645360559943492</v>
      </c>
      <c r="AX106" s="226"/>
      <c r="AY106" s="350">
        <f>AS106+AY107</f>
        <v>0.15748031496062992</v>
      </c>
      <c r="AZ106" s="165">
        <f>AZ103/AZ94</f>
        <v>0.20863309352517986</v>
      </c>
      <c r="BA106" s="165">
        <f>BA103/BA94</f>
        <v>0.20074520547945204</v>
      </c>
      <c r="BB106" s="165">
        <f>BB103/BB94</f>
        <v>9.842426470588235E-2</v>
      </c>
      <c r="BC106" s="173">
        <f>BC103/BC94</f>
        <v>0.16728992841803866</v>
      </c>
      <c r="BD106" s="226"/>
      <c r="BE106" s="350">
        <f>BE103/BE94</f>
        <v>0.26119402985074625</v>
      </c>
      <c r="BF106" s="165">
        <f>BF103/BF94</f>
        <v>0.18248175182481752</v>
      </c>
      <c r="BG106" s="165">
        <f>BG103/BG94</f>
        <v>0.19117647058823528</v>
      </c>
      <c r="BH106" s="165">
        <f>BH103/BH94</f>
        <v>0.10416666666666667</v>
      </c>
      <c r="BI106" s="173">
        <f>BI103/BI94</f>
        <v>0.18330308529945555</v>
      </c>
      <c r="BJ106" s="226"/>
      <c r="BK106" s="350">
        <f>BK103/BK94</f>
        <v>0.16541353383458646</v>
      </c>
      <c r="BL106" s="165">
        <f>BL103/BL94</f>
        <v>0.22388059701492538</v>
      </c>
      <c r="BM106" s="165">
        <f>BM103/BM94</f>
        <v>0.25694444444444442</v>
      </c>
      <c r="BN106" s="165">
        <f>BN103/BN94</f>
        <v>0.18439716312056736</v>
      </c>
      <c r="BO106" s="173">
        <f>BO103/BO94</f>
        <v>0.20833333333333334</v>
      </c>
      <c r="BP106" s="226"/>
      <c r="BQ106" s="350">
        <f>BK106+BQ107</f>
        <v>0.16041353383458645</v>
      </c>
      <c r="BR106" s="349">
        <f>BL106+BR107</f>
        <v>0.21888059701492538</v>
      </c>
      <c r="BS106" s="349">
        <f>BM106+BS107</f>
        <v>0.25194444444444442</v>
      </c>
      <c r="BT106" s="349">
        <f>BN106+BT107</f>
        <v>0.17939716312056736</v>
      </c>
      <c r="BU106" s="173">
        <f>BU103/BU94</f>
        <v>0.20323497919971822</v>
      </c>
      <c r="BV106" s="226"/>
      <c r="BW106" s="350">
        <f>BQ106+BW107</f>
        <v>0.15541353383458645</v>
      </c>
      <c r="BX106" s="349">
        <f>BR106+BX107</f>
        <v>0.21388059701492537</v>
      </c>
      <c r="BY106" s="349">
        <f>BS106+BY107</f>
        <v>0.24694444444444441</v>
      </c>
      <c r="BZ106" s="349">
        <f>BT106+BZ107</f>
        <v>0.17439716312056736</v>
      </c>
      <c r="CA106" s="173">
        <f>CA103/CA94</f>
        <v>0.19824533302374742</v>
      </c>
      <c r="CB106" s="226"/>
      <c r="CC106" s="350">
        <f>BW106+CC107</f>
        <v>0.15041353383458644</v>
      </c>
      <c r="CD106" s="349">
        <f>BX106+CD107</f>
        <v>0.20888059701492537</v>
      </c>
      <c r="CE106" s="349">
        <f>BY106+CE107</f>
        <v>0.24194444444444441</v>
      </c>
      <c r="CF106" s="349">
        <f>BZ106+CF107</f>
        <v>0.16939716312056735</v>
      </c>
      <c r="CG106" s="173">
        <f>CG103/CG94</f>
        <v>0.19325609276107805</v>
      </c>
      <c r="CH106" s="226"/>
      <c r="CI106" s="350">
        <f>CC106+CI107</f>
        <v>0.14791353383458644</v>
      </c>
      <c r="CJ106" s="349">
        <f>CD106+CJ107</f>
        <v>0.20638059701492537</v>
      </c>
      <c r="CK106" s="349">
        <f>CE106+CK107</f>
        <v>0.2394444444444444</v>
      </c>
      <c r="CL106" s="349">
        <f>CF106+CL107</f>
        <v>0.16689716312056735</v>
      </c>
      <c r="CM106" s="173">
        <f>CM103/CM94</f>
        <v>0.19075590096801906</v>
      </c>
      <c r="CN106" s="226"/>
      <c r="CO106" s="350">
        <f>CI106+CO107</f>
        <v>0.14541353383458644</v>
      </c>
      <c r="CP106" s="349">
        <f>CJ106+CP107</f>
        <v>0.20388059701492536</v>
      </c>
      <c r="CQ106" s="349">
        <f>CK106+CQ107</f>
        <v>0.2369444444444444</v>
      </c>
      <c r="CR106" s="349">
        <f>CL106+CR107</f>
        <v>0.16439716312056735</v>
      </c>
      <c r="CS106" s="173">
        <f>CS103/CS94</f>
        <v>0.1882557058354743</v>
      </c>
      <c r="CT106" s="226"/>
      <c r="CU106" s="350">
        <f>CO106+CU107</f>
        <v>0.14291353383458644</v>
      </c>
      <c r="CV106" s="349">
        <f>CP106+CV107</f>
        <v>0.20138059701492536</v>
      </c>
      <c r="CW106" s="349">
        <f>CQ106+CW107</f>
        <v>0.2344444444444444</v>
      </c>
      <c r="CX106" s="349">
        <f>CR106+CX107</f>
        <v>0.16189716312056734</v>
      </c>
      <c r="CY106" s="173">
        <f>CY103/CY94</f>
        <v>0.18575550727545734</v>
      </c>
      <c r="CZ106" s="226"/>
      <c r="DA106" s="350">
        <f>CU106+DA107</f>
        <v>0.14041353383458643</v>
      </c>
      <c r="DB106" s="349">
        <f>CV106+DB107</f>
        <v>0.19888059701492536</v>
      </c>
      <c r="DC106" s="349">
        <f>CW106+DC107</f>
        <v>0.2319444444444444</v>
      </c>
      <c r="DD106" s="349">
        <f>CX106+DD107</f>
        <v>0.15939716312056734</v>
      </c>
      <c r="DE106" s="173">
        <f>DE103/DE94</f>
        <v>0.18325530519686364</v>
      </c>
      <c r="DF106" s="226"/>
      <c r="DG106" s="350">
        <f>DA106+DG107</f>
        <v>0.13791353383458643</v>
      </c>
      <c r="DH106" s="349">
        <f>DB106+DH107</f>
        <v>0.19638059701492536</v>
      </c>
      <c r="DI106" s="349">
        <f>DC106+DI107</f>
        <v>0.2294444444444444</v>
      </c>
      <c r="DJ106" s="349">
        <f>DD106+DJ107</f>
        <v>0.15689716312056734</v>
      </c>
      <c r="DK106" s="173">
        <f>DK103/DK94</f>
        <v>0.18075509950533089</v>
      </c>
    </row>
    <row r="107" spans="2:115" ht="15.75" thickBot="1" x14ac:dyDescent="0.35">
      <c r="B107" s="140" t="s">
        <v>40</v>
      </c>
      <c r="C107" s="155"/>
      <c r="D107" s="106"/>
      <c r="E107" s="106"/>
      <c r="F107" s="106"/>
      <c r="G107" s="108"/>
      <c r="I107" s="155"/>
      <c r="J107" s="106"/>
      <c r="K107" s="106"/>
      <c r="L107" s="106"/>
      <c r="M107" s="108" t="s">
        <v>35</v>
      </c>
      <c r="O107" s="155" t="s">
        <v>35</v>
      </c>
      <c r="P107" s="106" t="s">
        <v>35</v>
      </c>
      <c r="Q107" s="106" t="s">
        <v>35</v>
      </c>
      <c r="R107" s="106" t="s">
        <v>35</v>
      </c>
      <c r="S107" s="177">
        <f>S106-M106</f>
        <v>-1.0025473071324592E-2</v>
      </c>
      <c r="U107" s="174">
        <f>U106-O106</f>
        <v>-0.1151053013798112</v>
      </c>
      <c r="V107" s="175">
        <f>V106-P106</f>
        <v>-3.6164288200487296E-2</v>
      </c>
      <c r="W107" s="175">
        <f>W106-Q106</f>
        <v>-0.10026661588268901</v>
      </c>
      <c r="X107" s="175">
        <f>X106-R106</f>
        <v>-1.1426639621365808E-2</v>
      </c>
      <c r="Y107" s="177">
        <f>Y106-S106</f>
        <v>-6.5968914434775927E-2</v>
      </c>
      <c r="AA107" s="174">
        <f>AA106-U106</f>
        <v>-3.0625248904818797E-2</v>
      </c>
      <c r="AB107" s="175">
        <f>AB106-V106</f>
        <v>3.3804914370811609E-2</v>
      </c>
      <c r="AC107" s="175">
        <f>AC106-W106</f>
        <v>-4.2715783285980219E-2</v>
      </c>
      <c r="AD107" s="175">
        <f>AD106-X106</f>
        <v>-0.14188218390804597</v>
      </c>
      <c r="AE107" s="177">
        <f>AE106-Y106</f>
        <v>-4.5999936539307104E-2</v>
      </c>
      <c r="AG107" s="174">
        <f>AG106-AA106</f>
        <v>-5.8109318996415762E-2</v>
      </c>
      <c r="AH107" s="175">
        <f>AH106-AB106</f>
        <v>-3.4458509142053451E-2</v>
      </c>
      <c r="AI107" s="175">
        <f>AI106-AC106</f>
        <v>2.8104444887382896E-2</v>
      </c>
      <c r="AJ107" s="175">
        <f>AJ106-AD106</f>
        <v>0.13541666666666666</v>
      </c>
      <c r="AK107" s="177">
        <f>AK106-AE106</f>
        <v>1.8275375460774471E-2</v>
      </c>
      <c r="AM107" s="174">
        <f>AM106-AG106</f>
        <v>0.10231481481481482</v>
      </c>
      <c r="AN107" s="175">
        <f>AN106-AH106</f>
        <v>7.0048309178743967E-2</v>
      </c>
      <c r="AO107" s="175">
        <f>AO106-AI106</f>
        <v>9.5645607853007797E-2</v>
      </c>
      <c r="AP107" s="175">
        <f>AP106-AJ106</f>
        <v>-8.4770114942528674E-3</v>
      </c>
      <c r="AQ107" s="177">
        <v>0.02</v>
      </c>
      <c r="AS107" s="174">
        <f>AS106-AM106</f>
        <v>-3.5112277631962674E-2</v>
      </c>
      <c r="AT107" s="175">
        <f>AT106-AN106</f>
        <v>5.1532887402452626E-2</v>
      </c>
      <c r="AU107" s="175">
        <f>AU106-AO106</f>
        <v>-7.2441890562716771E-2</v>
      </c>
      <c r="AV107" s="175">
        <v>-0.11</v>
      </c>
      <c r="AW107" s="177">
        <f>AW106-AQ106</f>
        <v>-4.2671151212858E-2</v>
      </c>
      <c r="AY107" s="174">
        <v>0</v>
      </c>
      <c r="AZ107" s="175">
        <f>AZ106-AT106</f>
        <v>-2.4059214167127835E-2</v>
      </c>
      <c r="BA107" s="175">
        <f>BA106-AU106</f>
        <v>3.9610453706402399E-2</v>
      </c>
      <c r="BB107" s="175">
        <f>BB106-AV106</f>
        <v>-1.2265390466531439E-2</v>
      </c>
      <c r="BC107" s="177">
        <f>BC106-AW106</f>
        <v>2.7538724236894629E-3</v>
      </c>
      <c r="BE107" s="174">
        <f>BE106-AY106</f>
        <v>0.10371371489011633</v>
      </c>
      <c r="BF107" s="175">
        <f>BF106-AZ106</f>
        <v>-2.6151341700362346E-2</v>
      </c>
      <c r="BG107" s="175">
        <f>BG106-BA106</f>
        <v>-9.5687348912167625E-3</v>
      </c>
      <c r="BH107" s="175">
        <f>BH106-BB106</f>
        <v>5.7424019607843213E-3</v>
      </c>
      <c r="BI107" s="177">
        <f>BI106-BC106</f>
        <v>1.6013156881416885E-2</v>
      </c>
      <c r="BK107" s="174">
        <f>BK106-BE106</f>
        <v>-9.5780496016159788E-2</v>
      </c>
      <c r="BL107" s="175">
        <f>BL106-BF106</f>
        <v>4.1398845190107864E-2</v>
      </c>
      <c r="BM107" s="175">
        <f>BM106-BG106</f>
        <v>6.5767973856209139E-2</v>
      </c>
      <c r="BN107" s="175">
        <f>BN106-BH106</f>
        <v>8.0230496453900693E-2</v>
      </c>
      <c r="BO107" s="177">
        <f>BO106-BI106</f>
        <v>2.5030248033877794E-2</v>
      </c>
      <c r="BQ107" s="174">
        <v>-5.0000000000000001E-3</v>
      </c>
      <c r="BR107" s="175">
        <v>-5.0000000000000001E-3</v>
      </c>
      <c r="BS107" s="175">
        <v>-5.0000000000000001E-3</v>
      </c>
      <c r="BT107" s="175">
        <v>-5.0000000000000001E-3</v>
      </c>
      <c r="BU107" s="177">
        <f>BU106-BO106</f>
        <v>-5.0983541336151184E-3</v>
      </c>
      <c r="BW107" s="174">
        <v>-5.0000000000000001E-3</v>
      </c>
      <c r="BX107" s="175">
        <v>-5.0000000000000001E-3</v>
      </c>
      <c r="BY107" s="175">
        <v>-5.0000000000000001E-3</v>
      </c>
      <c r="BZ107" s="175">
        <v>-5.0000000000000001E-3</v>
      </c>
      <c r="CA107" s="177">
        <f>CA106-BU106</f>
        <v>-4.9896461759708077E-3</v>
      </c>
      <c r="CC107" s="174">
        <v>-5.0000000000000001E-3</v>
      </c>
      <c r="CD107" s="175">
        <v>-5.0000000000000001E-3</v>
      </c>
      <c r="CE107" s="175">
        <v>-5.0000000000000001E-3</v>
      </c>
      <c r="CF107" s="175">
        <v>-5.0000000000000001E-3</v>
      </c>
      <c r="CG107" s="177">
        <f>CG106-CA106</f>
        <v>-4.9892402626693644E-3</v>
      </c>
      <c r="CI107" s="174">
        <v>-2.5000000000000001E-3</v>
      </c>
      <c r="CJ107" s="175">
        <f>CI107</f>
        <v>-2.5000000000000001E-3</v>
      </c>
      <c r="CK107" s="175">
        <f>CJ107</f>
        <v>-2.5000000000000001E-3</v>
      </c>
      <c r="CL107" s="175">
        <f>CK107</f>
        <v>-2.5000000000000001E-3</v>
      </c>
      <c r="CM107" s="177">
        <f>CM106-CG106</f>
        <v>-2.5001917930589923E-3</v>
      </c>
      <c r="CO107" s="174">
        <v>-2.5000000000000001E-3</v>
      </c>
      <c r="CP107" s="175">
        <f>CO107</f>
        <v>-2.5000000000000001E-3</v>
      </c>
      <c r="CQ107" s="175">
        <f>CP107</f>
        <v>-2.5000000000000001E-3</v>
      </c>
      <c r="CR107" s="175">
        <f>CQ107</f>
        <v>-2.5000000000000001E-3</v>
      </c>
      <c r="CS107" s="177">
        <f>CS106-CM106</f>
        <v>-2.5001951325447636E-3</v>
      </c>
      <c r="CU107" s="174">
        <v>-2.5000000000000001E-3</v>
      </c>
      <c r="CV107" s="175">
        <f>CU107</f>
        <v>-2.5000000000000001E-3</v>
      </c>
      <c r="CW107" s="175">
        <f>CV107</f>
        <v>-2.5000000000000001E-3</v>
      </c>
      <c r="CX107" s="175">
        <f>CW107</f>
        <v>-2.5000000000000001E-3</v>
      </c>
      <c r="CY107" s="177">
        <f>CY106-CS106</f>
        <v>-2.5001985600169585E-3</v>
      </c>
      <c r="DA107" s="174">
        <v>-2.5000000000000001E-3</v>
      </c>
      <c r="DB107" s="175">
        <f>DA107</f>
        <v>-2.5000000000000001E-3</v>
      </c>
      <c r="DC107" s="175">
        <f>DB107</f>
        <v>-2.5000000000000001E-3</v>
      </c>
      <c r="DD107" s="175">
        <f>DC107</f>
        <v>-2.5000000000000001E-3</v>
      </c>
      <c r="DE107" s="177">
        <f>DE106-CY106</f>
        <v>-2.500202078593694E-3</v>
      </c>
      <c r="DG107" s="174">
        <v>-2.5000000000000001E-3</v>
      </c>
      <c r="DH107" s="175">
        <f>DG107</f>
        <v>-2.5000000000000001E-3</v>
      </c>
      <c r="DI107" s="175">
        <f>DH107</f>
        <v>-2.5000000000000001E-3</v>
      </c>
      <c r="DJ107" s="175">
        <f>DI107</f>
        <v>-2.5000000000000001E-3</v>
      </c>
      <c r="DK107" s="177">
        <f>DK106-DE106</f>
        <v>-2.5002056915327531E-3</v>
      </c>
    </row>
    <row r="108" spans="2:115" ht="15.75" thickBot="1" x14ac:dyDescent="0.35">
      <c r="B108" s="1"/>
      <c r="AA108" s="103"/>
      <c r="AB108" s="103"/>
      <c r="AC108" s="103"/>
      <c r="AD108" s="103"/>
      <c r="AE108" s="103"/>
      <c r="AG108" s="103"/>
      <c r="AH108" s="103"/>
      <c r="AI108" s="103"/>
      <c r="AJ108" s="103"/>
      <c r="AK108" s="103"/>
      <c r="AM108" s="103"/>
      <c r="AN108" s="103"/>
      <c r="AO108" s="103"/>
      <c r="AP108" s="103"/>
      <c r="AQ108" s="103"/>
      <c r="AS108" s="103"/>
      <c r="AT108" s="103"/>
      <c r="AU108" s="103"/>
      <c r="AV108" s="103"/>
      <c r="AW108" s="103"/>
      <c r="AY108" s="103"/>
      <c r="AZ108" s="103"/>
      <c r="BA108" s="103"/>
      <c r="BB108" s="103"/>
      <c r="BC108" s="103"/>
      <c r="BE108" s="103"/>
      <c r="BF108" s="103"/>
      <c r="BG108" s="103"/>
      <c r="BH108" s="103"/>
      <c r="BI108" s="103"/>
      <c r="BK108" s="103"/>
      <c r="BL108" s="103"/>
      <c r="BM108" s="103"/>
      <c r="BN108" s="103"/>
      <c r="BO108" s="103"/>
      <c r="BQ108" s="103"/>
      <c r="BR108" s="103"/>
      <c r="BS108" s="103"/>
      <c r="BT108" s="103"/>
      <c r="BU108" s="103"/>
      <c r="BW108" s="103"/>
      <c r="BX108" s="103"/>
      <c r="BY108" s="103"/>
      <c r="BZ108" s="103"/>
      <c r="CA108" s="103"/>
      <c r="CC108" s="103"/>
      <c r="CD108" s="103"/>
      <c r="CE108" s="103"/>
      <c r="CF108" s="103"/>
      <c r="CG108" s="103"/>
      <c r="CI108" s="103"/>
      <c r="CJ108" s="103"/>
      <c r="CK108" s="103"/>
      <c r="CL108" s="103"/>
      <c r="CM108" s="103"/>
      <c r="CO108" s="103"/>
      <c r="CP108" s="103"/>
      <c r="CQ108" s="103"/>
      <c r="CR108" s="103"/>
      <c r="CS108" s="103"/>
      <c r="CU108" s="103"/>
      <c r="CV108" s="103"/>
      <c r="CW108" s="103"/>
      <c r="CX108" s="103"/>
      <c r="CY108" s="103"/>
      <c r="DA108" s="103"/>
      <c r="DB108" s="103"/>
      <c r="DC108" s="103"/>
      <c r="DD108" s="103"/>
      <c r="DE108" s="103"/>
      <c r="DG108" s="103"/>
      <c r="DH108" s="103"/>
      <c r="DI108" s="103"/>
      <c r="DJ108" s="103"/>
      <c r="DK108" s="103"/>
    </row>
    <row r="109" spans="2:115" ht="15" x14ac:dyDescent="0.3">
      <c r="B109" s="42" t="s">
        <v>38</v>
      </c>
      <c r="C109" s="221"/>
      <c r="D109" s="222"/>
      <c r="E109" s="222"/>
      <c r="F109" s="222"/>
      <c r="G109" s="224"/>
      <c r="I109" s="221"/>
      <c r="J109" s="222"/>
      <c r="K109" s="222"/>
      <c r="L109" s="222"/>
      <c r="M109" s="167">
        <f>M97-M103</f>
        <v>109</v>
      </c>
      <c r="O109" s="251">
        <f>O97-O103</f>
        <v>21</v>
      </c>
      <c r="P109" s="252">
        <f>P97-P103</f>
        <v>44</v>
      </c>
      <c r="Q109" s="252">
        <f>Q97-Q103</f>
        <v>22</v>
      </c>
      <c r="R109" s="252">
        <f>R97-R103</f>
        <v>26</v>
      </c>
      <c r="S109" s="167">
        <f>O109+P109+Q109+R109</f>
        <v>113</v>
      </c>
      <c r="T109" s="129"/>
      <c r="U109" s="251">
        <f>U97-U103</f>
        <v>37</v>
      </c>
      <c r="V109" s="252">
        <f>V97-V103</f>
        <v>47</v>
      </c>
      <c r="W109" s="252">
        <f>W97-W103</f>
        <v>51</v>
      </c>
      <c r="X109" s="252">
        <f>X97-X103</f>
        <v>35</v>
      </c>
      <c r="Y109" s="253">
        <f>U109+V109+W109+X109</f>
        <v>170</v>
      </c>
      <c r="Z109" s="346"/>
      <c r="AA109" s="251">
        <f>AA97-AA103</f>
        <v>47</v>
      </c>
      <c r="AB109" s="252">
        <f>AB97-AB103</f>
        <v>45</v>
      </c>
      <c r="AC109" s="252">
        <f>AC97-AC103</f>
        <v>64</v>
      </c>
      <c r="AD109" s="252">
        <f>AD97-AD103</f>
        <v>60</v>
      </c>
      <c r="AE109" s="253">
        <f>AA109+AB109+AC109+AD109</f>
        <v>216</v>
      </c>
      <c r="AF109" s="346"/>
      <c r="AG109" s="251">
        <f>AG97-AG103</f>
        <v>55</v>
      </c>
      <c r="AH109" s="252">
        <f>AH97-AH103</f>
        <v>48</v>
      </c>
      <c r="AI109" s="252">
        <f>AI97-AI103</f>
        <v>53</v>
      </c>
      <c r="AJ109" s="252">
        <f>AJ97-AJ103</f>
        <v>37</v>
      </c>
      <c r="AK109" s="253">
        <f>AG109+AH109+AI109+AJ109</f>
        <v>193</v>
      </c>
      <c r="AL109" s="346"/>
      <c r="AM109" s="251">
        <f>AM97-AM103</f>
        <v>34</v>
      </c>
      <c r="AN109" s="252">
        <f>AN97-AN103</f>
        <v>31</v>
      </c>
      <c r="AO109" s="252">
        <f>AO97-AO103</f>
        <v>26</v>
      </c>
      <c r="AP109" s="252">
        <f>AP97-AP103</f>
        <v>31</v>
      </c>
      <c r="AQ109" s="253">
        <f>AM109+AN109+AO109+AP109</f>
        <v>122</v>
      </c>
      <c r="AR109" s="346"/>
      <c r="AS109" s="251">
        <f>AS97-AS103</f>
        <v>36</v>
      </c>
      <c r="AT109" s="252">
        <f>AT97-AT103</f>
        <v>18.47</v>
      </c>
      <c r="AU109" s="252">
        <f>AU97-AU103</f>
        <v>33.076000000000001</v>
      </c>
      <c r="AV109" s="252">
        <f>AV97-AV103</f>
        <v>38.614137931034485</v>
      </c>
      <c r="AW109" s="253">
        <f>AS109+AT109+AU109+AV109</f>
        <v>126.16013793103448</v>
      </c>
      <c r="AX109" s="346"/>
      <c r="AY109" s="251">
        <f>AY97-AY103</f>
        <v>35.685039370078741</v>
      </c>
      <c r="AZ109" s="252">
        <f>AZ97-AZ103</f>
        <v>21.912399999999998</v>
      </c>
      <c r="BA109" s="252">
        <f>BA97-BA103</f>
        <v>27.045160000000003</v>
      </c>
      <c r="BB109" s="252">
        <f>BB97-BB103</f>
        <v>39.534300000000002</v>
      </c>
      <c r="BC109" s="253">
        <f>AY109+AZ109+BA109+BB109</f>
        <v>124.17689937007874</v>
      </c>
      <c r="BD109" s="346"/>
      <c r="BE109" s="251">
        <f>BE97-BE103</f>
        <v>21.560000000000002</v>
      </c>
      <c r="BF109" s="252">
        <f>BF97-BF103</f>
        <v>28.763494399999999</v>
      </c>
      <c r="BG109" s="252">
        <f>BG97-BG103</f>
        <v>30.917499599999999</v>
      </c>
      <c r="BH109" s="252">
        <f>BH97-BH103</f>
        <v>37.92</v>
      </c>
      <c r="BI109" s="253">
        <f>BE109+BF109+BG109+BH109</f>
        <v>119.160994</v>
      </c>
      <c r="BJ109" s="346"/>
      <c r="BK109" s="251">
        <f>BK97-BK103</f>
        <v>35.917440000000006</v>
      </c>
      <c r="BL109" s="252">
        <f>BL97-BL103</f>
        <v>24.354892838399991</v>
      </c>
      <c r="BM109" s="252">
        <f>BM97-BM103</f>
        <v>22.706457080399993</v>
      </c>
      <c r="BN109" s="252">
        <f>BN97-BN103</f>
        <v>29.19556</v>
      </c>
      <c r="BO109" s="253">
        <f>BK109+BL109+BM109+BN109</f>
        <v>112.17434991879999</v>
      </c>
      <c r="BP109" s="346"/>
      <c r="BQ109" s="251">
        <f>BQ97-BQ103</f>
        <v>34.629860509453493</v>
      </c>
      <c r="BR109" s="252">
        <f>BR97-BR103</f>
        <v>23.518929783434626</v>
      </c>
      <c r="BS109" s="252">
        <f>BS97-BS103</f>
        <v>21.953795767461308</v>
      </c>
      <c r="BT109" s="252">
        <f>BT97-BT103</f>
        <v>28.795939477630419</v>
      </c>
      <c r="BU109" s="253">
        <f>BQ109+BR109+BS109+BT109</f>
        <v>108.89852553797985</v>
      </c>
      <c r="BV109" s="346"/>
      <c r="BW109" s="251">
        <f>BW97-BW103</f>
        <v>34.389060807125666</v>
      </c>
      <c r="BX109" s="252">
        <f>BX97-BX103</f>
        <v>23.482685845505419</v>
      </c>
      <c r="BY109" s="252">
        <f>BY97-BY103</f>
        <v>21.987259604291125</v>
      </c>
      <c r="BZ109" s="252">
        <f>BZ97-BZ103</f>
        <v>28.761353086761797</v>
      </c>
      <c r="CA109" s="253">
        <f>BW109+BX109+BY109+BZ109</f>
        <v>108.62035934368402</v>
      </c>
      <c r="CB109" s="346"/>
      <c r="CC109" s="251">
        <f>CC97-CC103</f>
        <v>34.627005428696947</v>
      </c>
      <c r="CD109" s="252">
        <f>CD97-CD103</f>
        <v>23.772638909404581</v>
      </c>
      <c r="CE109" s="252">
        <f>CE97-CE103</f>
        <v>22.326629662777151</v>
      </c>
      <c r="CF109" s="252">
        <f>CF97-CF103</f>
        <v>29.129843402056494</v>
      </c>
      <c r="CG109" s="253">
        <f>CC109+CD109+CE109+CF109</f>
        <v>109.85611740293517</v>
      </c>
      <c r="CH109" s="346"/>
      <c r="CI109" s="251">
        <f>CI97-CI103</f>
        <v>34.674995947947806</v>
      </c>
      <c r="CJ109" s="252">
        <f>CJ97-CJ103</f>
        <v>23.805148501075561</v>
      </c>
      <c r="CK109" s="252">
        <f>CK97-CK103</f>
        <v>22.35674909893892</v>
      </c>
      <c r="CL109" s="252">
        <f>CL97-CL103</f>
        <v>29.168599846067817</v>
      </c>
      <c r="CM109" s="253">
        <f>CI109+CJ109+CK109+CL109</f>
        <v>110.00549339403011</v>
      </c>
      <c r="CN109" s="346"/>
      <c r="CO109" s="251">
        <f>CO97-CO103</f>
        <v>34.72048357704081</v>
      </c>
      <c r="CP109" s="252">
        <f>CP97-CP103</f>
        <v>23.835931020689021</v>
      </c>
      <c r="CQ109" s="252">
        <f>CQ97-CQ103</f>
        <v>22.385238260857655</v>
      </c>
      <c r="CR109" s="252">
        <f>CR97-CR103</f>
        <v>29.205218434619162</v>
      </c>
      <c r="CS109" s="253">
        <f>CO109+CP109+CQ109+CR109</f>
        <v>110.14687129320663</v>
      </c>
      <c r="CT109" s="346"/>
      <c r="CU109" s="251">
        <f>CU97-CU103</f>
        <v>34.763413459120891</v>
      </c>
      <c r="CV109" s="252">
        <f>CV97-CV103</f>
        <v>23.864948675844648</v>
      </c>
      <c r="CW109" s="252">
        <f>CW97-CW103</f>
        <v>22.412061531104875</v>
      </c>
      <c r="CX109" s="252">
        <f>CX97-CX103</f>
        <v>29.239652534956917</v>
      </c>
      <c r="CY109" s="253">
        <f>CU109+CV109+CW109+CX109</f>
        <v>110.28007620102733</v>
      </c>
      <c r="CZ109" s="346"/>
      <c r="DA109" s="251">
        <f>DA97-DA103</f>
        <v>34.80372989048486</v>
      </c>
      <c r="DB109" s="252">
        <f>DB97-DB103</f>
        <v>23.892163091001308</v>
      </c>
      <c r="DC109" s="252">
        <f>DC97-DC103</f>
        <v>22.43718274293095</v>
      </c>
      <c r="DD109" s="252">
        <f>DD97-DD103</f>
        <v>29.271854795457969</v>
      </c>
      <c r="DE109" s="253">
        <f>DA109+DB109+DC109+DD109</f>
        <v>110.40493051987509</v>
      </c>
      <c r="DF109" s="346"/>
      <c r="DG109" s="251">
        <f>DG97-DG103</f>
        <v>34.841376309130197</v>
      </c>
      <c r="DH109" s="252">
        <f>DH97-DH103</f>
        <v>23.917535299593524</v>
      </c>
      <c r="DI109" s="252">
        <f>DI97-DI103</f>
        <v>22.460565172840433</v>
      </c>
      <c r="DJ109" s="252">
        <f>DJ97-DJ103</f>
        <v>29.301777135915557</v>
      </c>
      <c r="DK109" s="253">
        <f>DG109+DH109+DI109+DJ109</f>
        <v>110.52125391747971</v>
      </c>
    </row>
    <row r="110" spans="2:115" ht="15.75" thickBot="1" x14ac:dyDescent="0.35">
      <c r="B110" s="41" t="s">
        <v>23</v>
      </c>
      <c r="C110" s="155"/>
      <c r="D110" s="106"/>
      <c r="E110" s="106"/>
      <c r="F110" s="106"/>
      <c r="G110" s="108"/>
      <c r="I110" s="155"/>
      <c r="J110" s="106"/>
      <c r="K110" s="106"/>
      <c r="L110" s="106"/>
      <c r="M110" s="108" t="s">
        <v>35</v>
      </c>
      <c r="O110" s="155" t="s">
        <v>35</v>
      </c>
      <c r="P110" s="106" t="s">
        <v>35</v>
      </c>
      <c r="Q110" s="106" t="s">
        <v>35</v>
      </c>
      <c r="R110" s="106" t="s">
        <v>35</v>
      </c>
      <c r="S110" s="122">
        <f>S109/M109-1</f>
        <v>3.669724770642202E-2</v>
      </c>
      <c r="U110" s="109">
        <f>U109/O109-1</f>
        <v>0.76190476190476186</v>
      </c>
      <c r="V110" s="110">
        <f>V109/P109-1</f>
        <v>6.8181818181818121E-2</v>
      </c>
      <c r="W110" s="110">
        <f>W109/Q109-1</f>
        <v>1.3181818181818183</v>
      </c>
      <c r="X110" s="110">
        <f>X109/R109-1</f>
        <v>0.34615384615384626</v>
      </c>
      <c r="Y110" s="122">
        <f>Y109/S109-1</f>
        <v>0.50442477876106184</v>
      </c>
      <c r="AA110" s="109">
        <f>AA109/U109-1</f>
        <v>0.27027027027027017</v>
      </c>
      <c r="AB110" s="110">
        <f>AB109/V109-1</f>
        <v>-4.2553191489361653E-2</v>
      </c>
      <c r="AC110" s="110">
        <f>AC109/W109-1</f>
        <v>0.25490196078431371</v>
      </c>
      <c r="AD110" s="110">
        <f>AD109/X109-1</f>
        <v>0.71428571428571419</v>
      </c>
      <c r="AE110" s="122">
        <f>AE109/Y109-1</f>
        <v>0.27058823529411757</v>
      </c>
      <c r="AG110" s="109">
        <f>AG109/AA109-1</f>
        <v>0.17021276595744683</v>
      </c>
      <c r="AH110" s="110">
        <f>AH109/AB109-1</f>
        <v>6.6666666666666652E-2</v>
      </c>
      <c r="AI110" s="110">
        <f>AI109/AC109-1</f>
        <v>-0.171875</v>
      </c>
      <c r="AJ110" s="110">
        <f>AJ109/AD109-1</f>
        <v>-0.3833333333333333</v>
      </c>
      <c r="AK110" s="122">
        <f>AK109/AE109-1</f>
        <v>-0.10648148148148151</v>
      </c>
      <c r="AM110" s="109">
        <f>AM109/AG109-1</f>
        <v>-0.38181818181818183</v>
      </c>
      <c r="AN110" s="110">
        <f>AN109/AH109-1</f>
        <v>-0.35416666666666663</v>
      </c>
      <c r="AO110" s="110">
        <f>AO109/AI109-1</f>
        <v>-0.50943396226415094</v>
      </c>
      <c r="AP110" s="110">
        <f>AP109/AJ109-1</f>
        <v>-0.16216216216216217</v>
      </c>
      <c r="AQ110" s="122">
        <f>AQ109/AK109-1</f>
        <v>-0.36787564766839376</v>
      </c>
      <c r="AS110" s="109">
        <f>AS109/AM109-1</f>
        <v>5.8823529411764719E-2</v>
      </c>
      <c r="AT110" s="110">
        <f>AT109/AN109-1</f>
        <v>-0.40419354838709676</v>
      </c>
      <c r="AU110" s="110">
        <f>AU109/AO109-1</f>
        <v>0.27215384615384619</v>
      </c>
      <c r="AV110" s="110">
        <f>AV109/AP109-1</f>
        <v>0.24561735261401574</v>
      </c>
      <c r="AW110" s="122">
        <f>AW109/AQ109-1</f>
        <v>3.40994912379875E-2</v>
      </c>
      <c r="AY110" s="109">
        <f>AY109/AS109-1</f>
        <v>-8.7489063867016714E-3</v>
      </c>
      <c r="AZ110" s="110">
        <f>AZ109/AT109-1</f>
        <v>0.1863779101245262</v>
      </c>
      <c r="BA110" s="110">
        <f>BA109/AU109-1</f>
        <v>-0.18233280928770101</v>
      </c>
      <c r="BB110" s="110">
        <f>BB109/AV109-1</f>
        <v>2.3829667532885068E-2</v>
      </c>
      <c r="BC110" s="122">
        <f>BC109/AW109-1</f>
        <v>-1.5720009453698225E-2</v>
      </c>
      <c r="BE110" s="109">
        <f>BE109/AY109-1</f>
        <v>-0.39582524271844655</v>
      </c>
      <c r="BF110" s="110">
        <f>BF109/AZ109-1</f>
        <v>0.31265833044303681</v>
      </c>
      <c r="BG110" s="110">
        <f>BG109/BA109-1</f>
        <v>0.14318050253723746</v>
      </c>
      <c r="BH110" s="110">
        <f>BH109/BB109-1</f>
        <v>-4.0832897003361679E-2</v>
      </c>
      <c r="BI110" s="122">
        <f>BI109/BC109-1</f>
        <v>-4.0393224468667666E-2</v>
      </c>
      <c r="BK110" s="109">
        <f>BK109/BE109-1</f>
        <v>0.66592949907235632</v>
      </c>
      <c r="BL110" s="110">
        <f>BL109/BF109-1</f>
        <v>-0.15327072226662453</v>
      </c>
      <c r="BM110" s="110">
        <f>BM109/BG109-1</f>
        <v>-0.2655791259264707</v>
      </c>
      <c r="BN110" s="110">
        <f>BN109/BH109-1</f>
        <v>-0.23007489451476792</v>
      </c>
      <c r="BO110" s="122">
        <f>BO109/BI109-1</f>
        <v>-5.863197214685878E-2</v>
      </c>
      <c r="BQ110" s="109">
        <f>BQ109/BK109-1</f>
        <v>-3.5848309081786267E-2</v>
      </c>
      <c r="BR110" s="110">
        <f>BR109/BL109-1</f>
        <v>-3.4324234580384361E-2</v>
      </c>
      <c r="BS110" s="110">
        <f>BS109/BM109-1</f>
        <v>-3.3147457142857162E-2</v>
      </c>
      <c r="BT110" s="110">
        <f>BT109/BN109-1</f>
        <v>-1.3687715610509965E-2</v>
      </c>
      <c r="BU110" s="122">
        <f>BU109/BO109-1</f>
        <v>-2.9202971830827873E-2</v>
      </c>
      <c r="BW110" s="109">
        <f>BW109/BQ109-1</f>
        <v>-6.9535279318290177E-3</v>
      </c>
      <c r="BX110" s="110">
        <f>BX109/BR109-1</f>
        <v>-1.5410538771510884E-3</v>
      </c>
      <c r="BY110" s="110">
        <f>BY109/BS109-1</f>
        <v>1.5242847835641449E-3</v>
      </c>
      <c r="BZ110" s="110">
        <f>BZ109/BT109-1</f>
        <v>-1.201085691108994E-3</v>
      </c>
      <c r="CA110" s="122">
        <f>CA109/BU109-1</f>
        <v>-2.5543614380602042E-3</v>
      </c>
      <c r="CC110" s="109">
        <f>CC109/BW109-1</f>
        <v>6.9191951157321352E-3</v>
      </c>
      <c r="CD110" s="110">
        <f>CD109/BX109-1</f>
        <v>1.2347525568701556E-2</v>
      </c>
      <c r="CE110" s="110">
        <f>CE109/BY109-1</f>
        <v>1.543485020842672E-2</v>
      </c>
      <c r="CF110" s="110">
        <f>CF109/BZ109-1</f>
        <v>1.2811995116610353E-2</v>
      </c>
      <c r="CG110" s="122">
        <f>CG109/CA109-1</f>
        <v>1.1376854824620031E-2</v>
      </c>
      <c r="CI110" s="109">
        <f>CI109/CC109-1</f>
        <v>1.3859275053305087E-3</v>
      </c>
      <c r="CJ110" s="110">
        <f>CJ109/CD109-1</f>
        <v>1.3675213675212738E-3</v>
      </c>
      <c r="CK110" s="110">
        <f>CK109/CE109-1</f>
        <v>1.3490364025692259E-3</v>
      </c>
      <c r="CL110" s="110">
        <f>CL109/CF109-1</f>
        <v>1.3304721030042987E-3</v>
      </c>
      <c r="CM110" s="122">
        <f>CM109/CG109-1</f>
        <v>1.3597421302180557E-3</v>
      </c>
      <c r="CO110" s="109">
        <f>CO109/CI109-1</f>
        <v>1.3118279569890312E-3</v>
      </c>
      <c r="CP110" s="110">
        <f>CP109/CJ109-1</f>
        <v>1.293103448275934E-3</v>
      </c>
      <c r="CQ110" s="110">
        <f>CQ109/CK109-1</f>
        <v>1.2742980561555317E-3</v>
      </c>
      <c r="CR110" s="110">
        <f>CR109/CL109-1</f>
        <v>1.2554112554115093E-3</v>
      </c>
      <c r="CS110" s="122">
        <f>CS109/CM109-1</f>
        <v>1.2851894465861768E-3</v>
      </c>
      <c r="CU110" s="109">
        <f>CU109/CO109-1</f>
        <v>1.2364425162691983E-3</v>
      </c>
      <c r="CV110" s="110">
        <f>CV109/CP109-1</f>
        <v>1.2173913043480589E-3</v>
      </c>
      <c r="CW110" s="110">
        <f>CW109/CQ109-1</f>
        <v>1.1982570806101656E-3</v>
      </c>
      <c r="CX110" s="110">
        <f>CX109/CR109-1</f>
        <v>1.1790393013098033E-3</v>
      </c>
      <c r="CY110" s="122">
        <f>CY109/CS109-1</f>
        <v>1.2093390057907882E-3</v>
      </c>
      <c r="DA110" s="109">
        <f>DA109/CU109-1</f>
        <v>1.1597374179430631E-3</v>
      </c>
      <c r="DB110" s="110">
        <f>DB109/CV109-1</f>
        <v>1.1403508771927751E-3</v>
      </c>
      <c r="DC110" s="110">
        <f>DC109/CW109-1</f>
        <v>1.1208791208792146E-3</v>
      </c>
      <c r="DD110" s="110">
        <f>DD109/CX109-1</f>
        <v>1.1013215859030367E-3</v>
      </c>
      <c r="DE110" s="122">
        <f>DE109/CY109-1</f>
        <v>1.1321566247395332E-3</v>
      </c>
      <c r="DG110" s="109">
        <f>DG109/DA109-1</f>
        <v>1.0816777041942061E-3</v>
      </c>
      <c r="DH110" s="110">
        <f>DH109/DB109-1</f>
        <v>1.0619469026549311E-3</v>
      </c>
      <c r="DI110" s="110">
        <f>DI109/DC109-1</f>
        <v>1.0421286031041532E-3</v>
      </c>
      <c r="DJ110" s="110">
        <f>DJ109/DD109-1</f>
        <v>1.0222222222224797E-3</v>
      </c>
      <c r="DK110" s="122">
        <f>DK109/DE109-1</f>
        <v>1.0536069091922062E-3</v>
      </c>
    </row>
    <row r="112" spans="2:115" x14ac:dyDescent="0.2">
      <c r="AV112" s="481">
        <f>AV103+AV60</f>
        <v>22.665862068965517</v>
      </c>
      <c r="AY112" s="481">
        <f>AY103+AY60</f>
        <v>30.034960629921258</v>
      </c>
    </row>
    <row r="113" spans="2:115" x14ac:dyDescent="0.2">
      <c r="B113" s="278"/>
      <c r="C113" s="278"/>
      <c r="D113" s="279"/>
      <c r="E113" s="279"/>
      <c r="F113" s="279"/>
      <c r="G113" s="279"/>
      <c r="H113" s="279"/>
      <c r="I113" s="279"/>
      <c r="J113" s="279"/>
      <c r="K113" s="279"/>
      <c r="L113" s="279"/>
      <c r="M113" s="279"/>
      <c r="N113" s="279"/>
      <c r="O113" s="279"/>
      <c r="P113" s="279"/>
      <c r="Q113" s="279"/>
      <c r="R113" s="279"/>
      <c r="S113" s="279"/>
      <c r="T113" s="279"/>
      <c r="U113" s="279"/>
      <c r="V113" s="279"/>
      <c r="W113" s="279"/>
      <c r="X113" s="279"/>
      <c r="Y113" s="279"/>
      <c r="Z113" s="279"/>
      <c r="AA113" s="278"/>
      <c r="AB113" s="278"/>
      <c r="AC113" s="278"/>
      <c r="AD113" s="278"/>
      <c r="AE113" s="278"/>
      <c r="AF113" s="278"/>
      <c r="AG113" s="278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8"/>
      <c r="AS113" s="278"/>
      <c r="AT113" s="278"/>
      <c r="AU113" s="278"/>
      <c r="AV113" s="278"/>
      <c r="AW113" s="278"/>
      <c r="AX113" s="278"/>
      <c r="AY113" s="278"/>
      <c r="AZ113" s="278"/>
      <c r="BA113" s="278"/>
      <c r="BB113" s="278"/>
      <c r="BC113" s="278"/>
      <c r="BD113" s="278"/>
      <c r="BE113" s="278"/>
      <c r="BF113" s="278"/>
      <c r="BG113" s="278"/>
      <c r="BH113" s="278"/>
      <c r="BI113" s="278"/>
      <c r="BJ113" s="278"/>
      <c r="BK113" s="278"/>
      <c r="BL113" s="278"/>
      <c r="BM113" s="278"/>
      <c r="BN113" s="278"/>
      <c r="BO113" s="278"/>
      <c r="BP113" s="278"/>
      <c r="BQ113" s="278"/>
      <c r="BR113" s="278"/>
      <c r="BS113" s="278"/>
      <c r="BT113" s="278"/>
      <c r="BU113" s="278"/>
      <c r="BV113" s="278"/>
      <c r="BW113" s="278"/>
      <c r="BX113" s="278"/>
      <c r="BY113" s="278"/>
      <c r="BZ113" s="278"/>
      <c r="CA113" s="278"/>
      <c r="CB113" s="278"/>
      <c r="CC113" s="278"/>
      <c r="CD113" s="278"/>
      <c r="CE113" s="278"/>
      <c r="CF113" s="278"/>
      <c r="CG113" s="278"/>
      <c r="CH113" s="278"/>
      <c r="CI113" s="278"/>
      <c r="CJ113" s="278"/>
      <c r="CK113" s="278"/>
      <c r="CL113" s="278"/>
      <c r="CM113" s="278"/>
      <c r="CN113" s="278"/>
      <c r="CO113" s="278"/>
      <c r="CP113" s="278"/>
      <c r="CQ113" s="278"/>
      <c r="CR113" s="278"/>
      <c r="CS113" s="278"/>
      <c r="CT113" s="278"/>
      <c r="CU113" s="278"/>
      <c r="CV113" s="278"/>
      <c r="CW113" s="278"/>
      <c r="CX113" s="278"/>
      <c r="CY113" s="278"/>
      <c r="CZ113" s="278"/>
      <c r="DA113" s="278"/>
      <c r="DB113" s="278"/>
      <c r="DC113" s="278"/>
      <c r="DD113" s="278"/>
      <c r="DE113" s="278"/>
      <c r="DF113" s="278"/>
      <c r="DG113" s="278"/>
      <c r="DH113" s="278"/>
      <c r="DI113" s="278"/>
      <c r="DJ113" s="278"/>
      <c r="DK113" s="278"/>
    </row>
    <row r="115" spans="2:115" ht="13.5" thickBot="1" x14ac:dyDescent="0.25"/>
    <row r="116" spans="2:115" ht="15" x14ac:dyDescent="0.3">
      <c r="B116" s="42" t="s">
        <v>355</v>
      </c>
      <c r="C116" s="126"/>
      <c r="D116" s="127"/>
      <c r="E116" s="127"/>
      <c r="F116" s="127"/>
      <c r="G116" s="167"/>
      <c r="H116" s="129"/>
      <c r="I116" s="126"/>
      <c r="J116" s="127"/>
      <c r="K116" s="127"/>
      <c r="L116" s="127"/>
      <c r="M116" s="201">
        <f>M54+M97</f>
        <v>557</v>
      </c>
      <c r="N116" s="129"/>
      <c r="O116" s="198">
        <f>O54+O97</f>
        <v>128</v>
      </c>
      <c r="P116" s="199">
        <f>P54+P97</f>
        <v>133</v>
      </c>
      <c r="Q116" s="199">
        <f>Q54+Q97</f>
        <v>154</v>
      </c>
      <c r="R116" s="199">
        <f>R54+R97</f>
        <v>111</v>
      </c>
      <c r="S116" s="201">
        <f>O116+P116+Q116+R116</f>
        <v>526</v>
      </c>
      <c r="T116" s="129"/>
      <c r="U116" s="198">
        <f>U54+U97</f>
        <v>113</v>
      </c>
      <c r="V116" s="199">
        <f>V54+V97</f>
        <v>124</v>
      </c>
      <c r="W116" s="199">
        <f>W54+W97</f>
        <v>156</v>
      </c>
      <c r="X116" s="199">
        <f>X54+X97</f>
        <v>114</v>
      </c>
      <c r="Y116" s="201">
        <f>U116+V116+W116+X116</f>
        <v>507</v>
      </c>
      <c r="Z116" s="226"/>
      <c r="AA116" s="198">
        <f>AA54+AA97</f>
        <v>104</v>
      </c>
      <c r="AB116" s="199">
        <f>AB54+AB97</f>
        <v>121</v>
      </c>
      <c r="AC116" s="199">
        <f>AC54+AC97</f>
        <v>152</v>
      </c>
      <c r="AD116" s="199">
        <f>AD54+AD97</f>
        <v>131</v>
      </c>
      <c r="AE116" s="201">
        <f>AA116+AB116+AC116+AD116</f>
        <v>508</v>
      </c>
      <c r="AF116" s="226"/>
      <c r="AG116" s="198">
        <f>AG54+AG97</f>
        <v>101</v>
      </c>
      <c r="AH116" s="199">
        <f>AH54+AH97</f>
        <v>113</v>
      </c>
      <c r="AI116" s="199">
        <f>AI54+AI97</f>
        <v>133</v>
      </c>
      <c r="AJ116" s="199">
        <f>AJ54+AJ97</f>
        <v>122</v>
      </c>
      <c r="AK116" s="201">
        <f>AG116+AH116+AI116+AJ116</f>
        <v>469</v>
      </c>
      <c r="AL116" s="226"/>
      <c r="AM116" s="198">
        <f>AM54+AM97</f>
        <v>88</v>
      </c>
      <c r="AN116" s="199">
        <f>AN54+AN97</f>
        <v>98.5</v>
      </c>
      <c r="AO116" s="199">
        <f>AO54+AO97</f>
        <v>105</v>
      </c>
      <c r="AP116" s="199">
        <f>AP54+AP97</f>
        <v>112</v>
      </c>
      <c r="AQ116" s="201">
        <f>AM116+AN116+AO116+AP116</f>
        <v>403.5</v>
      </c>
      <c r="AR116" s="226"/>
      <c r="AS116" s="198">
        <f>AS54+AS97</f>
        <v>82</v>
      </c>
      <c r="AT116" s="199">
        <f>AT54+AT97</f>
        <v>85.694999999999993</v>
      </c>
      <c r="AU116" s="199">
        <f>AU54+AU97</f>
        <v>101.00999999999999</v>
      </c>
      <c r="AV116" s="199">
        <f>AV54+AV97</f>
        <v>96</v>
      </c>
      <c r="AW116" s="201">
        <f>AS116+AT116+AU116+AV116</f>
        <v>364.70499999999998</v>
      </c>
      <c r="AX116" s="226"/>
      <c r="AY116" s="198">
        <f>AY54+AY97</f>
        <v>81</v>
      </c>
      <c r="AZ116" s="199">
        <f>AZ54+AZ97</f>
        <v>89.551275000000004</v>
      </c>
      <c r="BA116" s="199">
        <f>BA54+BA97</f>
        <v>102.0201</v>
      </c>
      <c r="BB116" s="199">
        <f>BB54+BB97</f>
        <v>94.08</v>
      </c>
      <c r="BC116" s="201">
        <f>AY116+AZ116+BA116+BB116</f>
        <v>366.65137499999997</v>
      </c>
      <c r="BD116" s="226"/>
      <c r="BE116" s="198">
        <f>BE54+BE97</f>
        <v>82.06</v>
      </c>
      <c r="BF116" s="199">
        <f>BF54+BF97</f>
        <v>94.566146400000008</v>
      </c>
      <c r="BG116" s="199">
        <f>BG54+BG97</f>
        <v>103.040301</v>
      </c>
      <c r="BH116" s="199">
        <f>BH54+BH97</f>
        <v>94.08</v>
      </c>
      <c r="BI116" s="201">
        <f>BE116+BF116+BG116+BH116</f>
        <v>373.74644740000002</v>
      </c>
      <c r="BJ116" s="226"/>
      <c r="BK116" s="198">
        <f>BK54+BK97</f>
        <v>84.029440000000008</v>
      </c>
      <c r="BL116" s="199">
        <f>BL54+BL97</f>
        <v>95.606374010399989</v>
      </c>
      <c r="BM116" s="199">
        <f>BM54+BM97</f>
        <v>108.089275749</v>
      </c>
      <c r="BN116" s="199">
        <f>BN54+BN97</f>
        <v>98.125439999999998</v>
      </c>
      <c r="BO116" s="201">
        <f>BK116+BL116+BM116+BN116</f>
        <v>385.85052975940005</v>
      </c>
      <c r="BP116" s="226"/>
      <c r="BQ116" s="198">
        <f>BQ54+BQ97</f>
        <v>81.99648664902243</v>
      </c>
      <c r="BR116" s="199">
        <f>BR54+BR97</f>
        <v>93.347765079815304</v>
      </c>
      <c r="BS116" s="199">
        <f>BS54+BS97</f>
        <v>104.490586618511</v>
      </c>
      <c r="BT116" s="199">
        <f>BT54+BT97</f>
        <v>96.238569855379183</v>
      </c>
      <c r="BU116" s="201">
        <f>BQ116+BR116+BS116+BT116</f>
        <v>376.07340820272793</v>
      </c>
      <c r="BV116" s="226"/>
      <c r="BW116" s="198">
        <f>BW54+BW97</f>
        <v>80.583350582707368</v>
      </c>
      <c r="BX116" s="199">
        <f>BX54+BX97</f>
        <v>92.320105940661932</v>
      </c>
      <c r="BY116" s="199">
        <f>BY54+BY97</f>
        <v>103.60949128786916</v>
      </c>
      <c r="BZ116" s="199">
        <f>BZ54+BZ97</f>
        <v>95.30646196180713</v>
      </c>
      <c r="CA116" s="201">
        <f>BW116+BX116+BY116+BZ116</f>
        <v>371.81940977304561</v>
      </c>
      <c r="CB116" s="226"/>
      <c r="CC116" s="198">
        <f>CC54+CC97</f>
        <v>80.398851576364919</v>
      </c>
      <c r="CD116" s="199">
        <f>CD54+CD97</f>
        <v>92.477214484646439</v>
      </c>
      <c r="CE116" s="199">
        <f>CE54+CE97</f>
        <v>103.68334783581514</v>
      </c>
      <c r="CF116" s="199">
        <f>CF54+CF97</f>
        <v>95.419598854218123</v>
      </c>
      <c r="CG116" s="201">
        <f>CC116+CD116+CE116+CF116</f>
        <v>371.97901275104465</v>
      </c>
      <c r="CH116" s="226"/>
      <c r="CI116" s="198">
        <f>CI54+CI97</f>
        <v>80.461756641549272</v>
      </c>
      <c r="CJ116" s="199">
        <f>CJ54+CJ97</f>
        <v>92.850732299513226</v>
      </c>
      <c r="CK116" s="199">
        <f>CK54+CK97</f>
        <v>104.1608741146805</v>
      </c>
      <c r="CL116" s="199">
        <f>CL54+CL97</f>
        <v>95.854424441777482</v>
      </c>
      <c r="CM116" s="201">
        <f>CI116+CJ116+CK116+CL116</f>
        <v>373.32778749752049</v>
      </c>
      <c r="CN116" s="226"/>
      <c r="CO116" s="198">
        <f>CO54+CO97</f>
        <v>80.586158723772741</v>
      </c>
      <c r="CP116" s="199">
        <f>CP54+CP97</f>
        <v>93.329116967683859</v>
      </c>
      <c r="CQ116" s="199">
        <f>CQ54+CQ97</f>
        <v>104.76325673523313</v>
      </c>
      <c r="CR116" s="199">
        <f>CR54+CR97</f>
        <v>96.794041416892682</v>
      </c>
      <c r="CS116" s="201">
        <f>CO116+CP116+CQ116+CR116</f>
        <v>375.47257384358244</v>
      </c>
      <c r="CT116" s="226"/>
      <c r="CU116" s="198">
        <f>CU54+CU97</f>
        <v>80.830305120447775</v>
      </c>
      <c r="CV116" s="199">
        <f>CV54+CV97</f>
        <v>94.005509984961122</v>
      </c>
      <c r="CW116" s="199">
        <f>CW54+CW97</f>
        <v>105.59723911330266</v>
      </c>
      <c r="CX116" s="199">
        <f>CX54+CX97</f>
        <v>97.524284624302851</v>
      </c>
      <c r="CY116" s="201">
        <f>CU116+CV116+CW116+CX116</f>
        <v>377.95733884301444</v>
      </c>
      <c r="CZ116" s="226"/>
      <c r="DA116" s="198">
        <f>DA54+DA97</f>
        <v>80.977681648341203</v>
      </c>
      <c r="DB116" s="199">
        <f>DB54+DB97</f>
        <v>94.542668040729978</v>
      </c>
      <c r="DC116" s="199">
        <f>DC54+DC97</f>
        <v>106.26360186307473</v>
      </c>
      <c r="DD116" s="199">
        <f>DD54+DD97</f>
        <v>98.112097396401566</v>
      </c>
      <c r="DE116" s="201">
        <f>DA116+DB116+DC116+DD116</f>
        <v>379.89604894854745</v>
      </c>
      <c r="DF116" s="226"/>
      <c r="DG116" s="198">
        <f>DG54+DG97</f>
        <v>81.004521773073193</v>
      </c>
      <c r="DH116" s="199">
        <f>DH54+DH97</f>
        <v>94.902601323197601</v>
      </c>
      <c r="DI116" s="199">
        <f>DI54+DI97</f>
        <v>106.71694658692876</v>
      </c>
      <c r="DJ116" s="199">
        <f>DJ54+DJ97</f>
        <v>98.519674275728988</v>
      </c>
      <c r="DK116" s="201">
        <f>DG116+DH116+DI116+DJ116</f>
        <v>381.14374395892855</v>
      </c>
    </row>
    <row r="117" spans="2:115" ht="15.75" thickBot="1" x14ac:dyDescent="0.35">
      <c r="B117" s="41" t="s">
        <v>23</v>
      </c>
      <c r="C117" s="155"/>
      <c r="D117" s="106"/>
      <c r="E117" s="106"/>
      <c r="F117" s="106"/>
      <c r="G117" s="108"/>
      <c r="I117" s="155"/>
      <c r="J117" s="106"/>
      <c r="K117" s="106"/>
      <c r="L117" s="106"/>
      <c r="M117" s="108" t="s">
        <v>35</v>
      </c>
      <c r="O117" s="155" t="s">
        <v>35</v>
      </c>
      <c r="P117" s="106" t="s">
        <v>35</v>
      </c>
      <c r="Q117" s="106" t="s">
        <v>35</v>
      </c>
      <c r="R117" s="106" t="s">
        <v>35</v>
      </c>
      <c r="S117" s="122">
        <f>S116/M116-1</f>
        <v>-5.5655296229802476E-2</v>
      </c>
      <c r="U117" s="109">
        <f>U116/O116-1</f>
        <v>-0.1171875</v>
      </c>
      <c r="V117" s="110">
        <f>V116/P116-1</f>
        <v>-6.7669172932330879E-2</v>
      </c>
      <c r="W117" s="110">
        <f>W116/Q116-1</f>
        <v>1.298701298701288E-2</v>
      </c>
      <c r="X117" s="110">
        <f>X116/R116-1</f>
        <v>2.7027027027026973E-2</v>
      </c>
      <c r="Y117" s="122">
        <f>Y116/S116-1</f>
        <v>-3.6121673003802313E-2</v>
      </c>
      <c r="AA117" s="109">
        <f>AA116/U116-1</f>
        <v>-7.9646017699115057E-2</v>
      </c>
      <c r="AB117" s="110">
        <f>AB116/V116-1</f>
        <v>-2.4193548387096753E-2</v>
      </c>
      <c r="AC117" s="110">
        <f>AC116/W116-1</f>
        <v>-2.5641025641025661E-2</v>
      </c>
      <c r="AD117" s="110">
        <f>AD116/X116-1</f>
        <v>0.14912280701754388</v>
      </c>
      <c r="AE117" s="122">
        <f>AE116/Y116-1</f>
        <v>1.9723865877712132E-3</v>
      </c>
      <c r="AG117" s="109">
        <f>AG116/AA116-1</f>
        <v>-2.8846153846153855E-2</v>
      </c>
      <c r="AH117" s="110">
        <f>AH116/AB116-1</f>
        <v>-6.6115702479338845E-2</v>
      </c>
      <c r="AI117" s="110">
        <f>AI116/AC116-1</f>
        <v>-0.125</v>
      </c>
      <c r="AJ117" s="110">
        <f>AJ116/AD116-1</f>
        <v>-6.8702290076335881E-2</v>
      </c>
      <c r="AK117" s="122">
        <f>AK116/AE116-1</f>
        <v>-7.6771653543307061E-2</v>
      </c>
      <c r="AM117" s="109">
        <f>AM116/AG116-1</f>
        <v>-0.12871287128712872</v>
      </c>
      <c r="AN117" s="110">
        <f>AN116/AH116-1</f>
        <v>-0.12831858407079644</v>
      </c>
      <c r="AO117" s="110">
        <f>AO116/AI116-1</f>
        <v>-0.21052631578947367</v>
      </c>
      <c r="AP117" s="110">
        <f>AP116/AJ116-1</f>
        <v>-8.1967213114754078E-2</v>
      </c>
      <c r="AQ117" s="122">
        <f>AQ116/AK116-1</f>
        <v>-0.13965884861407252</v>
      </c>
      <c r="AS117" s="109">
        <f>AS116/AM116-1</f>
        <v>-6.8181818181818232E-2</v>
      </c>
      <c r="AT117" s="110">
        <f>AT116/AN116-1</f>
        <v>-0.13000000000000012</v>
      </c>
      <c r="AU117" s="110">
        <f>AU116/AO116-1</f>
        <v>-3.8000000000000034E-2</v>
      </c>
      <c r="AV117" s="110">
        <f>AV116/AP116-1</f>
        <v>-0.1428571428571429</v>
      </c>
      <c r="AW117" s="122">
        <f>AW116/AQ116-1</f>
        <v>-9.6146220570012431E-2</v>
      </c>
      <c r="AY117" s="109">
        <f>AY116/AS116-1</f>
        <v>-1.2195121951219523E-2</v>
      </c>
      <c r="AZ117" s="110">
        <f>AZ116/AT116-1</f>
        <v>4.5000000000000151E-2</v>
      </c>
      <c r="BA117" s="110">
        <f>BA116/AU116-1</f>
        <v>1.0000000000000009E-2</v>
      </c>
      <c r="BB117" s="110">
        <f>BB116/AV116-1</f>
        <v>-2.0000000000000018E-2</v>
      </c>
      <c r="BC117" s="122">
        <f>BC116/AW116-1</f>
        <v>5.3368475891473199E-3</v>
      </c>
      <c r="BE117" s="109">
        <f>BE116/AY116-1</f>
        <v>1.3086419753086442E-2</v>
      </c>
      <c r="BF117" s="110">
        <f>BF116/AZ116-1</f>
        <v>5.600000000000005E-2</v>
      </c>
      <c r="BG117" s="110">
        <f>BG116/BA116-1</f>
        <v>1.0000000000000009E-2</v>
      </c>
      <c r="BH117" s="110">
        <f>BH116/BB116-1</f>
        <v>0</v>
      </c>
      <c r="BI117" s="122">
        <f>BI116/BC116-1</f>
        <v>1.935100447939142E-2</v>
      </c>
      <c r="BK117" s="109">
        <f>BK116/BE116-1</f>
        <v>2.4000000000000021E-2</v>
      </c>
      <c r="BL117" s="110">
        <f>BL116/BF116-1</f>
        <v>1.0999999999999899E-2</v>
      </c>
      <c r="BM117" s="110">
        <f>BM116/BG116-1</f>
        <v>4.8999999999999932E-2</v>
      </c>
      <c r="BN117" s="110">
        <f>BN116/BH116-1</f>
        <v>4.2999999999999927E-2</v>
      </c>
      <c r="BO117" s="122">
        <f>BO116/BI116-1</f>
        <v>3.2385812476889431E-2</v>
      </c>
      <c r="BQ117" s="109">
        <f>BQ116/BK116-1</f>
        <v>-2.4193346414989492E-2</v>
      </c>
      <c r="BR117" s="110">
        <f>BR116/BL116-1</f>
        <v>-2.3624041325309486E-2</v>
      </c>
      <c r="BS117" s="110">
        <f>BS116/BM116-1</f>
        <v>-3.3293674192486078E-2</v>
      </c>
      <c r="BT117" s="110">
        <f>BT116/BN116-1</f>
        <v>-1.9229163656446446E-2</v>
      </c>
      <c r="BU117" s="122">
        <f>BU116/BO116-1</f>
        <v>-2.533914249844027E-2</v>
      </c>
      <c r="BW117" s="109">
        <f>BW116/BQ116-1</f>
        <v>-1.7234105070426331E-2</v>
      </c>
      <c r="BX117" s="110">
        <f>BX116/BR116-1</f>
        <v>-1.1008931368358899E-2</v>
      </c>
      <c r="BY117" s="110">
        <f>BY116/BS116-1</f>
        <v>-8.4322938472789488E-3</v>
      </c>
      <c r="BZ117" s="110">
        <f>BZ116/BT116-1</f>
        <v>-9.6853880411228443E-3</v>
      </c>
      <c r="CA117" s="122">
        <f>CA116/BU116-1</f>
        <v>-1.1311617192006129E-2</v>
      </c>
      <c r="CC117" s="109">
        <f>CC116/BW116-1</f>
        <v>-2.2895425048513607E-3</v>
      </c>
      <c r="CD117" s="110">
        <f>CD116/BX116-1</f>
        <v>1.7017803693324396E-3</v>
      </c>
      <c r="CE117" s="110">
        <f>CE116/BY116-1</f>
        <v>7.1283573568337033E-4</v>
      </c>
      <c r="CF117" s="110">
        <f>CF116/BZ116-1</f>
        <v>1.187085220478945E-3</v>
      </c>
      <c r="CG117" s="122">
        <f>CG116/CA116-1</f>
        <v>4.2924864545512698E-4</v>
      </c>
      <c r="CI117" s="109">
        <f>CI116/CC116-1</f>
        <v>7.8241248414601117E-4</v>
      </c>
      <c r="CJ117" s="110">
        <f>CJ116/CD116-1</f>
        <v>4.0390253636888307E-3</v>
      </c>
      <c r="CK117" s="110">
        <f>CK116/CE116-1</f>
        <v>4.6056217206791317E-3</v>
      </c>
      <c r="CL117" s="110">
        <f>CL116/CF116-1</f>
        <v>4.5569840240440307E-3</v>
      </c>
      <c r="CM117" s="122">
        <f>CM116/CG116-1</f>
        <v>3.6259431318468316E-3</v>
      </c>
      <c r="CO117" s="109">
        <f>CO116/CI116-1</f>
        <v>1.5461019920017804E-3</v>
      </c>
      <c r="CP117" s="110">
        <f>CP116/CJ116-1</f>
        <v>5.1521905786104938E-3</v>
      </c>
      <c r="CQ117" s="110">
        <f>CQ116/CK116-1</f>
        <v>5.7831947520852189E-3</v>
      </c>
      <c r="CR117" s="110">
        <f>CR116/CL116-1</f>
        <v>9.8025415163378593E-3</v>
      </c>
      <c r="CS117" s="122">
        <f>CS116/CM116-1</f>
        <v>5.7450487691763641E-3</v>
      </c>
      <c r="CU117" s="109">
        <f>CU116/CO116-1</f>
        <v>3.0296318938827227E-3</v>
      </c>
      <c r="CV117" s="110">
        <f>CV116/CP116-1</f>
        <v>7.2473954458549539E-3</v>
      </c>
      <c r="CW117" s="110">
        <f>CW116/CQ116-1</f>
        <v>7.9606381479457866E-3</v>
      </c>
      <c r="CX117" s="110">
        <f>CX116/CR116-1</f>
        <v>7.5442991812377791E-3</v>
      </c>
      <c r="CY117" s="122">
        <f>CY116/CS116-1</f>
        <v>6.617700392857806E-3</v>
      </c>
      <c r="DA117" s="109">
        <f>DA116/CU116-1</f>
        <v>1.8232830826732105E-3</v>
      </c>
      <c r="DB117" s="110">
        <f>DB116/CV116-1</f>
        <v>5.7141124584589864E-3</v>
      </c>
      <c r="DC117" s="110">
        <f>DC116/CW116-1</f>
        <v>6.3104182966098321E-3</v>
      </c>
      <c r="DD117" s="110">
        <f>DD116/CX116-1</f>
        <v>6.0273476946093307E-3</v>
      </c>
      <c r="DE117" s="122">
        <f>DE116/CY116-1</f>
        <v>5.1294416228764295E-3</v>
      </c>
      <c r="DG117" s="109">
        <f>DG116/DA116-1</f>
        <v>3.3145089098196578E-4</v>
      </c>
      <c r="DH117" s="110">
        <f>DH116/DB116-1</f>
        <v>3.8070988467615585E-3</v>
      </c>
      <c r="DI117" s="110">
        <f>DI116/DC116-1</f>
        <v>4.2662277196117149E-3</v>
      </c>
      <c r="DJ117" s="110">
        <f>DJ116/DD116-1</f>
        <v>4.154195967095653E-3</v>
      </c>
      <c r="DK117" s="122">
        <f>DK116/DE116-1</f>
        <v>3.2843063617913337E-3</v>
      </c>
    </row>
    <row r="118" spans="2:115" ht="15.75" thickBot="1" x14ac:dyDescent="0.35">
      <c r="B118" s="1"/>
      <c r="AA118" s="103"/>
      <c r="AB118" s="103"/>
      <c r="AC118" s="103"/>
      <c r="AD118" s="103"/>
      <c r="AE118" s="103"/>
      <c r="AG118" s="103"/>
      <c r="AH118" s="103"/>
      <c r="AI118" s="103"/>
      <c r="AJ118" s="103"/>
      <c r="AK118" s="103"/>
      <c r="AM118" s="103"/>
      <c r="AN118" s="103"/>
      <c r="AO118" s="103"/>
      <c r="AP118" s="103"/>
      <c r="AQ118" s="103"/>
      <c r="AS118" s="103"/>
      <c r="AT118" s="103"/>
      <c r="AU118" s="103"/>
      <c r="AV118" s="103"/>
      <c r="AW118" s="103"/>
      <c r="AY118" s="103"/>
      <c r="AZ118" s="103"/>
      <c r="BA118" s="103"/>
      <c r="BB118" s="103"/>
      <c r="BC118" s="103"/>
      <c r="BE118" s="103"/>
      <c r="BF118" s="103"/>
      <c r="BG118" s="103"/>
      <c r="BH118" s="103"/>
      <c r="BI118" s="103"/>
      <c r="BK118" s="103"/>
      <c r="BL118" s="103"/>
      <c r="BM118" s="103"/>
      <c r="BN118" s="103"/>
      <c r="BO118" s="103"/>
      <c r="BQ118" s="103"/>
      <c r="BR118" s="103"/>
      <c r="BS118" s="103"/>
      <c r="BT118" s="103"/>
      <c r="BU118" s="103"/>
      <c r="BW118" s="103"/>
      <c r="BX118" s="103"/>
      <c r="BY118" s="103"/>
      <c r="BZ118" s="103"/>
      <c r="CA118" s="103"/>
      <c r="CC118" s="103"/>
      <c r="CD118" s="103"/>
      <c r="CE118" s="103"/>
      <c r="CF118" s="103"/>
      <c r="CG118" s="103"/>
      <c r="CI118" s="103"/>
      <c r="CJ118" s="103"/>
      <c r="CK118" s="103"/>
      <c r="CL118" s="103"/>
      <c r="CM118" s="103"/>
      <c r="CO118" s="103"/>
      <c r="CP118" s="103"/>
      <c r="CQ118" s="103"/>
      <c r="CR118" s="103"/>
      <c r="CS118" s="103"/>
      <c r="CU118" s="103"/>
      <c r="CV118" s="103"/>
      <c r="CW118" s="103"/>
      <c r="CX118" s="103"/>
      <c r="CY118" s="103"/>
      <c r="DA118" s="103"/>
      <c r="DB118" s="103"/>
      <c r="DC118" s="103"/>
      <c r="DD118" s="103"/>
      <c r="DE118" s="103"/>
      <c r="DG118" s="103"/>
      <c r="DH118" s="103"/>
      <c r="DI118" s="103"/>
      <c r="DJ118" s="103"/>
      <c r="DK118" s="103"/>
    </row>
    <row r="119" spans="2:115" ht="15" x14ac:dyDescent="0.3">
      <c r="B119" s="42" t="s">
        <v>36</v>
      </c>
      <c r="C119" s="221"/>
      <c r="D119" s="222"/>
      <c r="E119" s="222"/>
      <c r="F119" s="222"/>
      <c r="G119" s="223"/>
      <c r="I119" s="221"/>
      <c r="J119" s="222"/>
      <c r="K119" s="222"/>
      <c r="L119" s="222"/>
      <c r="M119" s="208">
        <f>M116/(M40+M94)</f>
        <v>0.41691616766467066</v>
      </c>
      <c r="O119" s="209">
        <f>O116/(O40+O94)</f>
        <v>0.42105263157894735</v>
      </c>
      <c r="P119" s="206">
        <f>P116/(P40+P94)</f>
        <v>0.43181818181818182</v>
      </c>
      <c r="Q119" s="206">
        <f>Q116/(Q40+Q94)</f>
        <v>0.44767441860465118</v>
      </c>
      <c r="R119" s="206">
        <f>R116/(R40+R94)</f>
        <v>0.36754966887417218</v>
      </c>
      <c r="S119" s="208">
        <f>S116/(S40+S94)</f>
        <v>0.41812400635930047</v>
      </c>
      <c r="U119" s="209">
        <f>U116/(U40+U94)</f>
        <v>0.40357142857142858</v>
      </c>
      <c r="V119" s="206">
        <f>V116/(V40+V94)</f>
        <v>0.41059602649006621</v>
      </c>
      <c r="W119" s="206">
        <f>W116/(W40+W94)</f>
        <v>0.46987951807228917</v>
      </c>
      <c r="X119" s="206">
        <f>X116/(X40+X94)</f>
        <v>0.3904109589041096</v>
      </c>
      <c r="Y119" s="208">
        <f>Y116/(Y40+Y94)</f>
        <v>0.42039800995024873</v>
      </c>
      <c r="AA119" s="209">
        <f>AA116/(AA40+AA94)</f>
        <v>0.40625</v>
      </c>
      <c r="AB119" s="206">
        <f>AB116/(AB40+AB94)</f>
        <v>0.44981412639405205</v>
      </c>
      <c r="AC119" s="206">
        <f>AC116/(AC40+AC94)</f>
        <v>0.51351351351351349</v>
      </c>
      <c r="AD119" s="206">
        <f>AD116/(AD40+AD94)</f>
        <v>0.49809885931558934</v>
      </c>
      <c r="AE119" s="208">
        <f>AE116/(AE40+AE94)</f>
        <v>0.46863468634686345</v>
      </c>
      <c r="AG119" s="209">
        <f>AG116/(AG40+AG94)</f>
        <v>0.42259414225941422</v>
      </c>
      <c r="AH119" s="206">
        <f>AH116/(AH40+AH94)</f>
        <v>0.46122448979591835</v>
      </c>
      <c r="AI119" s="206">
        <f>AI116/(AI40+AI94)</f>
        <v>0.49442379182156132</v>
      </c>
      <c r="AJ119" s="206">
        <f>AJ116/(AJ40+AJ94)</f>
        <v>0.5104602510460251</v>
      </c>
      <c r="AK119" s="208">
        <f>AK116/(AK40+AK94)</f>
        <v>0.47278225806451613</v>
      </c>
      <c r="AM119" s="209">
        <f>AM116/(AM40+AM94)</f>
        <v>0.39285714285714285</v>
      </c>
      <c r="AN119" s="206">
        <f>AN116/(AN40+AN94)</f>
        <v>0.42094017094017094</v>
      </c>
      <c r="AO119" s="206">
        <f>AO116/(AO40+AO94)</f>
        <v>0.44303797468354428</v>
      </c>
      <c r="AP119" s="206">
        <f>AP116/(AP40+AP94)</f>
        <v>0.47659574468085109</v>
      </c>
      <c r="AQ119" s="208">
        <f>AQ116/(AQ40+AQ94)</f>
        <v>0.43387096774193551</v>
      </c>
      <c r="AS119" s="209">
        <f>AS116/(AS40+AS94)</f>
        <v>0.39047619047619048</v>
      </c>
      <c r="AT119" s="206">
        <f>AT116/(AT40+AT94)</f>
        <v>0.3877601809954751</v>
      </c>
      <c r="AU119" s="206">
        <f>AU116/(AU40+AU94)</f>
        <v>0.415679012345679</v>
      </c>
      <c r="AV119" s="206">
        <f>AV116/(AV40+AV94)</f>
        <v>0.41739130434782606</v>
      </c>
      <c r="AW119" s="208">
        <f>AW116/(AW40+AW94)</f>
        <v>0.40343473451327433</v>
      </c>
      <c r="AY119" s="209">
        <f>AY116/(AY40+AY94)</f>
        <v>0.38571428571428573</v>
      </c>
      <c r="AZ119" s="206">
        <f>AZ116/(AZ40+AZ94)</f>
        <v>0.39978247767857145</v>
      </c>
      <c r="BA119" s="206">
        <f>BA116/(BA40+BA94)</f>
        <v>0.40971927710843375</v>
      </c>
      <c r="BB119" s="206">
        <f>BB116/(BB40+BB94)</f>
        <v>0.41628318584070795</v>
      </c>
      <c r="BC119" s="208">
        <f>BC116/(BC40+BC94)</f>
        <v>0.40335684818481843</v>
      </c>
      <c r="BE119" s="209">
        <f>BE116/(BE40+BE94)</f>
        <v>0.373</v>
      </c>
      <c r="BF119" s="206">
        <f>BF116/(BF40+BF94)</f>
        <v>0.41115715826086963</v>
      </c>
      <c r="BG119" s="206">
        <f>BG116/(BG40+BG94)</f>
        <v>0.43294244117647057</v>
      </c>
      <c r="BH119" s="206">
        <f>BH116/(BH40+BH94)</f>
        <v>0.39696202531645569</v>
      </c>
      <c r="BI119" s="208">
        <f>BI116/(BI40+BI94)</f>
        <v>0.40405021340540542</v>
      </c>
      <c r="BK119" s="209">
        <f>BK116/(BK40+BK94)</f>
        <v>0.37681363228699555</v>
      </c>
      <c r="BL119" s="206">
        <f>BL116/(BL40+BL94)</f>
        <v>0.41388040697142853</v>
      </c>
      <c r="BM119" s="206">
        <f>BM116/(BM40+BM94)</f>
        <v>0.41895068119767442</v>
      </c>
      <c r="BN119" s="206">
        <f>BN116/(BN40+BN94)</f>
        <v>0.408856</v>
      </c>
      <c r="BO119" s="208">
        <f>BO116/(BO40+BO94)</f>
        <v>0.4053051783186975</v>
      </c>
      <c r="BQ119" s="209">
        <f>BQ116/(BQ40+BQ94)</f>
        <v>0.37126833984146912</v>
      </c>
      <c r="BR119" s="206">
        <f>BR116/(BR40+BR94)</f>
        <v>0.40992462243612976</v>
      </c>
      <c r="BS119" s="206">
        <f>BS116/(BS40+BS94)</f>
        <v>0.41348618386102842</v>
      </c>
      <c r="BT119" s="206">
        <f>BT116/(BT40+BT94)</f>
        <v>0.402773757219962</v>
      </c>
      <c r="BU119" s="208">
        <f>BU116/(BU40+BU94)</f>
        <v>0.39998436636049001</v>
      </c>
      <c r="BW119" s="209">
        <f>BW116/(BW40+BW94)</f>
        <v>0.36676109764315717</v>
      </c>
      <c r="BX119" s="206">
        <f>BX116/(BX40+BX94)</f>
        <v>0.4068399920681931</v>
      </c>
      <c r="BY119" s="206">
        <f>BY116/(BY40+BY94)</f>
        <v>0.41067049515576376</v>
      </c>
      <c r="BZ119" s="206">
        <f>BZ116/(BZ40+BZ94)</f>
        <v>0.39963333390156908</v>
      </c>
      <c r="CA119" s="208">
        <f>CA116/(CA40+CA94)</f>
        <v>0.3966435951046472</v>
      </c>
      <c r="CC119" s="209">
        <f>CC116/(CC40+CC94)</f>
        <v>0.36327788324609522</v>
      </c>
      <c r="CD119" s="206">
        <f>CD116/(CD40+CD94)</f>
        <v>0.4042616656233553</v>
      </c>
      <c r="CE119" s="206">
        <f>CE116/(CE40+CE94)</f>
        <v>0.40826157034943739</v>
      </c>
      <c r="CF119" s="206">
        <f>CF116/(CF40+CF94)</f>
        <v>0.39710777529922153</v>
      </c>
      <c r="CG119" s="208">
        <f>CG116/(CG40+CG94)</f>
        <v>0.39391191323402935</v>
      </c>
      <c r="CI119" s="209">
        <f>CI116/(CI40+CI94)</f>
        <v>0.35989070315362121</v>
      </c>
      <c r="CJ119" s="206">
        <f>CJ116/(CJ40+CJ94)</f>
        <v>0.40170688544302963</v>
      </c>
      <c r="CK119" s="206">
        <f>CK116/(CK40+CK94)</f>
        <v>0.40568112055131217</v>
      </c>
      <c r="CL119" s="206">
        <f>CL116/(CL40+CL94)</f>
        <v>0.39468360825326265</v>
      </c>
      <c r="CM119" s="208">
        <f>CM116/(CM40+CM94)</f>
        <v>0.39119246781076955</v>
      </c>
      <c r="CO119" s="209">
        <f>CO116/(CO40+CO94)</f>
        <v>0.3564370068925875</v>
      </c>
      <c r="CP119" s="206">
        <f>CP116/(CP40+CP94)</f>
        <v>0.39917879714095961</v>
      </c>
      <c r="CQ119" s="206">
        <f>CQ116/(CQ40+CQ94)</f>
        <v>0.40311894136836551</v>
      </c>
      <c r="CR119" s="206">
        <f>CR116/(CR40+CR94)</f>
        <v>0.39220409089052649</v>
      </c>
      <c r="CS119" s="208">
        <f>CS116/(CS40+CS94)</f>
        <v>0.38845967124335573</v>
      </c>
      <c r="CU119" s="209">
        <f>CU116/(CU40+CU94)</f>
        <v>0.35284589469359134</v>
      </c>
      <c r="CV119" s="206">
        <f>CV116/(CV40+CV94)</f>
        <v>0.39668728433120021</v>
      </c>
      <c r="CW119" s="206">
        <f>CW116/(CW40+CW94)</f>
        <v>0.40057919595693608</v>
      </c>
      <c r="CX119" s="206">
        <f>CX116/(CX40+CX94)</f>
        <v>0.38986103654058379</v>
      </c>
      <c r="CY119" s="208">
        <f>CY116/(CY40+CY94)</f>
        <v>0.38574152668198836</v>
      </c>
      <c r="DA119" s="209">
        <f>DA116/(DA40+DA94)</f>
        <v>0.34932756718054919</v>
      </c>
      <c r="DB119" s="206">
        <f>DB116/(DB40+DB94)</f>
        <v>0.39414915506658849</v>
      </c>
      <c r="DC119" s="206">
        <f>DC116/(DC40+DC94)</f>
        <v>0.39800545930576059</v>
      </c>
      <c r="DD119" s="206">
        <f>DD116/(DD40+DD94)</f>
        <v>0.38746066885092906</v>
      </c>
      <c r="DE119" s="208">
        <f>DE116/(DE40+DE94)</f>
        <v>0.38300455391058863</v>
      </c>
      <c r="DG119" s="209">
        <f>DG116/(DG40+DG94)</f>
        <v>0.34589628137549144</v>
      </c>
      <c r="DH119" s="206">
        <f>DH116/(DH40+DH94)</f>
        <v>0.39155386553060711</v>
      </c>
      <c r="DI119" s="206">
        <f>DI116/(DI40+DI94)</f>
        <v>0.39539000272155528</v>
      </c>
      <c r="DJ119" s="206">
        <f>DJ116/(DJ40+DJ94)</f>
        <v>0.38499084067002431</v>
      </c>
      <c r="DK119" s="208">
        <f>DK116/(DK40+DK94)</f>
        <v>0.38024409512596952</v>
      </c>
    </row>
    <row r="120" spans="2:115" ht="15.75" thickBot="1" x14ac:dyDescent="0.35">
      <c r="B120" s="41" t="s">
        <v>37</v>
      </c>
      <c r="C120" s="155"/>
      <c r="D120" s="106"/>
      <c r="E120" s="106"/>
      <c r="F120" s="106"/>
      <c r="G120" s="154"/>
      <c r="I120" s="155"/>
      <c r="J120" s="106"/>
      <c r="K120" s="106"/>
      <c r="L120" s="106"/>
      <c r="M120" s="108" t="s">
        <v>35</v>
      </c>
      <c r="O120" s="155" t="s">
        <v>35</v>
      </c>
      <c r="P120" s="106" t="s">
        <v>35</v>
      </c>
      <c r="Q120" s="106" t="s">
        <v>35</v>
      </c>
      <c r="R120" s="106" t="s">
        <v>35</v>
      </c>
      <c r="S120" s="177">
        <f>S119-M119</f>
        <v>1.2078386946298147E-3</v>
      </c>
      <c r="U120" s="174">
        <f>U119-O119</f>
        <v>-1.7481203007518764E-2</v>
      </c>
      <c r="V120" s="175">
        <f>V119-P119</f>
        <v>-2.1222155328115611E-2</v>
      </c>
      <c r="W120" s="175">
        <f>W119-Q119</f>
        <v>2.220509946763799E-2</v>
      </c>
      <c r="X120" s="175">
        <f>X119-R119</f>
        <v>2.286129002993742E-2</v>
      </c>
      <c r="Y120" s="177">
        <f>Y119-S119</f>
        <v>2.2740035909482592E-3</v>
      </c>
      <c r="AA120" s="174">
        <f>AA119-U119</f>
        <v>2.6785714285714191E-3</v>
      </c>
      <c r="AB120" s="175">
        <f>AB119-V119</f>
        <v>3.9218099903985837E-2</v>
      </c>
      <c r="AC120" s="175">
        <f>AC119-W119</f>
        <v>4.3633995441224316E-2</v>
      </c>
      <c r="AD120" s="175">
        <f>AD119-X119</f>
        <v>0.10768790041147974</v>
      </c>
      <c r="AE120" s="177">
        <f>AE119-Y119</f>
        <v>4.8236676396614719E-2</v>
      </c>
      <c r="AG120" s="174">
        <f>AG119-AA119</f>
        <v>1.6344142259414218E-2</v>
      </c>
      <c r="AH120" s="175">
        <f>AH119-AB119</f>
        <v>1.1410363401866297E-2</v>
      </c>
      <c r="AI120" s="175">
        <f>AI119-AC119</f>
        <v>-1.9089721691952166E-2</v>
      </c>
      <c r="AJ120" s="175">
        <f>AJ119-AD119</f>
        <v>1.2361391730435767E-2</v>
      </c>
      <c r="AK120" s="177">
        <f>AK119-AE119</f>
        <v>4.1475717176526761E-3</v>
      </c>
      <c r="AM120" s="174">
        <f>AM119-AG119</f>
        <v>-2.9736999402271369E-2</v>
      </c>
      <c r="AN120" s="175">
        <f>AN119-AH119</f>
        <v>-4.0284318855747403E-2</v>
      </c>
      <c r="AO120" s="175">
        <f>AO119-AI119</f>
        <v>-5.1385817138017043E-2</v>
      </c>
      <c r="AP120" s="175">
        <f>AP119-AJ119</f>
        <v>-3.3864506365174019E-2</v>
      </c>
      <c r="AQ120" s="177">
        <f>AQ119-AK119</f>
        <v>-3.8911290322580616E-2</v>
      </c>
      <c r="AS120" s="174">
        <f>AS119-AM119</f>
        <v>-2.3809523809523725E-3</v>
      </c>
      <c r="AT120" s="175">
        <f>AT119-AN119</f>
        <v>-3.3179989944695842E-2</v>
      </c>
      <c r="AU120" s="175">
        <f>AU119-AO119</f>
        <v>-2.7358962337865278E-2</v>
      </c>
      <c r="AV120" s="175">
        <f>AV119-AP119</f>
        <v>-5.9204440333025021E-2</v>
      </c>
      <c r="AW120" s="177">
        <f>AW119-AQ119</f>
        <v>-3.043623322866118E-2</v>
      </c>
      <c r="AY120" s="174">
        <f>AY119-AS119</f>
        <v>-4.761904761904745E-3</v>
      </c>
      <c r="AZ120" s="175">
        <f>AZ119-AT119</f>
        <v>1.2022296683096345E-2</v>
      </c>
      <c r="BA120" s="175">
        <f>BA119-AU119</f>
        <v>-5.959735237245245E-3</v>
      </c>
      <c r="BB120" s="175">
        <f>BB119-AV119</f>
        <v>-1.1081185071181165E-3</v>
      </c>
      <c r="BC120" s="177">
        <f>BC119-AW119</f>
        <v>-7.78863284559006E-5</v>
      </c>
      <c r="BE120" s="174">
        <f>BE119-AY119</f>
        <v>-1.2714285714285734E-2</v>
      </c>
      <c r="BF120" s="175">
        <f>BF119-AZ119</f>
        <v>1.137468058229818E-2</v>
      </c>
      <c r="BG120" s="175">
        <f>BG119-BA119</f>
        <v>2.3223164068036817E-2</v>
      </c>
      <c r="BH120" s="175">
        <f>BH119-BB119</f>
        <v>-1.9321160524252257E-2</v>
      </c>
      <c r="BI120" s="177">
        <f>BI119-BC119</f>
        <v>6.9336522058699446E-4</v>
      </c>
      <c r="BK120" s="174">
        <f>BK119-BE119</f>
        <v>3.8136322869955497E-3</v>
      </c>
      <c r="BL120" s="175">
        <f>BL119-BF119</f>
        <v>2.7232487105589009E-3</v>
      </c>
      <c r="BM120" s="175">
        <f>BM119-BG119</f>
        <v>-1.3991759978796148E-2</v>
      </c>
      <c r="BN120" s="175">
        <f>BN119-BH119</f>
        <v>1.1893974683544306E-2</v>
      </c>
      <c r="BO120" s="177">
        <f>BO119-BI119</f>
        <v>1.2549649132920782E-3</v>
      </c>
      <c r="BQ120" s="174">
        <f>BQ119-BK119</f>
        <v>-5.5452924455264285E-3</v>
      </c>
      <c r="BR120" s="175">
        <f>BR119-BL119</f>
        <v>-3.9557845352987675E-3</v>
      </c>
      <c r="BS120" s="175">
        <f>BS119-BM119</f>
        <v>-5.4644973366460015E-3</v>
      </c>
      <c r="BT120" s="175">
        <f>BT119-BN119</f>
        <v>-6.0822427800379941E-3</v>
      </c>
      <c r="BU120" s="177">
        <f>BU119-BO119</f>
        <v>-5.3208119582074942E-3</v>
      </c>
      <c r="BW120" s="174">
        <f>BW119-BQ119</f>
        <v>-4.5072421983119448E-3</v>
      </c>
      <c r="BX120" s="175">
        <f>BX119-BR119</f>
        <v>-3.0846303679366582E-3</v>
      </c>
      <c r="BY120" s="175">
        <f>BY119-BS119</f>
        <v>-2.8156887052646629E-3</v>
      </c>
      <c r="BZ120" s="175">
        <f>BZ119-BT119</f>
        <v>-3.1404233183929264E-3</v>
      </c>
      <c r="CA120" s="177">
        <f>CA119-BU119</f>
        <v>-3.3407712558428115E-3</v>
      </c>
      <c r="CC120" s="174">
        <f>CC119-BW119</f>
        <v>-3.4832143970619511E-3</v>
      </c>
      <c r="CD120" s="175">
        <f>CD119-BX119</f>
        <v>-2.5783264448377974E-3</v>
      </c>
      <c r="CE120" s="175">
        <f>CE119-BY119</f>
        <v>-2.4089248063263735E-3</v>
      </c>
      <c r="CF120" s="175">
        <f>CF119-BZ119</f>
        <v>-2.525558602347544E-3</v>
      </c>
      <c r="CG120" s="177">
        <f>CG119-CA119</f>
        <v>-2.7316818706178414E-3</v>
      </c>
      <c r="CI120" s="174">
        <f>CI119-CC119</f>
        <v>-3.3871800924740181E-3</v>
      </c>
      <c r="CJ120" s="175">
        <f>CJ119-CD119</f>
        <v>-2.5547801803256776E-3</v>
      </c>
      <c r="CK120" s="175">
        <f>CK119-CE119</f>
        <v>-2.5804497981252172E-3</v>
      </c>
      <c r="CL120" s="175">
        <f>CL119-CF119</f>
        <v>-2.4241670459588804E-3</v>
      </c>
      <c r="CM120" s="177">
        <f>CM119-CG119</f>
        <v>-2.7194454232598031E-3</v>
      </c>
      <c r="CO120" s="174">
        <f>CO119-CI119</f>
        <v>-3.4536962610337008E-3</v>
      </c>
      <c r="CP120" s="175">
        <f>CP119-CJ119</f>
        <v>-2.5280883020700196E-3</v>
      </c>
      <c r="CQ120" s="175">
        <f>CQ119-CK119</f>
        <v>-2.5621791829466556E-3</v>
      </c>
      <c r="CR120" s="175">
        <f>CR119-CL119</f>
        <v>-2.4795173627361611E-3</v>
      </c>
      <c r="CS120" s="177">
        <f>CS119-CM119</f>
        <v>-2.7327965674138199E-3</v>
      </c>
      <c r="CU120" s="174">
        <f>CU119-CO119</f>
        <v>-3.5911121989961603E-3</v>
      </c>
      <c r="CV120" s="175">
        <f>CV119-CP119</f>
        <v>-2.4915128097593997E-3</v>
      </c>
      <c r="CW120" s="175">
        <f>CW119-CQ119</f>
        <v>-2.5397454114294282E-3</v>
      </c>
      <c r="CX120" s="175">
        <f>CX119-CR119</f>
        <v>-2.343054349942697E-3</v>
      </c>
      <c r="CY120" s="177">
        <f>CY119-CS119</f>
        <v>-2.7181445613673749E-3</v>
      </c>
      <c r="DA120" s="174">
        <f>DA119-CU119</f>
        <v>-3.5183275130421521E-3</v>
      </c>
      <c r="DB120" s="175">
        <f>DB119-CV119</f>
        <v>-2.5381292646117215E-3</v>
      </c>
      <c r="DC120" s="175">
        <f>DC119-CW119</f>
        <v>-2.5737366511754955E-3</v>
      </c>
      <c r="DD120" s="175">
        <f>DD119-CX119</f>
        <v>-2.4003676896547366E-3</v>
      </c>
      <c r="DE120" s="177">
        <f>DE119-CY119</f>
        <v>-2.7369727713997261E-3</v>
      </c>
      <c r="DG120" s="174">
        <f>DG119-DA119</f>
        <v>-3.4312858050577488E-3</v>
      </c>
      <c r="DH120" s="175">
        <f>DH119-DB119</f>
        <v>-2.595289535981371E-3</v>
      </c>
      <c r="DI120" s="175">
        <f>DI119-DC119</f>
        <v>-2.6154565842053112E-3</v>
      </c>
      <c r="DJ120" s="175">
        <f>DJ119-DD119</f>
        <v>-2.4698281809047429E-3</v>
      </c>
      <c r="DK120" s="177">
        <f>DK119-DE119</f>
        <v>-2.7604587846191131E-3</v>
      </c>
    </row>
    <row r="123" spans="2:115" ht="13.5" thickBot="1" x14ac:dyDescent="0.25"/>
    <row r="124" spans="2:115" ht="15" x14ac:dyDescent="0.3">
      <c r="B124" s="42" t="s">
        <v>356</v>
      </c>
      <c r="C124" s="126"/>
      <c r="D124" s="127"/>
      <c r="E124" s="127"/>
      <c r="F124" s="127"/>
      <c r="G124" s="167"/>
      <c r="H124" s="129"/>
      <c r="I124" s="126"/>
      <c r="J124" s="127"/>
      <c r="K124" s="127"/>
      <c r="L124" s="127"/>
      <c r="M124" s="201">
        <f>M116-M60-M103</f>
        <v>324</v>
      </c>
      <c r="N124" s="129"/>
      <c r="O124" s="198">
        <f>O116-O60-O103</f>
        <v>60</v>
      </c>
      <c r="P124" s="199">
        <f>P116-P60-P103</f>
        <v>98</v>
      </c>
      <c r="Q124" s="199">
        <f>Q116-Q60-Q103</f>
        <v>92</v>
      </c>
      <c r="R124" s="199">
        <f>R116-R60-R103</f>
        <v>58</v>
      </c>
      <c r="S124" s="201">
        <f>O124+P124+Q124+R124</f>
        <v>308</v>
      </c>
      <c r="T124" s="129"/>
      <c r="U124" s="198">
        <f>U116-U60-U103</f>
        <v>73</v>
      </c>
      <c r="V124" s="199">
        <f>V116-V60-V103</f>
        <v>94</v>
      </c>
      <c r="W124" s="199">
        <f>W116-W60-W103</f>
        <v>123</v>
      </c>
      <c r="X124" s="199">
        <f>X116-X60-X103</f>
        <v>50</v>
      </c>
      <c r="Y124" s="201">
        <f>U124+V124+W124+X124</f>
        <v>340</v>
      </c>
      <c r="Z124" s="226"/>
      <c r="AA124" s="198">
        <f>AA116-AA60-AA103</f>
        <v>69</v>
      </c>
      <c r="AB124" s="199">
        <f>AB116-AB60-AB103</f>
        <v>88</v>
      </c>
      <c r="AC124" s="199">
        <f>AC116-AC60-AC103</f>
        <v>127</v>
      </c>
      <c r="AD124" s="199">
        <f>AD116-AD60-AD103</f>
        <v>113</v>
      </c>
      <c r="AE124" s="201">
        <f>AA124+AB124+AC124+AD124</f>
        <v>397</v>
      </c>
      <c r="AF124" s="226"/>
      <c r="AG124" s="198">
        <f>AG116-AG60-AG103</f>
        <v>81</v>
      </c>
      <c r="AH124" s="199">
        <f>AH116-AH60-AH103</f>
        <v>92</v>
      </c>
      <c r="AI124" s="199">
        <f>AI116-AI60-AI103</f>
        <v>105</v>
      </c>
      <c r="AJ124" s="199">
        <f>AJ116-AJ60-AJ103</f>
        <v>54</v>
      </c>
      <c r="AK124" s="201">
        <f>AG124+AH124+AI124+AJ124</f>
        <v>332</v>
      </c>
      <c r="AL124" s="226"/>
      <c r="AM124" s="198">
        <f>AM116-AM60-AM103</f>
        <v>48</v>
      </c>
      <c r="AN124" s="199">
        <f>AN116-AN60-AN103</f>
        <v>65.5</v>
      </c>
      <c r="AO124" s="199">
        <f>AO116-AO60-AO103</f>
        <v>61</v>
      </c>
      <c r="AP124" s="199">
        <f>AP116-AP60-AP103</f>
        <v>69</v>
      </c>
      <c r="AQ124" s="201">
        <f>AM124+AN124+AO124+AP124</f>
        <v>243.5</v>
      </c>
      <c r="AR124" s="226"/>
      <c r="AS124" s="198">
        <f>AS116-AS60-AS103</f>
        <v>53</v>
      </c>
      <c r="AT124" s="199">
        <f>AT116-AT60-AT103</f>
        <v>45.764999999999986</v>
      </c>
      <c r="AU124" s="199">
        <f>AU116-AU60-AU103</f>
        <v>69.77</v>
      </c>
      <c r="AV124" s="199">
        <f>AV116-AV60-AV103</f>
        <v>73.334137931034476</v>
      </c>
      <c r="AW124" s="201">
        <f>AS124+AT124+AU124+AV124</f>
        <v>241.86913793103446</v>
      </c>
      <c r="AX124" s="226"/>
      <c r="AY124" s="198">
        <f>AY116-AY60-AY103</f>
        <v>50.965039370078742</v>
      </c>
      <c r="AZ124" s="199">
        <f>AZ116-AZ60-AZ103</f>
        <v>50.551275000000004</v>
      </c>
      <c r="BA124" s="199">
        <f>BA116-BA60-BA103</f>
        <v>61.720500000000008</v>
      </c>
      <c r="BB124" s="199">
        <f>BB116-BB60-BB103</f>
        <v>74.360699999999994</v>
      </c>
      <c r="BC124" s="201">
        <f>AY124+AZ124+BA124+BB124</f>
        <v>237.59751437007873</v>
      </c>
      <c r="BD124" s="226"/>
      <c r="BE124" s="198">
        <f>BE116-BE60-BE103</f>
        <v>30.060000000000002</v>
      </c>
      <c r="BF124" s="199">
        <f>BF116-BF60-BF103</f>
        <v>54.566146400000008</v>
      </c>
      <c r="BG124" s="199">
        <f>BG116-BG60-BG103</f>
        <v>68.040300999999999</v>
      </c>
      <c r="BH124" s="199">
        <f>BH116-BH60-BH103</f>
        <v>66.08</v>
      </c>
      <c r="BI124" s="201">
        <f>BE124+BF124+BG124+BH124</f>
        <v>218.74644740000002</v>
      </c>
      <c r="BJ124" s="226"/>
      <c r="BK124" s="198">
        <f>BK116-BK60-BK103</f>
        <v>50.029440000000008</v>
      </c>
      <c r="BL124" s="199">
        <f>BL116-BL60-BL103</f>
        <v>47.606374010399989</v>
      </c>
      <c r="BM124" s="199">
        <f>BM116-BM60-BM103</f>
        <v>58.20727574899999</v>
      </c>
      <c r="BN124" s="199">
        <f>BN116-BN60-BN103</f>
        <v>57.125439999999998</v>
      </c>
      <c r="BO124" s="201">
        <f>BK124+BL124+BM124+BN124</f>
        <v>212.96852975939998</v>
      </c>
      <c r="BP124" s="226"/>
      <c r="BQ124" s="198">
        <f>BQ116-BQ60-BQ103</f>
        <v>49.385336947954713</v>
      </c>
      <c r="BR124" s="199">
        <f>BR116-BR60-BR103</f>
        <v>49.293488652987165</v>
      </c>
      <c r="BS124" s="199">
        <f>BS116-BS60-BS103</f>
        <v>58.065217419819909</v>
      </c>
      <c r="BT124" s="199">
        <f>BT116-BT60-BT103</f>
        <v>57.308071746714681</v>
      </c>
      <c r="BU124" s="201">
        <f>BQ124+BR124+BS124+BT124</f>
        <v>214.05211476747647</v>
      </c>
      <c r="BV124" s="226"/>
      <c r="BW124" s="198">
        <f>BW116-BW60-BW103</f>
        <v>49.281475774148156</v>
      </c>
      <c r="BX124" s="199">
        <f>BX116-BX60-BX103</f>
        <v>51.135372931857489</v>
      </c>
      <c r="BY124" s="199">
        <f>BY116-BY60-BY103</f>
        <v>57.059836355742988</v>
      </c>
      <c r="BZ124" s="199">
        <f>BZ116-BZ60-BZ103</f>
        <v>58.21011277607515</v>
      </c>
      <c r="CA124" s="201">
        <f>BW124+BX124+BY124+BZ124</f>
        <v>215.6867978378238</v>
      </c>
      <c r="CB124" s="226"/>
      <c r="CC124" s="198">
        <f>CC116-CC60-CC103</f>
        <v>50.01226597092159</v>
      </c>
      <c r="CD124" s="199">
        <f>CD116-CD60-CD103</f>
        <v>53.712494747532062</v>
      </c>
      <c r="CE124" s="199">
        <f>CE116-CE60-CE103</f>
        <v>58.223045405932744</v>
      </c>
      <c r="CF124" s="199">
        <f>CF116-CF60-CF103</f>
        <v>59.799760301995732</v>
      </c>
      <c r="CG124" s="201">
        <f>CC124+CD124+CE124+CF124</f>
        <v>221.74756642638215</v>
      </c>
      <c r="CH124" s="226"/>
      <c r="CI124" s="198">
        <f>CI116-CI60-CI103</f>
        <v>50.114099194504945</v>
      </c>
      <c r="CJ124" s="199">
        <f>CJ116-CJ60-CJ103</f>
        <v>55.139769896805916</v>
      </c>
      <c r="CK124" s="199">
        <f>CK116-CK60-CK103</f>
        <v>58.725566528050159</v>
      </c>
      <c r="CL124" s="199">
        <f>CL116-CL60-CL103</f>
        <v>61.313278041479577</v>
      </c>
      <c r="CM124" s="201">
        <f>CI124+CJ124+CK124+CL124</f>
        <v>225.2927136608406</v>
      </c>
      <c r="CN124" s="226"/>
      <c r="CO124" s="198">
        <f>CO116-CO60-CO103</f>
        <v>50.24762276380244</v>
      </c>
      <c r="CP124" s="199">
        <f>CP116-CP60-CP103</f>
        <v>55.628500391597825</v>
      </c>
      <c r="CQ124" s="199">
        <f>CQ116-CQ60-CQ103</f>
        <v>59.320152056773871</v>
      </c>
      <c r="CR124" s="199">
        <f>CR116-CR60-CR103</f>
        <v>62.154949103030162</v>
      </c>
      <c r="CS124" s="201">
        <f>CO124+CP124+CQ124+CR124</f>
        <v>227.35122431520429</v>
      </c>
      <c r="CT124" s="226"/>
      <c r="CU124" s="198">
        <f>CU116-CU60-CU103</f>
        <v>50.444614112750358</v>
      </c>
      <c r="CV124" s="199">
        <f>CV116-CV60-CV103</f>
        <v>56.26068553659772</v>
      </c>
      <c r="CW124" s="199">
        <f>CW116-CW60-CW103</f>
        <v>60.085178879000345</v>
      </c>
      <c r="CX124" s="199">
        <f>CX116-CX60-CX103</f>
        <v>62.851872943479712</v>
      </c>
      <c r="CY124" s="201">
        <f>CU124+CV124+CW124+CX124</f>
        <v>229.64235147182814</v>
      </c>
      <c r="CZ124" s="226"/>
      <c r="DA124" s="198">
        <f>DA116-DA60-DA103</f>
        <v>50.577470255615808</v>
      </c>
      <c r="DB124" s="199">
        <f>DB116-DB60-DB103</f>
        <v>56.786591112855355</v>
      </c>
      <c r="DC124" s="199">
        <f>DC116-DC60-DC103</f>
        <v>60.721564010318936</v>
      </c>
      <c r="DD124" s="199">
        <f>DD116-DD60-DD103</f>
        <v>63.439544011227682</v>
      </c>
      <c r="DE124" s="201">
        <f>DA124+DB124+DC124+DD124</f>
        <v>231.52516939001777</v>
      </c>
      <c r="DF124" s="226"/>
      <c r="DG124" s="198">
        <f>DG116-DG60-DG103</f>
        <v>50.63293388246845</v>
      </c>
      <c r="DH124" s="199">
        <f>DH116-DH60-DH103</f>
        <v>57.178622825059733</v>
      </c>
      <c r="DI124" s="199">
        <f>DI116-DI60-DI103</f>
        <v>61.195988133661857</v>
      </c>
      <c r="DJ124" s="199">
        <f>DJ116-DJ60-DJ103</f>
        <v>63.890446883128163</v>
      </c>
      <c r="DK124" s="201">
        <f>DG124+DH124+DI124+DJ124</f>
        <v>232.89799172431822</v>
      </c>
    </row>
    <row r="125" spans="2:115" ht="15.75" thickBot="1" x14ac:dyDescent="0.35">
      <c r="B125" s="41" t="s">
        <v>23</v>
      </c>
      <c r="C125" s="155"/>
      <c r="D125" s="106"/>
      <c r="E125" s="106"/>
      <c r="F125" s="106"/>
      <c r="G125" s="108"/>
      <c r="I125" s="155"/>
      <c r="J125" s="106"/>
      <c r="K125" s="106"/>
      <c r="L125" s="106"/>
      <c r="M125" s="108" t="s">
        <v>35</v>
      </c>
      <c r="O125" s="155" t="s">
        <v>35</v>
      </c>
      <c r="P125" s="106" t="s">
        <v>35</v>
      </c>
      <c r="Q125" s="106" t="s">
        <v>35</v>
      </c>
      <c r="R125" s="106" t="s">
        <v>35</v>
      </c>
      <c r="S125" s="122">
        <f>S124/M124-1</f>
        <v>-4.9382716049382713E-2</v>
      </c>
      <c r="U125" s="109">
        <f>U124/O124-1</f>
        <v>0.21666666666666656</v>
      </c>
      <c r="V125" s="110">
        <f>V124/P124-1</f>
        <v>-4.081632653061229E-2</v>
      </c>
      <c r="W125" s="110">
        <f>W124/Q124-1</f>
        <v>0.33695652173913038</v>
      </c>
      <c r="X125" s="110">
        <f>X124/R124-1</f>
        <v>-0.13793103448275867</v>
      </c>
      <c r="Y125" s="122">
        <f>Y124/S124-1</f>
        <v>0.10389610389610393</v>
      </c>
      <c r="AA125" s="109">
        <f>AA124/U124-1</f>
        <v>-5.4794520547945202E-2</v>
      </c>
      <c r="AB125" s="110">
        <f>AB124/V124-1</f>
        <v>-6.3829787234042534E-2</v>
      </c>
      <c r="AC125" s="110">
        <f>AC124/W124-1</f>
        <v>3.2520325203251987E-2</v>
      </c>
      <c r="AD125" s="110">
        <f>AD124/X124-1</f>
        <v>1.2599999999999998</v>
      </c>
      <c r="AE125" s="122">
        <f>AE124/Y124-1</f>
        <v>0.16764705882352948</v>
      </c>
      <c r="AG125" s="109">
        <f>AG124/AA124-1</f>
        <v>0.17391304347826098</v>
      </c>
      <c r="AH125" s="110">
        <f>AH124/AB124-1</f>
        <v>4.5454545454545414E-2</v>
      </c>
      <c r="AI125" s="110">
        <f>AI124/AC124-1</f>
        <v>-0.17322834645669294</v>
      </c>
      <c r="AJ125" s="110">
        <f>AJ124/AD124-1</f>
        <v>-0.52212389380530966</v>
      </c>
      <c r="AK125" s="122">
        <f>AK124/AE124-1</f>
        <v>-0.16372795969773302</v>
      </c>
      <c r="AM125" s="109">
        <f>AM124/AG124-1</f>
        <v>-0.40740740740740744</v>
      </c>
      <c r="AN125" s="110">
        <f>AN124/AH124-1</f>
        <v>-0.28804347826086951</v>
      </c>
      <c r="AO125" s="110">
        <f>AO124/AI124-1</f>
        <v>-0.419047619047619</v>
      </c>
      <c r="AP125" s="110">
        <f>AP124/AJ124-1</f>
        <v>0.27777777777777768</v>
      </c>
      <c r="AQ125" s="122">
        <f>AQ124/AK124-1</f>
        <v>-0.26656626506024095</v>
      </c>
      <c r="AS125" s="109">
        <f>AS124/AM124-1</f>
        <v>0.10416666666666674</v>
      </c>
      <c r="AT125" s="110">
        <f>AT124/AN124-1</f>
        <v>-0.30129770992366434</v>
      </c>
      <c r="AU125" s="110">
        <f>AU124/AO124-1</f>
        <v>0.14377049180327872</v>
      </c>
      <c r="AV125" s="110">
        <f>AV124/AP124-1</f>
        <v>6.2813593203398188E-2</v>
      </c>
      <c r="AW125" s="122">
        <f>AW124/AQ124-1</f>
        <v>-6.6975854988318151E-3</v>
      </c>
      <c r="AY125" s="109">
        <f>AY124/AS124-1</f>
        <v>-3.8395483583419932E-2</v>
      </c>
      <c r="AZ125" s="110">
        <f>AZ124/AT124-1</f>
        <v>0.1045837430350709</v>
      </c>
      <c r="BA125" s="110">
        <f>BA124/AU124-1</f>
        <v>-0.11537193636233323</v>
      </c>
      <c r="BB125" s="110">
        <f>BB124/AV124-1</f>
        <v>1.3998420080030494E-2</v>
      </c>
      <c r="BC125" s="122">
        <f>BC124/AW124-1</f>
        <v>-1.7660887195015906E-2</v>
      </c>
      <c r="BE125" s="109">
        <f>BE124/AY124-1</f>
        <v>-0.41018391486521555</v>
      </c>
      <c r="BF125" s="110">
        <f>BF124/AZ124-1</f>
        <v>7.9421763348204388E-2</v>
      </c>
      <c r="BG125" s="110">
        <f>BG124/BA124-1</f>
        <v>0.10239387237627673</v>
      </c>
      <c r="BH125" s="110">
        <f>BH124/BB124-1</f>
        <v>-0.1113585536445999</v>
      </c>
      <c r="BI125" s="122">
        <f>BI124/BC124-1</f>
        <v>-7.9340337461260346E-2</v>
      </c>
      <c r="BK125" s="109">
        <f>BK124/BE124-1</f>
        <v>0.66431936127744518</v>
      </c>
      <c r="BL125" s="110">
        <f>BL124/BF124-1</f>
        <v>-0.12754744193553713</v>
      </c>
      <c r="BM125" s="110">
        <f>BM124/BG124-1</f>
        <v>-0.14451766242186392</v>
      </c>
      <c r="BN125" s="110">
        <f>BN124/BH124-1</f>
        <v>-0.13551089588377729</v>
      </c>
      <c r="BO125" s="122">
        <f>BO124/BI124-1</f>
        <v>-2.6413766757247159E-2</v>
      </c>
      <c r="BQ125" s="109">
        <f>BQ124/BK124-1</f>
        <v>-1.2874480546759992E-2</v>
      </c>
      <c r="BR125" s="110">
        <f>BR124/BL124-1</f>
        <v>3.5438839391939592E-2</v>
      </c>
      <c r="BS125" s="110">
        <f>BS124/BM124-1</f>
        <v>-2.4405596611781766E-3</v>
      </c>
      <c r="BT125" s="110">
        <f>BT124/BN124-1</f>
        <v>3.1970300222576853E-3</v>
      </c>
      <c r="BU125" s="122">
        <f>BU124/BO124-1</f>
        <v>5.0880052996593594E-3</v>
      </c>
      <c r="BW125" s="109">
        <f>BW124/BQ124-1</f>
        <v>-2.1030771525566427E-3</v>
      </c>
      <c r="BX125" s="110">
        <f>BX124/BR124-1</f>
        <v>3.7365670988245281E-2</v>
      </c>
      <c r="BY125" s="110">
        <f>BY124/BS124-1</f>
        <v>-1.7314686980466676E-2</v>
      </c>
      <c r="BZ125" s="110">
        <f>BZ124/BT124-1</f>
        <v>1.5740209046767983E-2</v>
      </c>
      <c r="CA125" s="122">
        <f>CA124/BU124-1</f>
        <v>7.6368461583435909E-3</v>
      </c>
      <c r="CC125" s="109">
        <f>CC124/BW124-1</f>
        <v>1.482890244850954E-2</v>
      </c>
      <c r="CD125" s="110">
        <f>CD124/BX124-1</f>
        <v>5.0398025239960953E-2</v>
      </c>
      <c r="CE125" s="110">
        <f>CE124/BY124-1</f>
        <v>2.0385776133980738E-2</v>
      </c>
      <c r="CF125" s="110">
        <f>CF124/BZ124-1</f>
        <v>2.7308786224752746E-2</v>
      </c>
      <c r="CG125" s="122">
        <f>CG124/CA124-1</f>
        <v>2.8099858912623343E-2</v>
      </c>
      <c r="CI125" s="109">
        <f>CI124/CC124-1</f>
        <v>2.0361649608631183E-3</v>
      </c>
      <c r="CJ125" s="110">
        <f>CJ124/CD124-1</f>
        <v>2.6572497814196794E-2</v>
      </c>
      <c r="CK125" s="110">
        <f>CK124/CE124-1</f>
        <v>8.6309659450793941E-3</v>
      </c>
      <c r="CL125" s="110">
        <f>CL124/CF124-1</f>
        <v>2.5309762645208123E-2</v>
      </c>
      <c r="CM125" s="122">
        <f>CM124/CG124-1</f>
        <v>1.5987310668572396E-2</v>
      </c>
      <c r="CO125" s="109">
        <f>CO124/CI124-1</f>
        <v>2.6643912879538156E-3</v>
      </c>
      <c r="CP125" s="110">
        <f>CP124/CJ124-1</f>
        <v>8.8634844814652336E-3</v>
      </c>
      <c r="CQ125" s="110">
        <f>CQ124/CK124-1</f>
        <v>1.0124815542472687E-2</v>
      </c>
      <c r="CR125" s="110">
        <f>CR124/CL124-1</f>
        <v>1.3727386439543743E-2</v>
      </c>
      <c r="CS125" s="122">
        <f>CS124/CM124-1</f>
        <v>9.1370494008191638E-3</v>
      </c>
      <c r="CU125" s="109">
        <f>CU124/CO124-1</f>
        <v>3.9204113172459643E-3</v>
      </c>
      <c r="CV125" s="110">
        <f>CV124/CP124-1</f>
        <v>1.1364411058173651E-2</v>
      </c>
      <c r="CW125" s="110">
        <f>CW124/CQ124-1</f>
        <v>1.2896575543068112E-2</v>
      </c>
      <c r="CX125" s="110">
        <f>CX124/CR124-1</f>
        <v>1.1212684597236233E-2</v>
      </c>
      <c r="CY125" s="122">
        <f>CY124/CS124-1</f>
        <v>1.0077478859086275E-2</v>
      </c>
      <c r="DA125" s="109">
        <f>DA124/CU124-1</f>
        <v>2.6337032248575643E-3</v>
      </c>
      <c r="DB125" s="110">
        <f>DB124/CV124-1</f>
        <v>9.347656738301513E-3</v>
      </c>
      <c r="DC125" s="110">
        <f>DC124/CW124-1</f>
        <v>1.0591382820048567E-2</v>
      </c>
      <c r="DD125" s="110">
        <f>DD124/CX124-1</f>
        <v>9.3500963491801592E-3</v>
      </c>
      <c r="DE125" s="122">
        <f>DE124/CY124-1</f>
        <v>8.1989141206848526E-3</v>
      </c>
      <c r="DG125" s="109">
        <f>DG124/DA124-1</f>
        <v>1.0966073742386673E-3</v>
      </c>
      <c r="DH125" s="110">
        <f>DH124/DB124-1</f>
        <v>6.9035965096984064E-3</v>
      </c>
      <c r="DI125" s="110">
        <f>DI124/DC124-1</f>
        <v>7.8131077661685033E-3</v>
      </c>
      <c r="DJ125" s="110">
        <f>DJ124/DD124-1</f>
        <v>7.1075995095533084E-3</v>
      </c>
      <c r="DK125" s="122">
        <f>DK124/DE124-1</f>
        <v>5.9294734041976938E-3</v>
      </c>
    </row>
  </sheetData>
  <mergeCells count="38">
    <mergeCell ref="BK79:BO79"/>
    <mergeCell ref="BQ79:BU79"/>
    <mergeCell ref="AA79:AE79"/>
    <mergeCell ref="AG79:AK79"/>
    <mergeCell ref="AM79:AQ79"/>
    <mergeCell ref="AS79:AW79"/>
    <mergeCell ref="CI2:CM2"/>
    <mergeCell ref="C79:G79"/>
    <mergeCell ref="I79:M79"/>
    <mergeCell ref="O79:S79"/>
    <mergeCell ref="U79:Y79"/>
    <mergeCell ref="AY2:BC2"/>
    <mergeCell ref="C2:G2"/>
    <mergeCell ref="I2:M2"/>
    <mergeCell ref="O2:S2"/>
    <mergeCell ref="U2:Y2"/>
    <mergeCell ref="AY79:BC79"/>
    <mergeCell ref="AA2:AE2"/>
    <mergeCell ref="AG2:AK2"/>
    <mergeCell ref="AM2:AQ2"/>
    <mergeCell ref="AS2:AW2"/>
    <mergeCell ref="BE79:BI79"/>
    <mergeCell ref="CI79:CM79"/>
    <mergeCell ref="BE2:BI2"/>
    <mergeCell ref="DA2:DE2"/>
    <mergeCell ref="DA79:DE79"/>
    <mergeCell ref="DG2:DK2"/>
    <mergeCell ref="DG79:DK79"/>
    <mergeCell ref="BK2:BO2"/>
    <mergeCell ref="BQ2:BU2"/>
    <mergeCell ref="CO2:CS2"/>
    <mergeCell ref="CO79:CS79"/>
    <mergeCell ref="CU2:CY2"/>
    <mergeCell ref="CU79:CY79"/>
    <mergeCell ref="BW2:CA2"/>
    <mergeCell ref="BW79:CA79"/>
    <mergeCell ref="CC2:CG2"/>
    <mergeCell ref="CC79:CG79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K114"/>
  <sheetViews>
    <sheetView zoomScale="50" workbookViewId="0">
      <pane xSplit="2" ySplit="3" topLeftCell="BH16" activePane="bottomRight" state="frozen"/>
      <selection pane="topRight" activeCell="C1" sqref="C1"/>
      <selection pane="bottomLeft" activeCell="A4" sqref="A4"/>
      <selection pane="bottomRight" sqref="A1:XFD1048576"/>
    </sheetView>
  </sheetViews>
  <sheetFormatPr defaultRowHeight="12.75" x14ac:dyDescent="0.2"/>
  <cols>
    <col min="1" max="1" width="4.5703125" customWidth="1"/>
    <col min="2" max="2" width="35.5703125" customWidth="1"/>
    <col min="3" max="3" width="10.140625" style="103" bestFit="1" customWidth="1"/>
    <col min="4" max="4" width="9.85546875" style="103" customWidth="1"/>
    <col min="5" max="5" width="10.42578125" style="103" bestFit="1" customWidth="1"/>
    <col min="6" max="6" width="10.140625" style="103" bestFit="1" customWidth="1"/>
    <col min="7" max="7" width="10.140625" style="103" customWidth="1"/>
    <col min="8" max="8" width="9.140625" style="103"/>
    <col min="9" max="9" width="11" style="103" bestFit="1" customWidth="1"/>
    <col min="10" max="11" width="10.42578125" style="103" bestFit="1" customWidth="1"/>
    <col min="12" max="12" width="9.42578125" style="103" customWidth="1"/>
    <col min="13" max="13" width="11" style="103" bestFit="1" customWidth="1"/>
    <col min="14" max="14" width="9.140625" style="103"/>
    <col min="15" max="15" width="9.85546875" style="103" bestFit="1" customWidth="1"/>
    <col min="16" max="16" width="10.140625" style="103" customWidth="1"/>
    <col min="17" max="17" width="9.85546875" style="103" bestFit="1" customWidth="1"/>
    <col min="18" max="18" width="10.140625" style="103" bestFit="1" customWidth="1"/>
    <col min="19" max="19" width="10.5703125" style="103" customWidth="1"/>
    <col min="20" max="20" width="9.140625" style="103"/>
    <col min="21" max="21" width="11.140625" style="103" bestFit="1" customWidth="1"/>
    <col min="22" max="22" width="11.5703125" style="103" bestFit="1" customWidth="1"/>
    <col min="23" max="23" width="10.5703125" style="103" bestFit="1" customWidth="1"/>
    <col min="24" max="24" width="11" style="103" bestFit="1" customWidth="1"/>
    <col min="25" max="25" width="10.7109375" style="103" bestFit="1" customWidth="1"/>
    <col min="27" max="27" width="10.7109375" bestFit="1" customWidth="1"/>
    <col min="28" max="30" width="11.42578125" bestFit="1" customWidth="1"/>
    <col min="31" max="31" width="10.7109375" customWidth="1"/>
    <col min="33" max="34" width="10.7109375" bestFit="1" customWidth="1"/>
    <col min="35" max="35" width="11.28515625" bestFit="1" customWidth="1"/>
    <col min="36" max="36" width="11.42578125" bestFit="1" customWidth="1"/>
    <col min="37" max="37" width="10.7109375" bestFit="1" customWidth="1"/>
    <col min="39" max="39" width="11.42578125" bestFit="1" customWidth="1"/>
    <col min="40" max="40" width="11.28515625" bestFit="1" customWidth="1"/>
    <col min="41" max="41" width="11" bestFit="1" customWidth="1"/>
    <col min="42" max="42" width="11.28515625" bestFit="1" customWidth="1"/>
    <col min="43" max="43" width="11" bestFit="1" customWidth="1"/>
    <col min="45" max="45" width="10.5703125" bestFit="1" customWidth="1"/>
    <col min="46" max="46" width="10.7109375" bestFit="1" customWidth="1"/>
    <col min="47" max="47" width="11.28515625" bestFit="1" customWidth="1"/>
    <col min="48" max="48" width="10.28515625" bestFit="1" customWidth="1"/>
    <col min="49" max="49" width="11" bestFit="1" customWidth="1"/>
    <col min="51" max="51" width="11.28515625" bestFit="1" customWidth="1"/>
    <col min="52" max="52" width="10.5703125" bestFit="1" customWidth="1"/>
    <col min="53" max="53" width="11.28515625" bestFit="1" customWidth="1"/>
    <col min="54" max="54" width="11.42578125" bestFit="1" customWidth="1"/>
    <col min="55" max="55" width="11" bestFit="1" customWidth="1"/>
    <col min="57" max="57" width="10.5703125" bestFit="1" customWidth="1"/>
    <col min="58" max="58" width="10.7109375" bestFit="1" customWidth="1"/>
    <col min="59" max="59" width="11" bestFit="1" customWidth="1"/>
    <col min="60" max="60" width="11.42578125" bestFit="1" customWidth="1"/>
    <col min="61" max="61" width="11" bestFit="1" customWidth="1"/>
    <col min="63" max="63" width="11.42578125" bestFit="1" customWidth="1"/>
    <col min="64" max="64" width="10.7109375" bestFit="1" customWidth="1"/>
    <col min="65" max="65" width="10.28515625" bestFit="1" customWidth="1"/>
    <col min="66" max="66" width="11" bestFit="1" customWidth="1"/>
    <col min="67" max="67" width="11.28515625" bestFit="1" customWidth="1"/>
    <col min="69" max="69" width="10.7109375" bestFit="1" customWidth="1"/>
    <col min="70" max="70" width="11.42578125" bestFit="1" customWidth="1"/>
    <col min="71" max="71" width="11" bestFit="1" customWidth="1"/>
    <col min="72" max="72" width="10.7109375" bestFit="1" customWidth="1"/>
    <col min="73" max="73" width="11" bestFit="1" customWidth="1"/>
    <col min="75" max="75" width="10.7109375" bestFit="1" customWidth="1"/>
    <col min="76" max="76" width="11.42578125" bestFit="1" customWidth="1"/>
    <col min="77" max="77" width="11" bestFit="1" customWidth="1"/>
    <col min="78" max="78" width="10.7109375" bestFit="1" customWidth="1"/>
    <col min="79" max="79" width="11" bestFit="1" customWidth="1"/>
    <col min="81" max="81" width="10.7109375" bestFit="1" customWidth="1"/>
    <col min="82" max="82" width="11.42578125" bestFit="1" customWidth="1"/>
    <col min="83" max="83" width="11" bestFit="1" customWidth="1"/>
    <col min="84" max="84" width="10.7109375" bestFit="1" customWidth="1"/>
    <col min="85" max="85" width="11" bestFit="1" customWidth="1"/>
    <col min="87" max="87" width="10.7109375" bestFit="1" customWidth="1"/>
    <col min="88" max="88" width="11.42578125" bestFit="1" customWidth="1"/>
    <col min="89" max="89" width="11" bestFit="1" customWidth="1"/>
    <col min="90" max="90" width="10.7109375" bestFit="1" customWidth="1"/>
    <col min="91" max="91" width="11" bestFit="1" customWidth="1"/>
    <col min="93" max="93" width="10.7109375" bestFit="1" customWidth="1"/>
    <col min="94" max="94" width="11.42578125" bestFit="1" customWidth="1"/>
    <col min="95" max="95" width="11" bestFit="1" customWidth="1"/>
    <col min="96" max="96" width="10.7109375" bestFit="1" customWidth="1"/>
    <col min="97" max="97" width="11" bestFit="1" customWidth="1"/>
    <col min="99" max="99" width="10.7109375" bestFit="1" customWidth="1"/>
    <col min="100" max="100" width="11.42578125" bestFit="1" customWidth="1"/>
    <col min="101" max="101" width="11" bestFit="1" customWidth="1"/>
    <col min="102" max="102" width="10.7109375" bestFit="1" customWidth="1"/>
    <col min="103" max="103" width="11" customWidth="1"/>
    <col min="105" max="115" width="11.140625" customWidth="1"/>
  </cols>
  <sheetData>
    <row r="1" spans="2:115" ht="13.5" thickBot="1" x14ac:dyDescent="0.25"/>
    <row r="2" spans="2:115" x14ac:dyDescent="0.2">
      <c r="B2" s="281" t="s">
        <v>157</v>
      </c>
      <c r="C2" s="712">
        <v>2007</v>
      </c>
      <c r="D2" s="713"/>
      <c r="E2" s="713"/>
      <c r="F2" s="713"/>
      <c r="G2" s="714"/>
      <c r="H2" s="129"/>
      <c r="I2" s="712">
        <v>2008</v>
      </c>
      <c r="J2" s="713"/>
      <c r="K2" s="713"/>
      <c r="L2" s="713"/>
      <c r="M2" s="714"/>
      <c r="N2" s="129"/>
      <c r="O2" s="712">
        <v>2009</v>
      </c>
      <c r="P2" s="713"/>
      <c r="Q2" s="713"/>
      <c r="R2" s="713"/>
      <c r="S2" s="714"/>
      <c r="T2" s="129"/>
      <c r="U2" s="712">
        <v>2010</v>
      </c>
      <c r="V2" s="713"/>
      <c r="W2" s="713"/>
      <c r="X2" s="713"/>
      <c r="Y2" s="714"/>
      <c r="AA2" s="712">
        <v>2011</v>
      </c>
      <c r="AB2" s="713"/>
      <c r="AC2" s="713"/>
      <c r="AD2" s="713"/>
      <c r="AE2" s="714"/>
      <c r="AG2" s="712">
        <v>2012</v>
      </c>
      <c r="AH2" s="713"/>
      <c r="AI2" s="713"/>
      <c r="AJ2" s="713"/>
      <c r="AK2" s="714"/>
      <c r="AM2" s="712">
        <v>2013</v>
      </c>
      <c r="AN2" s="713"/>
      <c r="AO2" s="713"/>
      <c r="AP2" s="713"/>
      <c r="AQ2" s="714"/>
      <c r="AS2" s="712">
        <v>2014</v>
      </c>
      <c r="AT2" s="713"/>
      <c r="AU2" s="713"/>
      <c r="AV2" s="713"/>
      <c r="AW2" s="714"/>
      <c r="AY2" s="712">
        <v>2015</v>
      </c>
      <c r="AZ2" s="713"/>
      <c r="BA2" s="713"/>
      <c r="BB2" s="713"/>
      <c r="BC2" s="714"/>
      <c r="BE2" s="712">
        <v>2016</v>
      </c>
      <c r="BF2" s="713"/>
      <c r="BG2" s="713"/>
      <c r="BH2" s="713"/>
      <c r="BI2" s="714"/>
      <c r="BK2" s="712">
        <v>2017</v>
      </c>
      <c r="BL2" s="713"/>
      <c r="BM2" s="713"/>
      <c r="BN2" s="713"/>
      <c r="BO2" s="714"/>
      <c r="BQ2" s="712">
        <v>2018</v>
      </c>
      <c r="BR2" s="713"/>
      <c r="BS2" s="713"/>
      <c r="BT2" s="713"/>
      <c r="BU2" s="714"/>
      <c r="BW2" s="712">
        <v>2019</v>
      </c>
      <c r="BX2" s="713"/>
      <c r="BY2" s="713"/>
      <c r="BZ2" s="713"/>
      <c r="CA2" s="714"/>
      <c r="CC2" s="712">
        <v>2020</v>
      </c>
      <c r="CD2" s="713"/>
      <c r="CE2" s="713"/>
      <c r="CF2" s="713"/>
      <c r="CG2" s="714"/>
      <c r="CI2" s="712">
        <v>2021</v>
      </c>
      <c r="CJ2" s="713"/>
      <c r="CK2" s="713"/>
      <c r="CL2" s="713"/>
      <c r="CM2" s="714"/>
      <c r="CO2" s="712">
        <v>2022</v>
      </c>
      <c r="CP2" s="713"/>
      <c r="CQ2" s="713"/>
      <c r="CR2" s="713"/>
      <c r="CS2" s="714"/>
      <c r="CU2" s="712">
        <v>2023</v>
      </c>
      <c r="CV2" s="713"/>
      <c r="CW2" s="713"/>
      <c r="CX2" s="713"/>
      <c r="CY2" s="714"/>
      <c r="DA2" s="712">
        <v>2024</v>
      </c>
      <c r="DB2" s="713"/>
      <c r="DC2" s="713"/>
      <c r="DD2" s="713"/>
      <c r="DE2" s="714"/>
      <c r="DG2" s="712">
        <v>2025</v>
      </c>
      <c r="DH2" s="713"/>
      <c r="DI2" s="713"/>
      <c r="DJ2" s="713"/>
      <c r="DK2" s="714"/>
    </row>
    <row r="3" spans="2:115" ht="13.5" thickBot="1" x14ac:dyDescent="0.25">
      <c r="C3" s="130" t="s">
        <v>20</v>
      </c>
      <c r="D3" s="131" t="s">
        <v>19</v>
      </c>
      <c r="E3" s="131" t="s">
        <v>22</v>
      </c>
      <c r="F3" s="131" t="s">
        <v>21</v>
      </c>
      <c r="G3" s="132" t="s">
        <v>39</v>
      </c>
      <c r="H3" s="129"/>
      <c r="I3" s="130" t="s">
        <v>20</v>
      </c>
      <c r="J3" s="131" t="s">
        <v>19</v>
      </c>
      <c r="K3" s="131" t="s">
        <v>22</v>
      </c>
      <c r="L3" s="131" t="s">
        <v>21</v>
      </c>
      <c r="M3" s="132" t="s">
        <v>39</v>
      </c>
      <c r="N3" s="129"/>
      <c r="O3" s="130" t="s">
        <v>20</v>
      </c>
      <c r="P3" s="131" t="s">
        <v>19</v>
      </c>
      <c r="Q3" s="131" t="s">
        <v>22</v>
      </c>
      <c r="R3" s="131" t="s">
        <v>21</v>
      </c>
      <c r="S3" s="132" t="s">
        <v>39</v>
      </c>
      <c r="T3" s="129"/>
      <c r="U3" s="130" t="s">
        <v>20</v>
      </c>
      <c r="V3" s="131" t="s">
        <v>19</v>
      </c>
      <c r="W3" s="131" t="s">
        <v>22</v>
      </c>
      <c r="X3" s="131" t="s">
        <v>21</v>
      </c>
      <c r="Y3" s="132" t="s">
        <v>39</v>
      </c>
      <c r="AA3" s="130" t="s">
        <v>20</v>
      </c>
      <c r="AB3" s="131" t="s">
        <v>19</v>
      </c>
      <c r="AC3" s="131" t="s">
        <v>22</v>
      </c>
      <c r="AD3" s="131" t="s">
        <v>21</v>
      </c>
      <c r="AE3" s="132" t="s">
        <v>39</v>
      </c>
      <c r="AG3" s="130" t="s">
        <v>20</v>
      </c>
      <c r="AH3" s="131" t="s">
        <v>19</v>
      </c>
      <c r="AI3" s="131" t="s">
        <v>22</v>
      </c>
      <c r="AJ3" s="131" t="s">
        <v>21</v>
      </c>
      <c r="AK3" s="132" t="s">
        <v>39</v>
      </c>
      <c r="AM3" s="130" t="s">
        <v>20</v>
      </c>
      <c r="AN3" s="131" t="s">
        <v>19</v>
      </c>
      <c r="AO3" s="131" t="s">
        <v>22</v>
      </c>
      <c r="AP3" s="131" t="s">
        <v>21</v>
      </c>
      <c r="AQ3" s="132" t="s">
        <v>39</v>
      </c>
      <c r="AS3" s="130" t="s">
        <v>20</v>
      </c>
      <c r="AT3" s="131" t="s">
        <v>19</v>
      </c>
      <c r="AU3" s="131" t="s">
        <v>22</v>
      </c>
      <c r="AV3" s="131" t="s">
        <v>21</v>
      </c>
      <c r="AW3" s="132" t="s">
        <v>39</v>
      </c>
      <c r="AY3" s="130" t="s">
        <v>20</v>
      </c>
      <c r="AZ3" s="131" t="s">
        <v>19</v>
      </c>
      <c r="BA3" s="131" t="s">
        <v>22</v>
      </c>
      <c r="BB3" s="131" t="s">
        <v>21</v>
      </c>
      <c r="BC3" s="132" t="s">
        <v>39</v>
      </c>
      <c r="BE3" s="130" t="s">
        <v>20</v>
      </c>
      <c r="BF3" s="131" t="s">
        <v>19</v>
      </c>
      <c r="BG3" s="131" t="s">
        <v>22</v>
      </c>
      <c r="BH3" s="131" t="s">
        <v>21</v>
      </c>
      <c r="BI3" s="132" t="s">
        <v>39</v>
      </c>
      <c r="BK3" s="130" t="s">
        <v>20</v>
      </c>
      <c r="BL3" s="131" t="s">
        <v>19</v>
      </c>
      <c r="BM3" s="131" t="s">
        <v>22</v>
      </c>
      <c r="BN3" s="131" t="s">
        <v>21</v>
      </c>
      <c r="BO3" s="132" t="s">
        <v>39</v>
      </c>
      <c r="BQ3" s="130" t="s">
        <v>20</v>
      </c>
      <c r="BR3" s="131" t="s">
        <v>19</v>
      </c>
      <c r="BS3" s="131" t="s">
        <v>22</v>
      </c>
      <c r="BT3" s="131" t="s">
        <v>21</v>
      </c>
      <c r="BU3" s="132" t="s">
        <v>39</v>
      </c>
      <c r="BW3" s="130" t="s">
        <v>20</v>
      </c>
      <c r="BX3" s="131" t="s">
        <v>19</v>
      </c>
      <c r="BY3" s="131" t="s">
        <v>22</v>
      </c>
      <c r="BZ3" s="131" t="s">
        <v>21</v>
      </c>
      <c r="CA3" s="132" t="s">
        <v>39</v>
      </c>
      <c r="CC3" s="130" t="s">
        <v>20</v>
      </c>
      <c r="CD3" s="131" t="s">
        <v>19</v>
      </c>
      <c r="CE3" s="131" t="s">
        <v>22</v>
      </c>
      <c r="CF3" s="131" t="s">
        <v>21</v>
      </c>
      <c r="CG3" s="132" t="s">
        <v>39</v>
      </c>
      <c r="CI3" s="130" t="s">
        <v>20</v>
      </c>
      <c r="CJ3" s="131" t="s">
        <v>19</v>
      </c>
      <c r="CK3" s="131" t="s">
        <v>22</v>
      </c>
      <c r="CL3" s="131" t="s">
        <v>21</v>
      </c>
      <c r="CM3" s="132" t="s">
        <v>39</v>
      </c>
      <c r="CO3" s="130" t="s">
        <v>20</v>
      </c>
      <c r="CP3" s="131" t="s">
        <v>19</v>
      </c>
      <c r="CQ3" s="131" t="s">
        <v>22</v>
      </c>
      <c r="CR3" s="131" t="s">
        <v>21</v>
      </c>
      <c r="CS3" s="132" t="s">
        <v>39</v>
      </c>
      <c r="CU3" s="130" t="s">
        <v>20</v>
      </c>
      <c r="CV3" s="131" t="s">
        <v>19</v>
      </c>
      <c r="CW3" s="131" t="s">
        <v>22</v>
      </c>
      <c r="CX3" s="131" t="s">
        <v>21</v>
      </c>
      <c r="CY3" s="132" t="s">
        <v>39</v>
      </c>
      <c r="DA3" s="130" t="s">
        <v>20</v>
      </c>
      <c r="DB3" s="131" t="s">
        <v>19</v>
      </c>
      <c r="DC3" s="131" t="s">
        <v>22</v>
      </c>
      <c r="DD3" s="131" t="s">
        <v>21</v>
      </c>
      <c r="DE3" s="132" t="s">
        <v>39</v>
      </c>
      <c r="DG3" s="130" t="s">
        <v>20</v>
      </c>
      <c r="DH3" s="131" t="s">
        <v>19</v>
      </c>
      <c r="DI3" s="131" t="s">
        <v>22</v>
      </c>
      <c r="DJ3" s="131" t="s">
        <v>21</v>
      </c>
      <c r="DK3" s="132" t="s">
        <v>39</v>
      </c>
    </row>
    <row r="4" spans="2:115" ht="15" x14ac:dyDescent="0.3">
      <c r="B4" s="104" t="s">
        <v>25</v>
      </c>
      <c r="C4" s="111">
        <v>2201</v>
      </c>
      <c r="D4" s="112">
        <f>C6</f>
        <v>2223</v>
      </c>
      <c r="E4" s="112">
        <f>D6</f>
        <v>2226</v>
      </c>
      <c r="F4" s="112">
        <f>E6</f>
        <v>2307</v>
      </c>
      <c r="G4" s="113">
        <f>C4</f>
        <v>2201</v>
      </c>
      <c r="H4" s="114"/>
      <c r="I4" s="111">
        <f>G6</f>
        <v>2367</v>
      </c>
      <c r="J4" s="112">
        <f>I6</f>
        <v>2335</v>
      </c>
      <c r="K4" s="112">
        <f>J6</f>
        <v>2330</v>
      </c>
      <c r="L4" s="112">
        <f>K6</f>
        <v>2317</v>
      </c>
      <c r="M4" s="113">
        <f>I4</f>
        <v>2367</v>
      </c>
      <c r="N4" s="114"/>
      <c r="O4" s="111">
        <f>M6</f>
        <v>2347</v>
      </c>
      <c r="P4" s="112">
        <f>O6</f>
        <v>2331</v>
      </c>
      <c r="Q4" s="112">
        <f>P6</f>
        <v>2323</v>
      </c>
      <c r="R4" s="112">
        <f>Q6</f>
        <v>2301</v>
      </c>
      <c r="S4" s="113">
        <f>O4</f>
        <v>2347</v>
      </c>
      <c r="T4" s="114"/>
      <c r="U4" s="111">
        <f>S6</f>
        <v>2376</v>
      </c>
      <c r="V4" s="112">
        <f>U6</f>
        <v>2399</v>
      </c>
      <c r="W4" s="112">
        <f>V6</f>
        <v>2412</v>
      </c>
      <c r="X4" s="112">
        <f>W6</f>
        <v>2407</v>
      </c>
      <c r="Y4" s="113">
        <f>U4</f>
        <v>2376</v>
      </c>
      <c r="AA4" s="111">
        <f>Y6</f>
        <v>2411</v>
      </c>
      <c r="AB4" s="112">
        <f>AA6</f>
        <v>2363</v>
      </c>
      <c r="AC4" s="112">
        <f>AB6</f>
        <v>2349</v>
      </c>
      <c r="AD4" s="112">
        <f>AC6</f>
        <v>2318</v>
      </c>
      <c r="AE4" s="113">
        <f>AA4</f>
        <v>2411</v>
      </c>
      <c r="AG4" s="111">
        <f>AE6</f>
        <v>2326</v>
      </c>
      <c r="AH4" s="112">
        <f>AG6</f>
        <v>2312</v>
      </c>
      <c r="AI4" s="112">
        <f>AH6</f>
        <v>2325</v>
      </c>
      <c r="AJ4" s="112">
        <f>AI6</f>
        <v>2313</v>
      </c>
      <c r="AK4" s="113">
        <f>AG4</f>
        <v>2326</v>
      </c>
      <c r="AM4" s="111">
        <f>AK6</f>
        <v>2311</v>
      </c>
      <c r="AN4" s="112">
        <f>AM6</f>
        <v>2289</v>
      </c>
      <c r="AO4" s="112">
        <f>AN6</f>
        <v>2273</v>
      </c>
      <c r="AP4" s="112">
        <f>AO6</f>
        <v>2263</v>
      </c>
      <c r="AQ4" s="113">
        <f>AM4</f>
        <v>2311</v>
      </c>
      <c r="AS4" s="111">
        <f>AQ6</f>
        <v>2262</v>
      </c>
      <c r="AT4" s="112">
        <f>AS6</f>
        <v>2257</v>
      </c>
      <c r="AU4" s="112">
        <f>AT6</f>
        <v>2237</v>
      </c>
      <c r="AV4" s="112">
        <f>AU6</f>
        <v>2228</v>
      </c>
      <c r="AW4" s="113">
        <f>AS4</f>
        <v>2262</v>
      </c>
      <c r="AY4" s="111">
        <f>AW6</f>
        <v>2220</v>
      </c>
      <c r="AZ4" s="112">
        <f>AY6</f>
        <v>2202</v>
      </c>
      <c r="BA4" s="112">
        <f>AZ6</f>
        <v>2196</v>
      </c>
      <c r="BB4" s="112">
        <f>BA6</f>
        <v>2204</v>
      </c>
      <c r="BC4" s="113">
        <f>AY4</f>
        <v>2220</v>
      </c>
      <c r="BE4" s="111">
        <f>BC6</f>
        <v>2235</v>
      </c>
      <c r="BF4" s="112">
        <f>BE6</f>
        <v>2231</v>
      </c>
      <c r="BG4" s="112">
        <f>BF6</f>
        <v>2227</v>
      </c>
      <c r="BH4" s="112">
        <f>BG6</f>
        <v>2226</v>
      </c>
      <c r="BI4" s="113">
        <f>BE4</f>
        <v>2235</v>
      </c>
      <c r="BK4" s="111">
        <f>BI6</f>
        <v>2225</v>
      </c>
      <c r="BL4" s="112">
        <f>BK6</f>
        <v>2230</v>
      </c>
      <c r="BM4" s="112">
        <f>BL6</f>
        <v>2235</v>
      </c>
      <c r="BN4" s="112">
        <f>BM6</f>
        <v>2245</v>
      </c>
      <c r="BO4" s="113">
        <f>BK4</f>
        <v>2225</v>
      </c>
      <c r="BQ4" s="111">
        <f>BO6</f>
        <v>2243</v>
      </c>
      <c r="BR4" s="112">
        <f>BQ6</f>
        <v>2245</v>
      </c>
      <c r="BS4" s="112">
        <f>BR6</f>
        <v>2247</v>
      </c>
      <c r="BT4" s="112">
        <f>BS6</f>
        <v>2252</v>
      </c>
      <c r="BU4" s="113">
        <f>BQ4</f>
        <v>2243</v>
      </c>
      <c r="BW4" s="111">
        <f>BU6</f>
        <v>2262</v>
      </c>
      <c r="BX4" s="112">
        <f>BW6</f>
        <v>2267</v>
      </c>
      <c r="BY4" s="112">
        <f>BX6</f>
        <v>2272</v>
      </c>
      <c r="BZ4" s="112">
        <f>BY6</f>
        <v>2277</v>
      </c>
      <c r="CA4" s="113">
        <f>BW4</f>
        <v>2262</v>
      </c>
      <c r="CC4" s="111">
        <f>CA6</f>
        <v>2287</v>
      </c>
      <c r="CD4" s="112">
        <f>CC6</f>
        <v>2292</v>
      </c>
      <c r="CE4" s="112">
        <f>CD6</f>
        <v>2297</v>
      </c>
      <c r="CF4" s="112">
        <f>CE6</f>
        <v>2302</v>
      </c>
      <c r="CG4" s="113">
        <f>CC4</f>
        <v>2287</v>
      </c>
      <c r="CI4" s="111">
        <f>CG6</f>
        <v>2312</v>
      </c>
      <c r="CJ4" s="112">
        <f>CI6</f>
        <v>2317</v>
      </c>
      <c r="CK4" s="112">
        <f>CJ6</f>
        <v>2322</v>
      </c>
      <c r="CL4" s="112">
        <f>CK6</f>
        <v>2327</v>
      </c>
      <c r="CM4" s="113">
        <f>CI4</f>
        <v>2312</v>
      </c>
      <c r="CO4" s="111">
        <f>CM6</f>
        <v>2337</v>
      </c>
      <c r="CP4" s="112">
        <f>CO6</f>
        <v>2342</v>
      </c>
      <c r="CQ4" s="112">
        <f>CP6</f>
        <v>2347</v>
      </c>
      <c r="CR4" s="112">
        <f>CQ6</f>
        <v>2352</v>
      </c>
      <c r="CS4" s="113">
        <f>CO4</f>
        <v>2337</v>
      </c>
      <c r="CU4" s="111">
        <f>CS6</f>
        <v>2362</v>
      </c>
      <c r="CV4" s="112">
        <f>CU6</f>
        <v>2367</v>
      </c>
      <c r="CW4" s="112">
        <f>CV6</f>
        <v>2372</v>
      </c>
      <c r="CX4" s="112">
        <f>CW6</f>
        <v>2377</v>
      </c>
      <c r="CY4" s="113">
        <f>CU4</f>
        <v>2362</v>
      </c>
      <c r="DA4" s="111">
        <f>CY6</f>
        <v>2387</v>
      </c>
      <c r="DB4" s="112">
        <f>DA6</f>
        <v>2392</v>
      </c>
      <c r="DC4" s="112">
        <f>DB6</f>
        <v>2397</v>
      </c>
      <c r="DD4" s="112">
        <f>DC6</f>
        <v>2402</v>
      </c>
      <c r="DE4" s="113">
        <f>DA4</f>
        <v>2387</v>
      </c>
      <c r="DG4" s="111">
        <f>DE6</f>
        <v>2412</v>
      </c>
      <c r="DH4" s="112">
        <f>DG6</f>
        <v>2417</v>
      </c>
      <c r="DI4" s="112">
        <f>DH6</f>
        <v>2422</v>
      </c>
      <c r="DJ4" s="112">
        <f>DI6</f>
        <v>2427</v>
      </c>
      <c r="DK4" s="113">
        <f>DG4</f>
        <v>2412</v>
      </c>
    </row>
    <row r="5" spans="2:115" ht="15" x14ac:dyDescent="0.3">
      <c r="B5" s="105" t="s">
        <v>26</v>
      </c>
      <c r="C5" s="116">
        <f>C6-C4</f>
        <v>22</v>
      </c>
      <c r="D5" s="117">
        <f>D6-D4</f>
        <v>3</v>
      </c>
      <c r="E5" s="117">
        <f>E6-E4</f>
        <v>81</v>
      </c>
      <c r="F5" s="117">
        <f>F6-F4</f>
        <v>60</v>
      </c>
      <c r="G5" s="118">
        <f>G6-G4</f>
        <v>166</v>
      </c>
      <c r="H5" s="114"/>
      <c r="I5" s="116">
        <f>I6-I4</f>
        <v>-32</v>
      </c>
      <c r="J5" s="117">
        <f>J6-J4</f>
        <v>-5</v>
      </c>
      <c r="K5" s="117">
        <f>K6-K4</f>
        <v>-13</v>
      </c>
      <c r="L5" s="117">
        <f>L6-L4</f>
        <v>30</v>
      </c>
      <c r="M5" s="118">
        <f>M6-M4</f>
        <v>-20</v>
      </c>
      <c r="N5" s="114"/>
      <c r="O5" s="116">
        <f>O6-O4</f>
        <v>-16</v>
      </c>
      <c r="P5" s="117">
        <f>P6-P4</f>
        <v>-8</v>
      </c>
      <c r="Q5" s="117">
        <f>Q6-Q4</f>
        <v>-22</v>
      </c>
      <c r="R5" s="117">
        <f>R6-R4</f>
        <v>75</v>
      </c>
      <c r="S5" s="118">
        <f>S6-S4</f>
        <v>29</v>
      </c>
      <c r="T5" s="114"/>
      <c r="U5" s="116">
        <f>U6-U4</f>
        <v>23</v>
      </c>
      <c r="V5" s="117">
        <f>V6-V4</f>
        <v>13</v>
      </c>
      <c r="W5" s="117">
        <v>-5</v>
      </c>
      <c r="X5" s="117">
        <v>4</v>
      </c>
      <c r="Y5" s="118">
        <f>Y6-Y4</f>
        <v>35</v>
      </c>
      <c r="AA5" s="116">
        <v>-48</v>
      </c>
      <c r="AB5" s="117">
        <v>-14</v>
      </c>
      <c r="AC5" s="117">
        <v>-31</v>
      </c>
      <c r="AD5" s="117">
        <v>8</v>
      </c>
      <c r="AE5" s="118">
        <f>AE6-AE4</f>
        <v>-85</v>
      </c>
      <c r="AG5" s="116">
        <v>-14</v>
      </c>
      <c r="AH5" s="117">
        <v>13</v>
      </c>
      <c r="AI5" s="117">
        <v>-12</v>
      </c>
      <c r="AJ5" s="117">
        <v>-2</v>
      </c>
      <c r="AK5" s="118">
        <f>AK6-AK4</f>
        <v>-15</v>
      </c>
      <c r="AM5" s="116">
        <v>-22</v>
      </c>
      <c r="AN5" s="117">
        <v>-16</v>
      </c>
      <c r="AO5" s="117">
        <v>-10</v>
      </c>
      <c r="AP5" s="117">
        <v>-1</v>
      </c>
      <c r="AQ5" s="118">
        <f>AQ6-AQ4</f>
        <v>-49</v>
      </c>
      <c r="AS5" s="116">
        <v>-5</v>
      </c>
      <c r="AT5" s="117">
        <v>-20</v>
      </c>
      <c r="AU5" s="117">
        <v>-9</v>
      </c>
      <c r="AV5" s="117">
        <v>-8</v>
      </c>
      <c r="AW5" s="118">
        <f>AW6-AW4</f>
        <v>-42</v>
      </c>
      <c r="AY5" s="116">
        <v>-18</v>
      </c>
      <c r="AZ5" s="117">
        <v>-6</v>
      </c>
      <c r="BA5" s="117">
        <v>8</v>
      </c>
      <c r="BB5" s="117">
        <v>31</v>
      </c>
      <c r="BC5" s="118">
        <f>BC6-BC4</f>
        <v>15</v>
      </c>
      <c r="BE5" s="116">
        <v>-4</v>
      </c>
      <c r="BF5" s="117">
        <v>-4</v>
      </c>
      <c r="BG5" s="117">
        <v>-1</v>
      </c>
      <c r="BH5" s="117">
        <v>-1</v>
      </c>
      <c r="BI5" s="118">
        <f>BI6-BI4</f>
        <v>-10</v>
      </c>
      <c r="BK5" s="116">
        <v>5</v>
      </c>
      <c r="BL5" s="117">
        <v>5</v>
      </c>
      <c r="BM5" s="117">
        <v>10</v>
      </c>
      <c r="BN5" s="117">
        <v>-2</v>
      </c>
      <c r="BO5" s="118">
        <f>BO6-BO4</f>
        <v>18</v>
      </c>
      <c r="BQ5" s="116">
        <v>2</v>
      </c>
      <c r="BR5" s="117">
        <v>2</v>
      </c>
      <c r="BS5" s="117">
        <v>5</v>
      </c>
      <c r="BT5" s="117">
        <v>10</v>
      </c>
      <c r="BU5" s="118">
        <f>BU6-BU4</f>
        <v>19</v>
      </c>
      <c r="BW5" s="116">
        <v>5</v>
      </c>
      <c r="BX5" s="117">
        <v>5</v>
      </c>
      <c r="BY5" s="117">
        <v>5</v>
      </c>
      <c r="BZ5" s="117">
        <v>10</v>
      </c>
      <c r="CA5" s="118">
        <f>CA6-CA4</f>
        <v>25</v>
      </c>
      <c r="CC5" s="116">
        <v>5</v>
      </c>
      <c r="CD5" s="117">
        <v>5</v>
      </c>
      <c r="CE5" s="117">
        <v>5</v>
      </c>
      <c r="CF5" s="117">
        <v>10</v>
      </c>
      <c r="CG5" s="118">
        <f>CG6-CG4</f>
        <v>25</v>
      </c>
      <c r="CI5" s="116">
        <v>5</v>
      </c>
      <c r="CJ5" s="117">
        <v>5</v>
      </c>
      <c r="CK5" s="117">
        <v>5</v>
      </c>
      <c r="CL5" s="117">
        <v>10</v>
      </c>
      <c r="CM5" s="118">
        <f>CM6-CM4</f>
        <v>25</v>
      </c>
      <c r="CO5" s="116">
        <v>5</v>
      </c>
      <c r="CP5" s="117">
        <v>5</v>
      </c>
      <c r="CQ5" s="117">
        <v>5</v>
      </c>
      <c r="CR5" s="117">
        <v>10</v>
      </c>
      <c r="CS5" s="118">
        <f>CS6-CS4</f>
        <v>25</v>
      </c>
      <c r="CU5" s="116">
        <v>5</v>
      </c>
      <c r="CV5" s="117">
        <v>5</v>
      </c>
      <c r="CW5" s="117">
        <v>5</v>
      </c>
      <c r="CX5" s="117">
        <v>10</v>
      </c>
      <c r="CY5" s="118">
        <f>CY6-CY4</f>
        <v>25</v>
      </c>
      <c r="DA5" s="116">
        <v>5</v>
      </c>
      <c r="DB5" s="117">
        <v>5</v>
      </c>
      <c r="DC5" s="117">
        <v>5</v>
      </c>
      <c r="DD5" s="117">
        <v>10</v>
      </c>
      <c r="DE5" s="118">
        <f>DE6-DE4</f>
        <v>25</v>
      </c>
      <c r="DG5" s="116">
        <v>5</v>
      </c>
      <c r="DH5" s="117">
        <v>5</v>
      </c>
      <c r="DI5" s="117">
        <v>5</v>
      </c>
      <c r="DJ5" s="117">
        <v>10</v>
      </c>
      <c r="DK5" s="118">
        <f>DK6-DK4</f>
        <v>25</v>
      </c>
    </row>
    <row r="6" spans="2:115" ht="15.75" thickBot="1" x14ac:dyDescent="0.35">
      <c r="B6" s="5" t="s">
        <v>27</v>
      </c>
      <c r="C6" s="116">
        <v>2223</v>
      </c>
      <c r="D6" s="117">
        <v>2226</v>
      </c>
      <c r="E6" s="117">
        <v>2307</v>
      </c>
      <c r="F6" s="117">
        <v>2367</v>
      </c>
      <c r="G6" s="121">
        <f>F6</f>
        <v>2367</v>
      </c>
      <c r="H6" s="114"/>
      <c r="I6" s="123">
        <v>2335</v>
      </c>
      <c r="J6" s="124">
        <v>2330</v>
      </c>
      <c r="K6" s="124">
        <v>2317</v>
      </c>
      <c r="L6" s="125">
        <v>2347</v>
      </c>
      <c r="M6" s="121">
        <f>L6</f>
        <v>2347</v>
      </c>
      <c r="N6" s="114"/>
      <c r="O6" s="123">
        <v>2331</v>
      </c>
      <c r="P6" s="124">
        <v>2323</v>
      </c>
      <c r="Q6" s="124">
        <v>2301</v>
      </c>
      <c r="R6" s="125">
        <v>2376</v>
      </c>
      <c r="S6" s="121">
        <f>R6</f>
        <v>2376</v>
      </c>
      <c r="T6" s="114"/>
      <c r="U6" s="123">
        <v>2399</v>
      </c>
      <c r="V6" s="124">
        <v>2412</v>
      </c>
      <c r="W6" s="124">
        <f>W4+W5</f>
        <v>2407</v>
      </c>
      <c r="X6" s="124">
        <f>X4+X5</f>
        <v>2411</v>
      </c>
      <c r="Y6" s="121">
        <f>X6</f>
        <v>2411</v>
      </c>
      <c r="AA6" s="123">
        <f>AA4+AA5</f>
        <v>2363</v>
      </c>
      <c r="AB6" s="124">
        <f>AB4+AB5</f>
        <v>2349</v>
      </c>
      <c r="AC6" s="124">
        <f>AC4+AC5</f>
        <v>2318</v>
      </c>
      <c r="AD6" s="124">
        <f>AD4+AD5</f>
        <v>2326</v>
      </c>
      <c r="AE6" s="121">
        <f>AD6</f>
        <v>2326</v>
      </c>
      <c r="AG6" s="123">
        <f>AG4+AG5</f>
        <v>2312</v>
      </c>
      <c r="AH6" s="124">
        <f>AH4+AH5</f>
        <v>2325</v>
      </c>
      <c r="AI6" s="124">
        <f>AI4+AI5</f>
        <v>2313</v>
      </c>
      <c r="AJ6" s="124">
        <f>AJ4+AJ5</f>
        <v>2311</v>
      </c>
      <c r="AK6" s="121">
        <f>AJ6</f>
        <v>2311</v>
      </c>
      <c r="AM6" s="123">
        <f>AM4+AM5</f>
        <v>2289</v>
      </c>
      <c r="AN6" s="124">
        <f>AN4+AN5</f>
        <v>2273</v>
      </c>
      <c r="AO6" s="124">
        <f>AO4+AO5</f>
        <v>2263</v>
      </c>
      <c r="AP6" s="124">
        <f>AP4+AP5</f>
        <v>2262</v>
      </c>
      <c r="AQ6" s="121">
        <f>AP6</f>
        <v>2262</v>
      </c>
      <c r="AS6" s="123">
        <f>AS4+AS5</f>
        <v>2257</v>
      </c>
      <c r="AT6" s="124">
        <f>AT4+AT5</f>
        <v>2237</v>
      </c>
      <c r="AU6" s="124">
        <f>AU4+AU5</f>
        <v>2228</v>
      </c>
      <c r="AV6" s="124">
        <f>AV4+AV5</f>
        <v>2220</v>
      </c>
      <c r="AW6" s="121">
        <f>AV6</f>
        <v>2220</v>
      </c>
      <c r="AY6" s="123">
        <f>AY4+AY5</f>
        <v>2202</v>
      </c>
      <c r="AZ6" s="124">
        <f>AZ4+AZ5</f>
        <v>2196</v>
      </c>
      <c r="BA6" s="124">
        <f>BA4+BA5</f>
        <v>2204</v>
      </c>
      <c r="BB6" s="124">
        <f>BB4+BB5</f>
        <v>2235</v>
      </c>
      <c r="BC6" s="121">
        <f>BB6</f>
        <v>2235</v>
      </c>
      <c r="BE6" s="123">
        <f>BE4+BE5</f>
        <v>2231</v>
      </c>
      <c r="BF6" s="124">
        <f>BF4+BF5</f>
        <v>2227</v>
      </c>
      <c r="BG6" s="124">
        <f>BG4+BG5</f>
        <v>2226</v>
      </c>
      <c r="BH6" s="124">
        <f>BH4+BH5</f>
        <v>2225</v>
      </c>
      <c r="BI6" s="121">
        <f>BH6</f>
        <v>2225</v>
      </c>
      <c r="BK6" s="123">
        <f>BK4+BK5</f>
        <v>2230</v>
      </c>
      <c r="BL6" s="124">
        <f>BL4+BL5</f>
        <v>2235</v>
      </c>
      <c r="BM6" s="124">
        <f>BM4+BM5</f>
        <v>2245</v>
      </c>
      <c r="BN6" s="124">
        <f>BN4+BN5</f>
        <v>2243</v>
      </c>
      <c r="BO6" s="121">
        <f>BN6</f>
        <v>2243</v>
      </c>
      <c r="BQ6" s="123">
        <f>BQ4+BQ5</f>
        <v>2245</v>
      </c>
      <c r="BR6" s="124">
        <f>BR4+BR5</f>
        <v>2247</v>
      </c>
      <c r="BS6" s="124">
        <f>BS4+BS5</f>
        <v>2252</v>
      </c>
      <c r="BT6" s="124">
        <f>BT4+BT5</f>
        <v>2262</v>
      </c>
      <c r="BU6" s="121">
        <f>BT6</f>
        <v>2262</v>
      </c>
      <c r="BW6" s="123">
        <f>BW4+BW5</f>
        <v>2267</v>
      </c>
      <c r="BX6" s="124">
        <f>BX4+BX5</f>
        <v>2272</v>
      </c>
      <c r="BY6" s="124">
        <f>BY4+BY5</f>
        <v>2277</v>
      </c>
      <c r="BZ6" s="124">
        <f>BZ4+BZ5</f>
        <v>2287</v>
      </c>
      <c r="CA6" s="121">
        <f>BZ6</f>
        <v>2287</v>
      </c>
      <c r="CC6" s="123">
        <f>CC4+CC5</f>
        <v>2292</v>
      </c>
      <c r="CD6" s="124">
        <f>CD4+CD5</f>
        <v>2297</v>
      </c>
      <c r="CE6" s="124">
        <f>CE4+CE5</f>
        <v>2302</v>
      </c>
      <c r="CF6" s="124">
        <f>CF4+CF5</f>
        <v>2312</v>
      </c>
      <c r="CG6" s="121">
        <f>CF6</f>
        <v>2312</v>
      </c>
      <c r="CI6" s="123">
        <f>CI4+CI5</f>
        <v>2317</v>
      </c>
      <c r="CJ6" s="124">
        <f>CJ4+CJ5</f>
        <v>2322</v>
      </c>
      <c r="CK6" s="124">
        <f>CK4+CK5</f>
        <v>2327</v>
      </c>
      <c r="CL6" s="124">
        <f>CL4+CL5</f>
        <v>2337</v>
      </c>
      <c r="CM6" s="121">
        <f>CL6</f>
        <v>2337</v>
      </c>
      <c r="CO6" s="123">
        <f>CO4+CO5</f>
        <v>2342</v>
      </c>
      <c r="CP6" s="124">
        <f>CP4+CP5</f>
        <v>2347</v>
      </c>
      <c r="CQ6" s="124">
        <f>CQ4+CQ5</f>
        <v>2352</v>
      </c>
      <c r="CR6" s="124">
        <f>CR4+CR5</f>
        <v>2362</v>
      </c>
      <c r="CS6" s="121">
        <f>CR6</f>
        <v>2362</v>
      </c>
      <c r="CU6" s="123">
        <f>CU4+CU5</f>
        <v>2367</v>
      </c>
      <c r="CV6" s="124">
        <f>CV4+CV5</f>
        <v>2372</v>
      </c>
      <c r="CW6" s="124">
        <f>CW4+CW5</f>
        <v>2377</v>
      </c>
      <c r="CX6" s="124">
        <f>CX4+CX5</f>
        <v>2387</v>
      </c>
      <c r="CY6" s="121">
        <f>CX6</f>
        <v>2387</v>
      </c>
      <c r="DA6" s="123">
        <f>DA4+DA5</f>
        <v>2392</v>
      </c>
      <c r="DB6" s="124">
        <f>DB4+DB5</f>
        <v>2397</v>
      </c>
      <c r="DC6" s="124">
        <f>DC4+DC5</f>
        <v>2402</v>
      </c>
      <c r="DD6" s="124">
        <f>DD4+DD5</f>
        <v>2412</v>
      </c>
      <c r="DE6" s="121">
        <f>DD6</f>
        <v>2412</v>
      </c>
      <c r="DG6" s="123">
        <f>DG4+DG5</f>
        <v>2417</v>
      </c>
      <c r="DH6" s="124">
        <f>DH4+DH5</f>
        <v>2422</v>
      </c>
      <c r="DI6" s="124">
        <f>DI4+DI5</f>
        <v>2427</v>
      </c>
      <c r="DJ6" s="124">
        <f>DJ4+DJ5</f>
        <v>2437</v>
      </c>
      <c r="DK6" s="121">
        <f>DJ6</f>
        <v>2437</v>
      </c>
    </row>
    <row r="7" spans="2:115" ht="15" x14ac:dyDescent="0.3">
      <c r="B7" s="38" t="s">
        <v>28</v>
      </c>
      <c r="C7" s="112">
        <f>C6-C5/2</f>
        <v>2212</v>
      </c>
      <c r="D7" s="112">
        <f>D6-D5/2</f>
        <v>2224.5</v>
      </c>
      <c r="E7" s="112">
        <f>E6-E5/2</f>
        <v>2266.5</v>
      </c>
      <c r="F7" s="112">
        <f>F6-F5/2</f>
        <v>2337</v>
      </c>
      <c r="G7" s="118">
        <f>(C7+D7+E7+F7)/4</f>
        <v>2260</v>
      </c>
      <c r="H7" s="114"/>
      <c r="I7" s="116">
        <f>I6-I5/2</f>
        <v>2351</v>
      </c>
      <c r="J7" s="117">
        <f>J6-J5/2</f>
        <v>2332.5</v>
      </c>
      <c r="K7" s="117">
        <f>K6-K5/2</f>
        <v>2323.5</v>
      </c>
      <c r="L7" s="119">
        <f>L6-L5/2</f>
        <v>2332</v>
      </c>
      <c r="M7" s="118">
        <f>(I7+J7+K7+L7)/4</f>
        <v>2334.75</v>
      </c>
      <c r="N7" s="114"/>
      <c r="O7" s="116">
        <f>O6-O5/2</f>
        <v>2339</v>
      </c>
      <c r="P7" s="117">
        <f>P6-P5/2</f>
        <v>2327</v>
      </c>
      <c r="Q7" s="117">
        <f>Q6-Q5/2</f>
        <v>2312</v>
      </c>
      <c r="R7" s="119">
        <f>R6-R5/2</f>
        <v>2338.5</v>
      </c>
      <c r="S7" s="118">
        <f>(O7+P7+Q7+R7)/4</f>
        <v>2329.125</v>
      </c>
      <c r="T7" s="114"/>
      <c r="U7" s="116">
        <f>U6-U5/2</f>
        <v>2387.5</v>
      </c>
      <c r="V7" s="117">
        <f>V6-V5/2</f>
        <v>2405.5</v>
      </c>
      <c r="W7" s="117">
        <f>W6-W5/2</f>
        <v>2409.5</v>
      </c>
      <c r="X7" s="117">
        <f>X6-X5/2</f>
        <v>2409</v>
      </c>
      <c r="Y7" s="118">
        <f>(U7+V7+W7+X7)/4</f>
        <v>2402.875</v>
      </c>
      <c r="AA7" s="116">
        <f>AA6-AA5/2</f>
        <v>2387</v>
      </c>
      <c r="AB7" s="117">
        <f>AB6-AB5/2</f>
        <v>2356</v>
      </c>
      <c r="AC7" s="117">
        <f>AC6-AC5/2</f>
        <v>2333.5</v>
      </c>
      <c r="AD7" s="117">
        <f>AD6-AD5/2</f>
        <v>2322</v>
      </c>
      <c r="AE7" s="118">
        <f>(AA7+AB7+AC7+AD7)/4</f>
        <v>2349.625</v>
      </c>
      <c r="AG7" s="116">
        <f>AG6-AG5/2</f>
        <v>2319</v>
      </c>
      <c r="AH7" s="117">
        <f>AH6-AH5/2</f>
        <v>2318.5</v>
      </c>
      <c r="AI7" s="117">
        <f>AI6-AI5/2</f>
        <v>2319</v>
      </c>
      <c r="AJ7" s="117">
        <f>AJ6-AJ5/2</f>
        <v>2312</v>
      </c>
      <c r="AK7" s="118">
        <f>(AG7+AH7+AI7+AJ7)/4</f>
        <v>2317.125</v>
      </c>
      <c r="AM7" s="116">
        <f>AM6-AM5/2</f>
        <v>2300</v>
      </c>
      <c r="AN7" s="117">
        <f>AN6-AN5/2</f>
        <v>2281</v>
      </c>
      <c r="AO7" s="117">
        <f>AO6-AO5/2</f>
        <v>2268</v>
      </c>
      <c r="AP7" s="117">
        <f>AP6-AP5/2</f>
        <v>2262.5</v>
      </c>
      <c r="AQ7" s="118">
        <f>(AM7+AN7+AO7+AP7)/4</f>
        <v>2277.875</v>
      </c>
      <c r="AS7" s="116">
        <f>AS6-AS5/2</f>
        <v>2259.5</v>
      </c>
      <c r="AT7" s="117">
        <f>AT6-AT5/2</f>
        <v>2247</v>
      </c>
      <c r="AU7" s="117">
        <f>AU6-AU5/2</f>
        <v>2232.5</v>
      </c>
      <c r="AV7" s="117">
        <f>AV6-AV5/2</f>
        <v>2224</v>
      </c>
      <c r="AW7" s="118">
        <f>(AS7+AT7+AU7+AV7)/4</f>
        <v>2240.75</v>
      </c>
      <c r="AY7" s="116">
        <f>AY6-AY5/2</f>
        <v>2211</v>
      </c>
      <c r="AZ7" s="117">
        <f>AZ6-AZ5/2</f>
        <v>2199</v>
      </c>
      <c r="BA7" s="117">
        <f>BA6-BA5/2</f>
        <v>2200</v>
      </c>
      <c r="BB7" s="117">
        <f>BB6-BB5/2</f>
        <v>2219.5</v>
      </c>
      <c r="BC7" s="118">
        <f>(AY7+AZ7+BA7+BB7)/4</f>
        <v>2207.375</v>
      </c>
      <c r="BE7" s="116">
        <f>BE6-BE5/2</f>
        <v>2233</v>
      </c>
      <c r="BF7" s="117">
        <f>BF6-BF5/2</f>
        <v>2229</v>
      </c>
      <c r="BG7" s="117">
        <f>BG6-BG5/2</f>
        <v>2226.5</v>
      </c>
      <c r="BH7" s="117">
        <f>BH6-BH5/2</f>
        <v>2225.5</v>
      </c>
      <c r="BI7" s="118">
        <f>(BE7+BF7+BG7+BH7)/4</f>
        <v>2228.5</v>
      </c>
      <c r="BK7" s="116">
        <f>BK6-BK5/2</f>
        <v>2227.5</v>
      </c>
      <c r="BL7" s="117">
        <f>BL6-BL5/2</f>
        <v>2232.5</v>
      </c>
      <c r="BM7" s="117">
        <f>BM6-BM5/2</f>
        <v>2240</v>
      </c>
      <c r="BN7" s="117">
        <f>BN6-BN5/2</f>
        <v>2244</v>
      </c>
      <c r="BO7" s="118">
        <f>(BK7+BL7+BM7+BN7)/4</f>
        <v>2236</v>
      </c>
      <c r="BQ7" s="116">
        <f>BQ6-BQ5/2</f>
        <v>2244</v>
      </c>
      <c r="BR7" s="117">
        <f>BR6-BR5/2</f>
        <v>2246</v>
      </c>
      <c r="BS7" s="117">
        <f>BS6-BS5/2</f>
        <v>2249.5</v>
      </c>
      <c r="BT7" s="117">
        <f>BT6-BT5/2</f>
        <v>2257</v>
      </c>
      <c r="BU7" s="118">
        <f>(BQ7+BR7+BS7+BT7)/4</f>
        <v>2249.125</v>
      </c>
      <c r="BW7" s="116">
        <f>BW6-BW5/2</f>
        <v>2264.5</v>
      </c>
      <c r="BX7" s="117">
        <f>BX6-BX5/2</f>
        <v>2269.5</v>
      </c>
      <c r="BY7" s="117">
        <f>BY6-BY5/2</f>
        <v>2274.5</v>
      </c>
      <c r="BZ7" s="117">
        <f>BZ6-BZ5/2</f>
        <v>2282</v>
      </c>
      <c r="CA7" s="118">
        <f>(BW7+BX7+BY7+BZ7)/4</f>
        <v>2272.625</v>
      </c>
      <c r="CC7" s="116">
        <f>CC6-CC5/2</f>
        <v>2289.5</v>
      </c>
      <c r="CD7" s="117">
        <f>CD6-CD5/2</f>
        <v>2294.5</v>
      </c>
      <c r="CE7" s="117">
        <f>CE6-CE5/2</f>
        <v>2299.5</v>
      </c>
      <c r="CF7" s="117">
        <f>CF6-CF5/2</f>
        <v>2307</v>
      </c>
      <c r="CG7" s="118">
        <f>(CC7+CD7+CE7+CF7)/4</f>
        <v>2297.625</v>
      </c>
      <c r="CI7" s="116">
        <f>CI6-CI5/2</f>
        <v>2314.5</v>
      </c>
      <c r="CJ7" s="117">
        <f>CJ6-CJ5/2</f>
        <v>2319.5</v>
      </c>
      <c r="CK7" s="117">
        <f>CK6-CK5/2</f>
        <v>2324.5</v>
      </c>
      <c r="CL7" s="117">
        <f>CL6-CL5/2</f>
        <v>2332</v>
      </c>
      <c r="CM7" s="118">
        <f>(CI7+CJ7+CK7+CL7)/4</f>
        <v>2322.625</v>
      </c>
      <c r="CO7" s="116">
        <f>CO6-CO5/2</f>
        <v>2339.5</v>
      </c>
      <c r="CP7" s="117">
        <f>CP6-CP5/2</f>
        <v>2344.5</v>
      </c>
      <c r="CQ7" s="117">
        <f>CQ6-CQ5/2</f>
        <v>2349.5</v>
      </c>
      <c r="CR7" s="117">
        <f>CR6-CR5/2</f>
        <v>2357</v>
      </c>
      <c r="CS7" s="118">
        <f>(CO7+CP7+CQ7+CR7)/4</f>
        <v>2347.625</v>
      </c>
      <c r="CU7" s="116">
        <f>CU6-CU5/2</f>
        <v>2364.5</v>
      </c>
      <c r="CV7" s="117">
        <f>CV6-CV5/2</f>
        <v>2369.5</v>
      </c>
      <c r="CW7" s="117">
        <f>CW6-CW5/2</f>
        <v>2374.5</v>
      </c>
      <c r="CX7" s="117">
        <f>CX6-CX5/2</f>
        <v>2382</v>
      </c>
      <c r="CY7" s="118">
        <f>(CU7+CV7+CW7+CX7)/4</f>
        <v>2372.625</v>
      </c>
      <c r="DA7" s="116">
        <f>DA6-DA5/2</f>
        <v>2389.5</v>
      </c>
      <c r="DB7" s="117">
        <f>DB6-DB5/2</f>
        <v>2394.5</v>
      </c>
      <c r="DC7" s="117">
        <f>DC6-DC5/2</f>
        <v>2399.5</v>
      </c>
      <c r="DD7" s="117">
        <f>DD6-DD5/2</f>
        <v>2407</v>
      </c>
      <c r="DE7" s="118">
        <f>(DA7+DB7+DC7+DD7)/4</f>
        <v>2397.625</v>
      </c>
      <c r="DG7" s="116">
        <f>DG6-DG5/2</f>
        <v>2414.5</v>
      </c>
      <c r="DH7" s="117">
        <f>DH6-DH5/2</f>
        <v>2419.5</v>
      </c>
      <c r="DI7" s="117">
        <f>DI6-DI5/2</f>
        <v>2424.5</v>
      </c>
      <c r="DJ7" s="117">
        <f>DJ6-DJ5/2</f>
        <v>2432</v>
      </c>
      <c r="DK7" s="118">
        <f>(DG7+DH7+DI7+DJ7)/4</f>
        <v>2422.625</v>
      </c>
    </row>
    <row r="8" spans="2:115" ht="15.75" thickBot="1" x14ac:dyDescent="0.35">
      <c r="B8" s="41" t="s">
        <v>56</v>
      </c>
      <c r="C8" s="106" t="s">
        <v>35</v>
      </c>
      <c r="D8" s="106" t="s">
        <v>35</v>
      </c>
      <c r="E8" s="106" t="s">
        <v>35</v>
      </c>
      <c r="F8" s="106" t="s">
        <v>35</v>
      </c>
      <c r="G8" s="122" t="s">
        <v>35</v>
      </c>
      <c r="I8" s="109">
        <f>I7/C7-1</f>
        <v>6.2839059674502762E-2</v>
      </c>
      <c r="J8" s="110">
        <f>J7/D7-1</f>
        <v>4.8550236008091607E-2</v>
      </c>
      <c r="K8" s="110">
        <f>K7/E7-1</f>
        <v>2.5148908007941673E-2</v>
      </c>
      <c r="L8" s="120">
        <f>L7/F7-1</f>
        <v>-2.1394950791613354E-3</v>
      </c>
      <c r="M8" s="122">
        <f>M7/G7-1</f>
        <v>3.3075221238938024E-2</v>
      </c>
      <c r="O8" s="109">
        <f>O7/I7-1</f>
        <v>-5.1042109740535579E-3</v>
      </c>
      <c r="P8" s="110">
        <f>P7/J7-1</f>
        <v>-2.3579849946409048E-3</v>
      </c>
      <c r="Q8" s="110">
        <f>Q7/K7-1</f>
        <v>-4.949429739616984E-3</v>
      </c>
      <c r="R8" s="120">
        <f>R7/L7-1</f>
        <v>2.7873070325901139E-3</v>
      </c>
      <c r="S8" s="122">
        <f>S7/M7-1</f>
        <v>-2.4092515258592462E-3</v>
      </c>
      <c r="U8" s="109">
        <f>U7/O7-1</f>
        <v>2.0735356990166709E-2</v>
      </c>
      <c r="V8" s="110">
        <f>V7/P7-1</f>
        <v>3.3734422002578368E-2</v>
      </c>
      <c r="W8" s="110">
        <f>W7/Q7-1</f>
        <v>4.2171280276816603E-2</v>
      </c>
      <c r="X8" s="110">
        <f>X7/R7-1</f>
        <v>3.0147530468248807E-2</v>
      </c>
      <c r="Y8" s="122">
        <f>Y7/S7-1</f>
        <v>3.1664251596629667E-2</v>
      </c>
      <c r="AA8" s="109">
        <f>AA7/U7-1</f>
        <v>-2.0942408376967148E-4</v>
      </c>
      <c r="AB8" s="110">
        <f>AB7/V7-1</f>
        <v>-2.0577842444398309E-2</v>
      </c>
      <c r="AC8" s="110">
        <f>AC7/W7-1</f>
        <v>-3.15418136542851E-2</v>
      </c>
      <c r="AD8" s="110">
        <f>AD7/X7-1</f>
        <v>-3.6114570361145737E-2</v>
      </c>
      <c r="AE8" s="122">
        <f>AE7/Y7-1</f>
        <v>-2.2160953025022079E-2</v>
      </c>
      <c r="AG8" s="109">
        <f>AG7/AA7-1</f>
        <v>-2.8487641390867235E-2</v>
      </c>
      <c r="AH8" s="110">
        <f>AH7/AB7-1</f>
        <v>-1.591680814940577E-2</v>
      </c>
      <c r="AI8" s="110">
        <f>AI7/AC7-1</f>
        <v>-6.2138418684379859E-3</v>
      </c>
      <c r="AJ8" s="110">
        <f>AJ7/AD7-1</f>
        <v>-4.3066322136089408E-3</v>
      </c>
      <c r="AK8" s="122">
        <f>AK7/AE7-1</f>
        <v>-1.383199446720218E-2</v>
      </c>
      <c r="AM8" s="109">
        <f>AM7/AG7-1</f>
        <v>-8.1931867184130702E-3</v>
      </c>
      <c r="AN8" s="110">
        <f>AN7/AH7-1</f>
        <v>-1.6174250593055883E-2</v>
      </c>
      <c r="AO8" s="110">
        <f>AO7/AI7-1</f>
        <v>-2.1992238033635148E-2</v>
      </c>
      <c r="AP8" s="110">
        <f>AP7/AJ7-1</f>
        <v>-2.1410034602076133E-2</v>
      </c>
      <c r="AQ8" s="122">
        <f>AQ7/AK7-1</f>
        <v>-1.6939094783406161E-2</v>
      </c>
      <c r="AS8" s="109">
        <f>AS7/AM7-1</f>
        <v>-1.7608695652173934E-2</v>
      </c>
      <c r="AT8" s="110">
        <f>AT7/AN7-1</f>
        <v>-1.4905743095133706E-2</v>
      </c>
      <c r="AU8" s="110">
        <f>AU7/AO7-1</f>
        <v>-1.5652557319223992E-2</v>
      </c>
      <c r="AV8" s="110">
        <f>AV7/AP7-1</f>
        <v>-1.7016574585635325E-2</v>
      </c>
      <c r="AW8" s="122">
        <f>AW7/AQ7-1</f>
        <v>-1.6298084837842342E-2</v>
      </c>
      <c r="AY8" s="109">
        <f>AY7/AS7-1</f>
        <v>-2.1464925868554974E-2</v>
      </c>
      <c r="AZ8" s="110">
        <f>AZ7/AT7-1</f>
        <v>-2.1361815754339153E-2</v>
      </c>
      <c r="BA8" s="110">
        <f>BA7/AU7-1</f>
        <v>-1.4557670772676334E-2</v>
      </c>
      <c r="BB8" s="110">
        <f>BB7/AV7-1</f>
        <v>-2.023381294964044E-3</v>
      </c>
      <c r="BC8" s="122">
        <f>BC7/AW7-1</f>
        <v>-1.4894566551377886E-2</v>
      </c>
      <c r="BE8" s="109">
        <f>BE7/AY7-1</f>
        <v>9.9502487562188602E-3</v>
      </c>
      <c r="BF8" s="110">
        <f>BF7/AZ7-1</f>
        <v>1.3642564802182733E-2</v>
      </c>
      <c r="BG8" s="110">
        <f>BG7/BA7-1</f>
        <v>1.204545454545447E-2</v>
      </c>
      <c r="BH8" s="110">
        <f>BH7/BB7-1</f>
        <v>2.7033115566568178E-3</v>
      </c>
      <c r="BI8" s="122">
        <f>BI7/BC7-1</f>
        <v>9.5701908375331879E-3</v>
      </c>
      <c r="BK8" s="109">
        <f>BK7/BE7-1</f>
        <v>-2.4630541871921707E-3</v>
      </c>
      <c r="BL8" s="110">
        <f>BL7/BF7-1</f>
        <v>1.570210856886467E-3</v>
      </c>
      <c r="BM8" s="110">
        <f>BM7/BG7-1</f>
        <v>6.0633280934201395E-3</v>
      </c>
      <c r="BN8" s="110">
        <f>BN7/BH7-1</f>
        <v>8.3127387104020567E-3</v>
      </c>
      <c r="BO8" s="122">
        <f>BO7/BI7-1</f>
        <v>3.3654924837334121E-3</v>
      </c>
      <c r="BQ8" s="109">
        <f>BQ7/BK7-1</f>
        <v>7.4074074074073071E-3</v>
      </c>
      <c r="BR8" s="110">
        <f>BR7/BL7-1</f>
        <v>6.0470324748040927E-3</v>
      </c>
      <c r="BS8" s="110">
        <f>BS7/BM7-1</f>
        <v>4.2410714285714413E-3</v>
      </c>
      <c r="BT8" s="110">
        <f>BT7/BN7-1</f>
        <v>5.7932263814617357E-3</v>
      </c>
      <c r="BU8" s="122">
        <f>BU7/BO7-1</f>
        <v>5.8698568872987966E-3</v>
      </c>
      <c r="BW8" s="109">
        <f>BW7/BQ7-1</f>
        <v>9.1354723707663954E-3</v>
      </c>
      <c r="BX8" s="110">
        <f>BX7/BR7-1</f>
        <v>1.0463045414069505E-2</v>
      </c>
      <c r="BY8" s="110">
        <f>BY7/BS7-1</f>
        <v>1.1113580795732325E-2</v>
      </c>
      <c r="BZ8" s="110">
        <f>BZ7/BT7-1</f>
        <v>1.107665042091277E-2</v>
      </c>
      <c r="CA8" s="122">
        <f>CA7/BU7-1</f>
        <v>1.0448507753014979E-2</v>
      </c>
      <c r="CC8" s="109">
        <f>CC7/BW7-1</f>
        <v>1.1039964672113101E-2</v>
      </c>
      <c r="CD8" s="110">
        <f>CD7/BX7-1</f>
        <v>1.1015642211940957E-2</v>
      </c>
      <c r="CE8" s="110">
        <f>CE7/BY7-1</f>
        <v>1.0991426687184003E-2</v>
      </c>
      <c r="CF8" s="110">
        <f>CF7/BZ7-1</f>
        <v>1.0955302366345343E-2</v>
      </c>
      <c r="CG8" s="122">
        <f>CG7/CA7-1</f>
        <v>1.1000495022275958E-2</v>
      </c>
      <c r="CI8" s="109">
        <f>CI7/CC7-1</f>
        <v>1.0919414719370968E-2</v>
      </c>
      <c r="CJ8" s="110">
        <f>CJ7/CD7-1</f>
        <v>1.0895619960775704E-2</v>
      </c>
      <c r="CK8" s="110">
        <f>CK7/CE7-1</f>
        <v>1.0871928680147969E-2</v>
      </c>
      <c r="CL8" s="110">
        <f>CL7/CF7-1</f>
        <v>1.0836584308625996E-2</v>
      </c>
      <c r="CM8" s="122">
        <f>CM7/CG7-1</f>
        <v>1.0880800826940762E-2</v>
      </c>
      <c r="CO8" s="109">
        <f>CO7/CI7-1</f>
        <v>1.0801468999783959E-2</v>
      </c>
      <c r="CP8" s="110">
        <f>CP7/CJ7-1</f>
        <v>1.0778184953653902E-2</v>
      </c>
      <c r="CQ8" s="110">
        <f>CQ7/CK7-1</f>
        <v>1.0755001075500203E-2</v>
      </c>
      <c r="CR8" s="110">
        <f>CR7/CL7-1</f>
        <v>1.0720411663807994E-2</v>
      </c>
      <c r="CS8" s="122">
        <f>CS7/CM7-1</f>
        <v>1.0763683332436269E-2</v>
      </c>
      <c r="CU8" s="109">
        <f>CU7/CO7-1</f>
        <v>1.0686044026501307E-2</v>
      </c>
      <c r="CV8" s="110">
        <f>CV7/CP7-1</f>
        <v>1.0663254425250512E-2</v>
      </c>
      <c r="CW8" s="110">
        <f>CW7/CQ7-1</f>
        <v>1.0640561821664285E-2</v>
      </c>
      <c r="CX8" s="110">
        <f>CX7/CR7-1</f>
        <v>1.0606703436571996E-2</v>
      </c>
      <c r="CY8" s="122">
        <f>CY7/CS7-1</f>
        <v>1.0649060220435436E-2</v>
      </c>
      <c r="DA8" s="109">
        <f>DA7/CU7-1</f>
        <v>1.0573059843518751E-2</v>
      </c>
      <c r="DB8" s="110">
        <f>DB7/CV7-1</f>
        <v>1.055074910318643E-2</v>
      </c>
      <c r="DC8" s="110">
        <f>DC7/CW7-1</f>
        <v>1.0528532322594319E-2</v>
      </c>
      <c r="DD8" s="110">
        <f>DD7/CX7-1</f>
        <v>1.0495382031906031E-2</v>
      </c>
      <c r="DE8" s="122">
        <f>DE7/CY7-1</f>
        <v>1.0536852642115901E-2</v>
      </c>
      <c r="DG8" s="109">
        <f>DG7/DA7-1</f>
        <v>1.046243984097095E-2</v>
      </c>
      <c r="DH8" s="110">
        <f>DH7/DB7-1</f>
        <v>1.0440593025683897E-2</v>
      </c>
      <c r="DI8" s="110">
        <f>DI7/DC7-1</f>
        <v>1.0418837257762048E-2</v>
      </c>
      <c r="DJ8" s="110">
        <f>DJ7/DD7-1</f>
        <v>1.0386373078520972E-2</v>
      </c>
      <c r="DK8" s="122">
        <f>DK7/DE7-1</f>
        <v>1.0426985037276459E-2</v>
      </c>
    </row>
    <row r="9" spans="2:115" ht="15.75" thickBot="1" x14ac:dyDescent="0.35">
      <c r="B9" s="1"/>
      <c r="AA9" s="103"/>
      <c r="AB9" s="103"/>
      <c r="AC9" s="103"/>
      <c r="AD9" s="103"/>
      <c r="AE9" s="103"/>
      <c r="AG9" s="103"/>
      <c r="AH9" s="103"/>
      <c r="AI9" s="103"/>
      <c r="AJ9" s="103"/>
      <c r="AK9" s="103"/>
      <c r="AM9" s="103"/>
      <c r="AN9" s="103"/>
      <c r="AO9" s="103"/>
      <c r="AP9" s="103"/>
      <c r="AQ9" s="103"/>
      <c r="AS9" s="103"/>
      <c r="AT9" s="103"/>
      <c r="AU9" s="103"/>
      <c r="AV9" s="103"/>
      <c r="AW9" s="103"/>
      <c r="AY9" s="103"/>
      <c r="AZ9" s="103"/>
      <c r="BA9" s="103"/>
      <c r="BB9" s="103"/>
      <c r="BC9" s="103"/>
      <c r="BE9" s="103"/>
      <c r="BF9" s="103"/>
      <c r="BG9" s="103"/>
      <c r="BH9" s="103"/>
      <c r="BI9" s="103"/>
      <c r="BK9" s="103"/>
      <c r="BL9" s="103"/>
      <c r="BM9" s="103"/>
      <c r="BN9" s="103"/>
      <c r="BO9" s="103"/>
      <c r="BQ9" s="103"/>
      <c r="BR9" s="103"/>
      <c r="BS9" s="103"/>
      <c r="BT9" s="103"/>
      <c r="BU9" s="103"/>
      <c r="BW9" s="103"/>
      <c r="BX9" s="103"/>
      <c r="BY9" s="103"/>
      <c r="BZ9" s="103"/>
      <c r="CA9" s="103"/>
      <c r="CC9" s="103"/>
      <c r="CD9" s="103"/>
      <c r="CE9" s="103"/>
      <c r="CF9" s="103"/>
      <c r="CG9" s="103"/>
      <c r="CI9" s="103"/>
      <c r="CJ9" s="103"/>
      <c r="CK9" s="103"/>
      <c r="CL9" s="103"/>
      <c r="CM9" s="103"/>
      <c r="CO9" s="103"/>
      <c r="CP9" s="103"/>
      <c r="CQ9" s="103"/>
      <c r="CR9" s="103"/>
      <c r="CS9" s="103"/>
      <c r="CU9" s="103"/>
      <c r="CV9" s="103"/>
      <c r="CW9" s="103"/>
      <c r="CX9" s="103"/>
      <c r="CY9" s="103"/>
      <c r="DA9" s="103"/>
      <c r="DB9" s="103"/>
      <c r="DC9" s="103"/>
      <c r="DD9" s="103"/>
      <c r="DE9" s="103"/>
      <c r="DG9" s="103"/>
      <c r="DH9" s="103"/>
      <c r="DI9" s="103"/>
      <c r="DJ9" s="103"/>
      <c r="DK9" s="103"/>
    </row>
    <row r="10" spans="2:115" s="135" customFormat="1" ht="15" x14ac:dyDescent="0.3">
      <c r="B10" s="139" t="s">
        <v>148</v>
      </c>
      <c r="C10" s="330">
        <f>C17-C13</f>
        <v>14.0084388185654</v>
      </c>
      <c r="D10" s="331">
        <f>D17-D13</f>
        <v>14.852775904697683</v>
      </c>
      <c r="E10" s="331">
        <f>E17-E13</f>
        <v>14.95404073828958</v>
      </c>
      <c r="F10" s="331">
        <f>F17-F13</f>
        <v>14.094993581514764</v>
      </c>
      <c r="G10" s="332">
        <f>G61*1000/(G7*12)</f>
        <v>14.475663716814159</v>
      </c>
      <c r="H10" s="160"/>
      <c r="I10" s="330">
        <f>I17-I13</f>
        <v>13.951509995746491</v>
      </c>
      <c r="J10" s="331">
        <f>J17-J13</f>
        <v>15.468381564844586</v>
      </c>
      <c r="K10" s="331">
        <f>K17-K13</f>
        <v>16.939961265332471</v>
      </c>
      <c r="L10" s="331">
        <f>L17-L13</f>
        <v>16.325042881646656</v>
      </c>
      <c r="M10" s="332">
        <f>M61*1000/(M7*12)</f>
        <v>15.666559588821075</v>
      </c>
      <c r="N10" s="160"/>
      <c r="O10" s="330">
        <f>O17-O13</f>
        <v>14.63588428103178</v>
      </c>
      <c r="P10" s="331">
        <f>P17-P13</f>
        <v>15.315857327030511</v>
      </c>
      <c r="Q10" s="331">
        <f>Q17-Q13</f>
        <v>15.298442906574394</v>
      </c>
      <c r="R10" s="331">
        <f>R17-R13</f>
        <v>14.140118309457629</v>
      </c>
      <c r="S10" s="332">
        <f>S61*1000/(S7*12)</f>
        <v>14.845703858745237</v>
      </c>
      <c r="T10" s="160"/>
      <c r="U10" s="330">
        <f>U17-U13</f>
        <v>12.62129144851658</v>
      </c>
      <c r="V10" s="331">
        <f>V17-V13</f>
        <v>12.970276449802535</v>
      </c>
      <c r="W10" s="331">
        <f>W17-W13</f>
        <v>12.786885245901638</v>
      </c>
      <c r="X10" s="331">
        <f>X17-X13</f>
        <v>12.352290023522899</v>
      </c>
      <c r="Y10" s="332">
        <f>Y61*1000/(Y7*12)</f>
        <v>12.682723820423451</v>
      </c>
      <c r="AA10" s="330">
        <f>AA17-AA13</f>
        <v>11.182795698924732</v>
      </c>
      <c r="AB10" s="331">
        <f>AB17-AB13</f>
        <v>11.69779286926995</v>
      </c>
      <c r="AC10" s="331">
        <f>AC17-AC13</f>
        <v>11.879151489179344</v>
      </c>
      <c r="AD10" s="331">
        <f>AD17-AD13</f>
        <v>11.237438989376974</v>
      </c>
      <c r="AE10" s="332">
        <f>AE61*1000/(AE7*12)</f>
        <v>11.498288734017839</v>
      </c>
      <c r="AG10" s="330">
        <f>AG17-AG13</f>
        <v>10.564898663216905</v>
      </c>
      <c r="AH10" s="331">
        <f>AH17-AH13</f>
        <v>10.598806699734023</v>
      </c>
      <c r="AI10" s="331">
        <f>AI17-AI13</f>
        <v>10.424033347707345</v>
      </c>
      <c r="AJ10" s="331">
        <f>AJ17-AJ13</f>
        <v>9.7880622837370233</v>
      </c>
      <c r="AK10" s="332">
        <f>AK61*1000/(AK7*12)</f>
        <v>10.344356332380285</v>
      </c>
      <c r="AM10" s="330">
        <f>AM17-AM13</f>
        <v>9.1304347826086953</v>
      </c>
      <c r="AN10" s="331">
        <f>AN17-AN13</f>
        <v>9.3380096448925904</v>
      </c>
      <c r="AO10" s="331">
        <f>AO17-AO13</f>
        <v>8.7948265726043502</v>
      </c>
      <c r="AP10" s="331">
        <f>AP17-AP13</f>
        <v>8.1679558011049735</v>
      </c>
      <c r="AQ10" s="332">
        <f>AQ61*1000/(AQ7*12)</f>
        <v>8.859865737438037</v>
      </c>
      <c r="AS10" s="330">
        <f>AS17-AS13</f>
        <v>7.7421258390499377</v>
      </c>
      <c r="AT10" s="331">
        <f>AT17-AT13</f>
        <v>8.0032636107402464</v>
      </c>
      <c r="AU10" s="331">
        <f>AU17-AU13</f>
        <v>8.1522956326987686</v>
      </c>
      <c r="AV10" s="331">
        <f>AV17-AV13</f>
        <v>7.7428057553956844</v>
      </c>
      <c r="AW10" s="332">
        <f>AW61*1000/(AW7*12)</f>
        <v>7.9099259920413552</v>
      </c>
      <c r="AY10" s="330">
        <f>AY17-AY13</f>
        <v>7.3571536258103425</v>
      </c>
      <c r="AZ10" s="331">
        <f>AZ17-AZ13</f>
        <v>7.5443383356070939</v>
      </c>
      <c r="BA10" s="331">
        <f>BA17-BA13</f>
        <v>7.8909090909090907</v>
      </c>
      <c r="BB10" s="331">
        <f>BB17-BB13</f>
        <v>7.3289779980476082</v>
      </c>
      <c r="BC10" s="332">
        <f>BC61*1000/(BC7*12)</f>
        <v>7.5296826924891933</v>
      </c>
      <c r="BE10" s="330">
        <f>BE17-BE13</f>
        <v>7.3443797581728614</v>
      </c>
      <c r="BF10" s="331">
        <f>BF17-BF13</f>
        <v>7.2977418872439053</v>
      </c>
      <c r="BG10" s="331">
        <f>BG17-BG13</f>
        <v>7.3313870798712486</v>
      </c>
      <c r="BH10" s="331">
        <f>BH17-BH13</f>
        <v>7.2463116902568716</v>
      </c>
      <c r="BI10" s="332">
        <f>BI61*1000/(BI7*12)</f>
        <v>7.3049884077481115</v>
      </c>
      <c r="BK10" s="330">
        <f>BK17-BK13</f>
        <v>7.2038907594463151</v>
      </c>
      <c r="BL10" s="331">
        <f>BL17-BL13</f>
        <v>7.101157148189623</v>
      </c>
      <c r="BM10" s="331">
        <f>BM17-BM13</f>
        <v>7.083333333333333</v>
      </c>
      <c r="BN10" s="331">
        <f>BN17-BN13</f>
        <v>6.8627450980392162</v>
      </c>
      <c r="BO10" s="332">
        <f>BO61*1000/(BO7*12)</f>
        <v>7.0624627310673826</v>
      </c>
      <c r="BQ10" s="141">
        <f>BK10*(1+BQ11)</f>
        <v>6.8436962214739987</v>
      </c>
      <c r="BR10" s="142">
        <f>BL10*(1+BR11)</f>
        <v>6.7460992907801414</v>
      </c>
      <c r="BS10" s="142">
        <f>BM10*(1+BS11)</f>
        <v>6.7291666666666661</v>
      </c>
      <c r="BT10" s="143">
        <f>BN10*(1+BT11)</f>
        <v>6.5196078431372548</v>
      </c>
      <c r="BU10" s="332">
        <f>BU61*1000/(BU7*12)</f>
        <v>6.7093879449460685</v>
      </c>
      <c r="BW10" s="141">
        <f>BQ10*(1+BW11)</f>
        <v>6.5357298915076685</v>
      </c>
      <c r="BX10" s="142">
        <f>BR10*(1+BX11)</f>
        <v>6.4425248226950345</v>
      </c>
      <c r="BY10" s="142">
        <f>BS10*(1+BY11)</f>
        <v>6.4263541666666661</v>
      </c>
      <c r="BZ10" s="143">
        <f>BT10*(1+BZ11)</f>
        <v>6.2262254901960778</v>
      </c>
      <c r="CA10" s="332">
        <f>CA61*1000/(CA7*12)</f>
        <v>6.4073988829147215</v>
      </c>
      <c r="CC10" s="141">
        <f>BW10*(1+CC11)</f>
        <v>6.2416220463898231</v>
      </c>
      <c r="CD10" s="142">
        <f>BX10*(1+CD11)</f>
        <v>6.1526112056737574</v>
      </c>
      <c r="CE10" s="142">
        <f>BY10*(1+CE11)</f>
        <v>6.137168229166666</v>
      </c>
      <c r="CF10" s="143">
        <f>BZ10*(1+CF11)</f>
        <v>5.9460453431372544</v>
      </c>
      <c r="CG10" s="332">
        <f>CG61*1000/(CG7*12)</f>
        <v>6.1190691514296631</v>
      </c>
      <c r="CI10" s="141">
        <f>CC10*(1+CI11)</f>
        <v>5.99195716453423</v>
      </c>
      <c r="CJ10" s="142">
        <f>CD10*(1+CJ11)</f>
        <v>5.9065067574468069</v>
      </c>
      <c r="CK10" s="142">
        <f>CE10*(1+CK11)</f>
        <v>5.8916814999999989</v>
      </c>
      <c r="CL10" s="143">
        <f>CF10*(1+CL11)</f>
        <v>5.7082035294117643</v>
      </c>
      <c r="CM10" s="332">
        <f>CM61*1000/(CM7*12)</f>
        <v>5.8743094083795899</v>
      </c>
      <c r="CO10" s="141">
        <f>CI10*(1+CO11)</f>
        <v>5.7522788779528602</v>
      </c>
      <c r="CP10" s="142">
        <f>CJ10*(1+CP11)</f>
        <v>5.6702464871489342</v>
      </c>
      <c r="CQ10" s="142">
        <f>CK10*(1+CQ11)</f>
        <v>5.6560142399999984</v>
      </c>
      <c r="CR10" s="143">
        <f>CL10*(1+CR11)</f>
        <v>5.4798753882352935</v>
      </c>
      <c r="CS10" s="332">
        <f>CS61*1000/(CS7*12)</f>
        <v>5.6393398723222381</v>
      </c>
      <c r="CU10" s="141">
        <f>CO10*(1+CU11)</f>
        <v>5.5221877228347456</v>
      </c>
      <c r="CV10" s="142">
        <f>CP10*(1+CV11)</f>
        <v>5.4434366276629769</v>
      </c>
      <c r="CW10" s="142">
        <f>CQ10*(1+CW11)</f>
        <v>5.4297736703999986</v>
      </c>
      <c r="CX10" s="143">
        <f>CR10*(1+CX11)</f>
        <v>5.260680372705882</v>
      </c>
      <c r="CY10" s="332">
        <f>CY61*1000/(CY7*12)</f>
        <v>5.4137689466350967</v>
      </c>
      <c r="DA10" s="141">
        <f>CU10*(1+DA11)</f>
        <v>5.3013002139213556</v>
      </c>
      <c r="DB10" s="142">
        <f>CV10*(1+DB11)</f>
        <v>5.2256991625564577</v>
      </c>
      <c r="DC10" s="142">
        <f>CW10*(1+DC11)</f>
        <v>5.2125827235839983</v>
      </c>
      <c r="DD10" s="143">
        <f>CX10*(1+DD11)</f>
        <v>5.0502531577976466</v>
      </c>
      <c r="DE10" s="332">
        <f>DE61*1000/(DE7*12)</f>
        <v>5.1972206977702147</v>
      </c>
      <c r="DG10" s="141">
        <f>DA10*(1+DG11)</f>
        <v>5.089248205364501</v>
      </c>
      <c r="DH10" s="142">
        <f>DB10*(1+DH11)</f>
        <v>5.0166711960541992</v>
      </c>
      <c r="DI10" s="142">
        <f>DC10*(1+DI11)</f>
        <v>5.0040794146406382</v>
      </c>
      <c r="DJ10" s="143">
        <f>DD10*(1+DJ11)</f>
        <v>4.8482430314857403</v>
      </c>
      <c r="DK10" s="332">
        <f>DK61*1000/(DK7*12)</f>
        <v>4.9893342287885316</v>
      </c>
    </row>
    <row r="11" spans="2:115" ht="15" x14ac:dyDescent="0.3">
      <c r="B11" s="5" t="s">
        <v>23</v>
      </c>
      <c r="C11" s="144" t="s">
        <v>35</v>
      </c>
      <c r="D11" s="107" t="s">
        <v>35</v>
      </c>
      <c r="E11" s="107" t="s">
        <v>35</v>
      </c>
      <c r="F11" s="107" t="s">
        <v>35</v>
      </c>
      <c r="G11" s="138" t="s">
        <v>35</v>
      </c>
      <c r="H11" s="107"/>
      <c r="I11" s="151">
        <f>I10/C10-1</f>
        <v>-4.0638948819522458E-3</v>
      </c>
      <c r="J11" s="133">
        <f>J10/D10-1</f>
        <v>4.1447178904260973E-2</v>
      </c>
      <c r="K11" s="133">
        <f>K10/E10-1</f>
        <v>0.13280159936691716</v>
      </c>
      <c r="L11" s="133">
        <f>L10/F10-1</f>
        <v>0.15821570171245392</v>
      </c>
      <c r="M11" s="153">
        <f>M10/G10-1</f>
        <v>8.2268826860327993E-2</v>
      </c>
      <c r="N11" s="107"/>
      <c r="O11" s="151">
        <f>O10/I10-1</f>
        <v>4.9053778802003567E-2</v>
      </c>
      <c r="P11" s="133">
        <f>P10/J10-1</f>
        <v>-9.8603876025867843E-3</v>
      </c>
      <c r="Q11" s="133">
        <f>Q10/K10-1</f>
        <v>-9.6902131772723332E-2</v>
      </c>
      <c r="R11" s="133">
        <f>R10/L10-1</f>
        <v>-0.13383882590871587</v>
      </c>
      <c r="S11" s="153">
        <f>S10/M10-1</f>
        <v>-5.2395404710397386E-2</v>
      </c>
      <c r="T11" s="107"/>
      <c r="U11" s="151">
        <f>U10/O10-1</f>
        <v>-0.13764749664809306</v>
      </c>
      <c r="V11" s="133">
        <f>V10/P10-1</f>
        <v>-0.15314721384145624</v>
      </c>
      <c r="W11" s="133">
        <f>W10/Q10-1</f>
        <v>-0.16417080326478406</v>
      </c>
      <c r="X11" s="133">
        <f>X10/R10-1</f>
        <v>-0.12643658608845865</v>
      </c>
      <c r="Y11" s="153">
        <f>Y10/S10-1</f>
        <v>-0.14569737204124733</v>
      </c>
      <c r="AA11" s="151">
        <f>AA10/U10-1</f>
        <v>-0.11397373679703104</v>
      </c>
      <c r="AB11" s="133">
        <f>AB10/V10-1</f>
        <v>-9.8107668364459388E-2</v>
      </c>
      <c r="AC11" s="133">
        <f>AC10/W10-1</f>
        <v>-7.0989434820589614E-2</v>
      </c>
      <c r="AD11" s="133">
        <f>AD10/X10-1</f>
        <v>-9.0254603156408653E-2</v>
      </c>
      <c r="AE11" s="153">
        <f>AE10/Y10-1</f>
        <v>-9.3389645881768124E-2</v>
      </c>
      <c r="AG11" s="151">
        <f>AG10/AA10-1</f>
        <v>-5.5254254154642246E-2</v>
      </c>
      <c r="AH11" s="133">
        <f>AH10/AB10-1</f>
        <v>-9.3948164565553105E-2</v>
      </c>
      <c r="AI11" s="133">
        <f>AI10/AC10-1</f>
        <v>-0.12249344094967207</v>
      </c>
      <c r="AJ11" s="133">
        <f>AJ10/AD10-1</f>
        <v>-0.12897749273745396</v>
      </c>
      <c r="AK11" s="153">
        <f>AK10/AE10-1</f>
        <v>-0.10035688164827783</v>
      </c>
      <c r="AM11" s="151">
        <f>AM10/AG10-1</f>
        <v>-0.13577639751552806</v>
      </c>
      <c r="AN11" s="133">
        <f>AN10/AH10-1</f>
        <v>-0.11895650996947349</v>
      </c>
      <c r="AO11" s="133">
        <f>AO10/AI10-1</f>
        <v>-0.15629331955862569</v>
      </c>
      <c r="AP11" s="133">
        <f>AP10/AJ10-1</f>
        <v>-0.1655186119242289</v>
      </c>
      <c r="AQ11" s="153">
        <f>AQ10/AK10-1</f>
        <v>-0.14350729491939873</v>
      </c>
      <c r="AS11" s="151">
        <f>AS10/AM10-1</f>
        <v>-0.15205288429453057</v>
      </c>
      <c r="AT11" s="133">
        <f>AT10/AN10-1</f>
        <v>-0.14293688750711253</v>
      </c>
      <c r="AU11" s="133">
        <f>AU10/AO10-1</f>
        <v>-7.30578294638633E-2</v>
      </c>
      <c r="AV11" s="133">
        <f>AV10/AP10-1</f>
        <v>-5.2050972858077249E-2</v>
      </c>
      <c r="AW11" s="153">
        <f>AW10/AQ10-1</f>
        <v>-0.10721830031606905</v>
      </c>
      <c r="AY11" s="151">
        <f>AY10/AS10-1</f>
        <v>-4.9724354943685101E-2</v>
      </c>
      <c r="AZ11" s="133">
        <f>AZ10/AT10-1</f>
        <v>-5.7342266537026565E-2</v>
      </c>
      <c r="BA11" s="133">
        <f>BA10/AU10-1</f>
        <v>-3.2062937062937169E-2</v>
      </c>
      <c r="BB11" s="133">
        <f>BB10/AV10-1</f>
        <v>-5.3446744038450733E-2</v>
      </c>
      <c r="BC11" s="153">
        <f>BC10/AW10-1</f>
        <v>-4.8071663367615258E-2</v>
      </c>
      <c r="BE11" s="151">
        <f>BE10/AY10-1</f>
        <v>-1.7362513122830547E-3</v>
      </c>
      <c r="BF11" s="133">
        <f>BF10/AZ10-1</f>
        <v>-3.2686292341811418E-2</v>
      </c>
      <c r="BG11" s="133">
        <f>BG10/BA10-1</f>
        <v>-7.0907167297422413E-2</v>
      </c>
      <c r="BH11" s="133">
        <f>BH10/BB10-1</f>
        <v>-1.1279377262799595E-2</v>
      </c>
      <c r="BI11" s="153">
        <f>BI10/BC10-1</f>
        <v>-2.9841135930629981E-2</v>
      </c>
      <c r="BK11" s="151">
        <f>BK10/BE10-1</f>
        <v>-1.912877647294986E-2</v>
      </c>
      <c r="BL11" s="133">
        <f>BL10/BF10-1</f>
        <v>-2.6937748976557097E-2</v>
      </c>
      <c r="BM11" s="133">
        <f>BM10/BG10-1</f>
        <v>-3.383449050439058E-2</v>
      </c>
      <c r="BN11" s="133">
        <f>BN10/BH10-1</f>
        <v>-5.2932665418379043E-2</v>
      </c>
      <c r="BO11" s="153">
        <f>BO10/BI10-1</f>
        <v>-3.3200008424858263E-2</v>
      </c>
      <c r="BQ11" s="151">
        <v>-0.05</v>
      </c>
      <c r="BR11" s="133">
        <f>BQ11</f>
        <v>-0.05</v>
      </c>
      <c r="BS11" s="133">
        <f>BR11</f>
        <v>-0.05</v>
      </c>
      <c r="BT11" s="133">
        <f>BS11</f>
        <v>-0.05</v>
      </c>
      <c r="BU11" s="153">
        <f>BU10/BO10-1</f>
        <v>-4.9993153884997921E-2</v>
      </c>
      <c r="BW11" s="151">
        <v>-4.4999999999999998E-2</v>
      </c>
      <c r="BX11" s="133">
        <v>-4.4999999999999998E-2</v>
      </c>
      <c r="BY11" s="133">
        <v>-4.4999999999999998E-2</v>
      </c>
      <c r="BZ11" s="133">
        <v>-4.4999999999999998E-2</v>
      </c>
      <c r="CA11" s="153">
        <f>CA10/BU10-1</f>
        <v>-4.5009927061800625E-2</v>
      </c>
      <c r="CC11" s="151">
        <v>-4.4999999999999998E-2</v>
      </c>
      <c r="CD11" s="133">
        <v>-4.4999999999999998E-2</v>
      </c>
      <c r="CE11" s="133">
        <v>-4.4999999999999998E-2</v>
      </c>
      <c r="CF11" s="133">
        <v>-4.4999999999999998E-2</v>
      </c>
      <c r="CG11" s="153">
        <f>CG10/CA10-1</f>
        <v>-4.4999497729708571E-2</v>
      </c>
      <c r="CI11" s="151">
        <v>-0.04</v>
      </c>
      <c r="CJ11" s="133">
        <v>-0.04</v>
      </c>
      <c r="CK11" s="133">
        <v>-0.04</v>
      </c>
      <c r="CL11" s="133">
        <v>-0.04</v>
      </c>
      <c r="CM11" s="153">
        <f>CM10/CG10-1</f>
        <v>-3.9999505969447569E-2</v>
      </c>
      <c r="CO11" s="151">
        <v>-0.04</v>
      </c>
      <c r="CP11" s="133">
        <v>-0.04</v>
      </c>
      <c r="CQ11" s="133">
        <v>-0.04</v>
      </c>
      <c r="CR11" s="133">
        <v>-0.04</v>
      </c>
      <c r="CS11" s="153">
        <f>CS10/CM10-1</f>
        <v>-3.9999516491618925E-2</v>
      </c>
      <c r="CU11" s="151">
        <v>-0.04</v>
      </c>
      <c r="CV11" s="133">
        <v>-0.04</v>
      </c>
      <c r="CW11" s="133">
        <v>-0.04</v>
      </c>
      <c r="CX11" s="133">
        <v>-0.04</v>
      </c>
      <c r="CY11" s="153">
        <f>CY10/CS10-1</f>
        <v>-3.999952668117035E-2</v>
      </c>
      <c r="DA11" s="151">
        <v>-0.04</v>
      </c>
      <c r="DB11" s="133">
        <v>-0.04</v>
      </c>
      <c r="DC11" s="133">
        <v>-0.04</v>
      </c>
      <c r="DD11" s="133">
        <v>-0.04</v>
      </c>
      <c r="DE11" s="153">
        <f>DE10/CY10-1</f>
        <v>-3.9999536551975745E-2</v>
      </c>
      <c r="DG11" s="151">
        <v>-0.04</v>
      </c>
      <c r="DH11" s="133">
        <v>-0.04</v>
      </c>
      <c r="DI11" s="133">
        <v>-0.04</v>
      </c>
      <c r="DJ11" s="133">
        <v>-0.04</v>
      </c>
      <c r="DK11" s="153">
        <f>DK10/DE10-1</f>
        <v>-3.9999546117191698E-2</v>
      </c>
    </row>
    <row r="12" spans="2:115" ht="15" x14ac:dyDescent="0.3">
      <c r="B12" s="5"/>
      <c r="C12" s="144"/>
      <c r="D12" s="107"/>
      <c r="E12" s="107"/>
      <c r="F12" s="145"/>
      <c r="G12" s="138"/>
      <c r="I12" s="144"/>
      <c r="J12" s="107"/>
      <c r="K12" s="107"/>
      <c r="L12" s="145"/>
      <c r="M12" s="138"/>
      <c r="O12" s="144"/>
      <c r="P12" s="107"/>
      <c r="Q12" s="107"/>
      <c r="R12" s="145"/>
      <c r="S12" s="138"/>
      <c r="U12" s="144"/>
      <c r="V12" s="107"/>
      <c r="W12" s="107"/>
      <c r="X12" s="145"/>
      <c r="Y12" s="138"/>
      <c r="AA12" s="144"/>
      <c r="AB12" s="107"/>
      <c r="AC12" s="107"/>
      <c r="AD12" s="145"/>
      <c r="AE12" s="138"/>
      <c r="AG12" s="144"/>
      <c r="AH12" s="107"/>
      <c r="AI12" s="107"/>
      <c r="AJ12" s="145"/>
      <c r="AK12" s="138"/>
      <c r="AM12" s="144"/>
      <c r="AN12" s="107"/>
      <c r="AO12" s="107"/>
      <c r="AP12" s="107"/>
      <c r="AQ12" s="138"/>
      <c r="AS12" s="144"/>
      <c r="AT12" s="107"/>
      <c r="AU12" s="107"/>
      <c r="AV12" s="107"/>
      <c r="AW12" s="138"/>
      <c r="AY12" s="144"/>
      <c r="AZ12" s="107"/>
      <c r="BA12" s="107"/>
      <c r="BB12" s="107"/>
      <c r="BC12" s="138"/>
      <c r="BE12" s="144"/>
      <c r="BF12" s="107"/>
      <c r="BG12" s="107"/>
      <c r="BH12" s="107"/>
      <c r="BI12" s="138"/>
      <c r="BK12" s="144"/>
      <c r="BL12" s="107"/>
      <c r="BM12" s="107"/>
      <c r="BN12" s="107"/>
      <c r="BO12" s="138"/>
      <c r="BQ12" s="144"/>
      <c r="BR12" s="107"/>
      <c r="BS12" s="107"/>
      <c r="BT12" s="145"/>
      <c r="BU12" s="138"/>
      <c r="BW12" s="144"/>
      <c r="BX12" s="107"/>
      <c r="BY12" s="107"/>
      <c r="BZ12" s="145"/>
      <c r="CA12" s="138"/>
      <c r="CC12" s="144"/>
      <c r="CD12" s="107"/>
      <c r="CE12" s="107"/>
      <c r="CF12" s="145"/>
      <c r="CG12" s="138"/>
      <c r="CI12" s="144"/>
      <c r="CJ12" s="107"/>
      <c r="CK12" s="107"/>
      <c r="CL12" s="145"/>
      <c r="CM12" s="138"/>
      <c r="CO12" s="144"/>
      <c r="CP12" s="107"/>
      <c r="CQ12" s="107"/>
      <c r="CR12" s="145"/>
      <c r="CS12" s="138"/>
      <c r="CU12" s="144"/>
      <c r="CV12" s="107"/>
      <c r="CW12" s="107"/>
      <c r="CX12" s="145"/>
      <c r="CY12" s="138"/>
      <c r="DA12" s="144"/>
      <c r="DB12" s="107"/>
      <c r="DC12" s="107"/>
      <c r="DD12" s="145"/>
      <c r="DE12" s="138"/>
      <c r="DG12" s="144"/>
      <c r="DH12" s="107"/>
      <c r="DI12" s="107"/>
      <c r="DJ12" s="145"/>
      <c r="DK12" s="138"/>
    </row>
    <row r="13" spans="2:115" ht="15" x14ac:dyDescent="0.3">
      <c r="B13" s="105" t="s">
        <v>149</v>
      </c>
      <c r="C13" s="161">
        <f>C15*C17</f>
        <v>2.869198312236287</v>
      </c>
      <c r="D13" s="162">
        <f>D15*D17</f>
        <v>2.8291001723233684</v>
      </c>
      <c r="E13" s="162">
        <f>E15*E17</f>
        <v>3.2825943084050295</v>
      </c>
      <c r="F13" s="162">
        <f>F15*F17</f>
        <v>3.3062330623306235</v>
      </c>
      <c r="G13" s="164">
        <f>G64*1000/(G7*12)</f>
        <v>3.0759587020648969</v>
      </c>
      <c r="H13" s="329"/>
      <c r="I13" s="161">
        <f>I15*I17</f>
        <v>3.0625265844321565</v>
      </c>
      <c r="J13" s="162">
        <f>J15*J17</f>
        <v>3.395498392282958</v>
      </c>
      <c r="K13" s="162">
        <f>K15*K17</f>
        <v>3.7185280826339575</v>
      </c>
      <c r="L13" s="162">
        <f>L15*L17</f>
        <v>3.8293310463121784</v>
      </c>
      <c r="M13" s="164">
        <f>M64*1000/(M7*12)</f>
        <v>3.500374772459578</v>
      </c>
      <c r="N13" s="329"/>
      <c r="O13" s="161">
        <f>O15*O17</f>
        <v>3.8905515177426246</v>
      </c>
      <c r="P13" s="162">
        <f>P15*P17</f>
        <v>3.5926085088096258</v>
      </c>
      <c r="Q13" s="162">
        <f>Q15*Q17</f>
        <v>3.5885236447520183</v>
      </c>
      <c r="R13" s="162">
        <f>R15*R17</f>
        <v>3.5350295773644071</v>
      </c>
      <c r="S13" s="164">
        <f>S64*1000/(S7*12)</f>
        <v>3.6519436841446185</v>
      </c>
      <c r="T13" s="246"/>
      <c r="U13" s="161">
        <f>U15*U17</f>
        <v>3.1553228621291449</v>
      </c>
      <c r="V13" s="162">
        <f>V15*V17</f>
        <v>3.2425691124506337</v>
      </c>
      <c r="W13" s="162">
        <f>W15*W17</f>
        <v>3.3990454451130936</v>
      </c>
      <c r="X13" s="162">
        <f>X15*X17</f>
        <v>3.2835201328352013</v>
      </c>
      <c r="Y13" s="164">
        <f>Y64*1000/(Y7*12)</f>
        <v>3.2703879033796319</v>
      </c>
      <c r="Z13" s="260"/>
      <c r="AA13" s="161">
        <f>AA15*AA17</f>
        <v>3.3403155983801147</v>
      </c>
      <c r="AB13" s="162">
        <f>AB15*AB17</f>
        <v>3.2993774759479342</v>
      </c>
      <c r="AC13" s="162">
        <f>AC15*AC17</f>
        <v>3.5483179772873368</v>
      </c>
      <c r="AD13" s="162">
        <f>AD15*AD17</f>
        <v>3.5486649440137814</v>
      </c>
      <c r="AE13" s="164">
        <f>AE64*1000/(AE7*12)</f>
        <v>3.4331719600645494</v>
      </c>
      <c r="AF13" s="260"/>
      <c r="AG13" s="161">
        <f>AG15*AG17</f>
        <v>3.521632887738968</v>
      </c>
      <c r="AH13" s="162">
        <f>AH15*AH17</f>
        <v>3.3469915893896913</v>
      </c>
      <c r="AI13" s="162">
        <f>AI15*AI17</f>
        <v>3.6624982032485267</v>
      </c>
      <c r="AJ13" s="162">
        <f>AJ15*AJ17</f>
        <v>3.6202422145328721</v>
      </c>
      <c r="AK13" s="164">
        <f>AK64*1000/(AK7*12)</f>
        <v>3.5377892862922802</v>
      </c>
      <c r="AL13" s="260"/>
      <c r="AM13" s="161">
        <f>AM15*AM17</f>
        <v>3.9130434782608692</v>
      </c>
      <c r="AN13" s="162">
        <f>AN15*AN17</f>
        <v>3.8141166155195085</v>
      </c>
      <c r="AO13" s="162">
        <f>AO15*AO17</f>
        <v>4.1387419165196944</v>
      </c>
      <c r="AP13" s="162">
        <f>AP15*AP17</f>
        <v>4.2077348066298343</v>
      </c>
      <c r="AQ13" s="164">
        <f>AQ64*1000/(AQ7*12)</f>
        <v>4.0176333936966104</v>
      </c>
      <c r="AR13" s="260"/>
      <c r="AS13" s="161">
        <f>AS15*AS17</f>
        <v>4.3549457844655892</v>
      </c>
      <c r="AT13" s="162">
        <f>AT15*AT17</f>
        <v>4.30944963655244</v>
      </c>
      <c r="AU13" s="162">
        <f>AU15*AU17</f>
        <v>4.3896976483762593</v>
      </c>
      <c r="AV13" s="162">
        <f>AV15*AV17</f>
        <v>4.5473621103117505</v>
      </c>
      <c r="AW13" s="164">
        <f>AW64*1000/(AW7*12)</f>
        <v>4.3999404961136523</v>
      </c>
      <c r="AX13" s="260"/>
      <c r="AY13" s="161">
        <f>AY15*AY17</f>
        <v>4.7037539574853007</v>
      </c>
      <c r="AZ13" s="162">
        <f>AZ15*AZ17</f>
        <v>4.4308018796422619</v>
      </c>
      <c r="BA13" s="162">
        <f>BA15*BA17</f>
        <v>4.836363636363636</v>
      </c>
      <c r="BB13" s="162">
        <f>BB15*BB17</f>
        <v>4.6857400315386348</v>
      </c>
      <c r="BC13" s="164">
        <f>BC64*1000/(BC7*12)</f>
        <v>4.6642882760443216</v>
      </c>
      <c r="BD13" s="260"/>
      <c r="BE13" s="161">
        <f>BE15*BE17</f>
        <v>4.8962531721152409</v>
      </c>
      <c r="BF13" s="162">
        <f>BF15*BF17</f>
        <v>4.6657694033198744</v>
      </c>
      <c r="BG13" s="162">
        <f>BG15*BG17</f>
        <v>5.0946927165206972</v>
      </c>
      <c r="BH13" s="162">
        <f>BH15*BH17</f>
        <v>5.035572530517487</v>
      </c>
      <c r="BI13" s="164">
        <f>BI64*1000/(BI7*12)</f>
        <v>4.922967616483434</v>
      </c>
      <c r="BJ13" s="260"/>
      <c r="BK13" s="161">
        <f>BK15*BK17</f>
        <v>5.2166105499438835</v>
      </c>
      <c r="BL13" s="162">
        <f>BL15*BL17</f>
        <v>5.1422172452407615</v>
      </c>
      <c r="BM13" s="162">
        <f>BM15*BM17</f>
        <v>5.5654761904761907</v>
      </c>
      <c r="BN13" s="162">
        <f>BN15*BN17</f>
        <v>5.6149732620320858</v>
      </c>
      <c r="BO13" s="164">
        <f>BO64*1000/(BO7*12)</f>
        <v>5.38536076326774</v>
      </c>
      <c r="BP13" s="260"/>
      <c r="BQ13" s="161">
        <f>BK13*(1+BQ14)</f>
        <v>5.8686868686868685</v>
      </c>
      <c r="BR13" s="162">
        <f>BL13*(1+BR14)</f>
        <v>5.6564389697648378</v>
      </c>
      <c r="BS13" s="162">
        <f>BM13*(1+BS14)</f>
        <v>6.0663690476190482</v>
      </c>
      <c r="BT13" s="162">
        <f>BN13*(1+BT14)</f>
        <v>6.0641711229946527</v>
      </c>
      <c r="BU13" s="164">
        <f>BU64*1000/(BU7*12)</f>
        <v>5.9141695833538748</v>
      </c>
      <c r="BV13" s="260"/>
      <c r="BW13" s="161">
        <f>BQ13*(1+BW14)</f>
        <v>6.2794949494949499</v>
      </c>
      <c r="BX13" s="162">
        <f>BR13*(1+BX14)</f>
        <v>5.995825307950728</v>
      </c>
      <c r="BY13" s="162">
        <f>BS13*(1+BY14)</f>
        <v>6.3696875000000013</v>
      </c>
      <c r="BZ13" s="162">
        <f>BT13*(1+BZ14)</f>
        <v>6.3370588235294116</v>
      </c>
      <c r="CA13" s="164">
        <f>CA64*1000/(CA7*12)</f>
        <v>6.2456921295384857</v>
      </c>
      <c r="CB13" s="260"/>
      <c r="CC13" s="161">
        <f>BW13*(1+CC14)</f>
        <v>6.5620722222222225</v>
      </c>
      <c r="CD13" s="162">
        <f>BX13*(1+CD14)</f>
        <v>6.2656374468085101</v>
      </c>
      <c r="CE13" s="162">
        <f>BY13*(1+CE14)</f>
        <v>6.6563234375000011</v>
      </c>
      <c r="CF13" s="162">
        <f>BZ13*(1+CF14)</f>
        <v>6.6222264705882345</v>
      </c>
      <c r="CG13" s="164">
        <f>CG64*1000/(CG7*12)</f>
        <v>6.5267462800346232</v>
      </c>
      <c r="CH13" s="260"/>
      <c r="CI13" s="161">
        <f>CC13*(1+CI14)</f>
        <v>6.7917447499999994</v>
      </c>
      <c r="CJ13" s="162">
        <f>CD13*(1+CJ14)</f>
        <v>6.4849347574468075</v>
      </c>
      <c r="CK13" s="162">
        <f>CE13*(1+CK14)</f>
        <v>6.8892947578125003</v>
      </c>
      <c r="CL13" s="162">
        <f>CF13*(1+CL14)</f>
        <v>6.854004397058822</v>
      </c>
      <c r="CM13" s="164">
        <f>CM64*1000/(CM7*12)</f>
        <v>6.7551803791237495</v>
      </c>
      <c r="CN13" s="260"/>
      <c r="CO13" s="161">
        <f>CI13*(1+CO14)</f>
        <v>6.9954970925</v>
      </c>
      <c r="CP13" s="162">
        <f>CJ13*(1+CP14)</f>
        <v>6.679482800170212</v>
      </c>
      <c r="CQ13" s="162">
        <f>CK13*(1+CQ14)</f>
        <v>7.0959736005468752</v>
      </c>
      <c r="CR13" s="162">
        <f>CL13*(1+CR14)</f>
        <v>7.0596245289705868</v>
      </c>
      <c r="CS13" s="164">
        <f>CS64*1000/(CS7*12)</f>
        <v>6.9578337534925039</v>
      </c>
      <c r="CT13" s="260"/>
      <c r="CU13" s="161">
        <f>CO13*(1+CU14)</f>
        <v>7.205362005275</v>
      </c>
      <c r="CV13" s="162">
        <f>CP13*(1+CV14)</f>
        <v>6.8798672841753188</v>
      </c>
      <c r="CW13" s="162">
        <f>CQ13*(1+CW14)</f>
        <v>7.308852808563282</v>
      </c>
      <c r="CX13" s="162">
        <f>CR13*(1+CX14)</f>
        <v>7.2714132648397047</v>
      </c>
      <c r="CY13" s="164">
        <f>CY64*1000/(CY7*12)</f>
        <v>7.1665667121972332</v>
      </c>
      <c r="CZ13" s="260"/>
      <c r="DA13" s="161">
        <f>CU13*(1+DA14)</f>
        <v>7.4215228654332499</v>
      </c>
      <c r="DB13" s="162">
        <f>CV13*(1+DB14)</f>
        <v>7.0862633027005781</v>
      </c>
      <c r="DC13" s="162">
        <f>CW13*(1+DC14)</f>
        <v>7.5281183928201809</v>
      </c>
      <c r="DD13" s="162">
        <f>CX13*(1+DD14)</f>
        <v>7.4895556627848965</v>
      </c>
      <c r="DE13" s="164">
        <f>DE64*1000/(DE7*12)</f>
        <v>7.3815616421630317</v>
      </c>
      <c r="DF13" s="260"/>
      <c r="DG13" s="161">
        <f>DA13*(1+DG14)</f>
        <v>7.6441685513962474</v>
      </c>
      <c r="DH13" s="162">
        <f>DB13*(1+DH14)</f>
        <v>7.2988512017815959</v>
      </c>
      <c r="DI13" s="162">
        <f>DC13*(1+DI14)</f>
        <v>7.7539619446047867</v>
      </c>
      <c r="DJ13" s="162">
        <f>DD13*(1+DJ14)</f>
        <v>7.7142423326684435</v>
      </c>
      <c r="DK13" s="164">
        <f>DK64*1000/(DK7*12)</f>
        <v>7.6030064019194858</v>
      </c>
    </row>
    <row r="14" spans="2:115" ht="15" x14ac:dyDescent="0.3">
      <c r="B14" s="5" t="s">
        <v>23</v>
      </c>
      <c r="C14" s="144" t="s">
        <v>35</v>
      </c>
      <c r="D14" s="107" t="s">
        <v>35</v>
      </c>
      <c r="E14" s="107" t="s">
        <v>35</v>
      </c>
      <c r="F14" s="107" t="s">
        <v>35</v>
      </c>
      <c r="G14" s="138" t="s">
        <v>35</v>
      </c>
      <c r="H14" s="107"/>
      <c r="I14" s="151">
        <f>I13/C13-1</f>
        <v>6.738058898591337E-2</v>
      </c>
      <c r="J14" s="133">
        <f>J13/D13-1</f>
        <v>0.20020437081039844</v>
      </c>
      <c r="K14" s="133">
        <f>K13/E13-1</f>
        <v>0.13280159936691738</v>
      </c>
      <c r="L14" s="133">
        <f>L13/F13-1</f>
        <v>0.15821570171245392</v>
      </c>
      <c r="M14" s="153">
        <f>M13/G13-1</f>
        <v>0.1379784683421692</v>
      </c>
      <c r="N14" s="107"/>
      <c r="O14" s="151">
        <f>O13/I13-1</f>
        <v>0.27037314141845981</v>
      </c>
      <c r="P14" s="133">
        <f>P13/J13-1</f>
        <v>5.8050422575562255E-2</v>
      </c>
      <c r="Q14" s="133">
        <f>Q13/K13-1</f>
        <v>-3.4961262895681244E-2</v>
      </c>
      <c r="R14" s="133">
        <f>R13/L13-1</f>
        <v>-7.6854538139552342E-2</v>
      </c>
      <c r="S14" s="153">
        <f>S13/M13-1</f>
        <v>4.3300766785763001E-2</v>
      </c>
      <c r="T14" s="107"/>
      <c r="U14" s="151">
        <f>U13/O13-1</f>
        <v>-0.18897800279999222</v>
      </c>
      <c r="V14" s="133">
        <f>V13/P13-1</f>
        <v>-9.7433214752078334E-2</v>
      </c>
      <c r="W14" s="133">
        <f>W13/Q13-1</f>
        <v>-5.280115679773334E-2</v>
      </c>
      <c r="X14" s="133">
        <f>X13/R13-1</f>
        <v>-7.1147762423171113E-2</v>
      </c>
      <c r="Y14" s="153">
        <f>Y13/S13-1</f>
        <v>-0.10448019295082778</v>
      </c>
      <c r="AA14" s="151">
        <f>AA13/U13-1</f>
        <v>5.8628782008742109E-2</v>
      </c>
      <c r="AB14" s="133">
        <f>AB13/V13-1</f>
        <v>1.7519553640096941E-2</v>
      </c>
      <c r="AC14" s="133">
        <f>AC13/W13-1</f>
        <v>4.3916015418051124E-2</v>
      </c>
      <c r="AD14" s="133">
        <f>AD13/X13-1</f>
        <v>8.0750170686371581E-2</v>
      </c>
      <c r="AE14" s="153">
        <f>AE13/Y13-1</f>
        <v>4.9775152518358956E-2</v>
      </c>
      <c r="AG14" s="151">
        <f>AG13/AA13-1</f>
        <v>5.4281484494094867E-2</v>
      </c>
      <c r="AH14" s="133">
        <f>AH13/AB13-1</f>
        <v>1.4431241586892796E-2</v>
      </c>
      <c r="AI14" s="133">
        <f>AI13/AC13-1</f>
        <v>3.2178690492806306E-2</v>
      </c>
      <c r="AJ14" s="133">
        <f>AJ13/AD13-1</f>
        <v>2.0170196862297152E-2</v>
      </c>
      <c r="AK14" s="153">
        <f>AK13/AE13-1</f>
        <v>3.0472498157582573E-2</v>
      </c>
      <c r="AM14" s="151">
        <f>AM13/AG13-1</f>
        <v>0.11114463176574962</v>
      </c>
      <c r="AN14" s="133">
        <f>AN13/AH13-1</f>
        <v>0.13956564086108014</v>
      </c>
      <c r="AO14" s="133">
        <f>AO13/AI13-1</f>
        <v>0.13003247697125242</v>
      </c>
      <c r="AP14" s="133">
        <f>AP13/AJ13-1</f>
        <v>0.16227991313359347</v>
      </c>
      <c r="AQ14" s="153">
        <f>AQ13/AK13-1</f>
        <v>0.13563388561991574</v>
      </c>
      <c r="AS14" s="151">
        <f>AS13/AM13-1</f>
        <v>0.11293058936342848</v>
      </c>
      <c r="AT14" s="133">
        <f>AT13/AN13-1</f>
        <v>0.12986834723863416</v>
      </c>
      <c r="AU14" s="133">
        <f>AU13/AO13-1</f>
        <v>6.0635752825002331E-2</v>
      </c>
      <c r="AV14" s="133">
        <f>AV13/AP13-1</f>
        <v>8.0714997329867089E-2</v>
      </c>
      <c r="AW14" s="153">
        <f>AW13/AQ13-1</f>
        <v>9.515728911872734E-2</v>
      </c>
      <c r="AY14" s="151">
        <f>AY13/AS13-1</f>
        <v>8.0094722249800521E-2</v>
      </c>
      <c r="AZ14" s="133">
        <f>AZ13/AT13-1</f>
        <v>2.8159568697710524E-2</v>
      </c>
      <c r="BA14" s="133">
        <f>BA13/AU13-1</f>
        <v>0.10175324675324671</v>
      </c>
      <c r="BB14" s="133">
        <f>BB13/AV13-1</f>
        <v>3.0430372130051841E-2</v>
      </c>
      <c r="BC14" s="153">
        <f>BC13/AW13-1</f>
        <v>6.0079853389872095E-2</v>
      </c>
      <c r="BE14" s="151">
        <f>BE13/AY13-1</f>
        <v>4.0924592648730496E-2</v>
      </c>
      <c r="BF14" s="133">
        <f>BF13/AZ13-1</f>
        <v>5.3030473954882362E-2</v>
      </c>
      <c r="BG14" s="133">
        <f>BG13/BA13-1</f>
        <v>5.3413907551272066E-2</v>
      </c>
      <c r="BH14" s="133">
        <f>BH13/BB13-1</f>
        <v>7.4658964565727182E-2</v>
      </c>
      <c r="BI14" s="153">
        <f>BI13/BC13-1</f>
        <v>5.5459552482569174E-2</v>
      </c>
      <c r="BK14" s="151">
        <f>BK13/BE13-1</f>
        <v>6.5429087624209625E-2</v>
      </c>
      <c r="BL14" s="133">
        <f>BL13/BF13-1</f>
        <v>0.10211559996554387</v>
      </c>
      <c r="BM14" s="133">
        <f>BM13/BG13-1</f>
        <v>9.2406647495907102E-2</v>
      </c>
      <c r="BN14" s="133">
        <f>BN13/BH13-1</f>
        <v>0.11506154027237425</v>
      </c>
      <c r="BO14" s="153">
        <f>BO13/BI13-1</f>
        <v>9.3925693363508644E-2</v>
      </c>
      <c r="BQ14" s="151">
        <v>0.125</v>
      </c>
      <c r="BR14" s="133">
        <v>0.1</v>
      </c>
      <c r="BS14" s="133">
        <v>0.09</v>
      </c>
      <c r="BT14" s="133">
        <v>0.08</v>
      </c>
      <c r="BU14" s="153">
        <f>BU13/BO13-1</f>
        <v>9.8193759588589336E-2</v>
      </c>
      <c r="BW14" s="151">
        <v>7.0000000000000007E-2</v>
      </c>
      <c r="BX14" s="133">
        <v>0.06</v>
      </c>
      <c r="BY14" s="133">
        <v>0.05</v>
      </c>
      <c r="BZ14" s="133">
        <v>4.4999999999999998E-2</v>
      </c>
      <c r="CA14" s="153">
        <f>CA13/BU13-1</f>
        <v>5.6055637484207388E-2</v>
      </c>
      <c r="CC14" s="151">
        <v>4.4999999999999998E-2</v>
      </c>
      <c r="CD14" s="133">
        <f>CC14</f>
        <v>4.4999999999999998E-2</v>
      </c>
      <c r="CE14" s="133">
        <f>CD14</f>
        <v>4.4999999999999998E-2</v>
      </c>
      <c r="CF14" s="133">
        <f>CE14</f>
        <v>4.4999999999999998E-2</v>
      </c>
      <c r="CG14" s="153">
        <f>CG13/CA13-1</f>
        <v>4.4999680526504937E-2</v>
      </c>
      <c r="CI14" s="151">
        <v>3.5000000000000003E-2</v>
      </c>
      <c r="CJ14" s="133">
        <v>3.5000000000000003E-2</v>
      </c>
      <c r="CK14" s="133">
        <v>3.5000000000000003E-2</v>
      </c>
      <c r="CL14" s="133">
        <v>3.5000000000000003E-2</v>
      </c>
      <c r="CM14" s="153">
        <f>CM13/CG13-1</f>
        <v>3.4999690395183247E-2</v>
      </c>
      <c r="CO14" s="151">
        <v>0.03</v>
      </c>
      <c r="CP14" s="133">
        <v>0.03</v>
      </c>
      <c r="CQ14" s="133">
        <v>0.03</v>
      </c>
      <c r="CR14" s="133">
        <v>0.03</v>
      </c>
      <c r="CS14" s="153">
        <f>CS13/CM13-1</f>
        <v>2.9999698452914059E-2</v>
      </c>
      <c r="CU14" s="151">
        <v>0.03</v>
      </c>
      <c r="CV14" s="133">
        <v>0.03</v>
      </c>
      <c r="CW14" s="133">
        <v>0.03</v>
      </c>
      <c r="CX14" s="133">
        <v>0.03</v>
      </c>
      <c r="CY14" s="153">
        <f>CY13/CS13-1</f>
        <v>2.9999704807542216E-2</v>
      </c>
      <c r="DA14" s="151">
        <v>0.03</v>
      </c>
      <c r="DB14" s="133">
        <v>0.03</v>
      </c>
      <c r="DC14" s="133">
        <v>0.03</v>
      </c>
      <c r="DD14" s="133">
        <v>0.03</v>
      </c>
      <c r="DE14" s="153">
        <f>DE13/CY13-1</f>
        <v>2.9999710963394044E-2</v>
      </c>
      <c r="DG14" s="151">
        <v>0.03</v>
      </c>
      <c r="DH14" s="133">
        <v>0.03</v>
      </c>
      <c r="DI14" s="133">
        <v>0.03</v>
      </c>
      <c r="DJ14" s="133">
        <v>0.03</v>
      </c>
      <c r="DK14" s="153">
        <f>DK13/DE13-1</f>
        <v>2.9999716928674758E-2</v>
      </c>
    </row>
    <row r="15" spans="2:115" ht="15.75" thickBot="1" x14ac:dyDescent="0.35">
      <c r="B15" s="140" t="s">
        <v>48</v>
      </c>
      <c r="C15" s="146">
        <v>0.17</v>
      </c>
      <c r="D15" s="147">
        <v>0.16</v>
      </c>
      <c r="E15" s="147">
        <v>0.18</v>
      </c>
      <c r="F15" s="148">
        <v>0.19</v>
      </c>
      <c r="G15" s="268">
        <f>G64/G67</f>
        <v>0.17525210084033613</v>
      </c>
      <c r="I15" s="146">
        <v>0.18</v>
      </c>
      <c r="J15" s="147">
        <v>0.18</v>
      </c>
      <c r="K15" s="147">
        <v>0.18</v>
      </c>
      <c r="L15" s="148">
        <v>0.19</v>
      </c>
      <c r="M15" s="268">
        <f>M64/M67</f>
        <v>0.18262569832402234</v>
      </c>
      <c r="O15" s="146">
        <v>0.21</v>
      </c>
      <c r="P15" s="147">
        <v>0.19</v>
      </c>
      <c r="Q15" s="147">
        <v>0.19</v>
      </c>
      <c r="R15" s="148">
        <v>0.2</v>
      </c>
      <c r="S15" s="268">
        <f>S64/S67</f>
        <v>0.19742746615087042</v>
      </c>
      <c r="U15" s="168">
        <v>0.2</v>
      </c>
      <c r="V15" s="169">
        <v>0.2</v>
      </c>
      <c r="W15" s="169">
        <v>0.21</v>
      </c>
      <c r="X15" s="170">
        <v>0.21</v>
      </c>
      <c r="Y15" s="268">
        <f>Y64/Y67</f>
        <v>0.20499999999999999</v>
      </c>
      <c r="AA15" s="168">
        <v>0.23</v>
      </c>
      <c r="AB15" s="169">
        <v>0.22</v>
      </c>
      <c r="AC15" s="169">
        <v>0.23</v>
      </c>
      <c r="AD15" s="169">
        <v>0.24</v>
      </c>
      <c r="AE15" s="268">
        <f>AE64/AE67</f>
        <v>0.22992874109263658</v>
      </c>
      <c r="AG15" s="168">
        <v>0.25</v>
      </c>
      <c r="AH15" s="169">
        <v>0.24</v>
      </c>
      <c r="AI15" s="169">
        <v>0.26</v>
      </c>
      <c r="AJ15" s="169">
        <v>0.27</v>
      </c>
      <c r="AK15" s="268">
        <f>AK64/AK67</f>
        <v>0.25484455958549224</v>
      </c>
      <c r="AM15" s="168">
        <v>0.3</v>
      </c>
      <c r="AN15" s="169">
        <v>0.28999999999999998</v>
      </c>
      <c r="AO15" s="169">
        <v>0.32</v>
      </c>
      <c r="AP15" s="169">
        <v>0.34</v>
      </c>
      <c r="AQ15" s="268">
        <f>AQ64/AQ67</f>
        <v>0.31198863636363633</v>
      </c>
      <c r="AS15" s="168">
        <v>0.36</v>
      </c>
      <c r="AT15" s="169">
        <v>0.35</v>
      </c>
      <c r="AU15" s="169">
        <v>0.35</v>
      </c>
      <c r="AV15" s="169">
        <v>0.37</v>
      </c>
      <c r="AW15" s="268">
        <f>AW64/AW67</f>
        <v>0.35743202416918429</v>
      </c>
      <c r="AY15" s="168">
        <v>0.39</v>
      </c>
      <c r="AZ15" s="169">
        <v>0.37</v>
      </c>
      <c r="BA15" s="169">
        <v>0.38</v>
      </c>
      <c r="BB15" s="169">
        <v>0.39</v>
      </c>
      <c r="BC15" s="268">
        <f>BC64/BC67</f>
        <v>0.38250773993808052</v>
      </c>
      <c r="BE15" s="168">
        <v>0.4</v>
      </c>
      <c r="BF15" s="169">
        <v>0.39</v>
      </c>
      <c r="BG15" s="169">
        <v>0.41</v>
      </c>
      <c r="BH15" s="169">
        <v>0.41</v>
      </c>
      <c r="BI15" s="268">
        <f>BI64/BI67</f>
        <v>0.40259938837920489</v>
      </c>
      <c r="BK15" s="168">
        <v>0.42</v>
      </c>
      <c r="BL15" s="169">
        <v>0.42</v>
      </c>
      <c r="BM15" s="169">
        <v>0.44</v>
      </c>
      <c r="BN15" s="169">
        <v>0.45</v>
      </c>
      <c r="BO15" s="268">
        <f>BO64/BO67</f>
        <v>0.43263473053892215</v>
      </c>
      <c r="BQ15" s="168">
        <f>BQ13/BQ17</f>
        <v>0.46165119687347345</v>
      </c>
      <c r="BR15" s="169">
        <f>BR13/BR17</f>
        <v>0.45607107601184604</v>
      </c>
      <c r="BS15" s="169">
        <f>BS13/BS17</f>
        <v>0.47410043495452753</v>
      </c>
      <c r="BT15" s="169">
        <f>BT13/BT17</f>
        <v>0.48190381755081807</v>
      </c>
      <c r="BU15" s="268">
        <f>BU64/BU67</f>
        <v>0.46850260476060557</v>
      </c>
      <c r="BW15" s="168">
        <f>BW13/BW17</f>
        <v>0.49000271375680871</v>
      </c>
      <c r="BX15" s="169">
        <f>BX13/BX17</f>
        <v>0.48204345793242614</v>
      </c>
      <c r="BY15" s="169">
        <f>BY13/BY17</f>
        <v>0.4977857735953502</v>
      </c>
      <c r="BZ15" s="169">
        <f>BZ13/BZ17</f>
        <v>0.50441100155682406</v>
      </c>
      <c r="CA15" s="268">
        <f>CA64/CA67</f>
        <v>0.49360999011162243</v>
      </c>
      <c r="CC15" s="168">
        <f>CC13/CC17</f>
        <v>0.51251397327636827</v>
      </c>
      <c r="CD15" s="169">
        <f>CD13/CD17</f>
        <v>0.50455081244939315</v>
      </c>
      <c r="CE15" s="169">
        <f>CE13/CE17</f>
        <v>0.52028981695771093</v>
      </c>
      <c r="CF15" s="169">
        <f>CF13/CF17</f>
        <v>0.52690032239406781</v>
      </c>
      <c r="CG15" s="268">
        <f>CG64/CG67</f>
        <v>0.51611905261524738</v>
      </c>
      <c r="CI15" s="168">
        <f>CI13/CI17</f>
        <v>0.53128153295550729</v>
      </c>
      <c r="CJ15" s="169">
        <f>CJ13/CJ17</f>
        <v>0.52333981882998726</v>
      </c>
      <c r="CK15" s="169">
        <f>CK13/CK17</f>
        <v>0.53902727137931661</v>
      </c>
      <c r="CL15" s="169">
        <f>CL13/CL17</f>
        <v>0.54560507493402777</v>
      </c>
      <c r="CM15" s="268">
        <f>CM64/CM67</f>
        <v>0.5348735770630958</v>
      </c>
      <c r="CO15" s="168">
        <f>CO13/CO17</f>
        <v>0.54876216123615229</v>
      </c>
      <c r="CP15" s="169">
        <f>CP13/CP17</f>
        <v>0.54086066542598521</v>
      </c>
      <c r="CQ15" s="169">
        <f>CQ13/CQ17</f>
        <v>0.55646019187566609</v>
      </c>
      <c r="CR15" s="169">
        <f>CR13/CR17</f>
        <v>0.56299091475600493</v>
      </c>
      <c r="CS15" s="268">
        <f>CS64/CS67</f>
        <v>0.55233292484229723</v>
      </c>
      <c r="CU15" s="168">
        <f>CU13/CU17</f>
        <v>0.56612326482303332</v>
      </c>
      <c r="CV15" s="169">
        <f>CV13/CV17</f>
        <v>0.55828106921604226</v>
      </c>
      <c r="CW15" s="169">
        <f>CW13/CW17</f>
        <v>0.57375517059340808</v>
      </c>
      <c r="CX15" s="169">
        <f>CX13/CX17</f>
        <v>0.58022334297398481</v>
      </c>
      <c r="CY15" s="268">
        <f>CY64/CY67</f>
        <v>0.5696641891399592</v>
      </c>
      <c r="DA15" s="168">
        <f>DA13/DA17</f>
        <v>0.58332359250331756</v>
      </c>
      <c r="DB15" s="169">
        <f>DB13/DB17</f>
        <v>0.575559202905078</v>
      </c>
      <c r="DC15" s="169">
        <f>DC13/DC17</f>
        <v>0.59087159521601351</v>
      </c>
      <c r="DD15" s="169">
        <f>DD13/DD17</f>
        <v>0.59726234824981694</v>
      </c>
      <c r="DE15" s="268">
        <f>DE64/DE67</f>
        <v>0.58682640677620657</v>
      </c>
      <c r="DG15" s="168">
        <f>DG13/DG17</f>
        <v>0.60032344008041771</v>
      </c>
      <c r="DH15" s="169">
        <f>DH13/DH17</f>
        <v>0.59265461634532213</v>
      </c>
      <c r="DI15" s="169">
        <f>DI13/DI17</f>
        <v>0.6077705602502762</v>
      </c>
      <c r="DJ15" s="169">
        <f>DJ13/DJ17</f>
        <v>0.61406975682377907</v>
      </c>
      <c r="DK15" s="268">
        <f>DK64/DK67</f>
        <v>0.60378023632704092</v>
      </c>
    </row>
    <row r="16" spans="2:115" ht="15.75" thickBot="1" x14ac:dyDescent="0.35">
      <c r="B16" s="1"/>
      <c r="AA16" s="103"/>
      <c r="AB16" s="103"/>
      <c r="AC16" s="103"/>
      <c r="AD16" s="103"/>
      <c r="AE16" s="103"/>
      <c r="AG16" s="103"/>
      <c r="AH16" s="103"/>
      <c r="AI16" s="103"/>
      <c r="AJ16" s="103"/>
      <c r="AK16" s="103"/>
      <c r="AM16" s="103"/>
      <c r="AN16" s="103"/>
      <c r="AO16" s="103"/>
      <c r="AP16" s="103"/>
      <c r="AQ16" s="103"/>
      <c r="AS16" s="103"/>
      <c r="AT16" s="103"/>
      <c r="AU16" s="103"/>
      <c r="AV16" s="103"/>
      <c r="AW16" s="103"/>
      <c r="AY16" s="103"/>
      <c r="AZ16" s="103"/>
      <c r="BA16" s="103"/>
      <c r="BB16" s="103"/>
      <c r="BC16" s="103"/>
      <c r="BE16" s="103"/>
      <c r="BF16" s="103"/>
      <c r="BG16" s="103"/>
      <c r="BH16" s="103"/>
      <c r="BI16" s="103"/>
      <c r="BK16" s="103"/>
      <c r="BL16" s="103"/>
      <c r="BM16" s="103"/>
      <c r="BN16" s="103"/>
      <c r="BO16" s="103"/>
      <c r="BQ16" s="103"/>
      <c r="BR16" s="103"/>
      <c r="BS16" s="103"/>
      <c r="BT16" s="103"/>
      <c r="BU16" s="103"/>
      <c r="BW16" s="103"/>
      <c r="BX16" s="103"/>
      <c r="BY16" s="103"/>
      <c r="BZ16" s="103"/>
      <c r="CA16" s="103"/>
      <c r="CC16" s="103"/>
      <c r="CD16" s="103"/>
      <c r="CE16" s="103"/>
      <c r="CF16" s="103"/>
      <c r="CG16" s="103"/>
      <c r="CI16" s="103"/>
      <c r="CJ16" s="103"/>
      <c r="CK16" s="103"/>
      <c r="CL16" s="103"/>
      <c r="CM16" s="103"/>
      <c r="CO16" s="103"/>
      <c r="CP16" s="103"/>
      <c r="CQ16" s="103"/>
      <c r="CR16" s="103"/>
      <c r="CS16" s="103"/>
      <c r="CU16" s="103"/>
      <c r="CV16" s="103"/>
      <c r="CW16" s="103"/>
      <c r="CX16" s="103"/>
      <c r="CY16" s="103"/>
      <c r="DA16" s="103"/>
      <c r="DB16" s="103"/>
      <c r="DC16" s="103"/>
      <c r="DD16" s="103"/>
      <c r="DE16" s="103"/>
      <c r="DG16" s="103"/>
      <c r="DH16" s="103"/>
      <c r="DI16" s="103"/>
      <c r="DJ16" s="103"/>
      <c r="DK16" s="103"/>
    </row>
    <row r="17" spans="2:115" ht="15" x14ac:dyDescent="0.3">
      <c r="B17" s="139" t="s">
        <v>96</v>
      </c>
      <c r="C17" s="141">
        <f>C20*1000/(C7*3)</f>
        <v>16.877637130801688</v>
      </c>
      <c r="D17" s="142">
        <f>D20*1000/(D7*3)</f>
        <v>17.681876077021052</v>
      </c>
      <c r="E17" s="142">
        <f>E20*1000/(E7*3)</f>
        <v>18.236635046694609</v>
      </c>
      <c r="F17" s="142">
        <f>F20*1000/(F7*3)</f>
        <v>17.401226643845387</v>
      </c>
      <c r="G17" s="149">
        <f>G20*1000/(G7*12)</f>
        <v>17.551622418879056</v>
      </c>
      <c r="H17" s="129"/>
      <c r="I17" s="141">
        <f>I20*1000/(I7*3)</f>
        <v>17.014036580178647</v>
      </c>
      <c r="J17" s="142">
        <f>J20*1000/(J7*3)</f>
        <v>18.863879957127544</v>
      </c>
      <c r="K17" s="142">
        <f>K20*1000/(K7*3)</f>
        <v>20.65848934796643</v>
      </c>
      <c r="L17" s="142">
        <f>L20*1000/(L7*3)</f>
        <v>20.154373927958833</v>
      </c>
      <c r="M17" s="149">
        <f>M20*1000/(M7*12)</f>
        <v>19.166934361280649</v>
      </c>
      <c r="N17" s="129"/>
      <c r="O17" s="141">
        <f>O20*1000/(O7*3)</f>
        <v>18.526435798774404</v>
      </c>
      <c r="P17" s="142">
        <f>P20*1000/(P7*3)</f>
        <v>18.908465835840136</v>
      </c>
      <c r="Q17" s="142">
        <f>Q20*1000/(Q7*3)</f>
        <v>18.886966551326413</v>
      </c>
      <c r="R17" s="142">
        <f>R20*1000/(R7*3)</f>
        <v>17.675147886822035</v>
      </c>
      <c r="S17" s="149">
        <f>S20*1000/(S7*12)</f>
        <v>18.497647542889855</v>
      </c>
      <c r="T17" s="134"/>
      <c r="U17" s="141">
        <f>U20*1000/(U7*3)</f>
        <v>15.776614310645725</v>
      </c>
      <c r="V17" s="142">
        <f>V20*1000/(V7*3)</f>
        <v>16.212845562253168</v>
      </c>
      <c r="W17" s="142">
        <f>W20*1000/(W7*3)</f>
        <v>16.185930691014732</v>
      </c>
      <c r="X17" s="142">
        <f>X20*1000/(X7*3)</f>
        <v>15.635810156358101</v>
      </c>
      <c r="Y17" s="149">
        <f>Y20*1000/(Y7*12)</f>
        <v>15.953111723803083</v>
      </c>
      <c r="Z17" s="135"/>
      <c r="AA17" s="141">
        <f>AA20*1000/(AA7*3)</f>
        <v>14.523111297304846</v>
      </c>
      <c r="AB17" s="142">
        <f>AB20*1000/(AB7*3)</f>
        <v>14.997170345217883</v>
      </c>
      <c r="AC17" s="142">
        <f>AC20*1000/(AC7*3)</f>
        <v>15.427469466466681</v>
      </c>
      <c r="AD17" s="142">
        <f>AD20*1000/(AD7*3)</f>
        <v>14.786103933390756</v>
      </c>
      <c r="AE17" s="149">
        <f>AE20*1000/(AE7*12)</f>
        <v>14.931460694082389</v>
      </c>
      <c r="AF17" s="135"/>
      <c r="AG17" s="141">
        <f>AG20*1000/(AG7*3)</f>
        <v>14.086531550955872</v>
      </c>
      <c r="AH17" s="142">
        <f>AH20*1000/(AH7*3)</f>
        <v>13.945798289123715</v>
      </c>
      <c r="AI17" s="142">
        <f>AI20*1000/(AI7*3)</f>
        <v>14.086531550955872</v>
      </c>
      <c r="AJ17" s="142">
        <f>AJ20*1000/(AJ7*3)</f>
        <v>13.408304498269896</v>
      </c>
      <c r="AK17" s="149">
        <f>AK20*1000/(AK7*12)</f>
        <v>13.882145618672565</v>
      </c>
      <c r="AL17" s="135"/>
      <c r="AM17" s="141">
        <f>AM20*1000/(AM7*3)</f>
        <v>13.043478260869565</v>
      </c>
      <c r="AN17" s="142">
        <f>AN20*1000/(AN7*3)</f>
        <v>13.1521262604121</v>
      </c>
      <c r="AO17" s="142">
        <f>AO20*1000/(AO7*3)</f>
        <v>12.933568489124045</v>
      </c>
      <c r="AP17" s="142">
        <f>AP20*1000/(AP7*3)</f>
        <v>12.375690607734807</v>
      </c>
      <c r="AQ17" s="149">
        <f>AQ20*1000/(AQ7*12)</f>
        <v>12.877499131134647</v>
      </c>
      <c r="AR17" s="135"/>
      <c r="AS17" s="141">
        <f>AS20*1000/(AS7*3)</f>
        <v>12.097071623515527</v>
      </c>
      <c r="AT17" s="142">
        <f>AT20*1000/(AT7*3)</f>
        <v>12.312713247292686</v>
      </c>
      <c r="AU17" s="142">
        <f>AU20*1000/(AU7*3)</f>
        <v>12.541993281075028</v>
      </c>
      <c r="AV17" s="142">
        <f>AV20*1000/(AV7*3)</f>
        <v>12.290167865707435</v>
      </c>
      <c r="AW17" s="149">
        <f>AW20*1000/(AW7*12)</f>
        <v>12.309866488155008</v>
      </c>
      <c r="AX17" s="135"/>
      <c r="AY17" s="141">
        <f>AY20*1000/(AY7*3)</f>
        <v>12.060907583295643</v>
      </c>
      <c r="AZ17" s="142">
        <f>AZ20*1000/(AZ7*3)</f>
        <v>11.975140215249356</v>
      </c>
      <c r="BA17" s="142">
        <f>BA20*1000/(BA7*3)</f>
        <v>12.727272727272727</v>
      </c>
      <c r="BB17" s="142">
        <f>BB20*1000/(BB7*3)</f>
        <v>12.014718029586243</v>
      </c>
      <c r="BC17" s="149">
        <f>BC20*1000/(BC7*12)</f>
        <v>12.193970968533515</v>
      </c>
      <c r="BD17" s="135"/>
      <c r="BE17" s="141">
        <f>BE20*1000/(BE7*3)</f>
        <v>12.240632930288102</v>
      </c>
      <c r="BF17" s="142">
        <f>BF20*1000/(BF7*3)</f>
        <v>11.96351129056378</v>
      </c>
      <c r="BG17" s="142">
        <f>BG20*1000/(BG7*3)</f>
        <v>12.426079796391946</v>
      </c>
      <c r="BH17" s="142">
        <f>BH20*1000/(BH7*3)</f>
        <v>12.281884220774359</v>
      </c>
      <c r="BI17" s="149">
        <f>BI20*1000/(BI7*12)</f>
        <v>12.227956024231545</v>
      </c>
      <c r="BJ17" s="135"/>
      <c r="BK17" s="141">
        <f>BK20*1000/(BK7*3)</f>
        <v>12.420501309390199</v>
      </c>
      <c r="BL17" s="142">
        <f>BL20*1000/(BL7*3)</f>
        <v>12.243374393430384</v>
      </c>
      <c r="BM17" s="142">
        <f>BM20*1000/(BM7*3)</f>
        <v>12.648809523809524</v>
      </c>
      <c r="BN17" s="142">
        <f>BN20*1000/(BN7*3)</f>
        <v>12.477718360071302</v>
      </c>
      <c r="BO17" s="149">
        <f>BO20*1000/(BO7*12)</f>
        <v>12.447823494335122</v>
      </c>
      <c r="BP17" s="135"/>
      <c r="BQ17" s="141">
        <f>BQ10+BQ13</f>
        <v>12.712383090160866</v>
      </c>
      <c r="BR17" s="142">
        <f>BR10+BR13</f>
        <v>12.402538260544979</v>
      </c>
      <c r="BS17" s="142">
        <f>BS10+BS13</f>
        <v>12.795535714285714</v>
      </c>
      <c r="BT17" s="142">
        <f>BT10+BT13</f>
        <v>12.583778966131907</v>
      </c>
      <c r="BU17" s="149">
        <f>BU20*1000/(BU7*12)</f>
        <v>12.623557528299944</v>
      </c>
      <c r="BV17" s="135"/>
      <c r="BW17" s="141">
        <f>BW10+BW13</f>
        <v>12.815224841002617</v>
      </c>
      <c r="BX17" s="142">
        <f>BX10+BX13</f>
        <v>12.438350130645762</v>
      </c>
      <c r="BY17" s="142">
        <f>BY10+BY13</f>
        <v>12.796041666666667</v>
      </c>
      <c r="BZ17" s="142">
        <f>BZ10+BZ13</f>
        <v>12.563284313725489</v>
      </c>
      <c r="CA17" s="149">
        <f>CA20*1000/(CA7*12)</f>
        <v>12.653091012453206</v>
      </c>
      <c r="CB17" s="135"/>
      <c r="CC17" s="141">
        <f>CC10+CC13</f>
        <v>12.803694268612045</v>
      </c>
      <c r="CD17" s="142">
        <f>CD10+CD13</f>
        <v>12.418248652482268</v>
      </c>
      <c r="CE17" s="142">
        <f>CE10+CE13</f>
        <v>12.793491666666668</v>
      </c>
      <c r="CF17" s="142">
        <f>CF10+CF13</f>
        <v>12.568271813725488</v>
      </c>
      <c r="CG17" s="149">
        <f>CG20*1000/(CG7*12)</f>
        <v>12.645815431464287</v>
      </c>
      <c r="CH17" s="135"/>
      <c r="CI17" s="141">
        <f>CI10+CI13</f>
        <v>12.78370191453423</v>
      </c>
      <c r="CJ17" s="142">
        <f>CJ10+CJ13</f>
        <v>12.391441514893614</v>
      </c>
      <c r="CK17" s="142">
        <f>CK10+CK13</f>
        <v>12.780976257812499</v>
      </c>
      <c r="CL17" s="142">
        <f>CL10+CL13</f>
        <v>12.562207926470586</v>
      </c>
      <c r="CM17" s="149">
        <f>CM20*1000/(CM7*12)</f>
        <v>12.629489787503342</v>
      </c>
      <c r="CN17" s="135"/>
      <c r="CO17" s="141">
        <f>CO10+CO13</f>
        <v>12.74777597045286</v>
      </c>
      <c r="CP17" s="142">
        <f>CP10+CP13</f>
        <v>12.349729287319146</v>
      </c>
      <c r="CQ17" s="142">
        <f>CQ10+CQ13</f>
        <v>12.751987840546875</v>
      </c>
      <c r="CR17" s="142">
        <f>CR10+CR13</f>
        <v>12.53949991720588</v>
      </c>
      <c r="CS17" s="149">
        <f>CS20*1000/(CS7*12)</f>
        <v>12.597173625814744</v>
      </c>
      <c r="CT17" s="135"/>
      <c r="CU17" s="141">
        <f>CU10+CU13</f>
        <v>12.727549728109746</v>
      </c>
      <c r="CV17" s="142">
        <f>CV10+CV13</f>
        <v>12.323303911838295</v>
      </c>
      <c r="CW17" s="142">
        <f>CW10+CW13</f>
        <v>12.73862647896328</v>
      </c>
      <c r="CX17" s="142">
        <f>CX10+CX13</f>
        <v>12.532093637545586</v>
      </c>
      <c r="CY17" s="149">
        <f>CY20*1000/(CY7*12)</f>
        <v>12.580335658832331</v>
      </c>
      <c r="CZ17" s="135"/>
      <c r="DA17" s="141">
        <f>DA10+DA13</f>
        <v>12.722823079354605</v>
      </c>
      <c r="DB17" s="142">
        <f>DB10+DB13</f>
        <v>12.311962465257036</v>
      </c>
      <c r="DC17" s="142">
        <f>DC10+DC13</f>
        <v>12.740701116404178</v>
      </c>
      <c r="DD17" s="142">
        <f>DD10+DD13</f>
        <v>12.539808820582543</v>
      </c>
      <c r="DE17" s="149">
        <f>DE20*1000/(DE7*12)</f>
        <v>12.578782339933246</v>
      </c>
      <c r="DF17" s="135"/>
      <c r="DG17" s="141">
        <f>DG10+DG13</f>
        <v>12.733416756760748</v>
      </c>
      <c r="DH17" s="142">
        <f>DH10+DH13</f>
        <v>12.315522397835796</v>
      </c>
      <c r="DI17" s="142">
        <f>DI10+DI13</f>
        <v>12.758041359245425</v>
      </c>
      <c r="DJ17" s="142">
        <f>DJ10+DJ13</f>
        <v>12.562485364154185</v>
      </c>
      <c r="DK17" s="149">
        <f>DK20*1000/(DK7*12)</f>
        <v>12.592340630708017</v>
      </c>
    </row>
    <row r="18" spans="2:115" s="241" customFormat="1" ht="15.75" thickBot="1" x14ac:dyDescent="0.35">
      <c r="B18" s="140" t="s">
        <v>23</v>
      </c>
      <c r="C18" s="155" t="s">
        <v>35</v>
      </c>
      <c r="D18" s="106" t="s">
        <v>35</v>
      </c>
      <c r="E18" s="106" t="s">
        <v>35</v>
      </c>
      <c r="F18" s="106" t="s">
        <v>35</v>
      </c>
      <c r="G18" s="108" t="s">
        <v>35</v>
      </c>
      <c r="H18" s="107"/>
      <c r="I18" s="109">
        <f>I17/C17-1</f>
        <v>8.0816673755848001E-3</v>
      </c>
      <c r="J18" s="110">
        <f>J17/D17-1</f>
        <v>6.6848329609243029E-2</v>
      </c>
      <c r="K18" s="110">
        <f>K17/E17-1</f>
        <v>0.13280159936691738</v>
      </c>
      <c r="L18" s="110">
        <f>L17/F17-1</f>
        <v>0.15821570171245392</v>
      </c>
      <c r="M18" s="122">
        <f>M17/G17-1</f>
        <v>9.2032058567082409E-2</v>
      </c>
      <c r="N18" s="107"/>
      <c r="O18" s="109">
        <f>O17/I17-1</f>
        <v>8.8891264072965548E-2</v>
      </c>
      <c r="P18" s="110">
        <f>P17/J17-1</f>
        <v>2.3635582294800894E-3</v>
      </c>
      <c r="Q18" s="110">
        <f>Q17/K17-1</f>
        <v>-8.5752775374855816E-2</v>
      </c>
      <c r="R18" s="120">
        <f>R17/L17-1</f>
        <v>-0.12301181123257476</v>
      </c>
      <c r="S18" s="122">
        <f>S17/M17-1</f>
        <v>-3.4918824563975548E-2</v>
      </c>
      <c r="T18" s="107"/>
      <c r="U18" s="109">
        <f>U17/O17-1</f>
        <v>-0.14842690293999183</v>
      </c>
      <c r="V18" s="110">
        <f>V17/P17-1</f>
        <v>-0.14256155401447446</v>
      </c>
      <c r="W18" s="110">
        <f>W17/Q17-1</f>
        <v>-0.14301057043604437</v>
      </c>
      <c r="X18" s="110">
        <f>X17/R17-1</f>
        <v>-0.11537882135540112</v>
      </c>
      <c r="Y18" s="122">
        <f>Y17/S17-1</f>
        <v>-0.13755996881153909</v>
      </c>
      <c r="AA18" s="109">
        <f>AA17/U17-1</f>
        <v>-7.945323303587648E-2</v>
      </c>
      <c r="AB18" s="110">
        <f>AB17/V17-1</f>
        <v>-7.4982223963548145E-2</v>
      </c>
      <c r="AC18" s="110">
        <f>AC17/W17-1</f>
        <v>-4.6859290270475196E-2</v>
      </c>
      <c r="AD18" s="110">
        <f>AD17/X17-1</f>
        <v>-5.4343600649424784E-2</v>
      </c>
      <c r="AE18" s="122">
        <f>AE17/Y17-1</f>
        <v>-6.4040862209742033E-2</v>
      </c>
      <c r="AG18" s="109">
        <f>AG17/AA17-1</f>
        <v>-3.0061034265432718E-2</v>
      </c>
      <c r="AH18" s="110">
        <f>AH17/AB17-1</f>
        <v>-7.01046952120149E-2</v>
      </c>
      <c r="AI18" s="110">
        <f>AI17/AC17-1</f>
        <v>-8.6918850717902063E-2</v>
      </c>
      <c r="AJ18" s="110">
        <f>AJ17/AD17-1</f>
        <v>-9.3182047233513643E-2</v>
      </c>
      <c r="AK18" s="122">
        <f>AK17/AE17-1</f>
        <v>-7.0275447051585949E-2</v>
      </c>
      <c r="AM18" s="109">
        <f>AM17/AG17-1</f>
        <v>-7.404614019520861E-2</v>
      </c>
      <c r="AN18" s="110">
        <f>AN17/AH17-1</f>
        <v>-5.6911193770140645E-2</v>
      </c>
      <c r="AO18" s="110">
        <f>AO17/AI17-1</f>
        <v>-8.1848612460857284E-2</v>
      </c>
      <c r="AP18" s="110">
        <f>AP17/AJ17-1</f>
        <v>-7.7013010158616946E-2</v>
      </c>
      <c r="AQ18" s="122">
        <f>AQ17/AK17-1</f>
        <v>-7.236968370268293E-2</v>
      </c>
      <c r="AS18" s="109">
        <f>AS17/AM17-1</f>
        <v>-7.2557842197142897E-2</v>
      </c>
      <c r="AT18" s="110">
        <f>AT17/AN17-1</f>
        <v>-6.38233694308461E-2</v>
      </c>
      <c r="AU18" s="110">
        <f>AU17/AO17-1</f>
        <v>-3.0275883131426262E-2</v>
      </c>
      <c r="AV18" s="110">
        <f>AV17/AP17-1</f>
        <v>-6.9105429941760388E-3</v>
      </c>
      <c r="AW18" s="122">
        <f>AW17/AQ17-1</f>
        <v>-4.4079416135019756E-2</v>
      </c>
      <c r="AY18" s="109">
        <f>AY17/AS17-1</f>
        <v>-2.9894871540302459E-3</v>
      </c>
      <c r="AZ18" s="110">
        <f>AZ17/AT17-1</f>
        <v>-2.7416624204868567E-2</v>
      </c>
      <c r="BA18" s="110">
        <f>BA17/AU17-1</f>
        <v>1.477272727272716E-2</v>
      </c>
      <c r="BB18" s="110">
        <f>BB17/AV17-1</f>
        <v>-2.2412211056104803E-2</v>
      </c>
      <c r="BC18" s="122">
        <f>BC17/AW17-1</f>
        <v>-9.4148478160190896E-3</v>
      </c>
      <c r="BE18" s="109">
        <f>BE17/AY17-1</f>
        <v>1.4901477832512278E-2</v>
      </c>
      <c r="BF18" s="110">
        <f>BF17/AZ17-1</f>
        <v>-9.7108881203478159E-4</v>
      </c>
      <c r="BG18" s="110">
        <f>BG17/BA17-1</f>
        <v>-2.3665158854918489E-2</v>
      </c>
      <c r="BH18" s="110">
        <f>BH17/BB17-1</f>
        <v>2.2236576050325807E-2</v>
      </c>
      <c r="BI18" s="122">
        <f>BI17/BC17-1</f>
        <v>2.7870376094651927E-3</v>
      </c>
      <c r="BK18" s="109">
        <f>BK17/BE17-1</f>
        <v>1.4694369165914045E-2</v>
      </c>
      <c r="BL18" s="110">
        <f>BL17/BF17-1</f>
        <v>2.3393057110862259E-2</v>
      </c>
      <c r="BM18" s="110">
        <f>BM17/BG17-1</f>
        <v>1.7924376075731496E-2</v>
      </c>
      <c r="BN18" s="110">
        <f>BN17/BH17-1</f>
        <v>1.5944958914829721E-2</v>
      </c>
      <c r="BO18" s="122">
        <f>BO17/BI17-1</f>
        <v>1.7980721362415464E-2</v>
      </c>
      <c r="BQ18" s="109">
        <f>BQ17/BK17-1</f>
        <v>2.3499999999999854E-2</v>
      </c>
      <c r="BR18" s="110">
        <f>BR17/BL17-1</f>
        <v>1.2999999999999901E-2</v>
      </c>
      <c r="BS18" s="110">
        <f>BS17/BM17-1</f>
        <v>1.1600000000000055E-2</v>
      </c>
      <c r="BT18" s="110">
        <f>BT17/BN17-1</f>
        <v>8.499999999999952E-3</v>
      </c>
      <c r="BU18" s="122">
        <f>BU17/BO17-1</f>
        <v>1.4117651495042294E-2</v>
      </c>
      <c r="BW18" s="109">
        <f>BW17/BQ17-1</f>
        <v>8.089887640449378E-3</v>
      </c>
      <c r="BX18" s="110">
        <f>BX17/BR17-1</f>
        <v>2.8874629812438712E-3</v>
      </c>
      <c r="BY18" s="110">
        <f>BY17/BS17-1</f>
        <v>3.9541320680180903E-5</v>
      </c>
      <c r="BZ18" s="110">
        <f>BZ17/BT17-1</f>
        <v>-1.628656420426422E-3</v>
      </c>
      <c r="CA18" s="122">
        <f>CA17/BU17-1</f>
        <v>2.3395531796051028E-3</v>
      </c>
      <c r="CC18" s="109">
        <f>CC17/BW17-1</f>
        <v>-8.9975576188727757E-4</v>
      </c>
      <c r="CD18" s="110">
        <f>CD17/BX17-1</f>
        <v>-1.6160887860817708E-3</v>
      </c>
      <c r="CE18" s="110">
        <f>CE17/BY17-1</f>
        <v>-1.9928037641847585E-4</v>
      </c>
      <c r="CF18" s="110">
        <f>CF17/BZ17-1</f>
        <v>3.9699014011396194E-4</v>
      </c>
      <c r="CG18" s="122">
        <f>CG17/CA17-1</f>
        <v>-5.7500424060474842E-4</v>
      </c>
      <c r="CI18" s="109">
        <f>CI17/CC17-1</f>
        <v>-1.561452004272379E-3</v>
      </c>
      <c r="CJ18" s="110">
        <f>CJ17/CD17-1</f>
        <v>-2.1586890662955716E-3</v>
      </c>
      <c r="CK18" s="110">
        <f>CK17/CE17-1</f>
        <v>-9.7826372817189089E-4</v>
      </c>
      <c r="CL18" s="110">
        <f>CL17/CF17-1</f>
        <v>-4.8247582044491644E-4</v>
      </c>
      <c r="CM18" s="122">
        <f>CM17/CG17-1</f>
        <v>-1.2909917948292771E-3</v>
      </c>
      <c r="CO18" s="109">
        <f>CO17/CI17-1</f>
        <v>-2.8102926931146133E-3</v>
      </c>
      <c r="CP18" s="110">
        <f>CP17/CJ17-1</f>
        <v>-3.3662126819008487E-3</v>
      </c>
      <c r="CQ18" s="110">
        <f>CQ17/CK17-1</f>
        <v>-2.2680910034478252E-3</v>
      </c>
      <c r="CR18" s="110">
        <f>CR17/CL17-1</f>
        <v>-1.8076447546180319E-3</v>
      </c>
      <c r="CS18" s="122">
        <f>CS17/CM17-1</f>
        <v>-2.558786002628155E-3</v>
      </c>
      <c r="CU18" s="109">
        <f>CU17/CO17-1</f>
        <v>-1.586648713469252E-3</v>
      </c>
      <c r="CV18" s="110">
        <f>CV17/CP17-1</f>
        <v>-2.1397534201810231E-3</v>
      </c>
      <c r="CW18" s="110">
        <f>CW17/CQ17-1</f>
        <v>-1.0477865687034127E-3</v>
      </c>
      <c r="CX18" s="110">
        <f>CX17/CR17-1</f>
        <v>-5.9063596707964461E-4</v>
      </c>
      <c r="CY18" s="122">
        <f>CY17/CS17-1</f>
        <v>-1.3366464162967162E-3</v>
      </c>
      <c r="DA18" s="109">
        <f>DA17/CU17-1</f>
        <v>-3.7137146238785945E-4</v>
      </c>
      <c r="DB18" s="110">
        <f>DB17/CV17-1</f>
        <v>-9.2032515487694422E-4</v>
      </c>
      <c r="DC18" s="110">
        <f>DC17/CW17-1</f>
        <v>1.6286194153858347E-4</v>
      </c>
      <c r="DD18" s="110">
        <f>DD17/CX17-1</f>
        <v>6.1563400817910008E-4</v>
      </c>
      <c r="DE18" s="122">
        <f>DE17/CY17-1</f>
        <v>-1.2347197572537549E-4</v>
      </c>
      <c r="DG18" s="109">
        <f>DG17/DA17-1</f>
        <v>8.3265147523237104E-4</v>
      </c>
      <c r="DH18" s="110">
        <f>DH17/DB17-1</f>
        <v>2.8914420335546254E-4</v>
      </c>
      <c r="DI18" s="110">
        <f>DI17/DC17-1</f>
        <v>1.3610116651210369E-3</v>
      </c>
      <c r="DJ18" s="110">
        <f>DJ17/DD17-1</f>
        <v>1.8083643774873259E-3</v>
      </c>
      <c r="DK18" s="122">
        <f>DK17/DE17-1</f>
        <v>1.0778698929965191E-3</v>
      </c>
    </row>
    <row r="19" spans="2:115" s="241" customFormat="1" ht="15.75" thickBot="1" x14ac:dyDescent="0.35">
      <c r="B19" s="6"/>
      <c r="C19" s="107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  <c r="Y19" s="107"/>
      <c r="AA19" s="107"/>
      <c r="AB19" s="107"/>
      <c r="AC19" s="107"/>
      <c r="AD19" s="107"/>
      <c r="AE19" s="107"/>
      <c r="AG19" s="107"/>
      <c r="AH19" s="107"/>
      <c r="AI19" s="107"/>
      <c r="AJ19" s="107"/>
      <c r="AK19" s="107"/>
      <c r="AM19" s="107"/>
      <c r="AN19" s="107"/>
      <c r="AO19" s="107"/>
      <c r="AP19" s="107"/>
      <c r="AQ19" s="107"/>
      <c r="AS19" s="107"/>
      <c r="AT19" s="107"/>
      <c r="AU19" s="107"/>
      <c r="AV19" s="107"/>
      <c r="AW19" s="107"/>
      <c r="AY19" s="107"/>
      <c r="AZ19" s="107"/>
      <c r="BA19" s="107"/>
      <c r="BB19" s="107"/>
      <c r="BC19" s="107"/>
      <c r="BE19" s="107"/>
      <c r="BF19" s="107"/>
      <c r="BG19" s="107"/>
      <c r="BH19" s="107"/>
      <c r="BI19" s="107"/>
      <c r="BK19" s="107"/>
      <c r="BL19" s="107"/>
      <c r="BM19" s="107"/>
      <c r="BN19" s="107"/>
      <c r="BO19" s="107"/>
      <c r="BQ19" s="107"/>
      <c r="BR19" s="107"/>
      <c r="BS19" s="107"/>
      <c r="BT19" s="107"/>
      <c r="BU19" s="107"/>
      <c r="BW19" s="107"/>
      <c r="BX19" s="107"/>
      <c r="BY19" s="107"/>
      <c r="BZ19" s="107"/>
      <c r="CA19" s="107"/>
      <c r="CC19" s="107"/>
      <c r="CD19" s="107"/>
      <c r="CE19" s="107"/>
      <c r="CF19" s="107"/>
      <c r="CG19" s="107"/>
      <c r="CI19" s="107"/>
      <c r="CJ19" s="107"/>
      <c r="CK19" s="107"/>
      <c r="CL19" s="107"/>
      <c r="CM19" s="107"/>
      <c r="CO19" s="107"/>
      <c r="CP19" s="107"/>
      <c r="CQ19" s="107"/>
      <c r="CR19" s="107"/>
      <c r="CS19" s="107"/>
      <c r="CU19" s="107"/>
      <c r="CV19" s="107"/>
      <c r="CW19" s="107"/>
      <c r="CX19" s="107"/>
      <c r="CY19" s="107"/>
      <c r="DA19" s="107"/>
      <c r="DB19" s="107"/>
      <c r="DC19" s="107"/>
      <c r="DD19" s="107"/>
      <c r="DE19" s="107"/>
      <c r="DG19" s="107"/>
      <c r="DH19" s="107"/>
      <c r="DI19" s="107"/>
      <c r="DJ19" s="107"/>
      <c r="DK19" s="107"/>
    </row>
    <row r="20" spans="2:115" s="135" customFormat="1" ht="15" x14ac:dyDescent="0.3">
      <c r="B20" s="139" t="s">
        <v>59</v>
      </c>
      <c r="C20" s="181">
        <v>112</v>
      </c>
      <c r="D20" s="182">
        <v>118</v>
      </c>
      <c r="E20" s="182">
        <v>124</v>
      </c>
      <c r="F20" s="183">
        <v>122</v>
      </c>
      <c r="G20" s="184">
        <f>C20+D20+E20+F20</f>
        <v>476</v>
      </c>
      <c r="H20" s="160"/>
      <c r="I20" s="181">
        <v>120</v>
      </c>
      <c r="J20" s="182">
        <v>132</v>
      </c>
      <c r="K20" s="182">
        <v>144</v>
      </c>
      <c r="L20" s="182">
        <v>141</v>
      </c>
      <c r="M20" s="184">
        <f>I20+J20+K20+L20</f>
        <v>537</v>
      </c>
      <c r="N20" s="160"/>
      <c r="O20" s="181">
        <v>130</v>
      </c>
      <c r="P20" s="182">
        <v>132</v>
      </c>
      <c r="Q20" s="182">
        <v>131</v>
      </c>
      <c r="R20" s="183">
        <v>124</v>
      </c>
      <c r="S20" s="184">
        <f>O20+P20+Q20+R20</f>
        <v>517</v>
      </c>
      <c r="T20" s="134"/>
      <c r="U20" s="181">
        <v>113</v>
      </c>
      <c r="V20" s="182">
        <v>117</v>
      </c>
      <c r="W20" s="182">
        <v>117</v>
      </c>
      <c r="X20" s="182">
        <v>113</v>
      </c>
      <c r="Y20" s="184">
        <f>U20+V20+W20+X20</f>
        <v>460</v>
      </c>
      <c r="AA20" s="181">
        <v>104</v>
      </c>
      <c r="AB20" s="182">
        <v>106</v>
      </c>
      <c r="AC20" s="182">
        <v>108</v>
      </c>
      <c r="AD20" s="182">
        <v>103</v>
      </c>
      <c r="AE20" s="184">
        <f>AA20+AB20+AC20+AD20</f>
        <v>421</v>
      </c>
      <c r="AG20" s="181">
        <v>98</v>
      </c>
      <c r="AH20" s="182">
        <v>97</v>
      </c>
      <c r="AI20" s="182">
        <v>98</v>
      </c>
      <c r="AJ20" s="182">
        <v>93</v>
      </c>
      <c r="AK20" s="184">
        <f>AG20+AH20+AI20+AJ20</f>
        <v>386</v>
      </c>
      <c r="AM20" s="181">
        <v>90</v>
      </c>
      <c r="AN20" s="182">
        <v>90</v>
      </c>
      <c r="AO20" s="182">
        <v>88</v>
      </c>
      <c r="AP20" s="182">
        <v>84</v>
      </c>
      <c r="AQ20" s="184">
        <f>AM20+AN20+AO20+AP20</f>
        <v>352</v>
      </c>
      <c r="AS20" s="181">
        <v>82</v>
      </c>
      <c r="AT20" s="182">
        <v>83</v>
      </c>
      <c r="AU20" s="182">
        <v>84</v>
      </c>
      <c r="AV20" s="182">
        <v>82</v>
      </c>
      <c r="AW20" s="184">
        <f>AS20+AT20+AU20+AV20</f>
        <v>331</v>
      </c>
      <c r="AY20" s="181">
        <v>80</v>
      </c>
      <c r="AZ20" s="182">
        <v>79</v>
      </c>
      <c r="BA20" s="182">
        <v>84</v>
      </c>
      <c r="BB20" s="182">
        <v>80</v>
      </c>
      <c r="BC20" s="184">
        <f>AY20+AZ20+BA20+BB20</f>
        <v>323</v>
      </c>
      <c r="BE20" s="181">
        <v>82</v>
      </c>
      <c r="BF20" s="182">
        <v>80</v>
      </c>
      <c r="BG20" s="182">
        <v>83</v>
      </c>
      <c r="BH20" s="182">
        <v>82</v>
      </c>
      <c r="BI20" s="184">
        <f>BE20+BF20+BG20+BH20</f>
        <v>327</v>
      </c>
      <c r="BK20" s="181">
        <v>83</v>
      </c>
      <c r="BL20" s="182">
        <v>82</v>
      </c>
      <c r="BM20" s="182">
        <v>85</v>
      </c>
      <c r="BN20" s="182">
        <v>84</v>
      </c>
      <c r="BO20" s="184">
        <f>BK20+BL20+BM20+BN20</f>
        <v>334</v>
      </c>
      <c r="BQ20" s="181">
        <f>BQ17*BQ7*3/1000</f>
        <v>85.579762962962945</v>
      </c>
      <c r="BR20" s="182">
        <f>BR17*BR7*3/1000</f>
        <v>83.568302799552072</v>
      </c>
      <c r="BS20" s="182">
        <f>BS17*BS7*3/1000</f>
        <v>86.350672767857148</v>
      </c>
      <c r="BT20" s="182">
        <f>BT17*BT7*3/1000</f>
        <v>85.204767379679154</v>
      </c>
      <c r="BU20" s="184">
        <f>BQ20+BR20+BS20+BT20</f>
        <v>340.70350591005132</v>
      </c>
      <c r="BW20" s="181">
        <f>BW17*BW7*3/1000</f>
        <v>87.060229957351282</v>
      </c>
      <c r="BX20" s="182">
        <f>BX17*BX7*3/1000</f>
        <v>84.686506864501666</v>
      </c>
      <c r="BY20" s="182">
        <f>BY17*BY7*3/1000</f>
        <v>87.313790312500004</v>
      </c>
      <c r="BZ20" s="182">
        <f>BZ17*BZ7*3/1000</f>
        <v>86.008244411764693</v>
      </c>
      <c r="CA20" s="184">
        <f>BW20+BX20+BY20+BZ20</f>
        <v>345.0687715461176</v>
      </c>
      <c r="CC20" s="181">
        <f>CC17*CC7*3/1000</f>
        <v>87.942174083961831</v>
      </c>
      <c r="CD20" s="182">
        <f>CD17*CD7*3/1000</f>
        <v>85.481014599361686</v>
      </c>
      <c r="CE20" s="182">
        <f>CE17*CE7*3/1000</f>
        <v>88.255902262500001</v>
      </c>
      <c r="CF20" s="182">
        <f>CF17*CF7*3/1000</f>
        <v>86.985009222794091</v>
      </c>
      <c r="CG20" s="184">
        <f>CC20+CD20+CE20+CF20</f>
        <v>348.66410016861761</v>
      </c>
      <c r="CI20" s="181">
        <f>CI17*CI7*3/1000</f>
        <v>88.763634243568433</v>
      </c>
      <c r="CJ20" s="182">
        <f>CJ17*CJ7*3/1000</f>
        <v>86.225845781387221</v>
      </c>
      <c r="CK20" s="182">
        <f>CK17*CK7*3/1000</f>
        <v>89.12813793385547</v>
      </c>
      <c r="CL20" s="182">
        <f>CL17*CL7*3/1000</f>
        <v>87.885206653588213</v>
      </c>
      <c r="CM20" s="184">
        <f>CI20+CJ20+CK20+CL20</f>
        <v>352.00282461239937</v>
      </c>
      <c r="CO20" s="181">
        <f>CO17*CO7*3/1000</f>
        <v>89.47026564862341</v>
      </c>
      <c r="CP20" s="182">
        <f>CP17*CP7*3/1000</f>
        <v>86.861820942359216</v>
      </c>
      <c r="CQ20" s="182">
        <f>CQ17*CQ7*3/1000</f>
        <v>89.882386294094644</v>
      </c>
      <c r="CR20" s="182">
        <f>CR17*CR7*3/1000</f>
        <v>88.666803914562763</v>
      </c>
      <c r="CS20" s="184">
        <f>CO20+CP20+CQ20+CR20</f>
        <v>354.88127679964003</v>
      </c>
      <c r="CU20" s="181">
        <f>CU17*CU7*3/1000</f>
        <v>90.282873996346495</v>
      </c>
      <c r="CV20" s="182">
        <f>CV17*CV7*3/1000</f>
        <v>87.600205857302512</v>
      </c>
      <c r="CW20" s="182">
        <f>CW17*CW7*3/1000</f>
        <v>90.743605722894927</v>
      </c>
      <c r="CX20" s="182">
        <f>CX17*CX7*3/1000</f>
        <v>89.554341133900749</v>
      </c>
      <c r="CY20" s="184">
        <f>CU20+CV20+CW20+CX20</f>
        <v>358.18102671044471</v>
      </c>
      <c r="DA20" s="181">
        <f>DA17*DA7*3/1000</f>
        <v>91.203557244353476</v>
      </c>
      <c r="DB20" s="182">
        <f>DB17*DB7*3/1000</f>
        <v>88.442982369173919</v>
      </c>
      <c r="DC20" s="182">
        <f>DC17*DC7*3/1000</f>
        <v>91.713936986435485</v>
      </c>
      <c r="DD20" s="182">
        <f>DD17*DD7*3/1000</f>
        <v>90.549959493426542</v>
      </c>
      <c r="DE20" s="184">
        <f>DA20+DB20+DC20+DD20</f>
        <v>361.91043609338942</v>
      </c>
      <c r="DG20" s="181">
        <f>DG17*DG7*3/1000</f>
        <v>92.234504277596486</v>
      </c>
      <c r="DH20" s="182">
        <f>DH17*DH7*3/1000</f>
        <v>89.392219324691126</v>
      </c>
      <c r="DI20" s="182">
        <f>DI17*DI7*3/1000</f>
        <v>92.795613826471595</v>
      </c>
      <c r="DJ20" s="182">
        <f>DJ17*DJ7*3/1000</f>
        <v>91.655893216868932</v>
      </c>
      <c r="DK20" s="184">
        <f>DG20+DH20+DI20+DJ20</f>
        <v>366.07823064562814</v>
      </c>
    </row>
    <row r="21" spans="2:115" ht="15.75" thickBot="1" x14ac:dyDescent="0.35">
      <c r="B21" s="140" t="s">
        <v>23</v>
      </c>
      <c r="C21" s="155" t="s">
        <v>35</v>
      </c>
      <c r="D21" s="106" t="s">
        <v>35</v>
      </c>
      <c r="E21" s="106" t="s">
        <v>35</v>
      </c>
      <c r="F21" s="106" t="s">
        <v>35</v>
      </c>
      <c r="G21" s="108" t="s">
        <v>35</v>
      </c>
      <c r="H21" s="107"/>
      <c r="I21" s="109">
        <f>I20/C20-1</f>
        <v>7.1428571428571397E-2</v>
      </c>
      <c r="J21" s="110">
        <f>J20/D20-1</f>
        <v>0.11864406779661008</v>
      </c>
      <c r="K21" s="110">
        <f>K20/E20-1</f>
        <v>0.16129032258064524</v>
      </c>
      <c r="L21" s="110">
        <f>L20/F20-1</f>
        <v>0.15573770491803285</v>
      </c>
      <c r="M21" s="122">
        <f>M20/G20-1</f>
        <v>0.12815126050420167</v>
      </c>
      <c r="N21" s="107"/>
      <c r="O21" s="109">
        <f>O20/I20-1</f>
        <v>8.3333333333333259E-2</v>
      </c>
      <c r="P21" s="110">
        <f>P20/J20-1</f>
        <v>0</v>
      </c>
      <c r="Q21" s="110">
        <f>Q20/K20-1</f>
        <v>-9.027777777777779E-2</v>
      </c>
      <c r="R21" s="110">
        <f>R20/L20-1</f>
        <v>-0.12056737588652477</v>
      </c>
      <c r="S21" s="122">
        <f>S20/M20-1</f>
        <v>-3.7243947858472959E-2</v>
      </c>
      <c r="T21" s="107"/>
      <c r="U21" s="109">
        <f>U20/O20-1</f>
        <v>-0.13076923076923075</v>
      </c>
      <c r="V21" s="110">
        <f>V20/P20-1</f>
        <v>-0.11363636363636365</v>
      </c>
      <c r="W21" s="110">
        <f>W20/Q20-1</f>
        <v>-0.10687022900763354</v>
      </c>
      <c r="X21" s="110">
        <f>X20/R20-1</f>
        <v>-8.8709677419354871E-2</v>
      </c>
      <c r="Y21" s="122">
        <f>Y20/S20-1</f>
        <v>-0.11025145067698261</v>
      </c>
      <c r="AA21" s="109">
        <f>AA20/U20-1</f>
        <v>-7.9646017699115057E-2</v>
      </c>
      <c r="AB21" s="110">
        <f>AB20/V20-1</f>
        <v>-9.4017094017094016E-2</v>
      </c>
      <c r="AC21" s="110">
        <f>AC20/W20-1</f>
        <v>-7.6923076923076872E-2</v>
      </c>
      <c r="AD21" s="110">
        <f>AD20/X20-1</f>
        <v>-8.8495575221238965E-2</v>
      </c>
      <c r="AE21" s="122">
        <f>AE20/Y20-1</f>
        <v>-8.4782608695652129E-2</v>
      </c>
      <c r="AG21" s="109">
        <f>AG20/AA20-1</f>
        <v>-5.7692307692307709E-2</v>
      </c>
      <c r="AH21" s="110">
        <f>AH20/AB20-1</f>
        <v>-8.4905660377358472E-2</v>
      </c>
      <c r="AI21" s="110">
        <f>AI20/AC20-1</f>
        <v>-9.259259259259256E-2</v>
      </c>
      <c r="AJ21" s="110">
        <f>AJ20/AD20-1</f>
        <v>-9.7087378640776656E-2</v>
      </c>
      <c r="AK21" s="122">
        <f>AK20/AE20-1</f>
        <v>-8.3135391923990554E-2</v>
      </c>
      <c r="AM21" s="109">
        <f>AM20/AG20-1</f>
        <v>-8.1632653061224469E-2</v>
      </c>
      <c r="AN21" s="110">
        <f>AN20/AH20-1</f>
        <v>-7.2164948453608213E-2</v>
      </c>
      <c r="AO21" s="110">
        <f>AO20/AI20-1</f>
        <v>-0.10204081632653061</v>
      </c>
      <c r="AP21" s="110">
        <f>AP20/AJ20-1</f>
        <v>-9.6774193548387122E-2</v>
      </c>
      <c r="AQ21" s="122">
        <f>AQ20/AK20-1</f>
        <v>-8.8082901554404125E-2</v>
      </c>
      <c r="AS21" s="109">
        <f>AS20/AM20-1</f>
        <v>-8.8888888888888906E-2</v>
      </c>
      <c r="AT21" s="110">
        <f>AT20/AN20-1</f>
        <v>-7.7777777777777724E-2</v>
      </c>
      <c r="AU21" s="110">
        <f>AU20/AO20-1</f>
        <v>-4.5454545454545414E-2</v>
      </c>
      <c r="AV21" s="110">
        <f>AV20/AP20-1</f>
        <v>-2.3809523809523836E-2</v>
      </c>
      <c r="AW21" s="122">
        <f>AW20/AQ20-1</f>
        <v>-5.9659090909090939E-2</v>
      </c>
      <c r="AY21" s="109">
        <f>AY20/AS20-1</f>
        <v>-2.4390243902439046E-2</v>
      </c>
      <c r="AZ21" s="110">
        <f>AZ20/AT20-1</f>
        <v>-4.8192771084337394E-2</v>
      </c>
      <c r="BA21" s="110">
        <f>BA20/AU20-1</f>
        <v>0</v>
      </c>
      <c r="BB21" s="110">
        <f>BB20/AV20-1</f>
        <v>-2.4390243902439046E-2</v>
      </c>
      <c r="BC21" s="122">
        <f>BC20/AW20-1</f>
        <v>-2.4169184290030232E-2</v>
      </c>
      <c r="BE21" s="109">
        <f>BE20/AY20-1</f>
        <v>2.4999999999999911E-2</v>
      </c>
      <c r="BF21" s="110">
        <f>BF20/AZ20-1</f>
        <v>1.2658227848101333E-2</v>
      </c>
      <c r="BG21" s="110">
        <f>BG20/BA20-1</f>
        <v>-1.1904761904761862E-2</v>
      </c>
      <c r="BH21" s="110">
        <f>BH20/BB20-1</f>
        <v>2.4999999999999911E-2</v>
      </c>
      <c r="BI21" s="122">
        <f>BI20/BC20-1</f>
        <v>1.2383900928792491E-2</v>
      </c>
      <c r="BK21" s="109">
        <f>BK20/BE20-1</f>
        <v>1.2195121951219523E-2</v>
      </c>
      <c r="BL21" s="110">
        <f>BL20/BF20-1</f>
        <v>2.4999999999999911E-2</v>
      </c>
      <c r="BM21" s="110">
        <f>BM20/BG20-1</f>
        <v>2.4096385542168752E-2</v>
      </c>
      <c r="BN21" s="110">
        <f>BN20/BH20-1</f>
        <v>2.4390243902439046E-2</v>
      </c>
      <c r="BO21" s="122">
        <f>BO20/BI20-1</f>
        <v>2.1406727828746197E-2</v>
      </c>
      <c r="BQ21" s="109">
        <f>BQ20/BK20-1</f>
        <v>3.1081481481481266E-2</v>
      </c>
      <c r="BR21" s="110">
        <f>BR20/BL20-1</f>
        <v>1.9125643896976463E-2</v>
      </c>
      <c r="BS21" s="110">
        <f>BS20/BM20-1</f>
        <v>1.589026785714287E-2</v>
      </c>
      <c r="BT21" s="110">
        <f>BT20/BN20-1</f>
        <v>1.4342468805704112E-2</v>
      </c>
      <c r="BU21" s="122">
        <f>BU20/BO20-1</f>
        <v>2.007037697620162E-2</v>
      </c>
      <c r="BW21" s="109">
        <f>BW20/BQ20-1</f>
        <v>1.7299264956238014E-2</v>
      </c>
      <c r="BX21" s="110">
        <f>BX20/BR20-1</f>
        <v>1.338072005161739E-2</v>
      </c>
      <c r="BY21" s="110">
        <f>BY20/BS20-1</f>
        <v>1.1153561562074588E-2</v>
      </c>
      <c r="BZ21" s="110">
        <f>BZ20/BT20-1</f>
        <v>9.4299539426612178E-3</v>
      </c>
      <c r="CA21" s="122">
        <f>CA20/BU20-1</f>
        <v>1.281250577215598E-2</v>
      </c>
      <c r="CC21" s="109">
        <f>CC20/BW20-1</f>
        <v>1.0130275638400965E-2</v>
      </c>
      <c r="CD21" s="110">
        <f>CD20/BX20-1</f>
        <v>9.3817511700091671E-3</v>
      </c>
      <c r="CE21" s="110">
        <f>CE20/BY20-1</f>
        <v>1.078995593511789E-2</v>
      </c>
      <c r="CF21" s="110">
        <f>CF20/BZ20-1</f>
        <v>1.1356641653480715E-2</v>
      </c>
      <c r="CG21" s="122">
        <f>CG20/CA20-1</f>
        <v>1.0419165450384682E-2</v>
      </c>
      <c r="CI21" s="109">
        <f>CI20/CC20-1</f>
        <v>9.3409125730996578E-3</v>
      </c>
      <c r="CJ21" s="110">
        <f>CJ20/CD20-1</f>
        <v>8.7134106388004895E-3</v>
      </c>
      <c r="CK21" s="110">
        <f>CK20/CE20-1</f>
        <v>9.8830293384930545E-3</v>
      </c>
      <c r="CL21" s="110">
        <f>CL20/CF20-1</f>
        <v>1.0348880098275837E-2</v>
      </c>
      <c r="CM21" s="122">
        <f>CM20/CG20-1</f>
        <v>9.5757620075227479E-3</v>
      </c>
      <c r="CO21" s="109">
        <f>CO20/CI20-1</f>
        <v>7.9608210172645855E-3</v>
      </c>
      <c r="CP21" s="110">
        <f>CP20/CJ20-1</f>
        <v>7.3756906088739971E-3</v>
      </c>
      <c r="CQ21" s="110">
        <f>CQ20/CK20-1</f>
        <v>8.46251675087073E-3</v>
      </c>
      <c r="CR21" s="110">
        <f>CR20/CL20-1</f>
        <v>8.8933882132782305E-3</v>
      </c>
      <c r="CS21" s="122">
        <f>CS20/CM20-1</f>
        <v>8.1773553675605903E-3</v>
      </c>
      <c r="CU21" s="109">
        <f>CU20/CO20-1</f>
        <v>9.0824403150253641E-3</v>
      </c>
      <c r="CV21" s="110">
        <f>CV20/CP20-1</f>
        <v>8.5006842699426599E-3</v>
      </c>
      <c r="CW21" s="110">
        <f>CW20/CQ20-1</f>
        <v>9.5816262152006448E-3</v>
      </c>
      <c r="CX21" s="110">
        <f>CX20/CR20-1</f>
        <v>1.0009802768950582E-2</v>
      </c>
      <c r="CY21" s="122">
        <f>CY20/CS20-1</f>
        <v>9.2981797759583706E-3</v>
      </c>
      <c r="DA21" s="109">
        <f>DA20/CU20-1</f>
        <v>1.0197761848434794E-2</v>
      </c>
      <c r="DB21" s="110">
        <f>DB20/CV20-1</f>
        <v>9.6207138285069327E-3</v>
      </c>
      <c r="DC21" s="110">
        <f>DC20/CW20-1</f>
        <v>1.0693108961348452E-2</v>
      </c>
      <c r="DD21" s="110">
        <f>DD20/CX20-1</f>
        <v>1.1117477354192662E-2</v>
      </c>
      <c r="DE21" s="122">
        <f>DE20/CY20-1</f>
        <v>1.0412079660376827E-2</v>
      </c>
      <c r="DG21" s="109">
        <f>DG20/DA20-1</f>
        <v>1.1303802882171476E-2</v>
      </c>
      <c r="DH21" s="110">
        <f>DH20/DB20-1</f>
        <v>1.0732756065992444E-2</v>
      </c>
      <c r="DI21" s="110">
        <f>DI20/DC20-1</f>
        <v>1.1794029081927837E-2</v>
      </c>
      <c r="DJ21" s="110">
        <f>DJ20/DD20-1</f>
        <v>1.2213519803094819E-2</v>
      </c>
      <c r="DK21" s="122">
        <f>DK20/DE20-1</f>
        <v>1.1516093863519483E-2</v>
      </c>
    </row>
    <row r="22" spans="2:115" ht="15.75" thickBot="1" x14ac:dyDescent="0.35">
      <c r="B22" s="1"/>
      <c r="AA22" s="103"/>
      <c r="AB22" s="103"/>
      <c r="AC22" s="103"/>
      <c r="AD22" s="103"/>
      <c r="AE22" s="103"/>
      <c r="AG22" s="103"/>
      <c r="AH22" s="103"/>
      <c r="AI22" s="103"/>
      <c r="AJ22" s="103"/>
      <c r="AK22" s="103"/>
      <c r="AM22" s="103"/>
      <c r="AN22" s="103"/>
      <c r="AO22" s="103"/>
      <c r="AP22" s="103"/>
      <c r="AQ22" s="103"/>
      <c r="AS22" s="103"/>
      <c r="AT22" s="103"/>
      <c r="AU22" s="103"/>
      <c r="AV22" s="103"/>
      <c r="AW22" s="103"/>
      <c r="AY22" s="103"/>
      <c r="AZ22" s="103"/>
      <c r="BA22" s="103"/>
      <c r="BB22" s="103"/>
      <c r="BC22" s="103"/>
      <c r="BE22" s="103"/>
      <c r="BF22" s="103"/>
      <c r="BG22" s="103"/>
      <c r="BH22" s="103"/>
      <c r="BI22" s="103"/>
      <c r="BK22" s="103"/>
      <c r="BL22" s="103"/>
      <c r="BM22" s="103"/>
      <c r="BN22" s="103"/>
      <c r="BO22" s="103"/>
      <c r="BQ22" s="103"/>
      <c r="BR22" s="103"/>
      <c r="BS22" s="103"/>
      <c r="BT22" s="103"/>
      <c r="BU22" s="103"/>
      <c r="BW22" s="103"/>
      <c r="BX22" s="103"/>
      <c r="BY22" s="103"/>
      <c r="BZ22" s="103"/>
      <c r="CA22" s="103"/>
      <c r="CC22" s="103"/>
      <c r="CD22" s="103"/>
      <c r="CE22" s="103"/>
      <c r="CF22" s="103"/>
      <c r="CG22" s="103"/>
      <c r="CI22" s="103"/>
      <c r="CJ22" s="103"/>
      <c r="CK22" s="103"/>
      <c r="CL22" s="103"/>
      <c r="CM22" s="103"/>
      <c r="CO22" s="103"/>
      <c r="CP22" s="103"/>
      <c r="CQ22" s="103"/>
      <c r="CR22" s="103"/>
      <c r="CS22" s="103"/>
      <c r="CU22" s="103"/>
      <c r="CV22" s="103"/>
      <c r="CW22" s="103"/>
      <c r="CX22" s="103"/>
      <c r="CY22" s="103"/>
      <c r="DA22" s="103"/>
      <c r="DB22" s="103"/>
      <c r="DC22" s="103"/>
      <c r="DD22" s="103"/>
      <c r="DE22" s="103"/>
      <c r="DG22" s="103"/>
      <c r="DH22" s="103"/>
      <c r="DI22" s="103"/>
      <c r="DJ22" s="103"/>
      <c r="DK22" s="103"/>
    </row>
    <row r="23" spans="2:115" ht="15" x14ac:dyDescent="0.3">
      <c r="B23" s="38" t="s">
        <v>41</v>
      </c>
      <c r="C23" s="185">
        <v>1.4999999999999999E-2</v>
      </c>
      <c r="D23" s="186">
        <v>1.7999999999999999E-2</v>
      </c>
      <c r="E23" s="186">
        <v>1.2999999999999999E-2</v>
      </c>
      <c r="F23" s="186">
        <v>1.6E-2</v>
      </c>
      <c r="G23" s="191">
        <f>G24/G7/12</f>
        <v>1.549529867256637E-2</v>
      </c>
      <c r="H23" s="136"/>
      <c r="I23" s="185">
        <v>2.1000000000000001E-2</v>
      </c>
      <c r="J23" s="186">
        <v>1.7000000000000001E-2</v>
      </c>
      <c r="K23" s="186">
        <v>1.7000000000000001E-2</v>
      </c>
      <c r="L23" s="187">
        <v>1.7999999999999999E-2</v>
      </c>
      <c r="M23" s="191">
        <f>M24/M7/12</f>
        <v>1.8256665595888216E-2</v>
      </c>
      <c r="N23" s="136"/>
      <c r="O23" s="185">
        <v>1.4E-2</v>
      </c>
      <c r="P23" s="186">
        <v>1.2E-2</v>
      </c>
      <c r="Q23" s="186">
        <v>1.4999999999999999E-2</v>
      </c>
      <c r="R23" s="187">
        <v>1.4999999999999999E-2</v>
      </c>
      <c r="S23" s="191">
        <f>S24/S7/12</f>
        <v>1.3999624322438682E-2</v>
      </c>
      <c r="T23" s="227"/>
      <c r="U23" s="185">
        <v>1.7999999999999999E-2</v>
      </c>
      <c r="V23" s="186">
        <v>1.0999999999999999E-2</v>
      </c>
      <c r="W23" s="186">
        <v>1.2E-2</v>
      </c>
      <c r="X23" s="186">
        <v>1.2999999999999999E-2</v>
      </c>
      <c r="Y23" s="191">
        <f>Y24/Y7/12</f>
        <v>1.3490766269572907E-2</v>
      </c>
      <c r="Z23" s="227"/>
      <c r="AA23" s="185">
        <v>1.6E-2</v>
      </c>
      <c r="AB23" s="186">
        <v>1.2E-2</v>
      </c>
      <c r="AC23" s="186">
        <v>1.4E-2</v>
      </c>
      <c r="AD23" s="186">
        <v>1.4999999999999999E-2</v>
      </c>
      <c r="AE23" s="191">
        <f>AE24/AE7/12</f>
        <v>1.4253657498537001E-2</v>
      </c>
      <c r="AG23" s="185">
        <v>1.4999999999999999E-2</v>
      </c>
      <c r="AH23" s="186">
        <v>1.2E-2</v>
      </c>
      <c r="AI23" s="186">
        <v>1.2999999999999999E-2</v>
      </c>
      <c r="AJ23" s="186">
        <v>1.2999999999999999E-2</v>
      </c>
      <c r="AK23" s="191">
        <f>AK24/AK7/12</f>
        <v>1.325025624426822E-2</v>
      </c>
      <c r="AM23" s="185">
        <v>1.4E-2</v>
      </c>
      <c r="AN23" s="186">
        <v>1.2999999999999999E-2</v>
      </c>
      <c r="AO23" s="186">
        <v>1.2E-2</v>
      </c>
      <c r="AP23" s="186">
        <v>1.2999999999999999E-2</v>
      </c>
      <c r="AQ23" s="191">
        <f>AQ24/AQ7/12</f>
        <v>1.3003512045217583E-2</v>
      </c>
      <c r="AS23" s="185">
        <v>1.2999999999999999E-2</v>
      </c>
      <c r="AT23" s="186">
        <v>1.2999999999999999E-2</v>
      </c>
      <c r="AU23" s="186">
        <v>1.2E-2</v>
      </c>
      <c r="AV23" s="186">
        <v>1.4E-2</v>
      </c>
      <c r="AW23" s="191">
        <f>AW24/AW7/12</f>
        <v>1.2999051656811337E-2</v>
      </c>
      <c r="AY23" s="185">
        <v>1.2999999999999999E-2</v>
      </c>
      <c r="AZ23" s="186">
        <v>1.0999999999999999E-2</v>
      </c>
      <c r="BA23" s="186">
        <v>0.01</v>
      </c>
      <c r="BB23" s="186">
        <v>1.0999999999999999E-2</v>
      </c>
      <c r="BC23" s="191">
        <f>BC24/BC7/12</f>
        <v>1.1251656379183418E-2</v>
      </c>
      <c r="BE23" s="185">
        <v>1.4E-2</v>
      </c>
      <c r="BF23" s="186">
        <v>1.2E-2</v>
      </c>
      <c r="BG23" s="186">
        <v>1.2E-2</v>
      </c>
      <c r="BH23" s="186">
        <v>1.4E-2</v>
      </c>
      <c r="BI23" s="191">
        <f>BI24/BI7/12</f>
        <v>1.3000336549248375E-2</v>
      </c>
      <c r="BK23" s="185">
        <v>1.4E-2</v>
      </c>
      <c r="BL23" s="186">
        <v>1.0999999999999999E-2</v>
      </c>
      <c r="BM23" s="186">
        <v>1.0999999999999999E-2</v>
      </c>
      <c r="BN23" s="186">
        <v>1.4E-2</v>
      </c>
      <c r="BO23" s="191">
        <f>BO24/BO7/12</f>
        <v>1.249983228980322E-2</v>
      </c>
      <c r="BQ23" s="185">
        <v>1.2E-2</v>
      </c>
      <c r="BR23" s="186">
        <f>BQ23</f>
        <v>1.2E-2</v>
      </c>
      <c r="BS23" s="186">
        <f>BR23</f>
        <v>1.2E-2</v>
      </c>
      <c r="BT23" s="186">
        <f>BS23</f>
        <v>1.2E-2</v>
      </c>
      <c r="BU23" s="191">
        <f>BU24/BU7/12</f>
        <v>1.2000000000000002E-2</v>
      </c>
      <c r="BW23" s="185">
        <v>1.2500000000000001E-2</v>
      </c>
      <c r="BX23" s="186">
        <f>BW23</f>
        <v>1.2500000000000001E-2</v>
      </c>
      <c r="BY23" s="186">
        <f>BX23</f>
        <v>1.2500000000000001E-2</v>
      </c>
      <c r="BZ23" s="186">
        <f>BY23</f>
        <v>1.2500000000000001E-2</v>
      </c>
      <c r="CA23" s="191">
        <f>CA24/CA7/12</f>
        <v>1.2500000000000002E-2</v>
      </c>
      <c r="CC23" s="185">
        <v>1.2999999999999999E-2</v>
      </c>
      <c r="CD23" s="186">
        <v>1.2999999999999999E-2</v>
      </c>
      <c r="CE23" s="186">
        <v>1.2999999999999999E-2</v>
      </c>
      <c r="CF23" s="186">
        <v>1.2999999999999999E-2</v>
      </c>
      <c r="CG23" s="191">
        <f>CG24/CG7/12</f>
        <v>1.2999999999999999E-2</v>
      </c>
      <c r="CI23" s="185">
        <v>1.2999999999999999E-2</v>
      </c>
      <c r="CJ23" s="186">
        <v>1.2999999999999999E-2</v>
      </c>
      <c r="CK23" s="186">
        <v>1.2999999999999999E-2</v>
      </c>
      <c r="CL23" s="186">
        <v>1.2999999999999999E-2</v>
      </c>
      <c r="CM23" s="191">
        <f>CM24/CM7/12</f>
        <v>1.2999999999999999E-2</v>
      </c>
      <c r="CO23" s="185">
        <v>1.2999999999999999E-2</v>
      </c>
      <c r="CP23" s="186">
        <v>1.2999999999999999E-2</v>
      </c>
      <c r="CQ23" s="186">
        <v>1.2999999999999999E-2</v>
      </c>
      <c r="CR23" s="186">
        <v>1.2999999999999999E-2</v>
      </c>
      <c r="CS23" s="191">
        <f>CS24/CS7/12</f>
        <v>1.2999999999999999E-2</v>
      </c>
      <c r="CU23" s="185">
        <v>1.2999999999999999E-2</v>
      </c>
      <c r="CV23" s="186">
        <v>1.2999999999999999E-2</v>
      </c>
      <c r="CW23" s="186">
        <v>1.2999999999999999E-2</v>
      </c>
      <c r="CX23" s="186">
        <v>1.2999999999999999E-2</v>
      </c>
      <c r="CY23" s="191">
        <f>CY24/CY7/12</f>
        <v>1.2999999999999999E-2</v>
      </c>
      <c r="DA23" s="185">
        <v>1.2999999999999999E-2</v>
      </c>
      <c r="DB23" s="186">
        <v>1.2999999999999999E-2</v>
      </c>
      <c r="DC23" s="186">
        <v>1.2999999999999999E-2</v>
      </c>
      <c r="DD23" s="186">
        <v>1.2999999999999999E-2</v>
      </c>
      <c r="DE23" s="191">
        <f>DE24/DE7/12</f>
        <v>1.2999999999999999E-2</v>
      </c>
      <c r="DG23" s="185">
        <v>1.2999999999999999E-2</v>
      </c>
      <c r="DH23" s="186">
        <v>1.2999999999999999E-2</v>
      </c>
      <c r="DI23" s="186">
        <v>1.2999999999999999E-2</v>
      </c>
      <c r="DJ23" s="186">
        <v>1.2999999999999999E-2</v>
      </c>
      <c r="DK23" s="191">
        <f>DK24/DK7/12</f>
        <v>1.2999999999999999E-2</v>
      </c>
    </row>
    <row r="24" spans="2:115" ht="15" x14ac:dyDescent="0.3">
      <c r="B24" s="40" t="s">
        <v>45</v>
      </c>
      <c r="C24" s="117">
        <f>C23*3*C7</f>
        <v>99.539999999999992</v>
      </c>
      <c r="D24" s="117">
        <f>D23*3*D7</f>
        <v>120.12299999999998</v>
      </c>
      <c r="E24" s="117">
        <f>E23*3*E7</f>
        <v>88.393500000000003</v>
      </c>
      <c r="F24" s="117">
        <f>F23*3*F7</f>
        <v>112.176</v>
      </c>
      <c r="G24" s="118">
        <f>C24+D24+E24+F24</f>
        <v>420.23249999999996</v>
      </c>
      <c r="I24" s="116">
        <f>I23*3*I7</f>
        <v>148.113</v>
      </c>
      <c r="J24" s="117">
        <f>J23*3*J7</f>
        <v>118.95750000000001</v>
      </c>
      <c r="K24" s="117">
        <f>K23*3*K7</f>
        <v>118.49850000000001</v>
      </c>
      <c r="L24" s="117">
        <f>L23*3*L7</f>
        <v>125.92799999999998</v>
      </c>
      <c r="M24" s="118">
        <f>I24+J24+K24+L24</f>
        <v>511.49700000000007</v>
      </c>
      <c r="N24" s="114"/>
      <c r="O24" s="116">
        <f>O23*3*O7</f>
        <v>98.238</v>
      </c>
      <c r="P24" s="117">
        <f>P23*3*P7</f>
        <v>83.772000000000006</v>
      </c>
      <c r="Q24" s="117">
        <f>Q23*3*Q7</f>
        <v>104.03999999999999</v>
      </c>
      <c r="R24" s="117">
        <f>R23*3*R7</f>
        <v>105.2325</v>
      </c>
      <c r="S24" s="118">
        <f>O24+P24+Q24+R24</f>
        <v>391.28249999999997</v>
      </c>
      <c r="U24" s="116">
        <f>U23*3*U7</f>
        <v>128.92499999999998</v>
      </c>
      <c r="V24" s="117">
        <f>V23*3*V7</f>
        <v>79.381500000000003</v>
      </c>
      <c r="W24" s="117">
        <f>W23*3*W7</f>
        <v>86.742000000000004</v>
      </c>
      <c r="X24" s="117">
        <f>X23*3*X7</f>
        <v>93.950999999999993</v>
      </c>
      <c r="Y24" s="118">
        <f>U24+V24+W24+X24</f>
        <v>388.99950000000001</v>
      </c>
      <c r="AA24" s="116">
        <f>AA23*3*AA7</f>
        <v>114.57600000000001</v>
      </c>
      <c r="AB24" s="117">
        <f>AB23*3*AB7</f>
        <v>84.816000000000017</v>
      </c>
      <c r="AC24" s="117">
        <f>AC23*3*AC7</f>
        <v>98.007000000000005</v>
      </c>
      <c r="AD24" s="117">
        <f>AD23*3*AD7</f>
        <v>104.49</v>
      </c>
      <c r="AE24" s="118">
        <f>AA24+AB24+AC24+AD24</f>
        <v>401.88900000000001</v>
      </c>
      <c r="AG24" s="116">
        <f>AG23*3*AG7</f>
        <v>104.35499999999999</v>
      </c>
      <c r="AH24" s="117">
        <f>AH23*3*AH7</f>
        <v>83.466000000000008</v>
      </c>
      <c r="AI24" s="117">
        <f>AI23*3*AI7</f>
        <v>90.441000000000003</v>
      </c>
      <c r="AJ24" s="117">
        <f>AJ23*3*AJ7</f>
        <v>90.168000000000006</v>
      </c>
      <c r="AK24" s="118">
        <f>AG24+AH24+AI24+AJ24</f>
        <v>368.43</v>
      </c>
      <c r="AM24" s="116">
        <f>AM23*3*AM7</f>
        <v>96.600000000000009</v>
      </c>
      <c r="AN24" s="117">
        <f>AN23*3*AN7</f>
        <v>88.959000000000003</v>
      </c>
      <c r="AO24" s="117">
        <f>AO23*3*AO7</f>
        <v>81.64800000000001</v>
      </c>
      <c r="AP24" s="117">
        <f>AP23*3*AP7</f>
        <v>88.237499999999997</v>
      </c>
      <c r="AQ24" s="118">
        <f>AM24+AN24+AO24+AP24</f>
        <v>355.44450000000006</v>
      </c>
      <c r="AS24" s="116">
        <f>AS23*3*AS7</f>
        <v>88.120500000000007</v>
      </c>
      <c r="AT24" s="117">
        <f>AT23*3*AT7</f>
        <v>87.632999999999996</v>
      </c>
      <c r="AU24" s="117">
        <f>AU23*3*AU7</f>
        <v>80.37</v>
      </c>
      <c r="AV24" s="117">
        <f>AV23*3*AV7</f>
        <v>93.408000000000001</v>
      </c>
      <c r="AW24" s="118">
        <f>AS24+AT24+AU24+AV24</f>
        <v>349.53150000000005</v>
      </c>
      <c r="AY24" s="116">
        <f>AY23*3*AY7</f>
        <v>86.228999999999999</v>
      </c>
      <c r="AZ24" s="117">
        <f>AZ23*3*AZ7</f>
        <v>72.567000000000007</v>
      </c>
      <c r="BA24" s="117">
        <f>BA23*3*BA7</f>
        <v>66</v>
      </c>
      <c r="BB24" s="117">
        <f>BB23*3*BB7</f>
        <v>73.243499999999997</v>
      </c>
      <c r="BC24" s="118">
        <f>AY24+AZ24+BA24+BB24</f>
        <v>298.03949999999998</v>
      </c>
      <c r="BE24" s="116">
        <f>BE23*3*BE7</f>
        <v>93.786000000000001</v>
      </c>
      <c r="BF24" s="117">
        <f>BF23*3*BF7</f>
        <v>80.244000000000014</v>
      </c>
      <c r="BG24" s="117">
        <f>BG23*3*BG7</f>
        <v>80.154000000000011</v>
      </c>
      <c r="BH24" s="117">
        <f>BH23*3*BH7</f>
        <v>93.471000000000004</v>
      </c>
      <c r="BI24" s="118">
        <f>BE24+BF24+BG24+BH24</f>
        <v>347.65500000000003</v>
      </c>
      <c r="BK24" s="116">
        <f>BK23*3*BK7</f>
        <v>93.555000000000007</v>
      </c>
      <c r="BL24" s="117">
        <f>BL23*3*BL7</f>
        <v>73.672499999999999</v>
      </c>
      <c r="BM24" s="117">
        <f>BM23*3*BM7</f>
        <v>73.92</v>
      </c>
      <c r="BN24" s="117">
        <f>BN23*3*BN7</f>
        <v>94.248000000000005</v>
      </c>
      <c r="BO24" s="118">
        <f>BK24+BL24+BM24+BN24</f>
        <v>335.39550000000003</v>
      </c>
      <c r="BQ24" s="116">
        <f>BQ23*3*BQ7</f>
        <v>80.784000000000006</v>
      </c>
      <c r="BR24" s="117">
        <f>BR23*3*BR7</f>
        <v>80.856000000000009</v>
      </c>
      <c r="BS24" s="117">
        <f>BS23*3*BS7</f>
        <v>80.982000000000014</v>
      </c>
      <c r="BT24" s="117">
        <f>BT23*3*BT7</f>
        <v>81.25200000000001</v>
      </c>
      <c r="BU24" s="118">
        <f>BQ24+BR24+BS24+BT24</f>
        <v>323.87400000000002</v>
      </c>
      <c r="BW24" s="116">
        <f>BW23*3*BW7</f>
        <v>84.918750000000017</v>
      </c>
      <c r="BX24" s="117">
        <f>BX23*3*BX7</f>
        <v>85.106250000000017</v>
      </c>
      <c r="BY24" s="117">
        <f>BY23*3*BY7</f>
        <v>85.293750000000017</v>
      </c>
      <c r="BZ24" s="117">
        <f>BZ23*3*BZ7</f>
        <v>85.575000000000017</v>
      </c>
      <c r="CA24" s="118">
        <f>BW24+BX24+BY24+BZ24</f>
        <v>340.89375000000007</v>
      </c>
      <c r="CC24" s="116">
        <f>CC23*3*CC7</f>
        <v>89.290499999999994</v>
      </c>
      <c r="CD24" s="117">
        <f>CD23*3*CD7</f>
        <v>89.485500000000002</v>
      </c>
      <c r="CE24" s="117">
        <f>CE23*3*CE7</f>
        <v>89.680499999999995</v>
      </c>
      <c r="CF24" s="117">
        <f>CF23*3*CF7</f>
        <v>89.972999999999999</v>
      </c>
      <c r="CG24" s="118">
        <f>CC24+CD24+CE24+CF24</f>
        <v>358.42950000000002</v>
      </c>
      <c r="CI24" s="116">
        <f>CI23*3*CI7</f>
        <v>90.265500000000003</v>
      </c>
      <c r="CJ24" s="117">
        <f>CJ23*3*CJ7</f>
        <v>90.460499999999996</v>
      </c>
      <c r="CK24" s="117">
        <f>CK23*3*CK7</f>
        <v>90.655500000000004</v>
      </c>
      <c r="CL24" s="117">
        <f>CL23*3*CL7</f>
        <v>90.947999999999993</v>
      </c>
      <c r="CM24" s="118">
        <f>CI24+CJ24+CK24+CL24</f>
        <v>362.3295</v>
      </c>
      <c r="CO24" s="116">
        <f>CO23*3*CO7</f>
        <v>91.240499999999997</v>
      </c>
      <c r="CP24" s="117">
        <f>CP23*3*CP7</f>
        <v>91.435500000000005</v>
      </c>
      <c r="CQ24" s="117">
        <f>CQ23*3*CQ7</f>
        <v>91.630499999999998</v>
      </c>
      <c r="CR24" s="117">
        <f>CR23*3*CR7</f>
        <v>91.923000000000002</v>
      </c>
      <c r="CS24" s="118">
        <f>CO24+CP24+CQ24+CR24</f>
        <v>366.22949999999997</v>
      </c>
      <c r="CU24" s="116">
        <f>CU23*3*CU7</f>
        <v>92.215500000000006</v>
      </c>
      <c r="CV24" s="117">
        <f>CV23*3*CV7</f>
        <v>92.410499999999999</v>
      </c>
      <c r="CW24" s="117">
        <f>CW23*3*CW7</f>
        <v>92.605500000000006</v>
      </c>
      <c r="CX24" s="117">
        <f>CX23*3*CX7</f>
        <v>92.897999999999996</v>
      </c>
      <c r="CY24" s="118">
        <f>CU24+CV24+CW24+CX24</f>
        <v>370.12950000000001</v>
      </c>
      <c r="DA24" s="116">
        <f>DA23*3*DA7</f>
        <v>93.1905</v>
      </c>
      <c r="DB24" s="117">
        <f>DB23*3*DB7</f>
        <v>93.385499999999993</v>
      </c>
      <c r="DC24" s="117">
        <f>DC23*3*DC7</f>
        <v>93.580500000000001</v>
      </c>
      <c r="DD24" s="117">
        <f>DD23*3*DD7</f>
        <v>93.873000000000005</v>
      </c>
      <c r="DE24" s="118">
        <f>DA24+DB24+DC24+DD24</f>
        <v>374.02949999999998</v>
      </c>
      <c r="DG24" s="116">
        <f>DG23*3*DG7</f>
        <v>94.165499999999994</v>
      </c>
      <c r="DH24" s="117">
        <f>DH23*3*DH7</f>
        <v>94.360500000000002</v>
      </c>
      <c r="DI24" s="117">
        <f>DI23*3*DI7</f>
        <v>94.555499999999995</v>
      </c>
      <c r="DJ24" s="117">
        <f>DJ23*3*DJ7</f>
        <v>94.847999999999999</v>
      </c>
      <c r="DK24" s="118">
        <f>DG24+DH24+DI24+DJ24</f>
        <v>377.92950000000002</v>
      </c>
    </row>
    <row r="25" spans="2:115" ht="15" x14ac:dyDescent="0.3">
      <c r="B25" s="40" t="s">
        <v>42</v>
      </c>
      <c r="C25" s="117">
        <f>C24+C5</f>
        <v>121.53999999999999</v>
      </c>
      <c r="D25" s="117">
        <f>D24+D5</f>
        <v>123.12299999999998</v>
      </c>
      <c r="E25" s="117">
        <f>E24+E5</f>
        <v>169.39350000000002</v>
      </c>
      <c r="F25" s="117">
        <f>F24+F5</f>
        <v>172.17599999999999</v>
      </c>
      <c r="G25" s="118">
        <f>C25+D25+E25+F25</f>
        <v>586.23249999999996</v>
      </c>
      <c r="I25" s="116">
        <f>I24+I5</f>
        <v>116.113</v>
      </c>
      <c r="J25" s="117">
        <f>J24+J5</f>
        <v>113.95750000000001</v>
      </c>
      <c r="K25" s="117">
        <f>K24+K5</f>
        <v>105.49850000000001</v>
      </c>
      <c r="L25" s="117">
        <f>L24+L5</f>
        <v>155.928</v>
      </c>
      <c r="M25" s="118">
        <f>I25+J25+K25+L25</f>
        <v>491.49700000000001</v>
      </c>
      <c r="O25" s="116">
        <f>O24+O5</f>
        <v>82.238</v>
      </c>
      <c r="P25" s="117">
        <f>P24+P5</f>
        <v>75.772000000000006</v>
      </c>
      <c r="Q25" s="117">
        <f>Q24+Q5</f>
        <v>82.039999999999992</v>
      </c>
      <c r="R25" s="117">
        <f>R24+R5</f>
        <v>180.23250000000002</v>
      </c>
      <c r="S25" s="118">
        <f>O25+P25+Q25+R25</f>
        <v>420.28250000000003</v>
      </c>
      <c r="T25" s="107"/>
      <c r="U25" s="116">
        <f>U24+U5</f>
        <v>151.92499999999998</v>
      </c>
      <c r="V25" s="117">
        <f>V24+V5</f>
        <v>92.381500000000003</v>
      </c>
      <c r="W25" s="117">
        <f>W24+W5</f>
        <v>81.742000000000004</v>
      </c>
      <c r="X25" s="117">
        <f>X24+X5</f>
        <v>97.950999999999993</v>
      </c>
      <c r="Y25" s="118">
        <f>U25+V25+W25+X25</f>
        <v>423.99950000000001</v>
      </c>
      <c r="AA25" s="116">
        <f>AA24+AA5</f>
        <v>66.576000000000008</v>
      </c>
      <c r="AB25" s="117">
        <f>AB24+AB5</f>
        <v>70.816000000000017</v>
      </c>
      <c r="AC25" s="117">
        <f>AC24+AC5</f>
        <v>67.007000000000005</v>
      </c>
      <c r="AD25" s="117">
        <f>AD24+AD5</f>
        <v>112.49</v>
      </c>
      <c r="AE25" s="118">
        <f>AA25+AB25+AC25+AD25</f>
        <v>316.88900000000001</v>
      </c>
      <c r="AG25" s="116">
        <f>AG24+AG5</f>
        <v>90.35499999999999</v>
      </c>
      <c r="AH25" s="117">
        <f>AH24+AH5</f>
        <v>96.466000000000008</v>
      </c>
      <c r="AI25" s="117">
        <f>AI24+AI5</f>
        <v>78.441000000000003</v>
      </c>
      <c r="AJ25" s="117">
        <f>AJ24+AJ5</f>
        <v>88.168000000000006</v>
      </c>
      <c r="AK25" s="118">
        <f>AG25+AH25+AI25+AJ25</f>
        <v>353.43</v>
      </c>
      <c r="AM25" s="116">
        <f>AM24+AM5</f>
        <v>74.600000000000009</v>
      </c>
      <c r="AN25" s="117">
        <f>AN24+AN5</f>
        <v>72.959000000000003</v>
      </c>
      <c r="AO25" s="117">
        <f>AO24+AO5</f>
        <v>71.64800000000001</v>
      </c>
      <c r="AP25" s="117">
        <f>AP24+AP5</f>
        <v>87.237499999999997</v>
      </c>
      <c r="AQ25" s="118">
        <f>AM25+AN25+AO25+AP25</f>
        <v>306.44450000000006</v>
      </c>
      <c r="AS25" s="116">
        <f>AS24+AS5</f>
        <v>83.120500000000007</v>
      </c>
      <c r="AT25" s="117">
        <f>AT24+AT5</f>
        <v>67.632999999999996</v>
      </c>
      <c r="AU25" s="117">
        <f>AU24+AU5</f>
        <v>71.37</v>
      </c>
      <c r="AV25" s="117">
        <f>AV24+AV5</f>
        <v>85.408000000000001</v>
      </c>
      <c r="AW25" s="118">
        <f>AS25+AT25+AU25+AV25</f>
        <v>307.53149999999999</v>
      </c>
      <c r="AY25" s="116">
        <f>AY24+AY5</f>
        <v>68.228999999999999</v>
      </c>
      <c r="AZ25" s="117">
        <f>AZ24+AZ5</f>
        <v>66.567000000000007</v>
      </c>
      <c r="BA25" s="117">
        <f>BA24+BA5</f>
        <v>74</v>
      </c>
      <c r="BB25" s="117">
        <f>BB24+BB5</f>
        <v>104.2435</v>
      </c>
      <c r="BC25" s="118">
        <f>AY25+AZ25+BA25+BB25</f>
        <v>313.03949999999998</v>
      </c>
      <c r="BE25" s="116">
        <f>BE24+BE5</f>
        <v>89.786000000000001</v>
      </c>
      <c r="BF25" s="117">
        <f>BF24+BF5</f>
        <v>76.244000000000014</v>
      </c>
      <c r="BG25" s="117">
        <f>BG24+BG5</f>
        <v>79.154000000000011</v>
      </c>
      <c r="BH25" s="117">
        <f>BH24+BH5</f>
        <v>92.471000000000004</v>
      </c>
      <c r="BI25" s="118">
        <f>BE25+BF25+BG25+BH25</f>
        <v>337.65500000000003</v>
      </c>
      <c r="BK25" s="116">
        <f>BK24+BK5</f>
        <v>98.555000000000007</v>
      </c>
      <c r="BL25" s="117">
        <f>BL24+BL5</f>
        <v>78.672499999999999</v>
      </c>
      <c r="BM25" s="117">
        <f>BM24+BM5</f>
        <v>83.92</v>
      </c>
      <c r="BN25" s="117">
        <f>BN24+BN5</f>
        <v>92.248000000000005</v>
      </c>
      <c r="BO25" s="118">
        <f>BK25+BL25+BM25+BN25</f>
        <v>353.39550000000003</v>
      </c>
      <c r="BQ25" s="116">
        <f>BQ24+BQ5</f>
        <v>82.784000000000006</v>
      </c>
      <c r="BR25" s="117">
        <f>BR24+BR5</f>
        <v>82.856000000000009</v>
      </c>
      <c r="BS25" s="117">
        <f>BS24+BS5</f>
        <v>85.982000000000014</v>
      </c>
      <c r="BT25" s="117">
        <f>BT24+BT5</f>
        <v>91.25200000000001</v>
      </c>
      <c r="BU25" s="118">
        <f>BQ25+BR25+BS25+BT25</f>
        <v>342.87400000000002</v>
      </c>
      <c r="BW25" s="116">
        <f>BW24+BW5</f>
        <v>89.918750000000017</v>
      </c>
      <c r="BX25" s="117">
        <f>BX24+BX5</f>
        <v>90.106250000000017</v>
      </c>
      <c r="BY25" s="117">
        <f>BY24+BY5</f>
        <v>90.293750000000017</v>
      </c>
      <c r="BZ25" s="117">
        <f>BZ24+BZ5</f>
        <v>95.575000000000017</v>
      </c>
      <c r="CA25" s="118">
        <f>BW25+BX25+BY25+BZ25</f>
        <v>365.89375000000007</v>
      </c>
      <c r="CC25" s="116">
        <f>CC24+CC5</f>
        <v>94.290499999999994</v>
      </c>
      <c r="CD25" s="117">
        <f>CD24+CD5</f>
        <v>94.485500000000002</v>
      </c>
      <c r="CE25" s="117">
        <f>CE24+CE5</f>
        <v>94.680499999999995</v>
      </c>
      <c r="CF25" s="117">
        <f>CF24+CF5</f>
        <v>99.972999999999999</v>
      </c>
      <c r="CG25" s="118">
        <f>CC25+CD25+CE25+CF25</f>
        <v>383.42950000000002</v>
      </c>
      <c r="CI25" s="116">
        <f>CI24+CI5</f>
        <v>95.265500000000003</v>
      </c>
      <c r="CJ25" s="117">
        <f>CJ24+CJ5</f>
        <v>95.460499999999996</v>
      </c>
      <c r="CK25" s="117">
        <f>CK24+CK5</f>
        <v>95.655500000000004</v>
      </c>
      <c r="CL25" s="117">
        <f>CL24+CL5</f>
        <v>100.94799999999999</v>
      </c>
      <c r="CM25" s="118">
        <f>CI25+CJ25+CK25+CL25</f>
        <v>387.3295</v>
      </c>
      <c r="CO25" s="116">
        <f>CO24+CO5</f>
        <v>96.240499999999997</v>
      </c>
      <c r="CP25" s="117">
        <f>CP24+CP5</f>
        <v>96.435500000000005</v>
      </c>
      <c r="CQ25" s="117">
        <f>CQ24+CQ5</f>
        <v>96.630499999999998</v>
      </c>
      <c r="CR25" s="117">
        <f>CR24+CR5</f>
        <v>101.923</v>
      </c>
      <c r="CS25" s="118">
        <f>CO25+CP25+CQ25+CR25</f>
        <v>391.22949999999997</v>
      </c>
      <c r="CU25" s="116">
        <f>CU24+CU5</f>
        <v>97.215500000000006</v>
      </c>
      <c r="CV25" s="117">
        <f>CV24+CV5</f>
        <v>97.410499999999999</v>
      </c>
      <c r="CW25" s="117">
        <f>CW24+CW5</f>
        <v>97.605500000000006</v>
      </c>
      <c r="CX25" s="117">
        <f>CX24+CX5</f>
        <v>102.898</v>
      </c>
      <c r="CY25" s="118">
        <f>CU25+CV25+CW25+CX25</f>
        <v>395.12950000000001</v>
      </c>
      <c r="DA25" s="116">
        <f>DA24+DA5</f>
        <v>98.1905</v>
      </c>
      <c r="DB25" s="117">
        <f>DB24+DB5</f>
        <v>98.385499999999993</v>
      </c>
      <c r="DC25" s="117">
        <f>DC24+DC5</f>
        <v>98.580500000000001</v>
      </c>
      <c r="DD25" s="117">
        <f>DD24+DD5</f>
        <v>103.873</v>
      </c>
      <c r="DE25" s="118">
        <f>DA25+DB25+DC25+DD25</f>
        <v>399.02949999999998</v>
      </c>
      <c r="DG25" s="116">
        <f>DG24+DG5</f>
        <v>99.165499999999994</v>
      </c>
      <c r="DH25" s="117">
        <f>DH24+DH5</f>
        <v>99.360500000000002</v>
      </c>
      <c r="DI25" s="117">
        <f>DI24+DI5</f>
        <v>99.555499999999995</v>
      </c>
      <c r="DJ25" s="117">
        <f>DJ24+DJ5</f>
        <v>104.848</v>
      </c>
      <c r="DK25" s="118">
        <f>DG25+DH25+DI25+DJ25</f>
        <v>402.92950000000002</v>
      </c>
    </row>
    <row r="26" spans="2:115" s="135" customFormat="1" ht="15" x14ac:dyDescent="0.3">
      <c r="B26" s="39" t="s">
        <v>43</v>
      </c>
      <c r="C26" s="188">
        <f>C29*1000/C25</f>
        <v>49.366463715649175</v>
      </c>
      <c r="D26" s="189">
        <f>D29*1000/D25</f>
        <v>73.097634073243839</v>
      </c>
      <c r="E26" s="189">
        <f>E29*1000/E25</f>
        <v>53.130728156629381</v>
      </c>
      <c r="F26" s="189">
        <f>F29*1000/F25</f>
        <v>58.080104079546516</v>
      </c>
      <c r="G26" s="192">
        <f>G29*1000/G25</f>
        <v>57.997466875343832</v>
      </c>
      <c r="H26" s="134"/>
      <c r="I26" s="188">
        <f>I29*1000/I25</f>
        <v>68.898400695873846</v>
      </c>
      <c r="J26" s="189">
        <f>J29*1000/J25</f>
        <v>78.976811530614469</v>
      </c>
      <c r="K26" s="189">
        <f>K29*1000/K25</f>
        <v>85.309269800044547</v>
      </c>
      <c r="L26" s="189">
        <f>L29*1000/L25</f>
        <v>51.305730850135959</v>
      </c>
      <c r="M26" s="192">
        <f>M29*1000/M25</f>
        <v>69.176414098153188</v>
      </c>
      <c r="N26" s="134"/>
      <c r="O26" s="188">
        <f>O29*1000/O25</f>
        <v>121.59828789610643</v>
      </c>
      <c r="P26" s="189">
        <f>P29*1000/P25</f>
        <v>118.77738478593675</v>
      </c>
      <c r="Q26" s="189">
        <f>Q29*1000/Q25</f>
        <v>109.70258410531449</v>
      </c>
      <c r="R26" s="189">
        <f>R29*1000/R25</f>
        <v>61.032277752347653</v>
      </c>
      <c r="S26" s="192">
        <f>S29*1000/S25</f>
        <v>92.794727356004586</v>
      </c>
      <c r="T26" s="134"/>
      <c r="U26" s="188">
        <f>U29*1000/U25</f>
        <v>72.404146782952125</v>
      </c>
      <c r="V26" s="189">
        <f>V29*1000/V25</f>
        <v>86.59742480907974</v>
      </c>
      <c r="W26" s="189">
        <f>W29*1000/W25</f>
        <v>110.10251767757089</v>
      </c>
      <c r="X26" s="189">
        <f>X29*1000/X25</f>
        <v>112.30104848342539</v>
      </c>
      <c r="Y26" s="192">
        <f>Y29*1000/Y25</f>
        <v>91.981240543915732</v>
      </c>
      <c r="AA26" s="188">
        <f>AA29*1000/AA25</f>
        <v>120.16342225426578</v>
      </c>
      <c r="AB26" s="189">
        <f>AB29*1000/AB25</f>
        <v>127.08992318120195</v>
      </c>
      <c r="AC26" s="189">
        <f>AC29*1000/AC25</f>
        <v>149.23813929887922</v>
      </c>
      <c r="AD26" s="189">
        <f>AD29*1000/AD25</f>
        <v>124.45550715619167</v>
      </c>
      <c r="AE26" s="192">
        <f>AE29*1000/AE25</f>
        <v>129.38284383490748</v>
      </c>
      <c r="AG26" s="188">
        <f>AG29*1000/AG25</f>
        <v>99.607105306845227</v>
      </c>
      <c r="AH26" s="189">
        <f>AH29*1000/AH25</f>
        <v>114.02981361308646</v>
      </c>
      <c r="AI26" s="189">
        <f>AI29*1000/AI25</f>
        <v>140.23278642546626</v>
      </c>
      <c r="AJ26" s="189">
        <f>AJ29*1000/AJ25</f>
        <v>226.83966972144086</v>
      </c>
      <c r="AK26" s="192">
        <f>AK29*1000/AK25</f>
        <v>144.3001443001443</v>
      </c>
      <c r="AM26" s="188">
        <f>AM29*1000/AM25</f>
        <v>134.04825737265415</v>
      </c>
      <c r="AN26" s="189">
        <f>AN29*1000/AN25</f>
        <v>219.30125138776572</v>
      </c>
      <c r="AO26" s="189">
        <f>AO29*1000/AO25</f>
        <v>181.44260830728001</v>
      </c>
      <c r="AP26" s="189">
        <f>AP29*1000/AP25</f>
        <v>263.64808711849838</v>
      </c>
      <c r="AQ26" s="192">
        <f>AQ29*1000/AQ25</f>
        <v>202.32048543863567</v>
      </c>
      <c r="AS26" s="188">
        <f>AS29*1000/AS25</f>
        <v>144.36871770501861</v>
      </c>
      <c r="AT26" s="189">
        <f>AT29*1000/AT25</f>
        <v>133.07113391391778</v>
      </c>
      <c r="AU26" s="189">
        <f>AU29*1000/AU25</f>
        <v>140.11489421325487</v>
      </c>
      <c r="AV26" s="189">
        <f>AV29*1000/AV25</f>
        <v>128.79355563881603</v>
      </c>
      <c r="AW26" s="192">
        <f>AW29*1000/AW25</f>
        <v>136.5713756151809</v>
      </c>
      <c r="AY26" s="188">
        <f>AY29*1000/AY25</f>
        <v>161.22176786996732</v>
      </c>
      <c r="AZ26" s="189">
        <f>AZ29*1000/AZ25</f>
        <v>135.20212718013428</v>
      </c>
      <c r="BA26" s="189">
        <f>BA29*1000/BA25</f>
        <v>108.10810810810811</v>
      </c>
      <c r="BB26" s="189">
        <f>BB29*1000/BB25</f>
        <v>95.929242590665126</v>
      </c>
      <c r="BC26" s="192">
        <f>BC29*1000/BC25</f>
        <v>121.39043155895662</v>
      </c>
      <c r="BE26" s="188">
        <f>BE29*1000/BE25</f>
        <v>100.23834450805248</v>
      </c>
      <c r="BF26" s="189">
        <f>BF29*1000/BF25</f>
        <v>131.15786160222441</v>
      </c>
      <c r="BG26" s="189">
        <f>BG29*1000/BG25</f>
        <v>138.96960355762184</v>
      </c>
      <c r="BH26" s="189">
        <f>BH29*1000/BH25</f>
        <v>118.95621329930464</v>
      </c>
      <c r="BI26" s="192">
        <f>BI29*1000/BI25</f>
        <v>121.42571559728124</v>
      </c>
      <c r="BK26" s="188">
        <f>BK29*1000/BK25</f>
        <v>101.4661863933844</v>
      </c>
      <c r="BL26" s="189">
        <f>BL29*1000/BL25</f>
        <v>127.10921859607868</v>
      </c>
      <c r="BM26" s="189">
        <f>BM29*1000/BM25</f>
        <v>95.328884652049567</v>
      </c>
      <c r="BN26" s="189">
        <f>BN29*1000/BN25</f>
        <v>86.722747376636889</v>
      </c>
      <c r="BO26" s="192">
        <f>BO29*1000/BO25</f>
        <v>101.86886929799614</v>
      </c>
      <c r="BQ26" s="188">
        <f>BK26*(1+BQ27)</f>
        <v>101.4661863933844</v>
      </c>
      <c r="BR26" s="189">
        <f>BL26*(1+BR27)</f>
        <v>114.39829673647081</v>
      </c>
      <c r="BS26" s="189">
        <f>BM26*(1+BS27)</f>
        <v>90.562440419447086</v>
      </c>
      <c r="BT26" s="189">
        <f>BN26*(1+BT27)</f>
        <v>86.722747376636889</v>
      </c>
      <c r="BU26" s="192">
        <f>BU29*1000/BU25</f>
        <v>97.933135625753849</v>
      </c>
      <c r="BW26" s="188">
        <f>BQ26*(1+BW27)</f>
        <v>96.392877073715184</v>
      </c>
      <c r="BX26" s="189">
        <f>BR26*(1+BX27)</f>
        <v>108.67838189964726</v>
      </c>
      <c r="BY26" s="189">
        <f>BS26*(1+BY27)</f>
        <v>89.204003813155381</v>
      </c>
      <c r="BZ26" s="189">
        <f>BT26*(1+BZ27)</f>
        <v>85.421906165987338</v>
      </c>
      <c r="CA26" s="192">
        <f>CA29*1000/CA25</f>
        <v>94.778583032739846</v>
      </c>
      <c r="CC26" s="188">
        <f>BW26*(1+CC27)</f>
        <v>94.946983917609458</v>
      </c>
      <c r="CD26" s="189">
        <f>BX26*(1+CD27)</f>
        <v>107.04820617115256</v>
      </c>
      <c r="CE26" s="189">
        <f>BY26*(1+CE27)</f>
        <v>87.865943755958043</v>
      </c>
      <c r="CF26" s="189">
        <f>BZ26*(1+CF27)</f>
        <v>84.140577573497524</v>
      </c>
      <c r="CG26" s="192">
        <f>CG29*1000/CG25</f>
        <v>93.362871977271013</v>
      </c>
      <c r="CI26" s="188">
        <f>CC26*(1+CI27)</f>
        <v>96.371188676373592</v>
      </c>
      <c r="CJ26" s="189">
        <f>CD26*(1+CJ27)</f>
        <v>108.65392926371983</v>
      </c>
      <c r="CK26" s="189">
        <f>CE26*(1+CK27)</f>
        <v>89.183932912297408</v>
      </c>
      <c r="CL26" s="189">
        <f>CF26*(1+CL27)</f>
        <v>85.402686237099985</v>
      </c>
      <c r="CM26" s="192">
        <f>CM29*1000/CM25</f>
        <v>94.764720875335939</v>
      </c>
      <c r="CO26" s="188">
        <f>CI26*(1+CO27)</f>
        <v>97.816756506519184</v>
      </c>
      <c r="CP26" s="189">
        <f>CJ26*(1+CP27)</f>
        <v>110.28373820267562</v>
      </c>
      <c r="CQ26" s="189">
        <f>CK26*(1+CQ27)</f>
        <v>90.521691905981854</v>
      </c>
      <c r="CR26" s="189">
        <f>CL26*(1+CR27)</f>
        <v>86.683726530656472</v>
      </c>
      <c r="CS26" s="192">
        <f>CS29*1000/CS25</f>
        <v>96.187590145719767</v>
      </c>
      <c r="CU26" s="188">
        <f>CO26*(1+CU27)</f>
        <v>99.284007854116965</v>
      </c>
      <c r="CV26" s="189">
        <f>CP26*(1+CV27)</f>
        <v>111.93799427571575</v>
      </c>
      <c r="CW26" s="189">
        <f>CQ26*(1+CW27)</f>
        <v>91.879517284571577</v>
      </c>
      <c r="CX26" s="189">
        <f>CR26*(1+CX27)</f>
        <v>87.983982428616315</v>
      </c>
      <c r="CY26" s="192">
        <f>CY29*1000/CY25</f>
        <v>97.631795411872631</v>
      </c>
      <c r="DA26" s="188">
        <f>CU26*(1+DA27)</f>
        <v>100.7732679719287</v>
      </c>
      <c r="DB26" s="189">
        <f>CV26*(1+DB27)</f>
        <v>113.61706418985148</v>
      </c>
      <c r="DC26" s="189">
        <f>CW26*(1+DC27)</f>
        <v>93.257710043840135</v>
      </c>
      <c r="DD26" s="189">
        <f>CX26*(1+DD27)</f>
        <v>89.303742165045549</v>
      </c>
      <c r="DE26" s="192">
        <f>DE29*1000/DE25</f>
        <v>99.097657021686018</v>
      </c>
      <c r="DG26" s="188">
        <f>DA26*(1+DG27)</f>
        <v>102.28486699150763</v>
      </c>
      <c r="DH26" s="189">
        <f>DB26*(1+DH27)</f>
        <v>115.32132015269924</v>
      </c>
      <c r="DI26" s="189">
        <f>DC26*(1+DI27)</f>
        <v>94.656575694497732</v>
      </c>
      <c r="DJ26" s="189">
        <f>DD26*(1+DJ27)</f>
        <v>90.643298297521227</v>
      </c>
      <c r="DK26" s="192">
        <f>DK29*1000/DK25</f>
        <v>100.58550011883143</v>
      </c>
    </row>
    <row r="27" spans="2:115" ht="15.75" thickBot="1" x14ac:dyDescent="0.35">
      <c r="B27" s="41" t="s">
        <v>23</v>
      </c>
      <c r="C27" s="155" t="s">
        <v>35</v>
      </c>
      <c r="D27" s="106" t="s">
        <v>35</v>
      </c>
      <c r="E27" s="106" t="s">
        <v>35</v>
      </c>
      <c r="F27" s="106" t="s">
        <v>35</v>
      </c>
      <c r="G27" s="108" t="s">
        <v>35</v>
      </c>
      <c r="I27" s="109">
        <f>I26/C26-1</f>
        <v>0.39565193676275112</v>
      </c>
      <c r="J27" s="110">
        <f>J26/D26-1</f>
        <v>8.0429107342649298E-2</v>
      </c>
      <c r="K27" s="110">
        <f>K26/E26-1</f>
        <v>0.60564842154153853</v>
      </c>
      <c r="L27" s="110">
        <f>L26/F26-1</f>
        <v>-0.11663844851469918</v>
      </c>
      <c r="M27" s="122">
        <f>M26/G26-1</f>
        <v>0.19274888758222319</v>
      </c>
      <c r="O27" s="109">
        <f>O26/I26-1</f>
        <v>0.76489275031007575</v>
      </c>
      <c r="P27" s="110">
        <f>P26/J26-1</f>
        <v>0.50395264741593215</v>
      </c>
      <c r="Q27" s="110">
        <f>Q26/K26-1</f>
        <v>0.28593978547050236</v>
      </c>
      <c r="R27" s="110">
        <f>R26/L26-1</f>
        <v>0.18958012567100813</v>
      </c>
      <c r="S27" s="122">
        <f>S26/M26-1</f>
        <v>0.34142147386159372</v>
      </c>
      <c r="U27" s="109">
        <f>U26/O26-1</f>
        <v>-0.40456277768635829</v>
      </c>
      <c r="V27" s="110">
        <f>V26/P26-1</f>
        <v>-0.27092665859626774</v>
      </c>
      <c r="W27" s="110">
        <f>W26/Q26-1</f>
        <v>3.6456166964349279E-3</v>
      </c>
      <c r="X27" s="110">
        <f>X26/R26-1</f>
        <v>0.84002715643536097</v>
      </c>
      <c r="Y27" s="122">
        <f>Y26/S26-1</f>
        <v>-8.7665197718392873E-3</v>
      </c>
      <c r="AA27" s="109">
        <f>AA26/U26-1</f>
        <v>0.65962072054357512</v>
      </c>
      <c r="AB27" s="110">
        <f>AB26/V26-1</f>
        <v>0.46759471729552593</v>
      </c>
      <c r="AC27" s="110">
        <f>AC26/W26-1</f>
        <v>0.35544710917433187</v>
      </c>
      <c r="AD27" s="110">
        <f>AD26/X26-1</f>
        <v>0.10823103467782991</v>
      </c>
      <c r="AE27" s="122">
        <f>AE26/Y26-1</f>
        <v>0.40662207934817585</v>
      </c>
      <c r="AG27" s="109">
        <f>AG26/AA26-1</f>
        <v>-0.17106966963643389</v>
      </c>
      <c r="AH27" s="110">
        <f>AH26/AB26-1</f>
        <v>-0.10276274657507412</v>
      </c>
      <c r="AI27" s="110">
        <f>AI26/AC26-1</f>
        <v>-6.034216799887826E-2</v>
      </c>
      <c r="AJ27" s="110">
        <f>AJ26/AD26-1</f>
        <v>0.82265674621177709</v>
      </c>
      <c r="AK27" s="122">
        <f>AK26/AE26-1</f>
        <v>0.11529581529581545</v>
      </c>
      <c r="AM27" s="109">
        <f>AM26/AG26-1</f>
        <v>0.34577003276735163</v>
      </c>
      <c r="AN27" s="110">
        <f>AN26/AH26-1</f>
        <v>0.92319222876111007</v>
      </c>
      <c r="AO27" s="110">
        <f>AO26/AI26-1</f>
        <v>0.29386723983921392</v>
      </c>
      <c r="AP27" s="110">
        <f>AP26/AJ26-1</f>
        <v>0.16226622725318851</v>
      </c>
      <c r="AQ27" s="122">
        <f>AQ26/AK26-1</f>
        <v>0.40208096408974514</v>
      </c>
      <c r="AS27" s="109">
        <f>AS26/AM26-1</f>
        <v>7.6990634079438847E-2</v>
      </c>
      <c r="AT27" s="110">
        <f>AT26/AN26-1</f>
        <v>-0.39320394629840449</v>
      </c>
      <c r="AU27" s="110">
        <f>AU26/AO26-1</f>
        <v>-0.22777292764682411</v>
      </c>
      <c r="AV27" s="110">
        <f>AV26/AP26-1</f>
        <v>-0.51149444304168634</v>
      </c>
      <c r="AW27" s="122">
        <f>AW26/AQ26-1</f>
        <v>-0.32497504976280145</v>
      </c>
      <c r="AY27" s="109">
        <f>AY26/AS26-1</f>
        <v>0.11673616301963485</v>
      </c>
      <c r="AZ27" s="110">
        <f>AZ26/AT26-1</f>
        <v>1.6013940841557828E-2</v>
      </c>
      <c r="BA27" s="110">
        <f>BA26/AU26-1</f>
        <v>-0.22843243243243239</v>
      </c>
      <c r="BB27" s="110">
        <f>BB26/AV26-1</f>
        <v>-0.25517047716513386</v>
      </c>
      <c r="BC27" s="122">
        <f>BC26/AW26-1</f>
        <v>-0.11115758326254133</v>
      </c>
      <c r="BE27" s="109">
        <f>BE26/AY26-1</f>
        <v>-0.37825799932364434</v>
      </c>
      <c r="BF27" s="110">
        <f>BF26/AZ26-1</f>
        <v>-2.9912736302747378E-2</v>
      </c>
      <c r="BG27" s="110">
        <f>BG26/BA26-1</f>
        <v>0.28546883290800196</v>
      </c>
      <c r="BH27" s="110">
        <f>BH26/BB26-1</f>
        <v>0.24004120210660629</v>
      </c>
      <c r="BI27" s="122">
        <f>BI26/BC26-1</f>
        <v>2.9066572934532964E-4</v>
      </c>
      <c r="BK27" s="109">
        <f>BK26/BE26-1</f>
        <v>1.2249223501823669E-2</v>
      </c>
      <c r="BL27" s="110">
        <f>BL26/BF26-1</f>
        <v>-3.0868473736057611E-2</v>
      </c>
      <c r="BM27" s="110">
        <f>BM26/BG26-1</f>
        <v>-0.31403067856833344</v>
      </c>
      <c r="BN27" s="110">
        <f>BN26/BH26-1</f>
        <v>-0.27096916612136446</v>
      </c>
      <c r="BO27" s="122">
        <f>BO26/BI26-1</f>
        <v>-0.16106016919963684</v>
      </c>
      <c r="BQ27" s="109">
        <v>0</v>
      </c>
      <c r="BR27" s="110">
        <v>-0.1</v>
      </c>
      <c r="BS27" s="110">
        <v>-0.05</v>
      </c>
      <c r="BT27" s="110">
        <v>0</v>
      </c>
      <c r="BU27" s="122">
        <f>BU26/BO26-1</f>
        <v>-3.8635293582469532E-2</v>
      </c>
      <c r="BW27" s="109">
        <v>-0.05</v>
      </c>
      <c r="BX27" s="110">
        <v>-0.05</v>
      </c>
      <c r="BY27" s="110">
        <v>-1.4999999999999999E-2</v>
      </c>
      <c r="BZ27" s="110">
        <v>-1.4999999999999999E-2</v>
      </c>
      <c r="CA27" s="122">
        <f>CA26/BU26-1</f>
        <v>-3.2211289599354376E-2</v>
      </c>
      <c r="CC27" s="109">
        <v>-1.4999999999999999E-2</v>
      </c>
      <c r="CD27" s="110">
        <v>-1.4999999999999999E-2</v>
      </c>
      <c r="CE27" s="110">
        <v>-1.4999999999999999E-2</v>
      </c>
      <c r="CF27" s="110">
        <v>-1.4999999999999999E-2</v>
      </c>
      <c r="CG27" s="122">
        <f>CG26/CA26-1</f>
        <v>-1.4937035458525427E-2</v>
      </c>
      <c r="CI27" s="109">
        <v>1.4999999999999999E-2</v>
      </c>
      <c r="CJ27" s="110">
        <v>1.4999999999999999E-2</v>
      </c>
      <c r="CK27" s="110">
        <v>1.4999999999999999E-2</v>
      </c>
      <c r="CL27" s="110">
        <v>1.4999999999999999E-2</v>
      </c>
      <c r="CM27" s="122">
        <f>CM26/CG26-1</f>
        <v>1.5015057574559121E-2</v>
      </c>
      <c r="CO27" s="109">
        <v>1.4999999999999999E-2</v>
      </c>
      <c r="CP27" s="110">
        <v>1.4999999999999999E-2</v>
      </c>
      <c r="CQ27" s="110">
        <v>1.4999999999999999E-2</v>
      </c>
      <c r="CR27" s="110">
        <v>1.4999999999999999E-2</v>
      </c>
      <c r="CS27" s="122">
        <f>CS26/CM26-1</f>
        <v>1.5014757150560554E-2</v>
      </c>
      <c r="CU27" s="109">
        <v>1.4999999999999999E-2</v>
      </c>
      <c r="CV27" s="110">
        <v>1.4999999999999999E-2</v>
      </c>
      <c r="CW27" s="110">
        <v>1.4999999999999999E-2</v>
      </c>
      <c r="CX27" s="110">
        <v>1.4999999999999999E-2</v>
      </c>
      <c r="CY27" s="122">
        <f>CY26/CS26-1</f>
        <v>1.5014465628725659E-2</v>
      </c>
      <c r="DA27" s="109">
        <v>1.4999999999999999E-2</v>
      </c>
      <c r="DB27" s="110">
        <v>1.4999999999999999E-2</v>
      </c>
      <c r="DC27" s="110">
        <v>1.4999999999999999E-2</v>
      </c>
      <c r="DD27" s="110">
        <v>1.4999999999999999E-2</v>
      </c>
      <c r="DE27" s="122">
        <f>DE26/CY26-1</f>
        <v>1.5014182660776143E-2</v>
      </c>
      <c r="DG27" s="109">
        <v>1.4999999999999999E-2</v>
      </c>
      <c r="DH27" s="110">
        <v>1.4999999999999999E-2</v>
      </c>
      <c r="DI27" s="110">
        <v>1.4999999999999999E-2</v>
      </c>
      <c r="DJ27" s="110">
        <v>1.4999999999999999E-2</v>
      </c>
      <c r="DK27" s="122">
        <f>DK26/DE26-1</f>
        <v>1.5013907915298441E-2</v>
      </c>
    </row>
    <row r="28" spans="2:115" ht="15.75" thickBot="1" x14ac:dyDescent="0.35">
      <c r="B28" s="1"/>
      <c r="AA28" s="103"/>
      <c r="AB28" s="103"/>
      <c r="AC28" s="103"/>
      <c r="AD28" s="103"/>
      <c r="AE28" s="103"/>
      <c r="AG28" s="103"/>
      <c r="AH28" s="103"/>
      <c r="AI28" s="103"/>
      <c r="AJ28" s="103"/>
      <c r="AK28" s="103"/>
      <c r="AM28" s="103"/>
      <c r="AN28" s="103"/>
      <c r="AO28" s="103"/>
      <c r="AP28" s="103"/>
      <c r="AQ28" s="103"/>
      <c r="AS28" s="103"/>
      <c r="AT28" s="103"/>
      <c r="AU28" s="103"/>
      <c r="AV28" s="103"/>
      <c r="AW28" s="103"/>
      <c r="AY28" s="103"/>
      <c r="AZ28" s="103"/>
      <c r="BA28" s="103"/>
      <c r="BB28" s="103"/>
      <c r="BC28" s="103"/>
      <c r="BE28" s="103"/>
      <c r="BF28" s="103"/>
      <c r="BG28" s="103"/>
      <c r="BH28" s="103"/>
      <c r="BI28" s="103"/>
      <c r="BK28" s="103"/>
      <c r="BL28" s="103"/>
      <c r="BM28" s="103"/>
      <c r="BN28" s="103"/>
      <c r="BO28" s="103"/>
      <c r="BQ28" s="103"/>
      <c r="BR28" s="103"/>
      <c r="BS28" s="103"/>
      <c r="BT28" s="103"/>
      <c r="BU28" s="103"/>
      <c r="BW28" s="103"/>
      <c r="BX28" s="103"/>
      <c r="BY28" s="103"/>
      <c r="BZ28" s="103"/>
      <c r="CA28" s="103"/>
      <c r="CC28" s="103"/>
      <c r="CD28" s="103"/>
      <c r="CE28" s="103"/>
      <c r="CF28" s="103"/>
      <c r="CG28" s="103"/>
      <c r="CI28" s="103"/>
      <c r="CJ28" s="103"/>
      <c r="CK28" s="103"/>
      <c r="CL28" s="103"/>
      <c r="CM28" s="103"/>
      <c r="CO28" s="103"/>
      <c r="CP28" s="103"/>
      <c r="CQ28" s="103"/>
      <c r="CR28" s="103"/>
      <c r="CS28" s="103"/>
      <c r="CU28" s="103"/>
      <c r="CV28" s="103"/>
      <c r="CW28" s="103"/>
      <c r="CX28" s="103"/>
      <c r="CY28" s="103"/>
      <c r="DA28" s="103"/>
      <c r="DB28" s="103"/>
      <c r="DC28" s="103"/>
      <c r="DD28" s="103"/>
      <c r="DE28" s="103"/>
      <c r="DG28" s="103"/>
      <c r="DH28" s="103"/>
      <c r="DI28" s="103"/>
      <c r="DJ28" s="103"/>
      <c r="DK28" s="103"/>
    </row>
    <row r="29" spans="2:115" s="135" customFormat="1" ht="15" x14ac:dyDescent="0.3">
      <c r="B29" s="139" t="s">
        <v>105</v>
      </c>
      <c r="C29" s="181">
        <f>C32-C20</f>
        <v>6</v>
      </c>
      <c r="D29" s="182">
        <f>D32-D20</f>
        <v>9</v>
      </c>
      <c r="E29" s="182">
        <f>E32-E20</f>
        <v>9</v>
      </c>
      <c r="F29" s="182">
        <f>F32-F20</f>
        <v>10</v>
      </c>
      <c r="G29" s="184">
        <f>C29+D29+E29+F29</f>
        <v>34</v>
      </c>
      <c r="H29" s="134"/>
      <c r="I29" s="181">
        <f>I32-I20</f>
        <v>8</v>
      </c>
      <c r="J29" s="182">
        <f>J32-J20</f>
        <v>9</v>
      </c>
      <c r="K29" s="182">
        <f>K32-K20</f>
        <v>9</v>
      </c>
      <c r="L29" s="182">
        <f>L32-L20</f>
        <v>8</v>
      </c>
      <c r="M29" s="184">
        <f>I29+J29+K29+L29</f>
        <v>34</v>
      </c>
      <c r="N29" s="134"/>
      <c r="O29" s="181">
        <f>O32-O20</f>
        <v>10</v>
      </c>
      <c r="P29" s="182">
        <f>P32-P20</f>
        <v>9</v>
      </c>
      <c r="Q29" s="182">
        <f>Q32-Q20</f>
        <v>9</v>
      </c>
      <c r="R29" s="182">
        <f>R32-R20</f>
        <v>11</v>
      </c>
      <c r="S29" s="184">
        <f>O29+P29+Q29+R29</f>
        <v>39</v>
      </c>
      <c r="T29" s="134"/>
      <c r="U29" s="181">
        <f>U32-U20</f>
        <v>11</v>
      </c>
      <c r="V29" s="182">
        <f>V32-V20</f>
        <v>8</v>
      </c>
      <c r="W29" s="182">
        <f>W32-W20</f>
        <v>9</v>
      </c>
      <c r="X29" s="182">
        <f>X32-X20</f>
        <v>11</v>
      </c>
      <c r="Y29" s="184">
        <f>U29+V29+W29+X29</f>
        <v>39</v>
      </c>
      <c r="AA29" s="181">
        <f>AA32-AA20</f>
        <v>8</v>
      </c>
      <c r="AB29" s="182">
        <f>AB32-AB20</f>
        <v>9</v>
      </c>
      <c r="AC29" s="182">
        <f>AC32-AC20</f>
        <v>10</v>
      </c>
      <c r="AD29" s="182">
        <f>AD32-AD20</f>
        <v>14</v>
      </c>
      <c r="AE29" s="184">
        <f>AA29+AB29+AC29+AD29</f>
        <v>41</v>
      </c>
      <c r="AG29" s="181">
        <f>AG32-AG20</f>
        <v>9</v>
      </c>
      <c r="AH29" s="182">
        <f>AH32-AH20</f>
        <v>11</v>
      </c>
      <c r="AI29" s="182">
        <f>AI32-AI20</f>
        <v>11</v>
      </c>
      <c r="AJ29" s="182">
        <f>AJ32-AJ20</f>
        <v>20</v>
      </c>
      <c r="AK29" s="184">
        <f>AG29+AH29+AI29+AJ29</f>
        <v>51</v>
      </c>
      <c r="AM29" s="181">
        <f>AM32-AM20</f>
        <v>10</v>
      </c>
      <c r="AN29" s="182">
        <f>AN32-AN20</f>
        <v>16</v>
      </c>
      <c r="AO29" s="182">
        <f>AO32-AO20</f>
        <v>13</v>
      </c>
      <c r="AP29" s="182">
        <f>AP32-AP20</f>
        <v>23</v>
      </c>
      <c r="AQ29" s="184">
        <f>AM29+AN29+AO29+AP29</f>
        <v>62</v>
      </c>
      <c r="AS29" s="181">
        <f>AS32-AS20</f>
        <v>12</v>
      </c>
      <c r="AT29" s="182">
        <f>AT32-AT20</f>
        <v>9</v>
      </c>
      <c r="AU29" s="182">
        <f>AU32-AU20</f>
        <v>10</v>
      </c>
      <c r="AV29" s="182">
        <f>AV32-AV20</f>
        <v>11</v>
      </c>
      <c r="AW29" s="184">
        <f>AS29+AT29+AU29+AV29</f>
        <v>42</v>
      </c>
      <c r="AY29" s="181">
        <f>AY32-AY20</f>
        <v>11</v>
      </c>
      <c r="AZ29" s="182">
        <f>AZ32-AZ20</f>
        <v>9</v>
      </c>
      <c r="BA29" s="182">
        <f>BA32-BA20</f>
        <v>8</v>
      </c>
      <c r="BB29" s="182">
        <f>BB32-BB20</f>
        <v>10</v>
      </c>
      <c r="BC29" s="184">
        <f>AY29+AZ29+BA29+BB29</f>
        <v>38</v>
      </c>
      <c r="BE29" s="181">
        <f>BE32-BE20</f>
        <v>9</v>
      </c>
      <c r="BF29" s="182">
        <f>BF32-BF20</f>
        <v>10</v>
      </c>
      <c r="BG29" s="182">
        <f>BG32-BG20</f>
        <v>11</v>
      </c>
      <c r="BH29" s="182">
        <f>BH32-BH20</f>
        <v>11</v>
      </c>
      <c r="BI29" s="184">
        <f>BE29+BF29+BG29+BH29</f>
        <v>41</v>
      </c>
      <c r="BK29" s="181">
        <f>BK32-BK20</f>
        <v>10</v>
      </c>
      <c r="BL29" s="182">
        <f>BL32-BL20</f>
        <v>10</v>
      </c>
      <c r="BM29" s="182">
        <f>BM32-BM20</f>
        <v>8</v>
      </c>
      <c r="BN29" s="182">
        <f>BN32-BN20</f>
        <v>8</v>
      </c>
      <c r="BO29" s="184">
        <f>BK29+BL29+BM29+BN29</f>
        <v>36</v>
      </c>
      <c r="BQ29" s="181">
        <f>BQ25*BQ26/1000</f>
        <v>8.3997767743899345</v>
      </c>
      <c r="BR29" s="182">
        <f>BR25*BR26/1000</f>
        <v>9.4785852743970267</v>
      </c>
      <c r="BS29" s="182">
        <f>BS25*BS26/1000</f>
        <v>7.7867397521449</v>
      </c>
      <c r="BT29" s="182">
        <f>BT25*BT26/1000</f>
        <v>7.9136241436128705</v>
      </c>
      <c r="BU29" s="184">
        <f>BQ29+BR29+BS29+BT29</f>
        <v>33.578725944544729</v>
      </c>
      <c r="BW29" s="181">
        <f>BW25*BW26/1000</f>
        <v>8.6675270153721282</v>
      </c>
      <c r="BX29" s="182">
        <f>BX25*BX26/1000</f>
        <v>9.7926014490450921</v>
      </c>
      <c r="BY29" s="182">
        <f>BY25*BY26/1000</f>
        <v>8.0545640193041006</v>
      </c>
      <c r="BZ29" s="182">
        <f>BZ25*BZ26/1000</f>
        <v>8.1641986818142414</v>
      </c>
      <c r="CA29" s="184">
        <f>BW29+BX29+BY29+BZ29</f>
        <v>34.678891165535561</v>
      </c>
      <c r="CC29" s="181">
        <f>CC25*CC26/1000</f>
        <v>8.9525985870833544</v>
      </c>
      <c r="CD29" s="182">
        <f>CD25*CD26/1000</f>
        <v>10.114503284184435</v>
      </c>
      <c r="CE29" s="182">
        <f>CE25*CE26/1000</f>
        <v>8.3191914877859858</v>
      </c>
      <c r="CF29" s="182">
        <f>CF25*CF26/1000</f>
        <v>8.4117859617552675</v>
      </c>
      <c r="CG29" s="184">
        <f>CC29+CD29+CE29+CF29</f>
        <v>35.798079320809038</v>
      </c>
      <c r="CI29" s="181">
        <f>CI25*CI26/1000</f>
        <v>9.1808494748490688</v>
      </c>
      <c r="CJ29" s="182">
        <f>CJ25*CJ26/1000</f>
        <v>10.372158414479326</v>
      </c>
      <c r="CK29" s="182">
        <f>CK25*CK26/1000</f>
        <v>8.5309336946922656</v>
      </c>
      <c r="CL29" s="182">
        <f>CL25*CL26/1000</f>
        <v>8.6212303702627686</v>
      </c>
      <c r="CM29" s="184">
        <f>CI29+CJ29+CK29+CL29</f>
        <v>36.705171954283429</v>
      </c>
      <c r="CO29" s="181">
        <f>CO25*CO26/1000</f>
        <v>9.4139335545656593</v>
      </c>
      <c r="CP29" s="182">
        <f>CP25*CP26/1000</f>
        <v>10.635267435444126</v>
      </c>
      <c r="CQ29" s="182">
        <f>CQ25*CQ26/1000</f>
        <v>8.7471563497209797</v>
      </c>
      <c r="CR29" s="182">
        <f>CR25*CR26/1000</f>
        <v>8.8350654591840989</v>
      </c>
      <c r="CS29" s="184">
        <f>CO29+CP29+CQ29+CR29</f>
        <v>37.631422798914869</v>
      </c>
      <c r="CU29" s="181">
        <f>CU25*CU26/1000</f>
        <v>9.6519444655419075</v>
      </c>
      <c r="CV29" s="182">
        <f>CV25*CV26/1000</f>
        <v>10.90393599139461</v>
      </c>
      <c r="CW29" s="182">
        <f>CW25*CW26/1000</f>
        <v>8.9679462243192525</v>
      </c>
      <c r="CX29" s="182">
        <f>CX25*CX26/1000</f>
        <v>9.0533758239397617</v>
      </c>
      <c r="CY29" s="184">
        <f>CU29+CV29+CW29+CX29</f>
        <v>38.57720250519553</v>
      </c>
      <c r="DA29" s="181">
        <f>DA25*DA26/1000</f>
        <v>9.8949775687976658</v>
      </c>
      <c r="DB29" s="182">
        <f>DB25*DB26/1000</f>
        <v>11.178271668850632</v>
      </c>
      <c r="DC29" s="182">
        <f>DC25*DC26/1000</f>
        <v>9.1933916849767829</v>
      </c>
      <c r="DD29" s="182">
        <f>DD25*DD26/1000</f>
        <v>9.2762476099097775</v>
      </c>
      <c r="DE29" s="184">
        <f>DA29+DB29+DC29+DD29</f>
        <v>39.54288853253486</v>
      </c>
      <c r="DG29" s="181">
        <f>DG25*DG26/1000</f>
        <v>10.14312997764635</v>
      </c>
      <c r="DH29" s="182">
        <f>DH25*DH26/1000</f>
        <v>11.458384031032274</v>
      </c>
      <c r="DI29" s="182">
        <f>DI25*DI26/1000</f>
        <v>9.4235827215535686</v>
      </c>
      <c r="DJ29" s="182">
        <f>DJ25*DJ26/1000</f>
        <v>9.5037685398985055</v>
      </c>
      <c r="DK29" s="184">
        <f>DG29+DH29+DI29+DJ29</f>
        <v>40.528865270130694</v>
      </c>
    </row>
    <row r="30" spans="2:115" ht="15" x14ac:dyDescent="0.3">
      <c r="B30" s="5" t="s">
        <v>23</v>
      </c>
      <c r="C30" s="144" t="s">
        <v>35</v>
      </c>
      <c r="D30" s="107" t="s">
        <v>35</v>
      </c>
      <c r="E30" s="107" t="s">
        <v>35</v>
      </c>
      <c r="F30" s="107" t="s">
        <v>35</v>
      </c>
      <c r="G30" s="138" t="s">
        <v>35</v>
      </c>
      <c r="H30" s="107"/>
      <c r="I30" s="151">
        <f>I29/C29-1</f>
        <v>0.33333333333333326</v>
      </c>
      <c r="J30" s="133">
        <f>J29/D29-1</f>
        <v>0</v>
      </c>
      <c r="K30" s="133">
        <f>K29/E29-1</f>
        <v>0</v>
      </c>
      <c r="L30" s="133">
        <f>L29/F29-1</f>
        <v>-0.19999999999999996</v>
      </c>
      <c r="M30" s="153">
        <f>M29/G29-1</f>
        <v>0</v>
      </c>
      <c r="N30" s="107"/>
      <c r="O30" s="151">
        <f>O29/I29-1</f>
        <v>0.25</v>
      </c>
      <c r="P30" s="133">
        <f>P29/J29-1</f>
        <v>0</v>
      </c>
      <c r="Q30" s="133">
        <f>Q29/K29-1</f>
        <v>0</v>
      </c>
      <c r="R30" s="133">
        <f>R29/L29-1</f>
        <v>0.375</v>
      </c>
      <c r="S30" s="153">
        <f>S29/M29-1</f>
        <v>0.14705882352941169</v>
      </c>
      <c r="T30" s="107"/>
      <c r="U30" s="151">
        <f>U29/O29-1</f>
        <v>0.10000000000000009</v>
      </c>
      <c r="V30" s="133">
        <f>V29/P29-1</f>
        <v>-0.11111111111111116</v>
      </c>
      <c r="W30" s="133">
        <f>W29/Q29-1</f>
        <v>0</v>
      </c>
      <c r="X30" s="133">
        <f>X29/R29-1</f>
        <v>0</v>
      </c>
      <c r="Y30" s="153">
        <f>Y29/S29-1</f>
        <v>0</v>
      </c>
      <c r="AA30" s="151">
        <f>AA29/U29-1</f>
        <v>-0.27272727272727271</v>
      </c>
      <c r="AB30" s="133">
        <f>AB29/V29-1</f>
        <v>0.125</v>
      </c>
      <c r="AC30" s="133">
        <f>AC29/W29-1</f>
        <v>0.11111111111111116</v>
      </c>
      <c r="AD30" s="133">
        <f>AD29/X29-1</f>
        <v>0.27272727272727271</v>
      </c>
      <c r="AE30" s="153">
        <f>AE29/Y29-1</f>
        <v>5.1282051282051322E-2</v>
      </c>
      <c r="AG30" s="151">
        <f>AG29/AA29-1</f>
        <v>0.125</v>
      </c>
      <c r="AH30" s="133">
        <f>AH29/AB29-1</f>
        <v>0.22222222222222232</v>
      </c>
      <c r="AI30" s="133">
        <f>AI29/AC29-1</f>
        <v>0.10000000000000009</v>
      </c>
      <c r="AJ30" s="133">
        <f>AJ29/AD29-1</f>
        <v>0.4285714285714286</v>
      </c>
      <c r="AK30" s="153">
        <f>AK29/AE29-1</f>
        <v>0.24390243902439024</v>
      </c>
      <c r="AM30" s="151">
        <f>AM29/AG29-1</f>
        <v>0.11111111111111116</v>
      </c>
      <c r="AN30" s="133">
        <f>AN29/AH29-1</f>
        <v>0.45454545454545459</v>
      </c>
      <c r="AO30" s="133">
        <f>AO29/AI29-1</f>
        <v>0.18181818181818188</v>
      </c>
      <c r="AP30" s="133">
        <f>AP29/AJ29-1</f>
        <v>0.14999999999999991</v>
      </c>
      <c r="AQ30" s="153">
        <f>AQ29/AK29-1</f>
        <v>0.21568627450980382</v>
      </c>
      <c r="AS30" s="151">
        <f>AS29/AM29-1</f>
        <v>0.19999999999999996</v>
      </c>
      <c r="AT30" s="133">
        <f>AT29/AN29-1</f>
        <v>-0.4375</v>
      </c>
      <c r="AU30" s="133">
        <f>AU29/AO29-1</f>
        <v>-0.23076923076923073</v>
      </c>
      <c r="AV30" s="133">
        <f>AV29/AP29-1</f>
        <v>-0.52173913043478259</v>
      </c>
      <c r="AW30" s="153">
        <f>AW29/AQ29-1</f>
        <v>-0.32258064516129037</v>
      </c>
      <c r="AY30" s="151">
        <f>AY29/AS29-1</f>
        <v>-8.333333333333337E-2</v>
      </c>
      <c r="AZ30" s="133">
        <f>AZ29/AT29-1</f>
        <v>0</v>
      </c>
      <c r="BA30" s="133">
        <f>BA29/AU29-1</f>
        <v>-0.19999999999999996</v>
      </c>
      <c r="BB30" s="133">
        <f>BB29/AV29-1</f>
        <v>-9.0909090909090939E-2</v>
      </c>
      <c r="BC30" s="153">
        <f>BC29/AW29-1</f>
        <v>-9.5238095238095233E-2</v>
      </c>
      <c r="BE30" s="151">
        <f>BE29/AY29-1</f>
        <v>-0.18181818181818177</v>
      </c>
      <c r="BF30" s="133">
        <f>BF29/AZ29-1</f>
        <v>0.11111111111111116</v>
      </c>
      <c r="BG30" s="133">
        <f>BG29/BA29-1</f>
        <v>0.375</v>
      </c>
      <c r="BH30" s="133">
        <f>BH29/BB29-1</f>
        <v>0.10000000000000009</v>
      </c>
      <c r="BI30" s="153">
        <f>BI29/BC29-1</f>
        <v>7.8947368421052655E-2</v>
      </c>
      <c r="BK30" s="151">
        <f>BK29/BE29-1</f>
        <v>0.11111111111111116</v>
      </c>
      <c r="BL30" s="133">
        <f>BL29/BF29-1</f>
        <v>0</v>
      </c>
      <c r="BM30" s="133">
        <f>BM29/BG29-1</f>
        <v>-0.27272727272727271</v>
      </c>
      <c r="BN30" s="133">
        <f>BN29/BH29-1</f>
        <v>-0.27272727272727271</v>
      </c>
      <c r="BO30" s="153">
        <f>BO29/BI29-1</f>
        <v>-0.12195121951219512</v>
      </c>
      <c r="BQ30" s="151">
        <f>BQ29/BK29-1</f>
        <v>-0.16002232256100657</v>
      </c>
      <c r="BR30" s="133">
        <f>BR29/BL29-1</f>
        <v>-5.2141472560297331E-2</v>
      </c>
      <c r="BS30" s="133">
        <f>BS29/BM29-1</f>
        <v>-2.6657530981887501E-2</v>
      </c>
      <c r="BT30" s="133">
        <f>BT29/BN29-1</f>
        <v>-1.079698204839119E-2</v>
      </c>
      <c r="BU30" s="153">
        <f>BU29/BO29-1</f>
        <v>-6.7257612651535292E-2</v>
      </c>
      <c r="BW30" s="151">
        <f>BW29/BQ29-1</f>
        <v>3.1875875773096363E-2</v>
      </c>
      <c r="BX30" s="133">
        <f>BX29/BR29-1</f>
        <v>3.3129012986385931E-2</v>
      </c>
      <c r="BY30" s="133">
        <f>BY29/BS29-1</f>
        <v>3.4394916959363808E-2</v>
      </c>
      <c r="BZ30" s="133">
        <f>BZ29/BT29-1</f>
        <v>3.16636895629685E-2</v>
      </c>
      <c r="CA30" s="153">
        <f>CA29/BU29-1</f>
        <v>3.2763757112397762E-2</v>
      </c>
      <c r="CC30" s="151">
        <f>CC29/BW29-1</f>
        <v>3.2889608674497639E-2</v>
      </c>
      <c r="CD30" s="133">
        <f>CD29/BX29-1</f>
        <v>3.2871942845252189E-2</v>
      </c>
      <c r="CE30" s="133">
        <f>CE29/BY29-1</f>
        <v>3.2854350384162512E-2</v>
      </c>
      <c r="CF30" s="133">
        <f>CF29/BZ29-1</f>
        <v>3.0325974365681185E-2</v>
      </c>
      <c r="CG30" s="153">
        <f>CG29/CA29-1</f>
        <v>3.2272893326697361E-2</v>
      </c>
      <c r="CI30" s="151">
        <f>CI29/CC29-1</f>
        <v>2.549549000164375E-2</v>
      </c>
      <c r="CJ30" s="133">
        <f>CJ29/CD29-1</f>
        <v>2.5473829317725682E-2</v>
      </c>
      <c r="CK30" s="133">
        <f>CK29/CE29-1</f>
        <v>2.5452257856686478E-2</v>
      </c>
      <c r="CL30" s="133">
        <f>CL29/CF29-1</f>
        <v>2.489892270913141E-2</v>
      </c>
      <c r="CM30" s="153">
        <f>CM29/CG29-1</f>
        <v>2.5339142509444912E-2</v>
      </c>
      <c r="CO30" s="151">
        <f>CO29/CI29-1</f>
        <v>2.538807333189852E-2</v>
      </c>
      <c r="CP30" s="133">
        <f>CP29/CJ29-1</f>
        <v>2.5366853305817783E-2</v>
      </c>
      <c r="CQ30" s="133">
        <f>CQ29/CK29-1</f>
        <v>2.5345719796561417E-2</v>
      </c>
      <c r="CR30" s="133">
        <f>CR29/CL29-1</f>
        <v>2.4803314577802382E-2</v>
      </c>
      <c r="CS30" s="153">
        <f>CS29/CM29-1</f>
        <v>2.5234886401978684E-2</v>
      </c>
      <c r="CU30" s="151">
        <f>CU29/CO29-1</f>
        <v>2.5282833110800373E-2</v>
      </c>
      <c r="CV30" s="133">
        <f>CV29/CP29-1</f>
        <v>2.5262040431168975E-2</v>
      </c>
      <c r="CW30" s="133">
        <f>CW29/CQ29-1</f>
        <v>2.5241331670642353E-2</v>
      </c>
      <c r="CX30" s="133">
        <f>CX29/CR29-1</f>
        <v>2.4709535629838353E-2</v>
      </c>
      <c r="CY30" s="153">
        <f>CY29/CS29-1</f>
        <v>2.5132711865147206E-2</v>
      </c>
      <c r="DA30" s="151">
        <f>DA29/CU29-1</f>
        <v>2.5179703853809299E-2</v>
      </c>
      <c r="DB30" s="133">
        <f>DB29/CV29-1</f>
        <v>2.5159325740038208E-2</v>
      </c>
      <c r="DC30" s="133">
        <f>DC29/CW29-1</f>
        <v>2.5139029050616823E-2</v>
      </c>
      <c r="DD30" s="133">
        <f>DD29/CX29-1</f>
        <v>2.4617533868491082E-2</v>
      </c>
      <c r="DE30" s="153">
        <f>DE29/CY29-1</f>
        <v>2.5032557174390124E-2</v>
      </c>
      <c r="DG30" s="151">
        <f>DG29/DA29-1</f>
        <v>2.5078622677346507E-2</v>
      </c>
      <c r="DH30" s="133">
        <f>DH29/DB29-1</f>
        <v>2.5058646853449051E-2</v>
      </c>
      <c r="DI30" s="133">
        <f>DI29/DC29-1</f>
        <v>2.5038750057059911E-2</v>
      </c>
      <c r="DJ30" s="133">
        <f>DJ29/DD29-1</f>
        <v>2.4527259249275346E-2</v>
      </c>
      <c r="DK30" s="153">
        <f>DK29/DE29-1</f>
        <v>2.493436302167451E-2</v>
      </c>
    </row>
    <row r="31" spans="2:115" ht="15" x14ac:dyDescent="0.3">
      <c r="B31" s="5"/>
      <c r="C31" s="144"/>
      <c r="D31" s="107"/>
      <c r="E31" s="107"/>
      <c r="F31" s="145"/>
      <c r="G31" s="138"/>
      <c r="I31" s="144"/>
      <c r="J31" s="107"/>
      <c r="K31" s="107"/>
      <c r="L31" s="107"/>
      <c r="M31" s="138"/>
      <c r="O31" s="144"/>
      <c r="P31" s="107"/>
      <c r="Q31" s="107"/>
      <c r="R31" s="145"/>
      <c r="S31" s="138"/>
      <c r="U31" s="144"/>
      <c r="V31" s="107"/>
      <c r="W31" s="107"/>
      <c r="X31" s="107"/>
      <c r="Y31" s="138"/>
      <c r="AA31" s="144"/>
      <c r="AB31" s="107"/>
      <c r="AC31" s="107"/>
      <c r="AD31" s="107"/>
      <c r="AE31" s="138"/>
      <c r="AG31" s="144"/>
      <c r="AH31" s="107"/>
      <c r="AI31" s="107"/>
      <c r="AJ31" s="107"/>
      <c r="AK31" s="138"/>
      <c r="AM31" s="144"/>
      <c r="AN31" s="107"/>
      <c r="AO31" s="107"/>
      <c r="AP31" s="107"/>
      <c r="AQ31" s="138"/>
      <c r="AS31" s="144"/>
      <c r="AT31" s="107"/>
      <c r="AU31" s="107"/>
      <c r="AV31" s="107"/>
      <c r="AW31" s="138"/>
      <c r="AY31" s="144"/>
      <c r="AZ31" s="107"/>
      <c r="BA31" s="107"/>
      <c r="BB31" s="107"/>
      <c r="BC31" s="138"/>
      <c r="BE31" s="144"/>
      <c r="BF31" s="107"/>
      <c r="BG31" s="107"/>
      <c r="BH31" s="107"/>
      <c r="BI31" s="138"/>
      <c r="BK31" s="144"/>
      <c r="BL31" s="107"/>
      <c r="BM31" s="107"/>
      <c r="BN31" s="107"/>
      <c r="BO31" s="138"/>
      <c r="BQ31" s="144"/>
      <c r="BR31" s="107"/>
      <c r="BS31" s="107"/>
      <c r="BT31" s="107"/>
      <c r="BU31" s="138"/>
      <c r="BW31" s="144"/>
      <c r="BX31" s="107"/>
      <c r="BY31" s="107"/>
      <c r="BZ31" s="107"/>
      <c r="CA31" s="138"/>
      <c r="CC31" s="144"/>
      <c r="CD31" s="107"/>
      <c r="CE31" s="107"/>
      <c r="CF31" s="107"/>
      <c r="CG31" s="138"/>
      <c r="CI31" s="144"/>
      <c r="CJ31" s="107"/>
      <c r="CK31" s="107"/>
      <c r="CL31" s="107"/>
      <c r="CM31" s="138"/>
      <c r="CO31" s="144"/>
      <c r="CP31" s="107"/>
      <c r="CQ31" s="107"/>
      <c r="CR31" s="107"/>
      <c r="CS31" s="138"/>
      <c r="CU31" s="144"/>
      <c r="CV31" s="107"/>
      <c r="CW31" s="107"/>
      <c r="CX31" s="107"/>
      <c r="CY31" s="138"/>
      <c r="DA31" s="144"/>
      <c r="DB31" s="107"/>
      <c r="DC31" s="107"/>
      <c r="DD31" s="107"/>
      <c r="DE31" s="138"/>
      <c r="DG31" s="144"/>
      <c r="DH31" s="107"/>
      <c r="DI31" s="107"/>
      <c r="DJ31" s="107"/>
      <c r="DK31" s="138"/>
    </row>
    <row r="32" spans="2:115" s="135" customFormat="1" ht="15" x14ac:dyDescent="0.3">
      <c r="B32" s="105" t="s">
        <v>58</v>
      </c>
      <c r="C32" s="156">
        <v>118</v>
      </c>
      <c r="D32" s="157">
        <v>127</v>
      </c>
      <c r="E32" s="157">
        <v>133</v>
      </c>
      <c r="F32" s="158">
        <v>132</v>
      </c>
      <c r="G32" s="159">
        <f>C32+D32+E32+F32</f>
        <v>510</v>
      </c>
      <c r="H32" s="160"/>
      <c r="I32" s="156">
        <v>128</v>
      </c>
      <c r="J32" s="157">
        <v>141</v>
      </c>
      <c r="K32" s="157">
        <v>153</v>
      </c>
      <c r="L32" s="157">
        <v>149</v>
      </c>
      <c r="M32" s="159">
        <f>I32+J32+K32+L32</f>
        <v>571</v>
      </c>
      <c r="N32" s="160"/>
      <c r="O32" s="156">
        <v>140</v>
      </c>
      <c r="P32" s="157">
        <v>141</v>
      </c>
      <c r="Q32" s="157">
        <v>140</v>
      </c>
      <c r="R32" s="158">
        <v>135</v>
      </c>
      <c r="S32" s="159">
        <f>O32+P32+Q32+R32</f>
        <v>556</v>
      </c>
      <c r="T32" s="160"/>
      <c r="U32" s="156">
        <v>124</v>
      </c>
      <c r="V32" s="157">
        <v>125</v>
      </c>
      <c r="W32" s="157">
        <v>126</v>
      </c>
      <c r="X32" s="157">
        <v>124</v>
      </c>
      <c r="Y32" s="159">
        <f>U32+V32+W32+X32</f>
        <v>499</v>
      </c>
      <c r="AA32" s="156">
        <v>112</v>
      </c>
      <c r="AB32" s="157">
        <v>115</v>
      </c>
      <c r="AC32" s="157">
        <v>118</v>
      </c>
      <c r="AD32" s="157">
        <v>117</v>
      </c>
      <c r="AE32" s="159">
        <f>AA32+AB32+AC32+AD32</f>
        <v>462</v>
      </c>
      <c r="AF32" s="247"/>
      <c r="AG32" s="156">
        <v>107</v>
      </c>
      <c r="AH32" s="157">
        <v>108</v>
      </c>
      <c r="AI32" s="157">
        <v>109</v>
      </c>
      <c r="AJ32" s="157">
        <v>113</v>
      </c>
      <c r="AK32" s="159">
        <f>AG32+AH32+AI32+AJ32</f>
        <v>437</v>
      </c>
      <c r="AM32" s="156">
        <v>100</v>
      </c>
      <c r="AN32" s="157">
        <v>106</v>
      </c>
      <c r="AO32" s="157">
        <v>101</v>
      </c>
      <c r="AP32" s="157">
        <v>107</v>
      </c>
      <c r="AQ32" s="159">
        <f>AM32+AN32+AO32+AP32</f>
        <v>414</v>
      </c>
      <c r="AS32" s="156">
        <v>94</v>
      </c>
      <c r="AT32" s="157">
        <v>92</v>
      </c>
      <c r="AU32" s="157">
        <v>94</v>
      </c>
      <c r="AV32" s="157">
        <v>93</v>
      </c>
      <c r="AW32" s="159">
        <f>AS32+AT32+AU32+AV32</f>
        <v>373</v>
      </c>
      <c r="AY32" s="156">
        <v>91</v>
      </c>
      <c r="AZ32" s="157">
        <v>88</v>
      </c>
      <c r="BA32" s="157">
        <v>92</v>
      </c>
      <c r="BB32" s="157">
        <v>90</v>
      </c>
      <c r="BC32" s="159">
        <f>AY32+AZ32+BA32+BB32</f>
        <v>361</v>
      </c>
      <c r="BE32" s="156">
        <v>91</v>
      </c>
      <c r="BF32" s="157">
        <v>90</v>
      </c>
      <c r="BG32" s="157">
        <v>94</v>
      </c>
      <c r="BH32" s="157">
        <v>93</v>
      </c>
      <c r="BI32" s="159">
        <f>BE32+BF32+BG32+BH32</f>
        <v>368</v>
      </c>
      <c r="BK32" s="156">
        <v>93</v>
      </c>
      <c r="BL32" s="157">
        <v>92</v>
      </c>
      <c r="BM32" s="157">
        <v>93</v>
      </c>
      <c r="BN32" s="157">
        <v>92</v>
      </c>
      <c r="BO32" s="159">
        <f>BK32+BL32+BM32+BN32</f>
        <v>370</v>
      </c>
      <c r="BQ32" s="156">
        <f>BQ29+BQ20</f>
        <v>93.97953973735288</v>
      </c>
      <c r="BR32" s="157">
        <f>BR29+BR20</f>
        <v>93.046888073949106</v>
      </c>
      <c r="BS32" s="157">
        <f>BS29+BS20</f>
        <v>94.137412520002044</v>
      </c>
      <c r="BT32" s="157">
        <f>BT29+BT20</f>
        <v>93.118391523292019</v>
      </c>
      <c r="BU32" s="159">
        <f>BQ32+BR32+BS32+BT32</f>
        <v>374.28223185459603</v>
      </c>
      <c r="BW32" s="156">
        <f>BW29+BW20</f>
        <v>95.727756972723412</v>
      </c>
      <c r="BX32" s="157">
        <f>BX29+BX20</f>
        <v>94.47910831354676</v>
      </c>
      <c r="BY32" s="157">
        <f>BY29+BY20</f>
        <v>95.368354331804099</v>
      </c>
      <c r="BZ32" s="157">
        <f>BZ29+BZ20</f>
        <v>94.172443093578934</v>
      </c>
      <c r="CA32" s="159">
        <f>BW32+BX32+BY32+BZ32</f>
        <v>379.74766271165316</v>
      </c>
      <c r="CC32" s="156">
        <f>CC29+CC20</f>
        <v>96.894772671045189</v>
      </c>
      <c r="CD32" s="157">
        <f>CD29+CD20</f>
        <v>95.595517883546123</v>
      </c>
      <c r="CE32" s="157">
        <f>CE29+CE20</f>
        <v>96.575093750285987</v>
      </c>
      <c r="CF32" s="157">
        <f>CF29+CF20</f>
        <v>95.396795184549362</v>
      </c>
      <c r="CG32" s="159">
        <f>CC32+CD32+CE32+CF32</f>
        <v>384.46217948942666</v>
      </c>
      <c r="CI32" s="156">
        <f>CI29+CI20</f>
        <v>97.944483718417501</v>
      </c>
      <c r="CJ32" s="157">
        <f>CJ29+CJ20</f>
        <v>96.598004195866551</v>
      </c>
      <c r="CK32" s="157">
        <f>CK29+CK20</f>
        <v>97.659071628547736</v>
      </c>
      <c r="CL32" s="157">
        <f>CL29+CL20</f>
        <v>96.506437023850978</v>
      </c>
      <c r="CM32" s="159">
        <f>CI32+CJ32+CK32+CL32</f>
        <v>388.70799656668277</v>
      </c>
      <c r="CO32" s="156">
        <f>CO29+CO20</f>
        <v>98.88419920318907</v>
      </c>
      <c r="CP32" s="157">
        <f>CP29+CP20</f>
        <v>97.497088377803337</v>
      </c>
      <c r="CQ32" s="157">
        <f>CQ29+CQ20</f>
        <v>98.629542643815626</v>
      </c>
      <c r="CR32" s="157">
        <f>CR29+CR20</f>
        <v>97.501869373746857</v>
      </c>
      <c r="CS32" s="159">
        <f>CO32+CP32+CQ32+CR32</f>
        <v>392.51269959855489</v>
      </c>
      <c r="CU32" s="156">
        <f>CU29+CU20</f>
        <v>99.934818461888398</v>
      </c>
      <c r="CV32" s="157">
        <f>CV29+CV20</f>
        <v>98.504141848697117</v>
      </c>
      <c r="CW32" s="157">
        <f>CW29+CW20</f>
        <v>99.711551947214176</v>
      </c>
      <c r="CX32" s="157">
        <f>CX29+CX20</f>
        <v>98.607716957840509</v>
      </c>
      <c r="CY32" s="159">
        <f>CU32+CV32+CW32+CX32</f>
        <v>396.7582292156402</v>
      </c>
      <c r="DA32" s="156">
        <f>DA29+DA20</f>
        <v>101.09853481315115</v>
      </c>
      <c r="DB32" s="157">
        <f>DB29+DB20</f>
        <v>99.621254038024546</v>
      </c>
      <c r="DC32" s="157">
        <f>DC29+DC20</f>
        <v>100.90732867141227</v>
      </c>
      <c r="DD32" s="157">
        <f>DD29+DD20</f>
        <v>99.826207103336316</v>
      </c>
      <c r="DE32" s="159">
        <f>DA32+DB32+DC32+DD32</f>
        <v>401.45332462592421</v>
      </c>
      <c r="DG32" s="156">
        <f>DG29+DG20</f>
        <v>102.37763425524284</v>
      </c>
      <c r="DH32" s="157">
        <f>DH29+DH20</f>
        <v>100.85060335572339</v>
      </c>
      <c r="DI32" s="157">
        <f>DI29+DI20</f>
        <v>102.21919654802517</v>
      </c>
      <c r="DJ32" s="157">
        <f>DJ29+DJ20</f>
        <v>101.15966175676743</v>
      </c>
      <c r="DK32" s="159">
        <f>DG32+DH32+DI32+DJ32</f>
        <v>406.60709591575886</v>
      </c>
    </row>
    <row r="33" spans="2:115" ht="15.75" thickBot="1" x14ac:dyDescent="0.35">
      <c r="B33" s="140" t="s">
        <v>23</v>
      </c>
      <c r="C33" s="155" t="s">
        <v>35</v>
      </c>
      <c r="D33" s="106" t="s">
        <v>35</v>
      </c>
      <c r="E33" s="106" t="s">
        <v>35</v>
      </c>
      <c r="F33" s="106" t="s">
        <v>35</v>
      </c>
      <c r="G33" s="108" t="s">
        <v>35</v>
      </c>
      <c r="I33" s="109">
        <f>I32/C32-1</f>
        <v>8.4745762711864403E-2</v>
      </c>
      <c r="J33" s="110">
        <f>J32/D32-1</f>
        <v>0.11023622047244097</v>
      </c>
      <c r="K33" s="110">
        <f>K32/E32-1</f>
        <v>0.15037593984962405</v>
      </c>
      <c r="L33" s="110">
        <f>L32/F32-1</f>
        <v>0.1287878787878789</v>
      </c>
      <c r="M33" s="122">
        <f>M32/G32-1</f>
        <v>0.11960784313725492</v>
      </c>
      <c r="O33" s="109">
        <f>O32/I32-1</f>
        <v>9.375E-2</v>
      </c>
      <c r="P33" s="110">
        <f>P32/J32-1</f>
        <v>0</v>
      </c>
      <c r="Q33" s="110">
        <f>Q32/K32-1</f>
        <v>-8.496732026143794E-2</v>
      </c>
      <c r="R33" s="110">
        <f>R32/L32-1</f>
        <v>-9.3959731543624136E-2</v>
      </c>
      <c r="S33" s="122">
        <f>S32/M32-1</f>
        <v>-2.6269702276707552E-2</v>
      </c>
      <c r="U33" s="109">
        <f>U32/O32-1</f>
        <v>-0.11428571428571432</v>
      </c>
      <c r="V33" s="110">
        <f>V32/P32-1</f>
        <v>-0.11347517730496459</v>
      </c>
      <c r="W33" s="110">
        <f>W32/Q32-1</f>
        <v>-9.9999999999999978E-2</v>
      </c>
      <c r="X33" s="110">
        <f>X32/R32-1</f>
        <v>-8.1481481481481488E-2</v>
      </c>
      <c r="Y33" s="122">
        <f>Y32/S32-1</f>
        <v>-0.10251798561151082</v>
      </c>
      <c r="AA33" s="109">
        <f>AA32/U32-1</f>
        <v>-9.6774193548387122E-2</v>
      </c>
      <c r="AB33" s="110">
        <f>AB32/V32-1</f>
        <v>-7.999999999999996E-2</v>
      </c>
      <c r="AC33" s="110">
        <f>AC32/W32-1</f>
        <v>-6.3492063492063489E-2</v>
      </c>
      <c r="AD33" s="110">
        <f>AD32/X32-1</f>
        <v>-5.6451612903225756E-2</v>
      </c>
      <c r="AE33" s="122">
        <f>AE32/Y32-1</f>
        <v>-7.4148296593186336E-2</v>
      </c>
      <c r="AG33" s="109">
        <f>AG32/AA32-1</f>
        <v>-4.4642857142857095E-2</v>
      </c>
      <c r="AH33" s="110">
        <f>AH32/AB32-1</f>
        <v>-6.0869565217391286E-2</v>
      </c>
      <c r="AI33" s="110">
        <f>AI32/AC32-1</f>
        <v>-7.6271186440677985E-2</v>
      </c>
      <c r="AJ33" s="110">
        <f>AJ32/AD32-1</f>
        <v>-3.4188034188034178E-2</v>
      </c>
      <c r="AK33" s="122">
        <f>AK32/AE32-1</f>
        <v>-5.4112554112554112E-2</v>
      </c>
      <c r="AM33" s="109">
        <f>AM32/AG32-1</f>
        <v>-6.5420560747663559E-2</v>
      </c>
      <c r="AN33" s="110">
        <f>AN32/AH32-1</f>
        <v>-1.851851851851849E-2</v>
      </c>
      <c r="AO33" s="110">
        <f>AO32/AI32-1</f>
        <v>-7.3394495412844041E-2</v>
      </c>
      <c r="AP33" s="110">
        <f>AP32/AJ32-1</f>
        <v>-5.3097345132743334E-2</v>
      </c>
      <c r="AQ33" s="122">
        <f>AQ32/AK32-1</f>
        <v>-5.2631578947368474E-2</v>
      </c>
      <c r="AS33" s="109">
        <f>AS32/AM32-1</f>
        <v>-6.0000000000000053E-2</v>
      </c>
      <c r="AT33" s="110">
        <f>AT32/AN32-1</f>
        <v>-0.13207547169811318</v>
      </c>
      <c r="AU33" s="110">
        <f>AU32/AO32-1</f>
        <v>-6.9306930693069257E-2</v>
      </c>
      <c r="AV33" s="110">
        <f>AV32/AP32-1</f>
        <v>-0.13084112149532712</v>
      </c>
      <c r="AW33" s="122">
        <f>AW32/AQ32-1</f>
        <v>-9.9033816425120769E-2</v>
      </c>
      <c r="AY33" s="109">
        <f>AY32/AS32-1</f>
        <v>-3.1914893617021267E-2</v>
      </c>
      <c r="AZ33" s="110">
        <f>AZ32/AT32-1</f>
        <v>-4.3478260869565188E-2</v>
      </c>
      <c r="BA33" s="110">
        <f>BA32/AU32-1</f>
        <v>-2.1276595744680882E-2</v>
      </c>
      <c r="BB33" s="110">
        <f>BB32/AV32-1</f>
        <v>-3.2258064516129004E-2</v>
      </c>
      <c r="BC33" s="122">
        <f>BC32/AW32-1</f>
        <v>-3.2171581769437019E-2</v>
      </c>
      <c r="BE33" s="109">
        <f>BE32/AY32-1</f>
        <v>0</v>
      </c>
      <c r="BF33" s="110">
        <f>BF32/AZ32-1</f>
        <v>2.2727272727272707E-2</v>
      </c>
      <c r="BG33" s="110">
        <f>BG32/BA32-1</f>
        <v>2.1739130434782705E-2</v>
      </c>
      <c r="BH33" s="110">
        <f>BH32/BB32-1</f>
        <v>3.3333333333333437E-2</v>
      </c>
      <c r="BI33" s="122">
        <f>BI32/BC32-1</f>
        <v>1.939058171745156E-2</v>
      </c>
      <c r="BK33" s="109">
        <f>BK32/BE32-1</f>
        <v>2.19780219780219E-2</v>
      </c>
      <c r="BL33" s="110">
        <f>BL32/BF32-1</f>
        <v>2.2222222222222143E-2</v>
      </c>
      <c r="BM33" s="110">
        <f>BM32/BG32-1</f>
        <v>-1.0638297872340385E-2</v>
      </c>
      <c r="BN33" s="110">
        <f>BN32/BH32-1</f>
        <v>-1.0752688172043001E-2</v>
      </c>
      <c r="BO33" s="122">
        <f>BO32/BI32-1</f>
        <v>5.4347826086955653E-3</v>
      </c>
      <c r="BQ33" s="109">
        <f>BQ32/BK32-1</f>
        <v>1.0532685347880433E-2</v>
      </c>
      <c r="BR33" s="110">
        <f>BR32/BL32-1</f>
        <v>1.1379218195098906E-2</v>
      </c>
      <c r="BS33" s="110">
        <f>BS32/BM32-1</f>
        <v>1.2230242150559567E-2</v>
      </c>
      <c r="BT33" s="110">
        <f>BT32/BN32-1</f>
        <v>1.2156429601000163E-2</v>
      </c>
      <c r="BU33" s="122">
        <f>BU32/BO32-1</f>
        <v>1.1573599607016316E-2</v>
      </c>
      <c r="BW33" s="109">
        <f>BW32/BQ32-1</f>
        <v>1.8602104673595132E-2</v>
      </c>
      <c r="BX33" s="110">
        <f>BX32/BR32-1</f>
        <v>1.5392457171264029E-2</v>
      </c>
      <c r="BY33" s="110">
        <f>BY32/BS32-1</f>
        <v>1.3076010683218176E-2</v>
      </c>
      <c r="BZ33" s="110">
        <f>BZ32/BT32-1</f>
        <v>1.1319477850122217E-2</v>
      </c>
      <c r="CA33" s="122">
        <f>CA32/BU32-1</f>
        <v>1.46024320470024E-2</v>
      </c>
      <c r="CC33" s="109">
        <f>CC32/BW32-1</f>
        <v>1.2190985511697505E-2</v>
      </c>
      <c r="CD33" s="110">
        <f>CD32/BX32-1</f>
        <v>1.1816470222118847E-2</v>
      </c>
      <c r="CE33" s="110">
        <f>CE32/BY32-1</f>
        <v>1.2653457501042853E-2</v>
      </c>
      <c r="CF33" s="110">
        <f>CF32/BZ32-1</f>
        <v>1.3001171582155857E-2</v>
      </c>
      <c r="CG33" s="122">
        <f>CG32/CA32-1</f>
        <v>1.2414867136004704E-2</v>
      </c>
      <c r="CI33" s="109">
        <f>CI32/CC32-1</f>
        <v>1.083351576597491E-2</v>
      </c>
      <c r="CJ33" s="110">
        <f>CJ32/CD32-1</f>
        <v>1.0486750158534175E-2</v>
      </c>
      <c r="CK33" s="110">
        <f>CK32/CE32-1</f>
        <v>1.1224197007404291E-2</v>
      </c>
      <c r="CL33" s="110">
        <f>CL32/CF32-1</f>
        <v>1.1631856575003097E-2</v>
      </c>
      <c r="CM33" s="122">
        <f>CM32/CG32-1</f>
        <v>1.1043523404290712E-2</v>
      </c>
      <c r="CO33" s="109">
        <f>CO32/CI32-1</f>
        <v>9.5943686575874487E-3</v>
      </c>
      <c r="CP33" s="110">
        <f>CP32/CJ32-1</f>
        <v>9.307481965297848E-3</v>
      </c>
      <c r="CQ33" s="110">
        <f>CQ32/CK32-1</f>
        <v>9.9373360721586312E-3</v>
      </c>
      <c r="CR33" s="110">
        <f>CR32/CL32-1</f>
        <v>1.031467309947276E-2</v>
      </c>
      <c r="CS33" s="122">
        <f>CS32/CM32-1</f>
        <v>9.7880750215526557E-3</v>
      </c>
      <c r="CU33" s="109">
        <f>CU32/CO32-1</f>
        <v>1.0624743560298189E-2</v>
      </c>
      <c r="CV33" s="110">
        <f>CV32/CP32-1</f>
        <v>1.0329062002256251E-2</v>
      </c>
      <c r="CW33" s="110">
        <f>CW32/CQ32-1</f>
        <v>1.0970438211460154E-2</v>
      </c>
      <c r="CX33" s="110">
        <f>CX32/CR32-1</f>
        <v>1.1341809046293116E-2</v>
      </c>
      <c r="CY33" s="122">
        <f>CY32/CS32-1</f>
        <v>1.0816285998968889E-2</v>
      </c>
      <c r="DA33" s="109">
        <f>DA32/CU32-1</f>
        <v>1.1644753742225955E-2</v>
      </c>
      <c r="DB33" s="110">
        <f>DB32/CV32-1</f>
        <v>1.1340763630460549E-2</v>
      </c>
      <c r="DC33" s="110">
        <f>DC32/CW32-1</f>
        <v>1.1992358967906958E-2</v>
      </c>
      <c r="DD33" s="110">
        <f>DD32/CX32-1</f>
        <v>1.2356945106200667E-2</v>
      </c>
      <c r="DE33" s="122">
        <f>DE32/CY32-1</f>
        <v>1.183364342452542E-2</v>
      </c>
      <c r="DG33" s="109">
        <f>DG32/DA32-1</f>
        <v>1.2652007711641877E-2</v>
      </c>
      <c r="DH33" s="110">
        <f>DH32/DB32-1</f>
        <v>1.2340231304753591E-2</v>
      </c>
      <c r="DI33" s="110">
        <f>DI32/DC32-1</f>
        <v>1.3000719510520176E-2</v>
      </c>
      <c r="DJ33" s="110">
        <f>DJ32/DD32-1</f>
        <v>1.3357761374733768E-2</v>
      </c>
      <c r="DK33" s="122">
        <f>DK32/DE32-1</f>
        <v>1.283778455350193E-2</v>
      </c>
    </row>
    <row r="34" spans="2:115" ht="15.75" thickBot="1" x14ac:dyDescent="0.35">
      <c r="B34" s="1"/>
      <c r="AA34" s="103"/>
      <c r="AB34" s="103"/>
      <c r="AC34" s="103"/>
      <c r="AD34" s="103"/>
      <c r="AE34" s="103"/>
      <c r="AG34" s="103"/>
      <c r="AH34" s="103"/>
      <c r="AI34" s="103"/>
      <c r="AJ34" s="103"/>
      <c r="AK34" s="103"/>
      <c r="AM34" s="103"/>
      <c r="AN34" s="103"/>
      <c r="AO34" s="103"/>
      <c r="AP34" s="103"/>
      <c r="AQ34" s="103"/>
      <c r="AS34" s="103"/>
      <c r="AT34" s="103"/>
      <c r="AU34" s="103"/>
      <c r="AV34" s="103"/>
      <c r="AW34" s="103"/>
      <c r="AY34" s="103"/>
      <c r="AZ34" s="103"/>
      <c r="BA34" s="103"/>
      <c r="BB34" s="103"/>
      <c r="BC34" s="103"/>
      <c r="BE34" s="103"/>
      <c r="BF34" s="103"/>
      <c r="BG34" s="103"/>
      <c r="BH34" s="103"/>
      <c r="BI34" s="103"/>
      <c r="BK34" s="103"/>
      <c r="BL34" s="103"/>
      <c r="BM34" s="103"/>
      <c r="BN34" s="103"/>
      <c r="BO34" s="103"/>
      <c r="BQ34" s="103"/>
      <c r="BR34" s="103"/>
      <c r="BS34" s="103"/>
      <c r="BT34" s="103"/>
      <c r="BU34" s="103"/>
      <c r="BW34" s="103"/>
      <c r="BX34" s="103"/>
      <c r="BY34" s="103"/>
      <c r="BZ34" s="103"/>
      <c r="CA34" s="103"/>
      <c r="CC34" s="103"/>
      <c r="CD34" s="103"/>
      <c r="CE34" s="103"/>
      <c r="CF34" s="103"/>
      <c r="CG34" s="103"/>
      <c r="CI34" s="103"/>
      <c r="CJ34" s="103"/>
      <c r="CK34" s="103"/>
      <c r="CL34" s="103"/>
      <c r="CM34" s="103"/>
      <c r="CO34" s="103"/>
      <c r="CP34" s="103"/>
      <c r="CQ34" s="103"/>
      <c r="CR34" s="103"/>
      <c r="CS34" s="103"/>
      <c r="CU34" s="103"/>
      <c r="CV34" s="103"/>
      <c r="CW34" s="103"/>
      <c r="CX34" s="103"/>
      <c r="CY34" s="103"/>
      <c r="DA34" s="103"/>
      <c r="DB34" s="103"/>
      <c r="DC34" s="103"/>
      <c r="DD34" s="103"/>
      <c r="DE34" s="103"/>
      <c r="DG34" s="103"/>
      <c r="DH34" s="103"/>
      <c r="DI34" s="103"/>
      <c r="DJ34" s="103"/>
      <c r="DK34" s="103"/>
    </row>
    <row r="35" spans="2:115" s="135" customFormat="1" ht="15" x14ac:dyDescent="0.3">
      <c r="B35" s="139" t="s">
        <v>57</v>
      </c>
      <c r="C35" s="178">
        <v>31</v>
      </c>
      <c r="D35" s="179">
        <v>31</v>
      </c>
      <c r="E35" s="179">
        <v>45</v>
      </c>
      <c r="F35" s="179">
        <v>58</v>
      </c>
      <c r="G35" s="202">
        <f>G37*1000/G25</f>
        <v>42.975216317757891</v>
      </c>
      <c r="H35" s="134"/>
      <c r="I35" s="178">
        <v>40</v>
      </c>
      <c r="J35" s="179">
        <v>34</v>
      </c>
      <c r="K35" s="179">
        <v>49</v>
      </c>
      <c r="L35" s="179">
        <v>87</v>
      </c>
      <c r="M35" s="202">
        <f>M37*1000/M25</f>
        <v>55.451482918512227</v>
      </c>
      <c r="N35" s="134"/>
      <c r="O35" s="178">
        <v>53</v>
      </c>
      <c r="P35" s="179">
        <v>43</v>
      </c>
      <c r="Q35" s="179">
        <v>40</v>
      </c>
      <c r="R35" s="179">
        <v>25</v>
      </c>
      <c r="S35" s="202">
        <f>S37*1000/S25</f>
        <v>36.652067359454648</v>
      </c>
      <c r="T35" s="134"/>
      <c r="U35" s="211">
        <v>22</v>
      </c>
      <c r="V35" s="212">
        <v>35</v>
      </c>
      <c r="W35" s="212">
        <v>41</v>
      </c>
      <c r="X35" s="212">
        <v>50</v>
      </c>
      <c r="Y35" s="202">
        <f>Y37*1000/Y25</f>
        <v>34.963896183839836</v>
      </c>
      <c r="AA35" s="211">
        <v>48</v>
      </c>
      <c r="AB35" s="212">
        <v>33</v>
      </c>
      <c r="AC35" s="212">
        <v>43</v>
      </c>
      <c r="AD35" s="212">
        <v>39</v>
      </c>
      <c r="AE35" s="202">
        <f>AE37*1000/AE25</f>
        <v>40.395807364723929</v>
      </c>
      <c r="AG35" s="211">
        <v>52</v>
      </c>
      <c r="AH35" s="212">
        <v>56</v>
      </c>
      <c r="AI35" s="212">
        <v>80</v>
      </c>
      <c r="AJ35" s="212">
        <v>70</v>
      </c>
      <c r="AK35" s="202">
        <f>AK37*1000/AK25</f>
        <v>63.796497184732473</v>
      </c>
      <c r="AM35" s="211">
        <v>79</v>
      </c>
      <c r="AN35" s="212">
        <v>84</v>
      </c>
      <c r="AO35" s="212">
        <v>66</v>
      </c>
      <c r="AP35" s="212">
        <v>52</v>
      </c>
      <c r="AQ35" s="202">
        <f>AQ37*1000/AQ25</f>
        <v>69.464695891099353</v>
      </c>
      <c r="AS35" s="211">
        <v>56</v>
      </c>
      <c r="AT35" s="212">
        <v>58</v>
      </c>
      <c r="AU35" s="212">
        <v>51</v>
      </c>
      <c r="AV35" s="212">
        <v>54</v>
      </c>
      <c r="AW35" s="202">
        <f>AW37*1000/AW25</f>
        <v>54.724033147823889</v>
      </c>
      <c r="AY35" s="211">
        <v>62</v>
      </c>
      <c r="AZ35" s="212">
        <v>65</v>
      </c>
      <c r="BA35" s="212">
        <v>51</v>
      </c>
      <c r="BB35" s="212">
        <v>56</v>
      </c>
      <c r="BC35" s="202">
        <f>BC37*1000/BC25</f>
        <v>58.039605225538644</v>
      </c>
      <c r="BE35" s="211">
        <v>44</v>
      </c>
      <c r="BF35" s="212">
        <v>48</v>
      </c>
      <c r="BG35" s="212">
        <v>46</v>
      </c>
      <c r="BH35" s="212">
        <v>66</v>
      </c>
      <c r="BI35" s="202">
        <f>BI37*1000/BI25</f>
        <v>51.397035435577735</v>
      </c>
      <c r="BK35" s="211">
        <v>45</v>
      </c>
      <c r="BL35" s="212">
        <v>44</v>
      </c>
      <c r="BM35" s="212">
        <v>42</v>
      </c>
      <c r="BN35" s="212">
        <v>68</v>
      </c>
      <c r="BO35" s="202">
        <f>BO37*1000/BO25</f>
        <v>50.068744508631262</v>
      </c>
      <c r="BQ35" s="211">
        <f>BK35*(1+BQ36)</f>
        <v>54</v>
      </c>
      <c r="BR35" s="212">
        <f>BL35*(1+BR36)</f>
        <v>42.9</v>
      </c>
      <c r="BS35" s="212">
        <f>BM35*(1+BS36)</f>
        <v>42</v>
      </c>
      <c r="BT35" s="212">
        <f>BN35*(1+BT36)</f>
        <v>69.699999999999989</v>
      </c>
      <c r="BU35" s="202">
        <f>BU37*1000/BU25</f>
        <v>52.486822564557251</v>
      </c>
      <c r="BW35" s="211">
        <f>BQ35*(1+BW36)</f>
        <v>51.3</v>
      </c>
      <c r="BX35" s="212">
        <f>BR35*(1+BX36)</f>
        <v>40.754999999999995</v>
      </c>
      <c r="BY35" s="212">
        <f>BS35*(1+BY36)</f>
        <v>40.949999999999996</v>
      </c>
      <c r="BZ35" s="212">
        <f>BT35*(1+BZ36)</f>
        <v>67.957499999999982</v>
      </c>
      <c r="CA35" s="202">
        <f>CA37*1000/CA25</f>
        <v>50.500122559486186</v>
      </c>
      <c r="CC35" s="211">
        <f>BW35*(1+CC36)</f>
        <v>50.017499999999998</v>
      </c>
      <c r="CD35" s="212">
        <f>BX35*(1+CD36)</f>
        <v>39.736124999999994</v>
      </c>
      <c r="CE35" s="212">
        <f>BY35*(1+CE36)</f>
        <v>39.926249999999996</v>
      </c>
      <c r="CF35" s="212">
        <f>BZ35*(1+CF36)</f>
        <v>66.258562499999982</v>
      </c>
      <c r="CG35" s="202">
        <f>CG37*1000/CG25</f>
        <v>49.226695662109975</v>
      </c>
      <c r="CI35" s="211">
        <f>CC35*(1+CI36)</f>
        <v>51.267937499999995</v>
      </c>
      <c r="CJ35" s="212">
        <f>CD35*(1+CJ36)</f>
        <v>40.729528124999987</v>
      </c>
      <c r="CK35" s="212">
        <f>CE35*(1+CK36)</f>
        <v>40.92440624999999</v>
      </c>
      <c r="CL35" s="212">
        <f>CF35*(1+CL36)</f>
        <v>67.915026562499975</v>
      </c>
      <c r="CM35" s="202">
        <f>CM37*1000/CM25</f>
        <v>50.454864560951158</v>
      </c>
      <c r="CO35" s="211">
        <f>CI35*(1+CO36)</f>
        <v>52.549635937499993</v>
      </c>
      <c r="CP35" s="212">
        <f>CJ35*(1+CP36)</f>
        <v>41.747766328124982</v>
      </c>
      <c r="CQ35" s="212">
        <f>CK35*(1+CQ36)</f>
        <v>41.947516406249989</v>
      </c>
      <c r="CR35" s="212">
        <f>CL35*(1+CR36)</f>
        <v>69.612902226562468</v>
      </c>
      <c r="CS35" s="202">
        <f>CS37*1000/CS25</f>
        <v>51.713726278082127</v>
      </c>
      <c r="CU35" s="211">
        <f>CO35*(1+CU36)</f>
        <v>53.863376835937487</v>
      </c>
      <c r="CV35" s="212">
        <f>CP35*(1+CV36)</f>
        <v>42.791460486328106</v>
      </c>
      <c r="CW35" s="212">
        <f>CQ35*(1+CW36)</f>
        <v>42.996204316406235</v>
      </c>
      <c r="CX35" s="212">
        <f>CR35*(1+CX36)</f>
        <v>71.353224782226519</v>
      </c>
      <c r="CY35" s="202">
        <f>CY37*1000/CY25</f>
        <v>53.004047575653239</v>
      </c>
      <c r="DA35" s="211">
        <f>CU35*(1+DA36)</f>
        <v>55.209961256835918</v>
      </c>
      <c r="DB35" s="212">
        <f>CV35*(1+DB36)</f>
        <v>43.861246998486301</v>
      </c>
      <c r="DC35" s="212">
        <f>CW35*(1+DC36)</f>
        <v>44.07110942431639</v>
      </c>
      <c r="DD35" s="212">
        <f>CX35*(1+DD36)</f>
        <v>73.137055401782177</v>
      </c>
      <c r="DE35" s="202">
        <f>DE37*1000/DE25</f>
        <v>54.326614387437687</v>
      </c>
      <c r="DG35" s="211">
        <f>DA35*(1+DG36)</f>
        <v>56.590210288256813</v>
      </c>
      <c r="DH35" s="212">
        <f>DB35*(1+DH36)</f>
        <v>44.957778173448453</v>
      </c>
      <c r="DI35" s="212">
        <f>DC35*(1+DI36)</f>
        <v>45.172887159924294</v>
      </c>
      <c r="DJ35" s="212">
        <f>DD35*(1+DJ36)</f>
        <v>74.965481786826729</v>
      </c>
      <c r="DK35" s="202">
        <f>DK37*1000/DK25</f>
        <v>55.682232297655318</v>
      </c>
    </row>
    <row r="36" spans="2:115" ht="15" x14ac:dyDescent="0.3">
      <c r="B36" s="5" t="s">
        <v>23</v>
      </c>
      <c r="C36" s="144" t="s">
        <v>35</v>
      </c>
      <c r="D36" s="107" t="s">
        <v>35</v>
      </c>
      <c r="E36" s="107" t="s">
        <v>35</v>
      </c>
      <c r="F36" s="107" t="s">
        <v>35</v>
      </c>
      <c r="G36" s="138" t="s">
        <v>35</v>
      </c>
      <c r="I36" s="151">
        <f>I35/C35-1</f>
        <v>0.29032258064516125</v>
      </c>
      <c r="J36" s="133">
        <f>J35/D35-1</f>
        <v>9.6774193548387011E-2</v>
      </c>
      <c r="K36" s="133">
        <f>K35/E35-1</f>
        <v>8.8888888888888795E-2</v>
      </c>
      <c r="L36" s="133">
        <f>L35/F35-1</f>
        <v>0.5</v>
      </c>
      <c r="M36" s="153">
        <f>M35/G35-1</f>
        <v>0.29031306110259147</v>
      </c>
      <c r="O36" s="151">
        <f>O35/I35-1</f>
        <v>0.32499999999999996</v>
      </c>
      <c r="P36" s="133">
        <f>P35/J35-1</f>
        <v>0.26470588235294112</v>
      </c>
      <c r="Q36" s="133">
        <f>Q35/K35-1</f>
        <v>-0.18367346938775508</v>
      </c>
      <c r="R36" s="133">
        <f>R35/L35-1</f>
        <v>-0.71264367816091956</v>
      </c>
      <c r="S36" s="153">
        <f>S35/M35-1</f>
        <v>-0.33902457733518032</v>
      </c>
      <c r="U36" s="151">
        <f>U35/O35-1</f>
        <v>-0.58490566037735847</v>
      </c>
      <c r="V36" s="133">
        <f>V35/P35-1</f>
        <v>-0.18604651162790697</v>
      </c>
      <c r="W36" s="133">
        <f>W35/Q35-1</f>
        <v>2.4999999999999911E-2</v>
      </c>
      <c r="X36" s="133">
        <f>X35/R35-1</f>
        <v>1</v>
      </c>
      <c r="Y36" s="153">
        <f>Y35/S35-1</f>
        <v>-4.6059371196133569E-2</v>
      </c>
      <c r="AA36" s="151">
        <f>AA35/U35-1</f>
        <v>1.1818181818181817</v>
      </c>
      <c r="AB36" s="133">
        <f>AB35/V35-1</f>
        <v>-5.7142857142857162E-2</v>
      </c>
      <c r="AC36" s="133">
        <f>AC35/W35-1</f>
        <v>4.8780487804878092E-2</v>
      </c>
      <c r="AD36" s="133">
        <f>AD35/X35-1</f>
        <v>-0.21999999999999997</v>
      </c>
      <c r="AE36" s="153">
        <f>AE35/Y35-1</f>
        <v>0.1553577196409448</v>
      </c>
      <c r="AG36" s="151">
        <f>AG35/AA35-1</f>
        <v>8.3333333333333259E-2</v>
      </c>
      <c r="AH36" s="133">
        <f>AH35/AB35-1</f>
        <v>0.69696969696969702</v>
      </c>
      <c r="AI36" s="133">
        <f>AI35/AC35-1</f>
        <v>0.86046511627906974</v>
      </c>
      <c r="AJ36" s="133">
        <f>AJ35/AD35-1</f>
        <v>0.79487179487179493</v>
      </c>
      <c r="AK36" s="153">
        <f>AK35/AE35-1</f>
        <v>0.57928511265363269</v>
      </c>
      <c r="AM36" s="151">
        <f>AM35/AG35-1</f>
        <v>0.51923076923076916</v>
      </c>
      <c r="AN36" s="133">
        <f>AN35/AH35-1</f>
        <v>0.5</v>
      </c>
      <c r="AO36" s="133">
        <f>AO35/AI35-1</f>
        <v>-0.17500000000000004</v>
      </c>
      <c r="AP36" s="133">
        <f>AP35/AJ35-1</f>
        <v>-0.25714285714285712</v>
      </c>
      <c r="AQ36" s="153">
        <f>AQ35/AK35-1</f>
        <v>8.8848117945312E-2</v>
      </c>
      <c r="AS36" s="151">
        <f>AS35/AM35-1</f>
        <v>-0.29113924050632911</v>
      </c>
      <c r="AT36" s="133">
        <f>AT35/AN35-1</f>
        <v>-0.30952380952380953</v>
      </c>
      <c r="AU36" s="133">
        <f>AU35/AO35-1</f>
        <v>-0.22727272727272729</v>
      </c>
      <c r="AV36" s="133">
        <f>AV35/AP35-1</f>
        <v>3.8461538461538547E-2</v>
      </c>
      <c r="AW36" s="153">
        <f>AW35/AQ35-1</f>
        <v>-0.21220366049517558</v>
      </c>
      <c r="AY36" s="151">
        <f>AY35/AS35-1</f>
        <v>0.10714285714285721</v>
      </c>
      <c r="AZ36" s="133">
        <f>AZ35/AT35-1</f>
        <v>0.1206896551724137</v>
      </c>
      <c r="BA36" s="133">
        <f>BA35/AU35-1</f>
        <v>0</v>
      </c>
      <c r="BB36" s="133">
        <f>BB35/AV35-1</f>
        <v>3.7037037037036979E-2</v>
      </c>
      <c r="BC36" s="153">
        <f>BC35/AW35-1</f>
        <v>6.0587129401784567E-2</v>
      </c>
      <c r="BE36" s="151">
        <f>BE35/AY35-1</f>
        <v>-0.29032258064516125</v>
      </c>
      <c r="BF36" s="133">
        <f>BF35/AZ35-1</f>
        <v>-0.2615384615384615</v>
      </c>
      <c r="BG36" s="133">
        <f>BG35/BA35-1</f>
        <v>-9.8039215686274495E-2</v>
      </c>
      <c r="BH36" s="133">
        <f>BH35/BB35-1</f>
        <v>0.1785714285714286</v>
      </c>
      <c r="BI36" s="153">
        <f>BI35/BC35-1</f>
        <v>-0.11444891405012592</v>
      </c>
      <c r="BK36" s="151">
        <f>BK35/BE35-1</f>
        <v>2.2727272727272707E-2</v>
      </c>
      <c r="BL36" s="133">
        <f>BL35/BF35-1</f>
        <v>-8.333333333333337E-2</v>
      </c>
      <c r="BM36" s="133">
        <f>BM35/BG35-1</f>
        <v>-8.6956521739130488E-2</v>
      </c>
      <c r="BN36" s="133">
        <f>BN35/BH35-1</f>
        <v>3.0303030303030276E-2</v>
      </c>
      <c r="BO36" s="153">
        <f>BO35/BI35-1</f>
        <v>-2.5843726504642173E-2</v>
      </c>
      <c r="BQ36" s="151">
        <v>0.2</v>
      </c>
      <c r="BR36" s="133">
        <v>-2.5000000000000001E-2</v>
      </c>
      <c r="BS36" s="133">
        <v>0</v>
      </c>
      <c r="BT36" s="133">
        <v>2.5000000000000001E-2</v>
      </c>
      <c r="BU36" s="153">
        <f>BU35/BO35-1</f>
        <v>4.8295160576857343E-2</v>
      </c>
      <c r="BW36" s="151">
        <v>-0.05</v>
      </c>
      <c r="BX36" s="133">
        <v>-0.05</v>
      </c>
      <c r="BY36" s="133">
        <v>-2.5000000000000001E-2</v>
      </c>
      <c r="BZ36" s="133">
        <v>-2.5000000000000001E-2</v>
      </c>
      <c r="CA36" s="153">
        <f>CA35/BU35-1</f>
        <v>-3.7851405514736203E-2</v>
      </c>
      <c r="CC36" s="151">
        <v>-2.5000000000000001E-2</v>
      </c>
      <c r="CD36" s="133">
        <f>CC36</f>
        <v>-2.5000000000000001E-2</v>
      </c>
      <c r="CE36" s="133">
        <f>CD36</f>
        <v>-2.5000000000000001E-2</v>
      </c>
      <c r="CF36" s="133">
        <f>CE36</f>
        <v>-2.5000000000000001E-2</v>
      </c>
      <c r="CG36" s="153">
        <f>CG35/CA35-1</f>
        <v>-2.5216313007482061E-2</v>
      </c>
      <c r="CI36" s="151">
        <v>2.5000000000000001E-2</v>
      </c>
      <c r="CJ36" s="133">
        <v>2.5000000000000001E-2</v>
      </c>
      <c r="CK36" s="133">
        <v>2.5000000000000001E-2</v>
      </c>
      <c r="CL36" s="133">
        <v>2.5000000000000001E-2</v>
      </c>
      <c r="CM36" s="153">
        <f>CM35/CG35-1</f>
        <v>2.4949245167120049E-2</v>
      </c>
      <c r="CO36" s="151">
        <v>2.5000000000000001E-2</v>
      </c>
      <c r="CP36" s="133">
        <v>2.5000000000000001E-2</v>
      </c>
      <c r="CQ36" s="133">
        <v>2.5000000000000001E-2</v>
      </c>
      <c r="CR36" s="133">
        <v>2.5000000000000001E-2</v>
      </c>
      <c r="CS36" s="153">
        <f>CS35/CM35-1</f>
        <v>2.4950254610439426E-2</v>
      </c>
      <c r="CU36" s="151">
        <v>2.5000000000000001E-2</v>
      </c>
      <c r="CV36" s="133">
        <v>2.5000000000000001E-2</v>
      </c>
      <c r="CW36" s="133">
        <v>2.5000000000000001E-2</v>
      </c>
      <c r="CX36" s="133">
        <v>2.5000000000000001E-2</v>
      </c>
      <c r="CY36" s="153">
        <f>CY35/CS35-1</f>
        <v>2.4951234235812247E-2</v>
      </c>
      <c r="DA36" s="151">
        <v>2.5000000000000001E-2</v>
      </c>
      <c r="DB36" s="133">
        <v>2.5000000000000001E-2</v>
      </c>
      <c r="DC36" s="133">
        <v>2.5000000000000001E-2</v>
      </c>
      <c r="DD36" s="133">
        <v>2.5000000000000001E-2</v>
      </c>
      <c r="DE36" s="153">
        <f>DE35/CY35-1</f>
        <v>2.4952185206171817E-2</v>
      </c>
      <c r="DG36" s="151">
        <v>2.5000000000000001E-2</v>
      </c>
      <c r="DH36" s="133">
        <v>2.5000000000000001E-2</v>
      </c>
      <c r="DI36" s="133">
        <v>2.5000000000000001E-2</v>
      </c>
      <c r="DJ36" s="133">
        <v>2.5000000000000001E-2</v>
      </c>
      <c r="DK36" s="153">
        <f>DK35/DE35-1</f>
        <v>2.4953108628302356E-2</v>
      </c>
    </row>
    <row r="37" spans="2:115" ht="15" x14ac:dyDescent="0.3">
      <c r="B37" s="105" t="s">
        <v>55</v>
      </c>
      <c r="C37" s="193">
        <f>C25*C35/1000</f>
        <v>3.7677399999999999</v>
      </c>
      <c r="D37" s="194">
        <f>D35*D25/1000</f>
        <v>3.8168129999999993</v>
      </c>
      <c r="E37" s="194">
        <f>E35*E25/1000</f>
        <v>7.6227075000000006</v>
      </c>
      <c r="F37" s="194">
        <f>F35*F25/1000</f>
        <v>9.9862079999999995</v>
      </c>
      <c r="G37" s="159">
        <f>C37+D37+E37+F37</f>
        <v>25.193468500000002</v>
      </c>
      <c r="I37" s="193">
        <f>I25*I35/1000</f>
        <v>4.6445200000000009</v>
      </c>
      <c r="J37" s="194">
        <f>J35*J25/1000</f>
        <v>3.8745550000000004</v>
      </c>
      <c r="K37" s="194">
        <f>K35*K25/1000</f>
        <v>5.1694265000000001</v>
      </c>
      <c r="L37" s="194">
        <f>L35*L25/1000</f>
        <v>13.565735999999999</v>
      </c>
      <c r="M37" s="159">
        <f>I37+J37+K37+L37</f>
        <v>27.254237500000002</v>
      </c>
      <c r="N37" s="129"/>
      <c r="O37" s="193">
        <f>O25*O35/1000</f>
        <v>4.3586139999999993</v>
      </c>
      <c r="P37" s="194">
        <f>P35*P25/1000</f>
        <v>3.2581960000000003</v>
      </c>
      <c r="Q37" s="194">
        <f>Q35*Q25/1000</f>
        <v>3.2815999999999996</v>
      </c>
      <c r="R37" s="194">
        <f>R35*R25/1000</f>
        <v>4.5058125000000002</v>
      </c>
      <c r="S37" s="159">
        <f>O37+P37+Q37+R37</f>
        <v>15.404222499999999</v>
      </c>
      <c r="U37" s="193">
        <f>U25*U35/1000</f>
        <v>3.3423499999999993</v>
      </c>
      <c r="V37" s="194">
        <f>V35*V25/1000</f>
        <v>3.2333525000000001</v>
      </c>
      <c r="W37" s="194">
        <f>W35*W25/1000</f>
        <v>3.3514219999999999</v>
      </c>
      <c r="X37" s="194">
        <f>X35*X25/1000</f>
        <v>4.897549999999999</v>
      </c>
      <c r="Y37" s="159">
        <f>U37+V37+W37+X37</f>
        <v>14.824674499999999</v>
      </c>
      <c r="AA37" s="193">
        <f>AA35*AA25/1000</f>
        <v>3.1956480000000003</v>
      </c>
      <c r="AB37" s="194">
        <f>AB35*AB25/1000</f>
        <v>2.3369280000000003</v>
      </c>
      <c r="AC37" s="194">
        <f>AC35*AC25/1000</f>
        <v>2.8813010000000006</v>
      </c>
      <c r="AD37" s="194">
        <f>AD35*AD25/1000</f>
        <v>4.3871099999999998</v>
      </c>
      <c r="AE37" s="159">
        <f>AA37+AB37+AC37+AD37</f>
        <v>12.800987000000001</v>
      </c>
      <c r="AG37" s="193">
        <f>AG35*AG25/1000</f>
        <v>4.698459999999999</v>
      </c>
      <c r="AH37" s="194">
        <f>AH35*AH25/1000</f>
        <v>5.4020960000000002</v>
      </c>
      <c r="AI37" s="194">
        <f>AI35*AI25/1000</f>
        <v>6.2752800000000004</v>
      </c>
      <c r="AJ37" s="194">
        <f>AJ35*AJ25/1000</f>
        <v>6.1717599999999999</v>
      </c>
      <c r="AK37" s="159">
        <f>AG37+AH37+AI37+AJ37</f>
        <v>22.547595999999999</v>
      </c>
      <c r="AM37" s="193">
        <f>AM35*AM25/1000</f>
        <v>5.8934000000000006</v>
      </c>
      <c r="AN37" s="194">
        <f>AN35*AN25/1000</f>
        <v>6.1285560000000006</v>
      </c>
      <c r="AO37" s="194">
        <f>AO35*AO25/1000</f>
        <v>4.7287680000000005</v>
      </c>
      <c r="AP37" s="194">
        <f>AP35*AP25/1000</f>
        <v>4.5363499999999997</v>
      </c>
      <c r="AQ37" s="159">
        <f>AM37+AN37+AO37+AP37</f>
        <v>21.287074</v>
      </c>
      <c r="AS37" s="193">
        <f>AS35*AS25/1000</f>
        <v>4.6547480000000006</v>
      </c>
      <c r="AT37" s="194">
        <f>AT35*AT25/1000</f>
        <v>3.922714</v>
      </c>
      <c r="AU37" s="194">
        <f>AU35*AU25/1000</f>
        <v>3.6398700000000002</v>
      </c>
      <c r="AV37" s="194">
        <f>AV35*AV25/1000</f>
        <v>4.6120320000000001</v>
      </c>
      <c r="AW37" s="159">
        <f>AS37+AT37+AU37+AV37</f>
        <v>16.829364000000002</v>
      </c>
      <c r="AY37" s="193">
        <f>AY35*AY25/1000</f>
        <v>4.2301980000000006</v>
      </c>
      <c r="AZ37" s="194">
        <f>AZ35*AZ25/1000</f>
        <v>4.3268550000000001</v>
      </c>
      <c r="BA37" s="194">
        <f>BA35*BA25/1000</f>
        <v>3.774</v>
      </c>
      <c r="BB37" s="194">
        <f>BB35*BB25/1000</f>
        <v>5.8376359999999998</v>
      </c>
      <c r="BC37" s="159">
        <f>AY37+AZ37+BA37+BB37</f>
        <v>18.168689000000001</v>
      </c>
      <c r="BE37" s="193">
        <f>BE35*BE25/1000</f>
        <v>3.9505839999999997</v>
      </c>
      <c r="BF37" s="194">
        <f>BF35*BF25/1000</f>
        <v>3.6597120000000003</v>
      </c>
      <c r="BG37" s="194">
        <f>BG35*BG25/1000</f>
        <v>3.6410840000000002</v>
      </c>
      <c r="BH37" s="194">
        <f>BH35*BH25/1000</f>
        <v>6.1030860000000002</v>
      </c>
      <c r="BI37" s="159">
        <f>BE37+BF37+BG37+BH37</f>
        <v>17.354466000000002</v>
      </c>
      <c r="BK37" s="193">
        <f>BK35*BK25/1000</f>
        <v>4.4349750000000006</v>
      </c>
      <c r="BL37" s="194">
        <f>BL35*BL25/1000</f>
        <v>3.4615900000000002</v>
      </c>
      <c r="BM37" s="194">
        <f>BM35*BM25/1000</f>
        <v>3.5246399999999998</v>
      </c>
      <c r="BN37" s="194">
        <f>BN35*BN25/1000</f>
        <v>6.2728640000000002</v>
      </c>
      <c r="BO37" s="159">
        <f>BK37+BL37+BM37+BN37</f>
        <v>17.694068999999999</v>
      </c>
      <c r="BQ37" s="193">
        <f>BQ35*BQ25/1000</f>
        <v>4.4703360000000005</v>
      </c>
      <c r="BR37" s="194">
        <f>BR35*BR25/1000</f>
        <v>3.5545224000000002</v>
      </c>
      <c r="BS37" s="194">
        <f>BS35*BS25/1000</f>
        <v>3.6112440000000006</v>
      </c>
      <c r="BT37" s="194">
        <f>BT35*BT25/1000</f>
        <v>6.3602644000000002</v>
      </c>
      <c r="BU37" s="159">
        <f>BQ37+BR37+BS37+BT37</f>
        <v>17.996366800000004</v>
      </c>
      <c r="BW37" s="193">
        <f>BW35*BW25/1000</f>
        <v>4.6128318750000004</v>
      </c>
      <c r="BX37" s="194">
        <f>BX35*BX25/1000</f>
        <v>3.6722802187500001</v>
      </c>
      <c r="BY37" s="194">
        <f>BY35*BY25/1000</f>
        <v>3.6975290625000001</v>
      </c>
      <c r="BZ37" s="194">
        <f>BZ35*BZ25/1000</f>
        <v>6.4950380624999999</v>
      </c>
      <c r="CA37" s="159">
        <f>BW37+BX37+BY37+BZ37</f>
        <v>18.477679218750001</v>
      </c>
      <c r="CC37" s="193">
        <f>CC35*CC25/1000</f>
        <v>4.7161750837499996</v>
      </c>
      <c r="CD37" s="194">
        <f>CD35*CD25/1000</f>
        <v>3.7544876386874995</v>
      </c>
      <c r="CE37" s="194">
        <f>CE35*CE25/1000</f>
        <v>3.7802373131249993</v>
      </c>
      <c r="CF37" s="194">
        <f>CF35*CF25/1000</f>
        <v>6.6240672688124977</v>
      </c>
      <c r="CG37" s="159">
        <f>CC37+CD37+CE37+CF37</f>
        <v>18.874967304374998</v>
      </c>
      <c r="CI37" s="193">
        <f>CI35*CI25/1000</f>
        <v>4.8840656999062491</v>
      </c>
      <c r="CJ37" s="194">
        <f>CJ35*CJ25/1000</f>
        <v>3.8880611195765611</v>
      </c>
      <c r="CK37" s="194">
        <f>CK35*CK25/1000</f>
        <v>3.9146445420468741</v>
      </c>
      <c r="CL37" s="194">
        <f>CL35*CL25/1000</f>
        <v>6.8558861014312473</v>
      </c>
      <c r="CM37" s="159">
        <f>CI37+CJ37+CK37+CL37</f>
        <v>19.542657462960932</v>
      </c>
      <c r="CO37" s="193">
        <f>CO35*CO25/1000</f>
        <v>5.0574032374429683</v>
      </c>
      <c r="CP37" s="194">
        <f>CP35*CP25/1000</f>
        <v>4.025966719735897</v>
      </c>
      <c r="CQ37" s="194">
        <f>CQ35*CQ25/1000</f>
        <v>4.0534094840941393</v>
      </c>
      <c r="CR37" s="194">
        <f>CR35*CR25/1000</f>
        <v>7.0951558336379268</v>
      </c>
      <c r="CS37" s="159">
        <f>CO37+CP37+CQ37+CR37</f>
        <v>20.231935274910931</v>
      </c>
      <c r="CU37" s="193">
        <f>CU35*CU25/1000</f>
        <v>5.2363551107940811</v>
      </c>
      <c r="CV37" s="194">
        <f>CV35*CV25/1000</f>
        <v>4.1683375617034635</v>
      </c>
      <c r="CW37" s="194">
        <f>CW35*CW25/1000</f>
        <v>4.1966660204049893</v>
      </c>
      <c r="CX37" s="194">
        <f>CX35*CX25/1000</f>
        <v>7.3421041236415441</v>
      </c>
      <c r="CY37" s="159">
        <f>CU37+CV37+CW37+CX37</f>
        <v>20.943462816544077</v>
      </c>
      <c r="DA37" s="193">
        <f>DA35*DA25/1000</f>
        <v>5.4210937007893474</v>
      </c>
      <c r="DB37" s="194">
        <f>DB35*DB25/1000</f>
        <v>4.3153107165695737</v>
      </c>
      <c r="DC37" s="194">
        <f>DC35*DC25/1000</f>
        <v>4.3445520026038222</v>
      </c>
      <c r="DD37" s="194">
        <f>DD35*DD25/1000</f>
        <v>7.5969653557493206</v>
      </c>
      <c r="DE37" s="159">
        <f>DA37+DB37+DC37+DD37</f>
        <v>21.677921775712065</v>
      </c>
      <c r="DG37" s="193">
        <f>DG35*DG25/1000</f>
        <v>5.6117964983401309</v>
      </c>
      <c r="DH37" s="194">
        <f>DH35*DH25/1000</f>
        <v>4.4670273182029252</v>
      </c>
      <c r="DI37" s="194">
        <f>DI35*DI25/1000</f>
        <v>4.4972093676498428</v>
      </c>
      <c r="DJ37" s="194">
        <f>DJ35*DJ25/1000</f>
        <v>7.8599808343852091</v>
      </c>
      <c r="DK37" s="159">
        <f>DG37+DH37+DI37+DJ37</f>
        <v>22.43601401857811</v>
      </c>
    </row>
    <row r="38" spans="2:115" ht="15" x14ac:dyDescent="0.3">
      <c r="B38" s="5" t="s">
        <v>23</v>
      </c>
      <c r="C38" s="144" t="s">
        <v>35</v>
      </c>
      <c r="D38" s="107" t="s">
        <v>35</v>
      </c>
      <c r="E38" s="107" t="s">
        <v>35</v>
      </c>
      <c r="F38" s="107" t="s">
        <v>35</v>
      </c>
      <c r="G38" s="138" t="s">
        <v>35</v>
      </c>
      <c r="I38" s="151">
        <f>I37/C37-1</f>
        <v>0.23270714008928461</v>
      </c>
      <c r="J38" s="133">
        <f>J37/D37-1</f>
        <v>1.512832826758892E-2</v>
      </c>
      <c r="K38" s="133">
        <f>K37/E37-1</f>
        <v>-0.32183853309339239</v>
      </c>
      <c r="L38" s="133">
        <f>L37/F37-1</f>
        <v>0.35844717033732931</v>
      </c>
      <c r="M38" s="153">
        <f>M37/G37-1</f>
        <v>8.1797748491836408E-2</v>
      </c>
      <c r="O38" s="151">
        <f>O37/I37-1</f>
        <v>-6.1557706716733107E-2</v>
      </c>
      <c r="P38" s="133">
        <f>P37/J37-1</f>
        <v>-0.15907865548430722</v>
      </c>
      <c r="Q38" s="133">
        <f>Q37/K37-1</f>
        <v>-0.36519070345617655</v>
      </c>
      <c r="R38" s="133">
        <f>R37/L37-1</f>
        <v>-0.66785344341066344</v>
      </c>
      <c r="S38" s="153">
        <f>S37/M37-1</f>
        <v>-0.43479532311259861</v>
      </c>
      <c r="U38" s="151">
        <f>U37/O37-1</f>
        <v>-0.23316219330273347</v>
      </c>
      <c r="V38" s="133">
        <f>V37/P37-1</f>
        <v>-7.6249249584739998E-3</v>
      </c>
      <c r="W38" s="133">
        <f>W37/Q37-1</f>
        <v>2.1276816187225878E-2</v>
      </c>
      <c r="X38" s="133">
        <f>X37/R37-1</f>
        <v>8.6940479658218939E-2</v>
      </c>
      <c r="Y38" s="153">
        <f>Y37/S37-1</f>
        <v>-3.7622671316257628E-2</v>
      </c>
      <c r="AA38" s="151">
        <f>AA37/U37-1</f>
        <v>-4.3891872484927985E-2</v>
      </c>
      <c r="AB38" s="133">
        <f>AB37/V37-1</f>
        <v>-0.27724304727059601</v>
      </c>
      <c r="AC38" s="133">
        <f>AC37/W37-1</f>
        <v>-0.14027508323332583</v>
      </c>
      <c r="AD38" s="133">
        <f>AD37/X37-1</f>
        <v>-0.1042235403415992</v>
      </c>
      <c r="AE38" s="153">
        <f>AE37/Y37-1</f>
        <v>-0.13650805621398288</v>
      </c>
      <c r="AG38" s="151">
        <f>AG37/AA37-1</f>
        <v>0.47026831490827492</v>
      </c>
      <c r="AH38" s="133">
        <f>AH37/AB37-1</f>
        <v>1.3116227799915099</v>
      </c>
      <c r="AI38" s="133">
        <f>AI37/AC37-1</f>
        <v>1.1779328157662108</v>
      </c>
      <c r="AJ38" s="133">
        <f>AJ37/AD37-1</f>
        <v>0.40679399422398799</v>
      </c>
      <c r="AK38" s="153">
        <f>AK37/AE37-1</f>
        <v>0.7613951174233673</v>
      </c>
      <c r="AM38" s="151">
        <f>AM37/AG37-1</f>
        <v>0.2543258855029098</v>
      </c>
      <c r="AN38" s="133">
        <f>AN37/AH37-1</f>
        <v>0.13447743246325139</v>
      </c>
      <c r="AO38" s="133">
        <f>AO37/AI37-1</f>
        <v>-0.24644509886411436</v>
      </c>
      <c r="AP38" s="133">
        <f>AP37/AJ37-1</f>
        <v>-0.26498276018510125</v>
      </c>
      <c r="AQ38" s="153">
        <f>AQ37/AK37-1</f>
        <v>-5.5904939932398978E-2</v>
      </c>
      <c r="AS38" s="151">
        <f>AS37/AM37-1</f>
        <v>-0.2101761292293074</v>
      </c>
      <c r="AT38" s="133">
        <f>AT37/AN37-1</f>
        <v>-0.35992850518131847</v>
      </c>
      <c r="AU38" s="133">
        <f>AU37/AO37-1</f>
        <v>-0.23027097121279794</v>
      </c>
      <c r="AV38" s="133">
        <f>AV37/AP37-1</f>
        <v>1.6683456964299515E-2</v>
      </c>
      <c r="AW38" s="153">
        <f>AW37/AQ37-1</f>
        <v>-0.20940924055602939</v>
      </c>
      <c r="AY38" s="151">
        <f>AY37/AS37-1</f>
        <v>-9.1207945091764331E-2</v>
      </c>
      <c r="AZ38" s="133">
        <f>AZ37/AT37-1</f>
        <v>0.1030258642358326</v>
      </c>
      <c r="BA38" s="133">
        <f>BA37/AU37-1</f>
        <v>3.6850217178086009E-2</v>
      </c>
      <c r="BB38" s="133">
        <f>BB37/AV37-1</f>
        <v>0.26574056728140638</v>
      </c>
      <c r="BC38" s="153">
        <f>BC37/AW37-1</f>
        <v>7.9582627127204431E-2</v>
      </c>
      <c r="BE38" s="151">
        <f>BE37/AY37-1</f>
        <v>-6.6099506453362489E-2</v>
      </c>
      <c r="BF38" s="133">
        <f>BF37/AZ37-1</f>
        <v>-0.15418658586895095</v>
      </c>
      <c r="BG38" s="133">
        <f>BG37/BA37-1</f>
        <v>-3.5218865924748211E-2</v>
      </c>
      <c r="BH38" s="133">
        <f>BH37/BB37-1</f>
        <v>4.5472174010164457E-2</v>
      </c>
      <c r="BI38" s="153">
        <f>BI37/BC37-1</f>
        <v>-4.4814625865410407E-2</v>
      </c>
      <c r="BK38" s="151">
        <f>BK37/BE37-1</f>
        <v>0.12261250488535391</v>
      </c>
      <c r="BL38" s="133">
        <f>BL37/BF37-1</f>
        <v>-5.4135953867408215E-2</v>
      </c>
      <c r="BM38" s="133">
        <f>BM37/BG37-1</f>
        <v>-3.1980586001311817E-2</v>
      </c>
      <c r="BN38" s="133">
        <f>BN37/BH37-1</f>
        <v>2.7818385649489352E-2</v>
      </c>
      <c r="BO38" s="153">
        <f>BO37/BI37-1</f>
        <v>1.9568622854774009E-2</v>
      </c>
      <c r="BQ38" s="151">
        <f>BQ37/BK37-1</f>
        <v>7.9732129267922058E-3</v>
      </c>
      <c r="BR38" s="133">
        <f>BR37/BL37-1</f>
        <v>2.6846738059677744E-2</v>
      </c>
      <c r="BS38" s="133">
        <f>BS37/BM37-1</f>
        <v>2.4571020019066081E-2</v>
      </c>
      <c r="BT38" s="133">
        <f>BT37/BN37-1</f>
        <v>1.3933093400398944E-2</v>
      </c>
      <c r="BU38" s="153">
        <f>BU37/BO37-1</f>
        <v>1.7084696572620128E-2</v>
      </c>
      <c r="BW38" s="151">
        <f>BW37/BQ37-1</f>
        <v>3.1875875773096141E-2</v>
      </c>
      <c r="BX38" s="133">
        <f>BX37/BR37-1</f>
        <v>3.3129012986385931E-2</v>
      </c>
      <c r="BY38" s="133">
        <f>BY37/BS37-1</f>
        <v>2.3893445721197226E-2</v>
      </c>
      <c r="BZ38" s="133">
        <f>BZ37/BT37-1</f>
        <v>2.1189946521720016E-2</v>
      </c>
      <c r="CA38" s="153">
        <f>CA37/BU37-1</f>
        <v>2.6744977144497639E-2</v>
      </c>
      <c r="CC38" s="151">
        <f>CC37/BW37-1</f>
        <v>2.2403419753944442E-2</v>
      </c>
      <c r="CD38" s="133">
        <f>CD37/BX37-1</f>
        <v>2.2385933273219027E-2</v>
      </c>
      <c r="CE38" s="133">
        <f>CE37/BY37-1</f>
        <v>2.2368519415795429E-2</v>
      </c>
      <c r="CF38" s="133">
        <f>CF37/BZ37-1</f>
        <v>1.9865812189379772E-2</v>
      </c>
      <c r="CG38" s="153">
        <f>CG37/CA37-1</f>
        <v>2.1500973196993955E-2</v>
      </c>
      <c r="CI38" s="151">
        <f>CI37/CC37-1</f>
        <v>3.5598893844024371E-2</v>
      </c>
      <c r="CJ38" s="133">
        <f>CJ37/CD37-1</f>
        <v>3.5577019754353678E-2</v>
      </c>
      <c r="CK38" s="133">
        <f>CK37/CE37-1</f>
        <v>3.5555235766604465E-2</v>
      </c>
      <c r="CL38" s="133">
        <f>CL37/CF37-1</f>
        <v>3.4996449041241107E-2</v>
      </c>
      <c r="CM38" s="153">
        <f>CM37/CG37-1</f>
        <v>3.5374374313812629E-2</v>
      </c>
      <c r="CO38" s="151">
        <f>CO37/CI37-1</f>
        <v>3.5490418881966912E-2</v>
      </c>
      <c r="CP38" s="133">
        <f>CP37/CJ37-1</f>
        <v>3.5468989791589189E-2</v>
      </c>
      <c r="CQ38" s="133">
        <f>CQ37/CK37-1</f>
        <v>3.5447648070419335E-2</v>
      </c>
      <c r="CR38" s="133">
        <f>CR37/CL37-1</f>
        <v>3.4899898957879261E-2</v>
      </c>
      <c r="CS38" s="153">
        <f>CS37/CM37-1</f>
        <v>3.527042385388901E-2</v>
      </c>
      <c r="CU38" s="151">
        <f>CU37/CO37-1</f>
        <v>3.5384141811399594E-2</v>
      </c>
      <c r="CV38" s="133">
        <f>CV37/CP37-1</f>
        <v>3.5363144277781311E-2</v>
      </c>
      <c r="CW38" s="133">
        <f>CW37/CQ37-1</f>
        <v>3.5342231490057552E-2</v>
      </c>
      <c r="CX38" s="133">
        <f>CX37/CR37-1</f>
        <v>3.4805196079392919E-2</v>
      </c>
      <c r="CY38" s="153">
        <f>CY37/CS37-1</f>
        <v>3.5168535879782636E-2</v>
      </c>
      <c r="DA38" s="151">
        <f>DA37/CU37-1</f>
        <v>3.5279996502615152E-2</v>
      </c>
      <c r="DB38" s="133">
        <f>DB37/CV37-1</f>
        <v>3.5259417619250444E-2</v>
      </c>
      <c r="DC38" s="133">
        <f>DC37/CW37-1</f>
        <v>3.5238920962445741E-2</v>
      </c>
      <c r="DD38" s="133">
        <f>DD37/CX37-1</f>
        <v>3.471228789675207E-2</v>
      </c>
      <c r="DE38" s="153">
        <f>DE37/CY37-1</f>
        <v>3.5068649611649239E-2</v>
      </c>
      <c r="DG38" s="151">
        <f>DG37/DA37-1</f>
        <v>3.5177919452492823E-2</v>
      </c>
      <c r="DH38" s="133">
        <f>DH37/DB37-1</f>
        <v>3.5157746822448432E-2</v>
      </c>
      <c r="DI38" s="133">
        <f>DI37/DC37-1</f>
        <v>3.5137653998508656E-2</v>
      </c>
      <c r="DJ38" s="133">
        <f>DJ37/DD37-1</f>
        <v>3.4621123872421E-2</v>
      </c>
      <c r="DK38" s="153">
        <f>DK37/DE37-1</f>
        <v>3.4970706634591231E-2</v>
      </c>
    </row>
    <row r="39" spans="2:115" ht="15" x14ac:dyDescent="0.3">
      <c r="B39" s="5"/>
      <c r="C39" s="144"/>
      <c r="D39" s="107"/>
      <c r="E39" s="107"/>
      <c r="F39" s="107"/>
      <c r="G39" s="138"/>
      <c r="I39" s="144"/>
      <c r="J39" s="107"/>
      <c r="K39" s="107"/>
      <c r="L39" s="107"/>
      <c r="M39" s="138"/>
      <c r="O39" s="144"/>
      <c r="P39" s="107"/>
      <c r="Q39" s="107"/>
      <c r="R39" s="107"/>
      <c r="S39" s="138"/>
      <c r="U39" s="144"/>
      <c r="V39" s="107"/>
      <c r="W39" s="107"/>
      <c r="X39" s="145"/>
      <c r="Y39" s="138"/>
      <c r="AA39" s="144"/>
      <c r="AB39" s="107"/>
      <c r="AC39" s="107"/>
      <c r="AD39" s="145"/>
      <c r="AE39" s="145"/>
      <c r="AG39" s="144"/>
      <c r="AH39" s="107"/>
      <c r="AI39" s="107"/>
      <c r="AJ39" s="145"/>
      <c r="AK39" s="145"/>
      <c r="AM39" s="144"/>
      <c r="AN39" s="107"/>
      <c r="AO39" s="107"/>
      <c r="AP39" s="107"/>
      <c r="AQ39" s="138"/>
      <c r="AS39" s="144"/>
      <c r="AT39" s="107"/>
      <c r="AU39" s="107"/>
      <c r="AV39" s="107"/>
      <c r="AW39" s="138"/>
      <c r="AY39" s="144"/>
      <c r="AZ39" s="107"/>
      <c r="BA39" s="107"/>
      <c r="BB39" s="107"/>
      <c r="BC39" s="138"/>
      <c r="BE39" s="144"/>
      <c r="BF39" s="107"/>
      <c r="BG39" s="107"/>
      <c r="BH39" s="107"/>
      <c r="BI39" s="138"/>
      <c r="BK39" s="144"/>
      <c r="BL39" s="107"/>
      <c r="BM39" s="107"/>
      <c r="BN39" s="107"/>
      <c r="BO39" s="138"/>
      <c r="BQ39" s="144"/>
      <c r="BR39" s="107"/>
      <c r="BS39" s="107"/>
      <c r="BT39" s="145"/>
      <c r="BU39" s="145"/>
      <c r="BW39" s="144"/>
      <c r="BX39" s="107"/>
      <c r="BY39" s="107"/>
      <c r="BZ39" s="145"/>
      <c r="CA39" s="145"/>
      <c r="CC39" s="144"/>
      <c r="CD39" s="107"/>
      <c r="CE39" s="107"/>
      <c r="CF39" s="145"/>
      <c r="CG39" s="145"/>
      <c r="CI39" s="144"/>
      <c r="CJ39" s="107"/>
      <c r="CK39" s="107"/>
      <c r="CL39" s="145"/>
      <c r="CM39" s="145"/>
      <c r="CO39" s="144"/>
      <c r="CP39" s="107"/>
      <c r="CQ39" s="107"/>
      <c r="CR39" s="145"/>
      <c r="CS39" s="145"/>
      <c r="CU39" s="144"/>
      <c r="CV39" s="107"/>
      <c r="CW39" s="107"/>
      <c r="CX39" s="145"/>
      <c r="CY39" s="145"/>
      <c r="DA39" s="144"/>
      <c r="DB39" s="107"/>
      <c r="DC39" s="107"/>
      <c r="DD39" s="145"/>
      <c r="DE39" s="145"/>
      <c r="DG39" s="144"/>
      <c r="DH39" s="107"/>
      <c r="DI39" s="107"/>
      <c r="DJ39" s="145"/>
      <c r="DK39" s="145"/>
    </row>
    <row r="40" spans="2:115" ht="15" x14ac:dyDescent="0.3">
      <c r="B40" s="105" t="s">
        <v>53</v>
      </c>
      <c r="C40" s="203">
        <f>C32-C37-C46</f>
        <v>56.232259999999997</v>
      </c>
      <c r="D40" s="204">
        <f>D32-D37-D46</f>
        <v>66.183187000000004</v>
      </c>
      <c r="E40" s="204">
        <f>E32-E37-E46</f>
        <v>72.377292499999996</v>
      </c>
      <c r="F40" s="204">
        <f>F32-F37-F46</f>
        <v>87.013791999999995</v>
      </c>
      <c r="G40" s="159">
        <f>C40+D40+E40+F40</f>
        <v>281.80653150000001</v>
      </c>
      <c r="H40" s="197"/>
      <c r="I40" s="203">
        <f>I32-I37-I46</f>
        <v>62.35548</v>
      </c>
      <c r="J40" s="204">
        <f>J32-J37-J46</f>
        <v>69.125445000000013</v>
      </c>
      <c r="K40" s="204">
        <f>K32-K37-K46</f>
        <v>76.830573500000014</v>
      </c>
      <c r="L40" s="204">
        <f>L32-L37-L46</f>
        <v>105.43426400000001</v>
      </c>
      <c r="M40" s="159">
        <f>I40+J40+K40+L40</f>
        <v>313.74576250000007</v>
      </c>
      <c r="N40" s="197"/>
      <c r="O40" s="203">
        <f>O32-O37-O46</f>
        <v>67.641386000000011</v>
      </c>
      <c r="P40" s="204">
        <f>P32-P37-P46</f>
        <v>68.741804000000002</v>
      </c>
      <c r="Q40" s="204">
        <f>Q32-Q37-Q46</f>
        <v>65.718400000000003</v>
      </c>
      <c r="R40" s="204">
        <f>R32-R37-R46</f>
        <v>81.49418750000001</v>
      </c>
      <c r="S40" s="159">
        <f>O40+P40+Q40+R40</f>
        <v>283.59577750000005</v>
      </c>
      <c r="T40" s="114"/>
      <c r="U40" s="203">
        <f>U32-U37-U46</f>
        <v>61.657650000000004</v>
      </c>
      <c r="V40" s="204">
        <f>V32-V37-V46</f>
        <v>60.766647500000005</v>
      </c>
      <c r="W40" s="204">
        <f>W32-W37-W46</f>
        <v>59.648578000000001</v>
      </c>
      <c r="X40" s="204">
        <f>X32-X37-X46</f>
        <v>73.102450000000005</v>
      </c>
      <c r="Y40" s="159">
        <f>U40+V40+W40+X40</f>
        <v>255.17532550000001</v>
      </c>
      <c r="AA40" s="203">
        <f>AA32-AA37-AA46</f>
        <v>54.804351999999994</v>
      </c>
      <c r="AB40" s="204">
        <f>AB32-AB37-AB46</f>
        <v>56.663072</v>
      </c>
      <c r="AC40" s="204">
        <f>AC32-AC37-AC46</f>
        <v>54.118698999999992</v>
      </c>
      <c r="AD40" s="204">
        <f>AD32-AD37-AD46</f>
        <v>63.612889999999993</v>
      </c>
      <c r="AE40" s="159">
        <f>AA40+AB40+AC40+AD40</f>
        <v>229.19901299999998</v>
      </c>
      <c r="AG40" s="203">
        <f>AG32-AG37-AG46</f>
        <v>53.301540000000003</v>
      </c>
      <c r="AH40" s="204">
        <f>AH32-AH37-AH46</f>
        <v>55.597904</v>
      </c>
      <c r="AI40" s="204">
        <f>AI32-AI37-AI46</f>
        <v>49.724720000000005</v>
      </c>
      <c r="AJ40" s="204">
        <f>AJ32-AJ37-AJ46</f>
        <v>56.828239999999994</v>
      </c>
      <c r="AK40" s="159">
        <f>AG40+AH40+AI40+AJ40</f>
        <v>215.452404</v>
      </c>
      <c r="AM40" s="203">
        <f>AM32-AM37-AM46</f>
        <v>46.1066</v>
      </c>
      <c r="AN40" s="204">
        <f>AN32-AN37-AN46</f>
        <v>56.871443999999997</v>
      </c>
      <c r="AO40" s="204">
        <f>AO32-AO37-AO46</f>
        <v>44.271231999999998</v>
      </c>
      <c r="AP40" s="204">
        <f>AP32-AP37-AP46</f>
        <v>54.463650000000001</v>
      </c>
      <c r="AQ40" s="159">
        <f>AM40+AN40+AO40+AP40</f>
        <v>201.71292600000001</v>
      </c>
      <c r="AS40" s="203">
        <f>AS32-AS37-AS46</f>
        <v>45.345252000000002</v>
      </c>
      <c r="AT40" s="204">
        <f>AT32-AT37-AT46</f>
        <v>46.367286</v>
      </c>
      <c r="AU40" s="204">
        <f>AU32-AU37-AU46</f>
        <v>42.520129999999995</v>
      </c>
      <c r="AV40" s="204">
        <f ca="1">AV32-AV37-AV46</f>
        <v>47.337564953271034</v>
      </c>
      <c r="AW40" s="159">
        <f ca="1">AS40+AT40+AU40+AV40</f>
        <v>181.57023295327102</v>
      </c>
      <c r="AY40" s="203">
        <f>AY32-AY37-AY46</f>
        <v>45.769801999999999</v>
      </c>
      <c r="AZ40" s="204">
        <f>AZ32-AZ37-AZ46</f>
        <v>41.673145000000005</v>
      </c>
      <c r="BA40" s="204">
        <f>BA32-BA37-BA46</f>
        <v>40.385999999999996</v>
      </c>
      <c r="BB40" s="204">
        <f ca="1">BB32-BB37-BB46</f>
        <v>49.597924634654206</v>
      </c>
      <c r="BC40" s="159">
        <f ca="1">AY40+AZ40+BA40+BB40</f>
        <v>177.42687163465422</v>
      </c>
      <c r="BE40" s="203">
        <f>BE32-BE37-BE46</f>
        <v>43.26141599999999</v>
      </c>
      <c r="BF40" s="204">
        <f>BF32-BF37-BF46</f>
        <v>42.702288000000003</v>
      </c>
      <c r="BG40" s="204">
        <f>BG32-BG37-BG46</f>
        <v>42.51891599999999</v>
      </c>
      <c r="BH40" s="204">
        <f ca="1">BH32-BH37-BH46</f>
        <v>53.403972254979927</v>
      </c>
      <c r="BI40" s="159">
        <f ca="1">BE40+BF40+BG40+BH40</f>
        <v>181.88659225497992</v>
      </c>
      <c r="BK40" s="203">
        <f>BK32-BK37-BK46</f>
        <v>45.346268999999999</v>
      </c>
      <c r="BL40" s="204">
        <f>BL32-BL37-BL46</f>
        <v>43.809460000000001</v>
      </c>
      <c r="BM40" s="204">
        <f>BM32-BM37-BM46</f>
        <v>39.913119999999992</v>
      </c>
      <c r="BN40" s="204">
        <f ca="1">BN32-BN37-BN46</f>
        <v>47.377717701952022</v>
      </c>
      <c r="BO40" s="159">
        <f ca="1">BK40+BL40+BM40+BN40</f>
        <v>176.44656670195201</v>
      </c>
      <c r="BQ40" s="203">
        <f>BQ32*BQ43</f>
        <v>43.004500790956754</v>
      </c>
      <c r="BR40" s="204">
        <f>BR32*BR43</f>
        <v>41.98180520250073</v>
      </c>
      <c r="BS40" s="204">
        <f>BS32*BS43</f>
        <v>38.518518872184295</v>
      </c>
      <c r="BT40" s="204">
        <f ca="1">BT32*BT43</f>
        <v>48.186457570660089</v>
      </c>
      <c r="BU40" s="159">
        <f ca="1">BQ40+BR40+BS40+BT40</f>
        <v>171.69128243630186</v>
      </c>
      <c r="BW40" s="203">
        <f>BW32*BW43</f>
        <v>44.043794408537643</v>
      </c>
      <c r="BX40" s="204">
        <f>BX32*BX43</f>
        <v>42.864206111836438</v>
      </c>
      <c r="BY40" s="204">
        <f>BY32*BY43</f>
        <v>39.260608322288221</v>
      </c>
      <c r="BZ40" s="204">
        <f ca="1">BZ32*BZ43</f>
        <v>48.967334217540973</v>
      </c>
      <c r="CA40" s="159">
        <f ca="1">BW40+BX40+BY40+BZ40</f>
        <v>175.13594306020329</v>
      </c>
      <c r="CC40" s="203">
        <f>CC32*CC43</f>
        <v>44.822968599729926</v>
      </c>
      <c r="CD40" s="204">
        <f>CD32*CD43</f>
        <v>43.609698521660583</v>
      </c>
      <c r="CE40" s="204">
        <f>CE32*CE43</f>
        <v>39.998828495535108</v>
      </c>
      <c r="CF40" s="204">
        <f ca="1">CF32*CF43</f>
        <v>49.842458919585361</v>
      </c>
      <c r="CG40" s="159">
        <f ca="1">CC40+CD40+CE40+CF40</f>
        <v>178.27395453651098</v>
      </c>
      <c r="CI40" s="203">
        <f>CI32*CI43</f>
        <v>45.553420146028941</v>
      </c>
      <c r="CJ40" s="204">
        <f>CJ32*CJ43</f>
        <v>44.308517545035897</v>
      </c>
      <c r="CK40" s="204">
        <f>CK32*CK43</f>
        <v>40.691930905705739</v>
      </c>
      <c r="CL40" s="204">
        <f ca="1">CL32*CL43</f>
        <v>50.663485345643082</v>
      </c>
      <c r="CM40" s="159">
        <f ca="1">CI40+CJ40+CK40+CL40</f>
        <v>181.21735394241364</v>
      </c>
      <c r="CO40" s="203">
        <f>CO32*CO43</f>
        <v>46.237686950531881</v>
      </c>
      <c r="CP40" s="204">
        <f>CP32*CP43</f>
        <v>44.964660993939908</v>
      </c>
      <c r="CQ40" s="204">
        <f>CQ32*CQ43</f>
        <v>41.342874155150334</v>
      </c>
      <c r="CR40" s="204">
        <f ca="1">CR32*CR43</f>
        <v>51.429817308497682</v>
      </c>
      <c r="CS40" s="159">
        <f ca="1">CO40+CP40+CQ40+CR40</f>
        <v>183.97503940811981</v>
      </c>
      <c r="CU40" s="203">
        <f>CU32*CU43</f>
        <v>46.978787563357351</v>
      </c>
      <c r="CV40" s="204">
        <f>CV32*CV43</f>
        <v>45.675364119878488</v>
      </c>
      <c r="CW40" s="204">
        <f>CW32*CW43</f>
        <v>42.045702481421614</v>
      </c>
      <c r="CX40" s="204">
        <f ca="1">CX32*CX43</f>
        <v>52.259643768091003</v>
      </c>
      <c r="CY40" s="159">
        <f ca="1">CU40+CV40+CW40+CX40</f>
        <v>186.95949793274843</v>
      </c>
      <c r="DA40" s="203">
        <f>DA32*DA43</f>
        <v>47.778590312673877</v>
      </c>
      <c r="DB40" s="204">
        <f>DB32*DB43</f>
        <v>46.442410763192306</v>
      </c>
      <c r="DC40" s="204">
        <f>DC32*DC43</f>
        <v>42.802197960315169</v>
      </c>
      <c r="DD40" s="204">
        <f ca="1">DD32*DD43</f>
        <v>53.154978835161238</v>
      </c>
      <c r="DE40" s="159">
        <f ca="1">DA40+DB40+DC40+DD40</f>
        <v>190.1781778713426</v>
      </c>
      <c r="DG40" s="203">
        <f>DG32*DG43</f>
        <v>48.639029491399313</v>
      </c>
      <c r="DH40" s="204">
        <f>DH32*DH43</f>
        <v>47.267647362749791</v>
      </c>
      <c r="DI40" s="204">
        <f>DI32*DI43</f>
        <v>43.614205321801052</v>
      </c>
      <c r="DJ40" s="204">
        <f ca="1">DJ32*DJ43</f>
        <v>54.117909512712259</v>
      </c>
      <c r="DK40" s="159">
        <f ca="1">DG40+DH40+DI40+DJ40</f>
        <v>193.63879168866242</v>
      </c>
    </row>
    <row r="41" spans="2:115" ht="15" x14ac:dyDescent="0.3">
      <c r="B41" s="40" t="s">
        <v>23</v>
      </c>
      <c r="C41" s="144" t="s">
        <v>35</v>
      </c>
      <c r="D41" s="107" t="s">
        <v>35</v>
      </c>
      <c r="E41" s="107" t="s">
        <v>35</v>
      </c>
      <c r="F41" s="107" t="s">
        <v>35</v>
      </c>
      <c r="G41" s="138" t="s">
        <v>35</v>
      </c>
      <c r="I41" s="151">
        <f>I40/C40-1</f>
        <v>0.10889158643099184</v>
      </c>
      <c r="J41" s="133">
        <f>J40/D40-1</f>
        <v>4.4456275579476179E-2</v>
      </c>
      <c r="K41" s="133">
        <f>K40/E40-1</f>
        <v>6.152870390944809E-2</v>
      </c>
      <c r="L41" s="133">
        <f>L40/F40-1</f>
        <v>0.21169600331864658</v>
      </c>
      <c r="M41" s="153">
        <f>M40/G40-1</f>
        <v>0.11333744051280115</v>
      </c>
      <c r="O41" s="151">
        <f>O40/I40-1</f>
        <v>8.477051255158341E-2</v>
      </c>
      <c r="P41" s="133">
        <f>P40/J40-1</f>
        <v>-5.5499244887322607E-3</v>
      </c>
      <c r="Q41" s="133">
        <f>Q40/K40-1</f>
        <v>-0.14463218213514972</v>
      </c>
      <c r="R41" s="133">
        <f>R40/L40-1</f>
        <v>-0.22706163624379261</v>
      </c>
      <c r="S41" s="153">
        <f>S40/M40-1</f>
        <v>-9.6096867603112313E-2</v>
      </c>
      <c r="U41" s="151">
        <f>U40/O40-1</f>
        <v>-8.8462646226675545E-2</v>
      </c>
      <c r="V41" s="133">
        <f>V40/P40-1</f>
        <v>-0.1160161071711181</v>
      </c>
      <c r="W41" s="133">
        <f>W40/Q40-1</f>
        <v>-9.2361073915372294E-2</v>
      </c>
      <c r="X41" s="133">
        <f>X40/R40-1</f>
        <v>-0.1029734482597302</v>
      </c>
      <c r="Y41" s="153">
        <f>Y40/S40-1</f>
        <v>-0.10021465146814479</v>
      </c>
      <c r="AA41" s="151">
        <f>AA40/U40-1</f>
        <v>-0.11115081421364603</v>
      </c>
      <c r="AB41" s="133">
        <f>AB40/V40-1</f>
        <v>-6.7530062440913863E-2</v>
      </c>
      <c r="AC41" s="133">
        <f>AC40/W40-1</f>
        <v>-9.2707641747972747E-2</v>
      </c>
      <c r="AD41" s="133">
        <f>AD40/X40-1</f>
        <v>-0.12981179153366285</v>
      </c>
      <c r="AE41" s="153">
        <f>AE40/Y40-1</f>
        <v>-0.10179790091029017</v>
      </c>
      <c r="AG41" s="151">
        <f>AG40/AA40-1</f>
        <v>-2.7421398942915953E-2</v>
      </c>
      <c r="AH41" s="133">
        <f>AH40/AB40-1</f>
        <v>-1.8798274827033779E-2</v>
      </c>
      <c r="AI41" s="133">
        <f>AI40/AC40-1</f>
        <v>-8.1191512013250478E-2</v>
      </c>
      <c r="AJ41" s="133">
        <f>AJ40/AD40-1</f>
        <v>-0.10665527065347924</v>
      </c>
      <c r="AK41" s="153">
        <f>AK40/AE40-1</f>
        <v>-5.9976737334379249E-2</v>
      </c>
      <c r="AM41" s="151">
        <f>AM40/AG40-1</f>
        <v>-0.13498559328679816</v>
      </c>
      <c r="AN41" s="133">
        <f>AN40/AH40-1</f>
        <v>2.2906259199987122E-2</v>
      </c>
      <c r="AO41" s="133">
        <f>AO40/AI40-1</f>
        <v>-0.10967357885574835</v>
      </c>
      <c r="AP41" s="133">
        <f>AP40/AJ40-1</f>
        <v>-4.1609418134364029E-2</v>
      </c>
      <c r="AQ41" s="153">
        <f>AQ40/AK40-1</f>
        <v>-6.3770362942898506E-2</v>
      </c>
      <c r="AS41" s="151">
        <f>AS40/AM40-1</f>
        <v>-1.6512776912632865E-2</v>
      </c>
      <c r="AT41" s="133">
        <f>AT40/AN40-1</f>
        <v>-0.18470004032252108</v>
      </c>
      <c r="AU41" s="133">
        <f>AU40/AO40-1</f>
        <v>-3.955394780971988E-2</v>
      </c>
      <c r="AV41" s="133">
        <f ca="1">AV40/AP40-1</f>
        <v>-0.13084112149532701</v>
      </c>
      <c r="AW41" s="153">
        <f ca="1">AW40/AQ40-1</f>
        <v>-9.985821655637972E-2</v>
      </c>
      <c r="AY41" s="151">
        <f>AY40/AS40-1</f>
        <v>9.3626119885714676E-3</v>
      </c>
      <c r="AZ41" s="133">
        <f>AZ40/AT40-1</f>
        <v>-0.10123820919775195</v>
      </c>
      <c r="BA41" s="133">
        <f>BA40/AU40-1</f>
        <v>-5.0191050685875149E-2</v>
      </c>
      <c r="BB41" s="133">
        <f ca="1">BB40/AV40-1</f>
        <v>4.7749808922670001E-2</v>
      </c>
      <c r="BC41" s="153">
        <f ca="1">BC40/AW40-1</f>
        <v>-2.2819606778183399E-2</v>
      </c>
      <c r="BE41" s="151">
        <f>BE40/AY40-1</f>
        <v>-5.480438827329881E-2</v>
      </c>
      <c r="BF41" s="133">
        <f>BF40/AZ40-1</f>
        <v>2.4695592329304628E-2</v>
      </c>
      <c r="BG41" s="133">
        <f>BG40/BA40-1</f>
        <v>5.2813252117070109E-2</v>
      </c>
      <c r="BH41" s="133">
        <f ca="1">BH40/BB40-1</f>
        <v>7.6738041931424306E-2</v>
      </c>
      <c r="BI41" s="153">
        <f ca="1">BI40/BC40-1</f>
        <v>2.5135542205291461E-2</v>
      </c>
      <c r="BK41" s="151">
        <f>BK40/BE40-1</f>
        <v>4.81919731892273E-2</v>
      </c>
      <c r="BL41" s="133">
        <f>BL40/BF40-1</f>
        <v>2.5927697363663516E-2</v>
      </c>
      <c r="BM41" s="133">
        <f>BM40/BG40-1</f>
        <v>-6.1285569933156259E-2</v>
      </c>
      <c r="BN41" s="133">
        <f ca="1">BN40/BH40-1</f>
        <v>-0.11284281484259728</v>
      </c>
      <c r="BO41" s="153">
        <f ca="1">BO40/BI40-1</f>
        <v>-2.9908887101484316E-2</v>
      </c>
      <c r="BQ41" s="151">
        <f>BQ40/BK40-1</f>
        <v>-5.1641915877208011E-2</v>
      </c>
      <c r="BR41" s="133">
        <f>BR40/BL40-1</f>
        <v>-4.1718268097786892E-2</v>
      </c>
      <c r="BS41" s="133">
        <f>BS40/BM40-1</f>
        <v>-3.4940919873357346E-2</v>
      </c>
      <c r="BT41" s="133">
        <f ca="1">BT40/BN40-1</f>
        <v>1.7070047016527035E-2</v>
      </c>
      <c r="BU41" s="153">
        <f ca="1">BU40/BO40-1</f>
        <v>-2.6950279365212104E-2</v>
      </c>
      <c r="BW41" s="151">
        <f>BW40/BQ40-1</f>
        <v>2.4167089454958601E-2</v>
      </c>
      <c r="BX41" s="133">
        <f>BX40/BR40-1</f>
        <v>2.1018650938886774E-2</v>
      </c>
      <c r="BY41" s="133">
        <f>BY40/BS40-1</f>
        <v>1.9265783623882093E-2</v>
      </c>
      <c r="BZ41" s="133">
        <f ca="1">BZ40/BT40-1</f>
        <v>1.6205313406485899E-2</v>
      </c>
      <c r="CA41" s="153">
        <f ca="1">CA40/BU40-1</f>
        <v>2.006310731110883E-2</v>
      </c>
      <c r="CC41" s="151">
        <f>CC40/BW40-1</f>
        <v>1.7690896110468701E-2</v>
      </c>
      <c r="CD41" s="133">
        <f>CD40/BX40-1</f>
        <v>1.7391956540127929E-2</v>
      </c>
      <c r="CE41" s="133">
        <f>CE40/BY40-1</f>
        <v>1.8803075265336533E-2</v>
      </c>
      <c r="CF41" s="133">
        <f ca="1">CF40/BZ40-1</f>
        <v>1.7871601875580678E-2</v>
      </c>
      <c r="CG41" s="153">
        <f ca="1">CG40/CA40-1</f>
        <v>1.7917575464386548E-2</v>
      </c>
      <c r="CI41" s="151">
        <f>CI40/CC40-1</f>
        <v>1.629636699929371E-2</v>
      </c>
      <c r="CJ41" s="133">
        <f>CJ40/CD40-1</f>
        <v>1.6024394734768022E-2</v>
      </c>
      <c r="CK41" s="133">
        <f>CK40/CE40-1</f>
        <v>1.7328067751984255E-2</v>
      </c>
      <c r="CL41" s="133">
        <f ca="1">CL40/CF40-1</f>
        <v>1.6472430210201727E-2</v>
      </c>
      <c r="CM41" s="153">
        <f ca="1">CM40/CG40-1</f>
        <v>1.6510540833376997E-2</v>
      </c>
      <c r="CO41" s="151">
        <f>CO40/CI40-1</f>
        <v>1.5021194946711169E-2</v>
      </c>
      <c r="CP41" s="133">
        <f>CP40/CJ40-1</f>
        <v>1.4808517306793112E-2</v>
      </c>
      <c r="CQ41" s="133">
        <f>CQ40/CK40-1</f>
        <v>1.5996863136158446E-2</v>
      </c>
      <c r="CR41" s="133">
        <f ca="1">CR40/CL40-1</f>
        <v>1.512592269612778E-2</v>
      </c>
      <c r="CS41" s="153">
        <f ca="1">CS40/CM40-1</f>
        <v>1.5217557290801764E-2</v>
      </c>
      <c r="CU41" s="151">
        <f>CU40/CO40-1</f>
        <v>1.6028064155076516E-2</v>
      </c>
      <c r="CV41" s="133">
        <f>CV40/CP40-1</f>
        <v>1.5805815283125746E-2</v>
      </c>
      <c r="CW41" s="133">
        <f>CW40/CQ40-1</f>
        <v>1.6999987074767242E-2</v>
      </c>
      <c r="CX41" s="133">
        <f ca="1">CX40/CR40-1</f>
        <v>1.6135123611574764E-2</v>
      </c>
      <c r="CY41" s="153">
        <f ca="1">CY40/CS40-1</f>
        <v>1.6222083899153583E-2</v>
      </c>
      <c r="DA41" s="151">
        <f>DA40/CU40-1</f>
        <v>1.7024763532645038E-2</v>
      </c>
      <c r="DB41" s="133">
        <f>DB40/CV40-1</f>
        <v>1.6793443426102561E-2</v>
      </c>
      <c r="DC41" s="133">
        <f>DC40/CW40-1</f>
        <v>1.7992218805900961E-2</v>
      </c>
      <c r="DD41" s="133">
        <f ca="1">DD40/CX40-1</f>
        <v>1.7132437240548359E-2</v>
      </c>
      <c r="DE41" s="153">
        <f ca="1">DE40/CY40-1</f>
        <v>1.7215920957126096E-2</v>
      </c>
      <c r="DG41" s="151">
        <f>DG40/DA40-1</f>
        <v>1.8008885843942446E-2</v>
      </c>
      <c r="DH41" s="133">
        <f>DH40/DB40-1</f>
        <v>1.7769030203133251E-2</v>
      </c>
      <c r="DI41" s="133">
        <f>DI40/DC40-1</f>
        <v>1.8971160365146345E-2</v>
      </c>
      <c r="DJ41" s="133">
        <f ca="1">DJ40/DD40-1</f>
        <v>1.8115531200513901E-2</v>
      </c>
      <c r="DK41" s="153">
        <f ca="1">DK40/DE40-1</f>
        <v>1.8196692470473508E-2</v>
      </c>
    </row>
    <row r="42" spans="2:115" ht="15" x14ac:dyDescent="0.3">
      <c r="B42" s="105"/>
      <c r="C42" s="203"/>
      <c r="D42" s="204"/>
      <c r="E42" s="204"/>
      <c r="F42" s="204"/>
      <c r="G42" s="159"/>
      <c r="H42" s="197"/>
      <c r="I42" s="203"/>
      <c r="J42" s="204"/>
      <c r="K42" s="204"/>
      <c r="L42" s="204"/>
      <c r="M42" s="159"/>
      <c r="N42" s="197"/>
      <c r="O42" s="203"/>
      <c r="P42" s="204"/>
      <c r="Q42" s="204"/>
      <c r="R42" s="204"/>
      <c r="S42" s="159"/>
      <c r="T42" s="114"/>
      <c r="U42" s="203"/>
      <c r="V42" s="204"/>
      <c r="W42" s="204"/>
      <c r="X42" s="205"/>
      <c r="Y42" s="213"/>
      <c r="AA42" s="203"/>
      <c r="AB42" s="204"/>
      <c r="AC42" s="204"/>
      <c r="AD42" s="204"/>
      <c r="AE42" s="213"/>
      <c r="AG42" s="203"/>
      <c r="AH42" s="204"/>
      <c r="AI42" s="204"/>
      <c r="AJ42" s="204"/>
      <c r="AK42" s="213"/>
      <c r="AM42" s="203"/>
      <c r="AN42" s="204"/>
      <c r="AO42" s="204"/>
      <c r="AP42" s="204"/>
      <c r="AQ42" s="213"/>
      <c r="AS42" s="203"/>
      <c r="AT42" s="204"/>
      <c r="AU42" s="204"/>
      <c r="AV42" s="204"/>
      <c r="AW42" s="213"/>
      <c r="AY42" s="203"/>
      <c r="AZ42" s="204"/>
      <c r="BA42" s="204"/>
      <c r="BB42" s="204"/>
      <c r="BC42" s="213"/>
      <c r="BE42" s="203"/>
      <c r="BF42" s="204"/>
      <c r="BG42" s="204"/>
      <c r="BH42" s="204"/>
      <c r="BI42" s="213"/>
      <c r="BK42" s="203"/>
      <c r="BL42" s="204"/>
      <c r="BM42" s="204"/>
      <c r="BN42" s="204"/>
      <c r="BO42" s="213"/>
      <c r="BQ42" s="203"/>
      <c r="BR42" s="204"/>
      <c r="BS42" s="204"/>
      <c r="BT42" s="205"/>
      <c r="BU42" s="213"/>
      <c r="BW42" s="203"/>
      <c r="BX42" s="204"/>
      <c r="BY42" s="204"/>
      <c r="BZ42" s="205"/>
      <c r="CA42" s="213"/>
      <c r="CC42" s="203"/>
      <c r="CD42" s="204"/>
      <c r="CE42" s="204"/>
      <c r="CF42" s="205"/>
      <c r="CG42" s="213"/>
      <c r="CI42" s="203"/>
      <c r="CJ42" s="204"/>
      <c r="CK42" s="204"/>
      <c r="CL42" s="205"/>
      <c r="CM42" s="213"/>
      <c r="CO42" s="203"/>
      <c r="CP42" s="204"/>
      <c r="CQ42" s="204"/>
      <c r="CR42" s="205"/>
      <c r="CS42" s="213"/>
      <c r="CU42" s="203"/>
      <c r="CV42" s="204"/>
      <c r="CW42" s="204"/>
      <c r="CX42" s="205"/>
      <c r="CY42" s="213"/>
      <c r="DA42" s="203"/>
      <c r="DB42" s="204"/>
      <c r="DC42" s="204"/>
      <c r="DD42" s="205"/>
      <c r="DE42" s="213"/>
      <c r="DG42" s="203"/>
      <c r="DH42" s="204"/>
      <c r="DI42" s="204"/>
      <c r="DJ42" s="205"/>
      <c r="DK42" s="213"/>
    </row>
    <row r="43" spans="2:115" ht="15" x14ac:dyDescent="0.3">
      <c r="B43" s="5" t="s">
        <v>54</v>
      </c>
      <c r="C43" s="151">
        <f>C40/C32</f>
        <v>0.4765445762711864</v>
      </c>
      <c r="D43" s="133">
        <f>D40/D32</f>
        <v>0.52112745669291338</v>
      </c>
      <c r="E43" s="133">
        <f>E40/E32</f>
        <v>0.54419016917293228</v>
      </c>
      <c r="F43" s="133">
        <f>F40/F32</f>
        <v>0.65919539393939386</v>
      </c>
      <c r="G43" s="153">
        <f>G40/G32</f>
        <v>0.55256182647058827</v>
      </c>
      <c r="I43" s="151">
        <f>I40/I32</f>
        <v>0.4871521875</v>
      </c>
      <c r="J43" s="133">
        <f>J40/J32</f>
        <v>0.4902513829787235</v>
      </c>
      <c r="K43" s="133">
        <f>K40/K32</f>
        <v>0.50216061111111121</v>
      </c>
      <c r="L43" s="133">
        <f>L40/L32</f>
        <v>0.70761251006711423</v>
      </c>
      <c r="M43" s="153">
        <f>M40/M32</f>
        <v>0.54946718476357281</v>
      </c>
      <c r="O43" s="151">
        <f>O40/O32</f>
        <v>0.48315275714285721</v>
      </c>
      <c r="P43" s="133">
        <f>P40/P32</f>
        <v>0.48753052482269504</v>
      </c>
      <c r="Q43" s="133">
        <f>Q40/Q32</f>
        <v>0.46941714285714287</v>
      </c>
      <c r="R43" s="133">
        <f>R40/R32</f>
        <v>0.60366064814814824</v>
      </c>
      <c r="S43" s="153">
        <f>S40/S32</f>
        <v>0.51006434802158285</v>
      </c>
      <c r="U43" s="151">
        <f>U40/U32</f>
        <v>0.49723911290322581</v>
      </c>
      <c r="V43" s="133">
        <f>V40/V32</f>
        <v>0.48613318000000005</v>
      </c>
      <c r="W43" s="133">
        <f>W40/W32</f>
        <v>0.47340141269841268</v>
      </c>
      <c r="X43" s="133">
        <f>X40/X32</f>
        <v>0.58953588709677418</v>
      </c>
      <c r="Y43" s="153">
        <f>Y40/Y32</f>
        <v>0.51137339779559121</v>
      </c>
      <c r="AA43" s="151">
        <f>AA40/AA32</f>
        <v>0.48932457142857139</v>
      </c>
      <c r="AB43" s="133">
        <f>AB40/AB32</f>
        <v>0.49272236521739132</v>
      </c>
      <c r="AC43" s="133">
        <f>AC40/AC32</f>
        <v>0.45863304237288127</v>
      </c>
      <c r="AD43" s="133">
        <f>AD40/AD32</f>
        <v>0.54369991452991451</v>
      </c>
      <c r="AE43" s="153">
        <f>AE40/AE32</f>
        <v>0.49610175974025972</v>
      </c>
      <c r="AG43" s="151">
        <f>AG40/AG32</f>
        <v>0.49814523364485985</v>
      </c>
      <c r="AH43" s="133">
        <f>AH40/AH32</f>
        <v>0.51479540740740737</v>
      </c>
      <c r="AI43" s="133">
        <f>AI40/AI32</f>
        <v>0.45619009174311931</v>
      </c>
      <c r="AJ43" s="133">
        <f>AJ40/AJ32</f>
        <v>0.50290477876106188</v>
      </c>
      <c r="AK43" s="153">
        <f>AK40/AK32</f>
        <v>0.49302609610983983</v>
      </c>
      <c r="AM43" s="151">
        <f>AM40/AM32</f>
        <v>0.46106599999999998</v>
      </c>
      <c r="AN43" s="133">
        <f>AN40/AN32</f>
        <v>0.53652305660377353</v>
      </c>
      <c r="AO43" s="133">
        <f>AO40/AO32</f>
        <v>0.43832902970297027</v>
      </c>
      <c r="AP43" s="133">
        <f>AP40/AP32</f>
        <v>0.50900607476635518</v>
      </c>
      <c r="AQ43" s="153">
        <f>AQ40/AQ32</f>
        <v>0.48722928985507247</v>
      </c>
      <c r="AS43" s="151">
        <f>AS40/AS32</f>
        <v>0.48239629787234045</v>
      </c>
      <c r="AT43" s="133">
        <f>AT40/AT32</f>
        <v>0.50399223913043478</v>
      </c>
      <c r="AU43" s="133">
        <f>AU40/AU32</f>
        <v>0.45234180851063827</v>
      </c>
      <c r="AV43" s="133">
        <f ca="1">AV40/AV32</f>
        <v>0.50900607476635518</v>
      </c>
      <c r="AW43" s="153">
        <f ca="1">AW40/AW32</f>
        <v>0.4867834663626569</v>
      </c>
      <c r="AY43" s="151">
        <f>AY40/AY32</f>
        <v>0.5029648571428571</v>
      </c>
      <c r="AZ43" s="133">
        <f>AZ40/AZ32</f>
        <v>0.47355846590909095</v>
      </c>
      <c r="BA43" s="133">
        <f>BA40/BA32</f>
        <v>0.43897826086956515</v>
      </c>
      <c r="BB43" s="133">
        <f ca="1">BB40/BB32</f>
        <v>0.5510880514961578</v>
      </c>
      <c r="BC43" s="153">
        <f ca="1">BC40/BC32</f>
        <v>0.49148717904336348</v>
      </c>
      <c r="BE43" s="151">
        <f>BE40/BE32</f>
        <v>0.47540017582417571</v>
      </c>
      <c r="BF43" s="133">
        <f>BF40/BF32</f>
        <v>0.47446986666666668</v>
      </c>
      <c r="BG43" s="133">
        <f>BG40/BG32</f>
        <v>0.45232889361702117</v>
      </c>
      <c r="BH43" s="133">
        <f ca="1">BH40/BH32</f>
        <v>0.5742362608062358</v>
      </c>
      <c r="BI43" s="153">
        <f ca="1">BI40/BI32</f>
        <v>0.49425704417114108</v>
      </c>
      <c r="BK43" s="151">
        <f>BK40/BK32</f>
        <v>0.48759429032258061</v>
      </c>
      <c r="BL43" s="133">
        <f>BL40/BL32</f>
        <v>0.47618978260869566</v>
      </c>
      <c r="BM43" s="133">
        <f>BM40/BM32</f>
        <v>0.42917333333333324</v>
      </c>
      <c r="BN43" s="133">
        <f ca="1">BN40/BN32</f>
        <v>0.51497519241252199</v>
      </c>
      <c r="BO43" s="153">
        <f ca="1">BO40/BO32</f>
        <v>0.47688261270797838</v>
      </c>
      <c r="BQ43" s="214">
        <f>BK43+BQ44</f>
        <v>0.45759429032258059</v>
      </c>
      <c r="BR43" s="215">
        <f>BL43+BR44</f>
        <v>0.45118978260869563</v>
      </c>
      <c r="BS43" s="215">
        <f>BM43+BS44</f>
        <v>0.40917333333333322</v>
      </c>
      <c r="BT43" s="215">
        <f ca="1">BN43+BT44</f>
        <v>0.51747519241252193</v>
      </c>
      <c r="BU43" s="153">
        <f ca="1">BU40/BU32</f>
        <v>0.45872143485294214</v>
      </c>
      <c r="BW43" s="214">
        <f>BQ43+BW44</f>
        <v>0.46009429032258059</v>
      </c>
      <c r="BX43" s="215">
        <f>BR43+BX44</f>
        <v>0.45368978260869564</v>
      </c>
      <c r="BY43" s="215">
        <f>BS43+BY44</f>
        <v>0.41167333333333322</v>
      </c>
      <c r="BZ43" s="215">
        <f ca="1">BT43+BZ44</f>
        <v>0.51997519241252188</v>
      </c>
      <c r="CA43" s="153">
        <f ca="1">CA40/CA32</f>
        <v>0.46119031203408895</v>
      </c>
      <c r="CC43" s="214">
        <f>BW43+CC44</f>
        <v>0.46259429032258059</v>
      </c>
      <c r="CD43" s="215">
        <f>BX43+CD44</f>
        <v>0.45618978260869564</v>
      </c>
      <c r="CE43" s="215">
        <f>BY43+CE44</f>
        <v>0.41417333333333323</v>
      </c>
      <c r="CF43" s="215">
        <f ca="1">BZ43+CF44</f>
        <v>0.52247519241252183</v>
      </c>
      <c r="CG43" s="153">
        <f ca="1">CG40/CG32</f>
        <v>0.46369698775901003</v>
      </c>
      <c r="CI43" s="214">
        <f>CC43+CI44</f>
        <v>0.46509429032258059</v>
      </c>
      <c r="CJ43" s="215">
        <f>CD43+CJ44</f>
        <v>0.45868978260869564</v>
      </c>
      <c r="CK43" s="215">
        <f>CE43+CK44</f>
        <v>0.41667333333333323</v>
      </c>
      <c r="CL43" s="215">
        <f ca="1">CF43+CL44</f>
        <v>0.52497519241252177</v>
      </c>
      <c r="CM43" s="153">
        <f ca="1">CM40/CM32</f>
        <v>0.46620433729956939</v>
      </c>
      <c r="CO43" s="214">
        <f>CI43+CO44</f>
        <v>0.4675942903225806</v>
      </c>
      <c r="CP43" s="215">
        <f>CJ43+CP44</f>
        <v>0.46118978260869564</v>
      </c>
      <c r="CQ43" s="215">
        <f>CK43+CQ44</f>
        <v>0.41917333333333323</v>
      </c>
      <c r="CR43" s="215">
        <f ca="1">CL43+CR44</f>
        <v>0.52747519241252172</v>
      </c>
      <c r="CS43" s="153">
        <f ca="1">CS40/CS32</f>
        <v>0.46871104959478144</v>
      </c>
      <c r="CU43" s="214">
        <f>CO43+CU44</f>
        <v>0.4700942903225806</v>
      </c>
      <c r="CV43" s="215">
        <f>CP43+CV44</f>
        <v>0.46368978260869564</v>
      </c>
      <c r="CW43" s="215">
        <f>CQ43+CW44</f>
        <v>0.42167333333333323</v>
      </c>
      <c r="CX43" s="215">
        <f ca="1">CR43+CX44</f>
        <v>0.52997519241252167</v>
      </c>
      <c r="CY43" s="153">
        <f ca="1">CY40/CY32</f>
        <v>0.471217694217339</v>
      </c>
      <c r="DA43" s="214">
        <f>CU43+DA44</f>
        <v>0.4725942903225806</v>
      </c>
      <c r="DB43" s="215">
        <f>CV43+DB44</f>
        <v>0.46618978260869565</v>
      </c>
      <c r="DC43" s="215">
        <f>CW43+DC44</f>
        <v>0.42417333333333324</v>
      </c>
      <c r="DD43" s="215">
        <f ca="1">CX43+DD44</f>
        <v>0.53247519241252161</v>
      </c>
      <c r="DE43" s="153">
        <f ca="1">DE40/DE32</f>
        <v>0.47372425685738528</v>
      </c>
      <c r="DG43" s="214">
        <f>DA43+DG44</f>
        <v>0.4750942903225806</v>
      </c>
      <c r="DH43" s="215">
        <f>DB43+DH44</f>
        <v>0.46868978260869565</v>
      </c>
      <c r="DI43" s="215">
        <f>DC43+DI44</f>
        <v>0.42667333333333324</v>
      </c>
      <c r="DJ43" s="215">
        <f ca="1">DD43+DJ44</f>
        <v>0.53497519241252156</v>
      </c>
      <c r="DK43" s="153">
        <f ca="1">DK40/DK32</f>
        <v>0.47623072404221062</v>
      </c>
    </row>
    <row r="44" spans="2:115" ht="15.75" thickBot="1" x14ac:dyDescent="0.35">
      <c r="B44" s="140" t="s">
        <v>23</v>
      </c>
      <c r="C44" s="155" t="s">
        <v>35</v>
      </c>
      <c r="D44" s="106" t="s">
        <v>35</v>
      </c>
      <c r="E44" s="106" t="s">
        <v>35</v>
      </c>
      <c r="F44" s="106" t="s">
        <v>35</v>
      </c>
      <c r="G44" s="108" t="s">
        <v>35</v>
      </c>
      <c r="I44" s="174">
        <f>I43-C43</f>
        <v>1.0607611228813596E-2</v>
      </c>
      <c r="J44" s="175">
        <f>J43-D43</f>
        <v>-3.0876073714189878E-2</v>
      </c>
      <c r="K44" s="175">
        <f>K43-E43</f>
        <v>-4.2029558061821071E-2</v>
      </c>
      <c r="L44" s="175">
        <f>L43-F43</f>
        <v>4.8417116127720372E-2</v>
      </c>
      <c r="M44" s="177">
        <f>M43-G43</f>
        <v>-3.0946417070154553E-3</v>
      </c>
      <c r="O44" s="174">
        <f>O43-I43</f>
        <v>-3.9994303571427858E-3</v>
      </c>
      <c r="P44" s="175">
        <f>P43-J43</f>
        <v>-2.7208581560284606E-3</v>
      </c>
      <c r="Q44" s="175">
        <f>Q43-K43</f>
        <v>-3.2743468253968344E-2</v>
      </c>
      <c r="R44" s="175">
        <f>R43-L43</f>
        <v>-0.10395186191896599</v>
      </c>
      <c r="S44" s="177">
        <f>S43-M43</f>
        <v>-3.9402836741989966E-2</v>
      </c>
      <c r="U44" s="174">
        <f>U43-O43</f>
        <v>1.4086355760368596E-2</v>
      </c>
      <c r="V44" s="175">
        <f>V43-P43</f>
        <v>-1.3973448226949903E-3</v>
      </c>
      <c r="W44" s="175">
        <f>W43-Q43</f>
        <v>3.9842698412698163E-3</v>
      </c>
      <c r="X44" s="175">
        <f>X43-R43</f>
        <v>-1.4124761051374057E-2</v>
      </c>
      <c r="Y44" s="177">
        <f>Y43-S43</f>
        <v>1.309049774008364E-3</v>
      </c>
      <c r="AA44" s="174">
        <f>AA43-U43</f>
        <v>-7.914541474654424E-3</v>
      </c>
      <c r="AB44" s="175">
        <f>AB43-V43</f>
        <v>6.5891852173912691E-3</v>
      </c>
      <c r="AC44" s="175">
        <f>AC43-W43</f>
        <v>-1.476837032553141E-2</v>
      </c>
      <c r="AD44" s="175">
        <f>AD43-X43</f>
        <v>-4.5835972566859673E-2</v>
      </c>
      <c r="AE44" s="177">
        <f>AE43-Y43</f>
        <v>-1.5271638055331493E-2</v>
      </c>
      <c r="AG44" s="174">
        <f>AG43-AA43</f>
        <v>8.8206622162884663E-3</v>
      </c>
      <c r="AH44" s="175">
        <f>AH43-AB43</f>
        <v>2.2073042190016046E-2</v>
      </c>
      <c r="AI44" s="175">
        <f>AI43-AC43</f>
        <v>-2.4429506297619641E-3</v>
      </c>
      <c r="AJ44" s="175">
        <f>AJ43-AD43</f>
        <v>-4.0795135768852631E-2</v>
      </c>
      <c r="AK44" s="177">
        <f>AK43-AE43</f>
        <v>-3.0756636304198892E-3</v>
      </c>
      <c r="AM44" s="174">
        <f>AM43-AG43</f>
        <v>-3.7079233644859877E-2</v>
      </c>
      <c r="AN44" s="175">
        <f>AN43-AH43</f>
        <v>2.1727649196366161E-2</v>
      </c>
      <c r="AO44" s="175">
        <f>AO43-AI43</f>
        <v>-1.7861062040149034E-2</v>
      </c>
      <c r="AP44" s="175">
        <f>AP43-AJ43</f>
        <v>6.1012960052932996E-3</v>
      </c>
      <c r="AQ44" s="177">
        <f>AQ43-AK43</f>
        <v>-5.7968062547673616E-3</v>
      </c>
      <c r="AS44" s="174">
        <f>AS43-AM43</f>
        <v>2.1330297872340476E-2</v>
      </c>
      <c r="AT44" s="175">
        <f>AT43-AN43</f>
        <v>-3.2530817473338747E-2</v>
      </c>
      <c r="AU44" s="175">
        <f>AU43-AO43</f>
        <v>1.4012778807667992E-2</v>
      </c>
      <c r="AV44" s="175">
        <f ca="1">AV43-AP43</f>
        <v>0</v>
      </c>
      <c r="AW44" s="177">
        <f ca="1">AW43-AQ43</f>
        <v>-4.4582349241556463E-4</v>
      </c>
      <c r="AY44" s="174">
        <f>AY43-AS43</f>
        <v>2.0568559270516651E-2</v>
      </c>
      <c r="AZ44" s="175">
        <f>AZ43-AT43</f>
        <v>-3.0433773221343829E-2</v>
      </c>
      <c r="BA44" s="175">
        <f>BA43-AU43</f>
        <v>-1.3363547641073115E-2</v>
      </c>
      <c r="BB44" s="175">
        <f ca="1">BB43-AV43</f>
        <v>4.2081976729802628E-2</v>
      </c>
      <c r="BC44" s="177">
        <f ca="1">BC43-AW43</f>
        <v>4.7037126807065732E-3</v>
      </c>
      <c r="BE44" s="174">
        <f>BE43-AY43</f>
        <v>-2.7564681318681394E-2</v>
      </c>
      <c r="BF44" s="175">
        <f>BF43-AZ43</f>
        <v>9.1140075757573102E-4</v>
      </c>
      <c r="BG44" s="175">
        <f>BG43-BA43</f>
        <v>1.3350632747456015E-2</v>
      </c>
      <c r="BH44" s="175">
        <f ca="1">BH43-BB43</f>
        <v>2.3148209310077994E-2</v>
      </c>
      <c r="BI44" s="177">
        <f ca="1">BI43-BC43</f>
        <v>2.7698651277776043E-3</v>
      </c>
      <c r="BK44" s="174">
        <f>BK43-BE43</f>
        <v>1.2194114498404907E-2</v>
      </c>
      <c r="BL44" s="175">
        <f>BL43-BF43</f>
        <v>1.7199159420289711E-3</v>
      </c>
      <c r="BM44" s="175">
        <f>BM43-BG43</f>
        <v>-2.3155560283687926E-2</v>
      </c>
      <c r="BN44" s="175">
        <f ca="1">BN43-BH43</f>
        <v>-5.9261068393713812E-2</v>
      </c>
      <c r="BO44" s="177">
        <f ca="1">BO43-BI43</f>
        <v>-1.7374431463162698E-2</v>
      </c>
      <c r="BQ44" s="109">
        <v>-0.03</v>
      </c>
      <c r="BR44" s="110">
        <v>-2.5000000000000001E-2</v>
      </c>
      <c r="BS44" s="110">
        <v>-0.02</v>
      </c>
      <c r="BT44" s="110">
        <v>2.5000000000000001E-3</v>
      </c>
      <c r="BU44" s="177">
        <f ca="1">BU43-BO43</f>
        <v>-1.8161177855036237E-2</v>
      </c>
      <c r="BW44" s="109">
        <v>2.5000000000000001E-3</v>
      </c>
      <c r="BX44" s="110">
        <v>2.5000000000000001E-3</v>
      </c>
      <c r="BY44" s="110">
        <v>2.5000000000000001E-3</v>
      </c>
      <c r="BZ44" s="110">
        <v>2.5000000000000001E-3</v>
      </c>
      <c r="CA44" s="177">
        <f ca="1">CA43-BU43</f>
        <v>2.4688771811468002E-3</v>
      </c>
      <c r="CC44" s="109">
        <v>2.5000000000000001E-3</v>
      </c>
      <c r="CD44" s="110">
        <v>2.5000000000000001E-3</v>
      </c>
      <c r="CE44" s="110">
        <v>2.5000000000000001E-3</v>
      </c>
      <c r="CF44" s="110">
        <v>2.5000000000000001E-3</v>
      </c>
      <c r="CG44" s="177">
        <f ca="1">CG43-CA43</f>
        <v>2.5066757249210814E-3</v>
      </c>
      <c r="CI44" s="109">
        <v>2.5000000000000001E-3</v>
      </c>
      <c r="CJ44" s="110">
        <v>2.5000000000000001E-3</v>
      </c>
      <c r="CK44" s="110">
        <v>2.5000000000000001E-3</v>
      </c>
      <c r="CL44" s="110">
        <v>2.5000000000000001E-3</v>
      </c>
      <c r="CM44" s="177">
        <f ca="1">CM43-CG43</f>
        <v>2.5073495405593671E-3</v>
      </c>
      <c r="CO44" s="109">
        <v>2.5000000000000001E-3</v>
      </c>
      <c r="CP44" s="110">
        <v>2.5000000000000001E-3</v>
      </c>
      <c r="CQ44" s="110">
        <v>2.5000000000000001E-3</v>
      </c>
      <c r="CR44" s="110">
        <v>2.5000000000000001E-3</v>
      </c>
      <c r="CS44" s="177">
        <f ca="1">CS43-CM43</f>
        <v>2.5067122952120435E-3</v>
      </c>
      <c r="CU44" s="109">
        <v>2.5000000000000001E-3</v>
      </c>
      <c r="CV44" s="110">
        <v>2.5000000000000001E-3</v>
      </c>
      <c r="CW44" s="110">
        <v>2.5000000000000001E-3</v>
      </c>
      <c r="CX44" s="110">
        <v>2.5000000000000001E-3</v>
      </c>
      <c r="CY44" s="177">
        <f ca="1">CY43-CS43</f>
        <v>2.5066446225575634E-3</v>
      </c>
      <c r="DA44" s="109">
        <v>2.5000000000000001E-3</v>
      </c>
      <c r="DB44" s="110">
        <v>2.5000000000000001E-3</v>
      </c>
      <c r="DC44" s="110">
        <v>2.5000000000000001E-3</v>
      </c>
      <c r="DD44" s="110">
        <v>2.5000000000000001E-3</v>
      </c>
      <c r="DE44" s="177">
        <f ca="1">DE43-CY43</f>
        <v>2.5065626400462837E-3</v>
      </c>
      <c r="DG44" s="109">
        <v>2.5000000000000001E-3</v>
      </c>
      <c r="DH44" s="110">
        <v>2.5000000000000001E-3</v>
      </c>
      <c r="DI44" s="110">
        <v>2.5000000000000001E-3</v>
      </c>
      <c r="DJ44" s="110">
        <v>2.5000000000000001E-3</v>
      </c>
      <c r="DK44" s="177">
        <f ca="1">DK43-DE43</f>
        <v>2.5064671848253339E-3</v>
      </c>
    </row>
    <row r="45" spans="2:115" ht="15.75" thickBot="1" x14ac:dyDescent="0.35">
      <c r="B45" s="1"/>
      <c r="AA45" s="103"/>
      <c r="AB45" s="103"/>
      <c r="AC45" s="103"/>
      <c r="AD45" s="103"/>
      <c r="AE45" s="103"/>
      <c r="AG45" s="103"/>
      <c r="AH45" s="103"/>
      <c r="AI45" s="103"/>
      <c r="AJ45" s="103"/>
      <c r="AK45" s="103"/>
      <c r="AM45" s="103"/>
      <c r="AN45" s="103"/>
      <c r="AO45" s="103"/>
      <c r="AP45" s="103"/>
      <c r="AQ45" s="103"/>
      <c r="AS45" s="103"/>
      <c r="AT45" s="103"/>
      <c r="AU45" s="103"/>
      <c r="AV45" s="103"/>
      <c r="AW45" s="103"/>
      <c r="AY45" s="103"/>
      <c r="AZ45" s="103"/>
      <c r="BA45" s="103"/>
      <c r="BB45" s="103"/>
      <c r="BC45" s="103"/>
      <c r="BE45" s="103"/>
      <c r="BF45" s="103"/>
      <c r="BG45" s="103"/>
      <c r="BH45" s="103"/>
      <c r="BI45" s="103"/>
      <c r="BK45" s="103"/>
      <c r="BL45" s="103"/>
      <c r="BM45" s="103"/>
      <c r="BN45" s="103"/>
      <c r="BO45" s="103"/>
      <c r="BQ45" s="103"/>
      <c r="BR45" s="103"/>
      <c r="BS45" s="103"/>
      <c r="BT45" s="103"/>
      <c r="BU45" s="103"/>
      <c r="BW45" s="103"/>
      <c r="BX45" s="103"/>
      <c r="BY45" s="103"/>
      <c r="BZ45" s="103"/>
      <c r="CA45" s="103"/>
      <c r="CC45" s="103"/>
      <c r="CD45" s="103"/>
      <c r="CE45" s="103"/>
      <c r="CF45" s="103"/>
      <c r="CG45" s="103"/>
      <c r="CI45" s="103"/>
      <c r="CJ45" s="103"/>
      <c r="CK45" s="103"/>
      <c r="CL45" s="103"/>
      <c r="CM45" s="103"/>
      <c r="CO45" s="103"/>
      <c r="CP45" s="103"/>
      <c r="CQ45" s="103"/>
      <c r="CR45" s="103"/>
      <c r="CS45" s="103"/>
      <c r="CU45" s="103"/>
      <c r="CV45" s="103"/>
      <c r="CW45" s="103"/>
      <c r="CX45" s="103"/>
      <c r="CY45" s="103"/>
      <c r="DA45" s="103"/>
      <c r="DB45" s="103"/>
      <c r="DC45" s="103"/>
      <c r="DD45" s="103"/>
      <c r="DE45" s="103"/>
      <c r="DG45" s="103"/>
      <c r="DH45" s="103"/>
      <c r="DI45" s="103"/>
      <c r="DJ45" s="103"/>
      <c r="DK45" s="103"/>
    </row>
    <row r="46" spans="2:115" ht="15" x14ac:dyDescent="0.3">
      <c r="B46" s="42" t="s">
        <v>61</v>
      </c>
      <c r="C46" s="198">
        <v>58</v>
      </c>
      <c r="D46" s="199">
        <v>57</v>
      </c>
      <c r="E46" s="199">
        <v>53</v>
      </c>
      <c r="F46" s="200">
        <v>35</v>
      </c>
      <c r="G46" s="201">
        <f>C46+D46+E46+F46</f>
        <v>203</v>
      </c>
      <c r="H46" s="197"/>
      <c r="I46" s="198">
        <v>61</v>
      </c>
      <c r="J46" s="199">
        <v>68</v>
      </c>
      <c r="K46" s="199">
        <v>71</v>
      </c>
      <c r="L46" s="199">
        <v>30</v>
      </c>
      <c r="M46" s="201">
        <f>I46+J46+K46+L46</f>
        <v>230</v>
      </c>
      <c r="N46" s="197"/>
      <c r="O46" s="198">
        <v>68</v>
      </c>
      <c r="P46" s="199">
        <v>69</v>
      </c>
      <c r="Q46" s="199">
        <v>71</v>
      </c>
      <c r="R46" s="199">
        <v>49</v>
      </c>
      <c r="S46" s="201">
        <f>O46+P46+Q46+R46</f>
        <v>257</v>
      </c>
      <c r="T46" s="197"/>
      <c r="U46" s="198">
        <v>59</v>
      </c>
      <c r="V46" s="199">
        <v>61</v>
      </c>
      <c r="W46" s="199">
        <v>63</v>
      </c>
      <c r="X46" s="199">
        <v>46</v>
      </c>
      <c r="Y46" s="201">
        <f>U46+V46+W46+X46</f>
        <v>229</v>
      </c>
      <c r="AA46" s="198">
        <v>54</v>
      </c>
      <c r="AB46" s="199">
        <v>56</v>
      </c>
      <c r="AC46" s="199">
        <v>61</v>
      </c>
      <c r="AD46" s="199">
        <v>49</v>
      </c>
      <c r="AE46" s="201">
        <f>AA46+AB46+AC46+AD46</f>
        <v>220</v>
      </c>
      <c r="AG46" s="198">
        <v>49</v>
      </c>
      <c r="AH46" s="199">
        <v>47</v>
      </c>
      <c r="AI46" s="199">
        <f>AC46-8</f>
        <v>53</v>
      </c>
      <c r="AJ46" s="199">
        <v>50</v>
      </c>
      <c r="AK46" s="201">
        <f>AG46+AH46+AI46+AJ46</f>
        <v>199</v>
      </c>
      <c r="AM46" s="198">
        <v>48</v>
      </c>
      <c r="AN46" s="199">
        <v>43</v>
      </c>
      <c r="AO46" s="199">
        <v>52</v>
      </c>
      <c r="AP46" s="199">
        <v>48</v>
      </c>
      <c r="AQ46" s="201">
        <f>AM46+AN46+AO46+AP46</f>
        <v>191</v>
      </c>
      <c r="AS46" s="198">
        <v>44</v>
      </c>
      <c r="AT46" s="199">
        <f>AN46*0.97</f>
        <v>41.71</v>
      </c>
      <c r="AU46" s="199">
        <f>AO46*0.92</f>
        <v>47.84</v>
      </c>
      <c r="AV46" s="199">
        <f ca="1">AV32-AV37-AV40</f>
        <v>41.050403046728967</v>
      </c>
      <c r="AW46" s="201">
        <f ca="1">AS46+AT46+AU46+AV46</f>
        <v>174.60040304672899</v>
      </c>
      <c r="AY46" s="198">
        <v>41</v>
      </c>
      <c r="AZ46" s="199">
        <v>42</v>
      </c>
      <c r="BA46" s="252">
        <f>AU46</f>
        <v>47.84</v>
      </c>
      <c r="BB46" s="199">
        <f ca="1">AV46*(1-15.8%)</f>
        <v>34.564439365345791</v>
      </c>
      <c r="BC46" s="201">
        <f ca="1">AY46+AZ46+BA46+BB46</f>
        <v>165.40443936534581</v>
      </c>
      <c r="BE46" s="198">
        <f>AY46*1.068</f>
        <v>43.788000000000004</v>
      </c>
      <c r="BF46" s="199">
        <f>AZ46*1.039</f>
        <v>43.637999999999998</v>
      </c>
      <c r="BG46" s="199">
        <f>BA46</f>
        <v>47.84</v>
      </c>
      <c r="BH46" s="199">
        <f ca="1">BB46*0.969</f>
        <v>33.492941745020069</v>
      </c>
      <c r="BI46" s="201">
        <f ca="1">BE46+BF46+BG46+BH46</f>
        <v>168.75894174502008</v>
      </c>
      <c r="BK46" s="198">
        <f>BE46*0.987</f>
        <v>43.218756000000006</v>
      </c>
      <c r="BL46" s="199">
        <f>BF46*1.025</f>
        <v>44.728949999999998</v>
      </c>
      <c r="BM46" s="199">
        <f>BG46*1.036</f>
        <v>49.562240000000003</v>
      </c>
      <c r="BN46" s="199">
        <f ca="1">BH46*1.145</f>
        <v>38.349418298047979</v>
      </c>
      <c r="BO46" s="201">
        <f ca="1">BK46+BL46+BM46+BN46</f>
        <v>175.85936429804798</v>
      </c>
      <c r="BQ46" s="198">
        <f>BQ32-BQ37-BQ40</f>
        <v>46.504702946396122</v>
      </c>
      <c r="BR46" s="199">
        <f>BR32-BR37-BR40</f>
        <v>47.510560471448379</v>
      </c>
      <c r="BS46" s="199">
        <f>BS32-BS37-BS40</f>
        <v>52.00764964781775</v>
      </c>
      <c r="BT46" s="199">
        <f ca="1">BT32-BT37-BT40</f>
        <v>38.571669552631924</v>
      </c>
      <c r="BU46" s="201">
        <f ca="1">BQ46+BR46+BS46+BT46</f>
        <v>184.59458261829417</v>
      </c>
      <c r="BW46" s="198">
        <f>BW32-BW37-BW40</f>
        <v>47.071130689185772</v>
      </c>
      <c r="BX46" s="199">
        <f>BX32-BX37-BX40</f>
        <v>47.942621982960318</v>
      </c>
      <c r="BY46" s="199">
        <f>BY32-BY37-BY40</f>
        <v>52.410216947015883</v>
      </c>
      <c r="BZ46" s="199">
        <f ca="1">BZ32-BZ37-BZ40</f>
        <v>38.710070813537961</v>
      </c>
      <c r="CA46" s="201">
        <f ca="1">BW46+BX46+BY46+BZ46</f>
        <v>186.13404043269995</v>
      </c>
      <c r="CC46" s="198">
        <f>CC32-CC37-CC40</f>
        <v>47.355628987565261</v>
      </c>
      <c r="CD46" s="199">
        <f>CD32-CD37-CD40</f>
        <v>48.231331723198046</v>
      </c>
      <c r="CE46" s="199">
        <f>CE32-CE37-CE40</f>
        <v>52.79602794162588</v>
      </c>
      <c r="CF46" s="199">
        <f ca="1">CF32-CF37-CF40</f>
        <v>38.930268996151504</v>
      </c>
      <c r="CG46" s="201">
        <f ca="1">CC46+CD46+CE46+CF46</f>
        <v>187.31325764854071</v>
      </c>
      <c r="CI46" s="198">
        <f>CI32-CI37-CI40</f>
        <v>47.506997872482316</v>
      </c>
      <c r="CJ46" s="199">
        <f>CJ32-CJ37-CJ40</f>
        <v>48.401425531254091</v>
      </c>
      <c r="CK46" s="199">
        <f>CK32-CK37-CK40</f>
        <v>53.052496180795124</v>
      </c>
      <c r="CL46" s="199">
        <f ca="1">CL32-CL37-CL40</f>
        <v>38.987065576776644</v>
      </c>
      <c r="CM46" s="201">
        <f ca="1">CI46+CJ46+CK46+CL46</f>
        <v>187.94798516130817</v>
      </c>
      <c r="CO46" s="198">
        <f>CO32-CO37-CO40</f>
        <v>47.58910901521422</v>
      </c>
      <c r="CP46" s="199">
        <f>CP32-CP37-CP40</f>
        <v>48.506460664127538</v>
      </c>
      <c r="CQ46" s="199">
        <f>CQ32-CQ37-CQ40</f>
        <v>53.233259004571146</v>
      </c>
      <c r="CR46" s="199">
        <f ca="1">CR32-CR37-CR40</f>
        <v>38.976896231611242</v>
      </c>
      <c r="CS46" s="201">
        <f ca="1">CO46+CP46+CQ46+CR46</f>
        <v>188.30572491552417</v>
      </c>
      <c r="CU46" s="198">
        <f>CU32-CU37-CU40</f>
        <v>47.719675787736968</v>
      </c>
      <c r="CV46" s="199">
        <f>CV32-CV37-CV40</f>
        <v>48.660440167115162</v>
      </c>
      <c r="CW46" s="199">
        <f>CW32-CW37-CW40</f>
        <v>53.469183445387571</v>
      </c>
      <c r="CX46" s="199">
        <f ca="1">CX32-CX37-CX40</f>
        <v>39.005969066107959</v>
      </c>
      <c r="CY46" s="201">
        <f ca="1">CU46+CV46+CW46+CX46</f>
        <v>188.85526846634767</v>
      </c>
      <c r="DA46" s="198">
        <f>DA32-DA37-DA40</f>
        <v>47.898850799687928</v>
      </c>
      <c r="DB46" s="199">
        <f>DB32-DB37-DB40</f>
        <v>48.863532558262669</v>
      </c>
      <c r="DC46" s="199">
        <f>DC32-DC37-DC40</f>
        <v>53.760578708493284</v>
      </c>
      <c r="DD46" s="199">
        <f ca="1">DD32-DD37-DD40</f>
        <v>39.074262912425759</v>
      </c>
      <c r="DE46" s="201">
        <f ca="1">DA46+DB46+DC46+DD46</f>
        <v>189.59722497886963</v>
      </c>
      <c r="DG46" s="198">
        <f>DG32-DG37-DG40</f>
        <v>48.126808265503399</v>
      </c>
      <c r="DH46" s="199">
        <f>DH32-DH37-DH40</f>
        <v>49.115928674770679</v>
      </c>
      <c r="DI46" s="199">
        <f>DI32-DI37-DI40</f>
        <v>54.10778185857427</v>
      </c>
      <c r="DJ46" s="199">
        <f ca="1">DJ32-DJ37-DJ40</f>
        <v>39.181771409669963</v>
      </c>
      <c r="DK46" s="201">
        <f ca="1">DG46+DH46+DI46+DJ46</f>
        <v>190.5322902085183</v>
      </c>
    </row>
    <row r="47" spans="2:115" ht="15.75" thickBot="1" x14ac:dyDescent="0.35">
      <c r="B47" s="41" t="s">
        <v>23</v>
      </c>
      <c r="C47" s="155" t="s">
        <v>35</v>
      </c>
      <c r="D47" s="106" t="s">
        <v>35</v>
      </c>
      <c r="E47" s="106" t="s">
        <v>35</v>
      </c>
      <c r="F47" s="106" t="s">
        <v>35</v>
      </c>
      <c r="G47" s="108" t="s">
        <v>35</v>
      </c>
      <c r="I47" s="109">
        <f>I46/C46-1</f>
        <v>5.1724137931034475E-2</v>
      </c>
      <c r="J47" s="110">
        <f>J46/D46-1</f>
        <v>0.19298245614035081</v>
      </c>
      <c r="K47" s="110">
        <f>K46/E46-1</f>
        <v>0.33962264150943389</v>
      </c>
      <c r="L47" s="110">
        <f>L46/F46-1</f>
        <v>-0.1428571428571429</v>
      </c>
      <c r="M47" s="122">
        <f>M46/G46-1</f>
        <v>0.13300492610837433</v>
      </c>
      <c r="O47" s="109">
        <f>O46/I46-1</f>
        <v>0.11475409836065564</v>
      </c>
      <c r="P47" s="110">
        <f>P46/J46-1</f>
        <v>1.4705882352941124E-2</v>
      </c>
      <c r="Q47" s="110">
        <f>Q46/K46-1</f>
        <v>0</v>
      </c>
      <c r="R47" s="110">
        <f>R46/L46-1</f>
        <v>0.6333333333333333</v>
      </c>
      <c r="S47" s="122">
        <f>S46/M46-1</f>
        <v>0.11739130434782608</v>
      </c>
      <c r="U47" s="109">
        <f>U46/O46-1</f>
        <v>-0.13235294117647056</v>
      </c>
      <c r="V47" s="110">
        <f>V46/P46-1</f>
        <v>-0.11594202898550721</v>
      </c>
      <c r="W47" s="110">
        <f>W46/Q46-1</f>
        <v>-0.11267605633802813</v>
      </c>
      <c r="X47" s="110">
        <f>X46/R46-1</f>
        <v>-6.1224489795918324E-2</v>
      </c>
      <c r="Y47" s="122">
        <f>Y46/S46-1</f>
        <v>-0.1089494163424124</v>
      </c>
      <c r="AA47" s="109">
        <f>AA46/U46-1</f>
        <v>-8.4745762711864403E-2</v>
      </c>
      <c r="AB47" s="110">
        <f>AB46/V46-1</f>
        <v>-8.1967213114754078E-2</v>
      </c>
      <c r="AC47" s="110">
        <f>AC46/W46-1</f>
        <v>-3.1746031746031744E-2</v>
      </c>
      <c r="AD47" s="110">
        <f>AD46/X46-1</f>
        <v>6.5217391304347894E-2</v>
      </c>
      <c r="AE47" s="122">
        <f>AE46/Y46-1</f>
        <v>-3.9301310043668103E-2</v>
      </c>
      <c r="AG47" s="109">
        <f>AG46/AA46-1</f>
        <v>-9.259259259259256E-2</v>
      </c>
      <c r="AH47" s="110">
        <f>AH46/AB46-1</f>
        <v>-0.1607142857142857</v>
      </c>
      <c r="AI47" s="110">
        <f>AI46/AC46-1</f>
        <v>-0.13114754098360659</v>
      </c>
      <c r="AJ47" s="110">
        <f>AJ46/AD46-1</f>
        <v>2.0408163265306145E-2</v>
      </c>
      <c r="AK47" s="122">
        <f>AK46/AE46-1</f>
        <v>-9.5454545454545459E-2</v>
      </c>
      <c r="AM47" s="109">
        <f>AM46/AG46-1</f>
        <v>-2.0408163265306145E-2</v>
      </c>
      <c r="AN47" s="110">
        <f>AN46/AH46-1</f>
        <v>-8.5106382978723416E-2</v>
      </c>
      <c r="AO47" s="110">
        <f>AO46/AI46-1</f>
        <v>-1.8867924528301883E-2</v>
      </c>
      <c r="AP47" s="110">
        <f>AP46/AJ46-1</f>
        <v>-4.0000000000000036E-2</v>
      </c>
      <c r="AQ47" s="122">
        <f>AQ46/AK46-1</f>
        <v>-4.020100502512558E-2</v>
      </c>
      <c r="AS47" s="109">
        <f>AS46/AM46-1</f>
        <v>-8.333333333333337E-2</v>
      </c>
      <c r="AT47" s="110">
        <f>AT46/AN46-1</f>
        <v>-3.0000000000000027E-2</v>
      </c>
      <c r="AU47" s="110">
        <f>AU46/AO46-1</f>
        <v>-7.999999999999996E-2</v>
      </c>
      <c r="AV47" s="110">
        <f ca="1">AV46/AP46-1</f>
        <v>-0.14478326985981316</v>
      </c>
      <c r="AW47" s="122">
        <f ca="1">AW46/AQ46-1</f>
        <v>-8.5861764153251419E-2</v>
      </c>
      <c r="AY47" s="109">
        <f>AY46/AS46-1</f>
        <v>-6.8181818181818232E-2</v>
      </c>
      <c r="AZ47" s="110">
        <f>AZ46/AT46-1</f>
        <v>6.9527691201149988E-3</v>
      </c>
      <c r="BA47" s="110">
        <f>BA46/AU46-1</f>
        <v>0</v>
      </c>
      <c r="BB47" s="110">
        <f ca="1">BB46/AV46-1</f>
        <v>-0.15799999999999992</v>
      </c>
      <c r="BC47" s="122">
        <f ca="1">BC46/AW46-1</f>
        <v>-5.266862802671779E-2</v>
      </c>
      <c r="BE47" s="109">
        <f>BE46/AY46-1</f>
        <v>6.800000000000006E-2</v>
      </c>
      <c r="BF47" s="110">
        <f>BF46/AZ46-1</f>
        <v>3.8999999999999924E-2</v>
      </c>
      <c r="BG47" s="110">
        <f>BG46/BA46-1</f>
        <v>0</v>
      </c>
      <c r="BH47" s="110">
        <f ca="1">BH46/BB46-1</f>
        <v>-3.1000000000000028E-2</v>
      </c>
      <c r="BI47" s="122">
        <f ca="1">BI46/BC46-1</f>
        <v>2.028060669076015E-2</v>
      </c>
      <c r="BK47" s="109">
        <f>BK46/BE46-1</f>
        <v>-1.2999999999999901E-2</v>
      </c>
      <c r="BL47" s="110">
        <f>BL46/BF46-1</f>
        <v>2.4999999999999911E-2</v>
      </c>
      <c r="BM47" s="110">
        <f>BM46/BG46-1</f>
        <v>3.6000000000000032E-2</v>
      </c>
      <c r="BN47" s="110">
        <f ca="1">BN46/BH46-1</f>
        <v>0.14500000000000002</v>
      </c>
      <c r="BO47" s="122">
        <f ca="1">BO46/BI46-1</f>
        <v>4.207434865143922E-2</v>
      </c>
      <c r="BQ47" s="109">
        <f>BQ46/BK46-1</f>
        <v>7.6030576780046877E-2</v>
      </c>
      <c r="BR47" s="110">
        <f>BR46/BL46-1</f>
        <v>6.2188145964713781E-2</v>
      </c>
      <c r="BS47" s="110">
        <f>BS46/BM46-1</f>
        <v>4.934017606584673E-2</v>
      </c>
      <c r="BT47" s="110">
        <f ca="1">BT46/BN46-1</f>
        <v>5.7954270089999316E-3</v>
      </c>
      <c r="BU47" s="122">
        <f ca="1">BU46/BO46-1</f>
        <v>4.9671613195653608E-2</v>
      </c>
      <c r="BW47" s="109">
        <f>BW46/BQ46-1</f>
        <v>1.2180009910880196E-2</v>
      </c>
      <c r="BX47" s="110">
        <f>BX46/BR46-1</f>
        <v>9.0940099890337578E-3</v>
      </c>
      <c r="BY47" s="110">
        <f>BY46/BS46-1</f>
        <v>7.7405401306194221E-3</v>
      </c>
      <c r="BZ47" s="110">
        <f ca="1">BZ46/BT46-1</f>
        <v>3.5881584207078099E-3</v>
      </c>
      <c r="CA47" s="122">
        <f ca="1">CA46/BU46-1</f>
        <v>8.3396695210122829E-3</v>
      </c>
      <c r="CC47" s="109">
        <f>CC46/BW46-1</f>
        <v>6.0440081683623692E-3</v>
      </c>
      <c r="CD47" s="110">
        <f>CD46/BX46-1</f>
        <v>6.0219847871554322E-3</v>
      </c>
      <c r="CE47" s="110">
        <f>CE46/BY46-1</f>
        <v>7.3613699214416517E-3</v>
      </c>
      <c r="CF47" s="110">
        <f ca="1">CF46/BZ46-1</f>
        <v>5.6883952414918948E-3</v>
      </c>
      <c r="CG47" s="122">
        <f ca="1">CG46/CA46-1</f>
        <v>6.3353119778599698E-3</v>
      </c>
      <c r="CI47" s="109">
        <f>CI46/CC46-1</f>
        <v>3.196428558826625E-3</v>
      </c>
      <c r="CJ47" s="110">
        <f>CJ46/CD46-1</f>
        <v>3.5266247474197154E-3</v>
      </c>
      <c r="CK47" s="110">
        <f>CK46/CE46-1</f>
        <v>4.8577184528504347E-3</v>
      </c>
      <c r="CL47" s="110">
        <f ca="1">CL46/CF46-1</f>
        <v>1.4589311116950388E-3</v>
      </c>
      <c r="CM47" s="122">
        <f ca="1">CM46/CG46-1</f>
        <v>3.3885882971422809E-3</v>
      </c>
      <c r="CO47" s="109">
        <f>CO46/CI46-1</f>
        <v>1.7284010021492158E-3</v>
      </c>
      <c r="CP47" s="110">
        <f>CP46/CJ46-1</f>
        <v>2.1700834576787731E-3</v>
      </c>
      <c r="CQ47" s="110">
        <f>CQ46/CK46-1</f>
        <v>3.4072444614106079E-3</v>
      </c>
      <c r="CR47" s="110">
        <f ca="1">CR46/CL46-1</f>
        <v>-2.6083894786532724E-4</v>
      </c>
      <c r="CS47" s="122">
        <f ca="1">CS46/CM46-1</f>
        <v>1.9033976549893694E-3</v>
      </c>
      <c r="CU47" s="109">
        <f>CU46/CO46-1</f>
        <v>2.7436271706833271E-3</v>
      </c>
      <c r="CV47" s="110">
        <f>CV46/CP46-1</f>
        <v>3.1744122510570794E-3</v>
      </c>
      <c r="CW47" s="110">
        <f>CW46/CQ46-1</f>
        <v>4.4318992529870371E-3</v>
      </c>
      <c r="CX47" s="110">
        <f ca="1">CX46/CR46-1</f>
        <v>7.4589916867573436E-4</v>
      </c>
      <c r="CY47" s="122">
        <f ca="1">CY46/CS46-1</f>
        <v>2.9183581703107198E-3</v>
      </c>
      <c r="DA47" s="109">
        <f>DA46/CU46-1</f>
        <v>3.754740764542408E-3</v>
      </c>
      <c r="DB47" s="110">
        <f>DB46/CV46-1</f>
        <v>4.1736653110828748E-3</v>
      </c>
      <c r="DC47" s="110">
        <f>DC46/CW46-1</f>
        <v>5.4497795614054656E-3</v>
      </c>
      <c r="DD47" s="110">
        <f ca="1">DD46/CX46-1</f>
        <v>1.7508562907910807E-3</v>
      </c>
      <c r="DE47" s="122">
        <f ca="1">DE46/CY46-1</f>
        <v>3.9287043382334463E-3</v>
      </c>
      <c r="DG47" s="109">
        <f>DG46/DA46-1</f>
        <v>4.759142693606222E-3</v>
      </c>
      <c r="DH47" s="110">
        <f>DH46/DB46-1</f>
        <v>5.165326845885776E-3</v>
      </c>
      <c r="DI47" s="110">
        <f>DI46/DC46-1</f>
        <v>6.458322406900141E-3</v>
      </c>
      <c r="DJ47" s="110">
        <f ca="1">DJ46/DD46-1</f>
        <v>2.7513890021457765E-3</v>
      </c>
      <c r="DK47" s="122">
        <f ca="1">DK46/DE46-1</f>
        <v>4.9318508208804346E-3</v>
      </c>
    </row>
    <row r="48" spans="2:115" ht="15.75" thickBot="1" x14ac:dyDescent="0.35">
      <c r="B48" s="1"/>
      <c r="AA48" s="103"/>
      <c r="AB48" s="103"/>
      <c r="AC48" s="103"/>
      <c r="AD48" s="103"/>
      <c r="AE48" s="103"/>
      <c r="AG48" s="103"/>
      <c r="AH48" s="103"/>
      <c r="AI48" s="103"/>
      <c r="AJ48" s="103"/>
      <c r="AK48" s="103"/>
      <c r="AM48" s="103"/>
      <c r="AN48" s="103"/>
      <c r="AO48" s="103"/>
      <c r="AP48" s="103"/>
      <c r="AQ48" s="103"/>
      <c r="AS48" s="103"/>
      <c r="AT48" s="103"/>
      <c r="AU48" s="103"/>
      <c r="AV48" s="103"/>
      <c r="AW48" s="103"/>
      <c r="AY48" s="103"/>
      <c r="AZ48" s="103"/>
      <c r="BA48" s="103"/>
      <c r="BB48" s="103"/>
      <c r="BC48" s="103"/>
      <c r="BE48" s="103"/>
      <c r="BF48" s="103"/>
      <c r="BG48" s="103"/>
      <c r="BH48" s="103"/>
      <c r="BI48" s="103"/>
      <c r="BK48" s="103"/>
      <c r="BL48" s="103"/>
      <c r="BM48" s="103"/>
      <c r="BN48" s="103"/>
      <c r="BO48" s="103"/>
      <c r="BQ48" s="103"/>
      <c r="BR48" s="103"/>
      <c r="BS48" s="103"/>
      <c r="BT48" s="103"/>
      <c r="BU48" s="103"/>
      <c r="BW48" s="103"/>
      <c r="BX48" s="103"/>
      <c r="BY48" s="103"/>
      <c r="BZ48" s="103"/>
      <c r="CA48" s="103"/>
      <c r="CC48" s="103"/>
      <c r="CD48" s="103"/>
      <c r="CE48" s="103"/>
      <c r="CF48" s="103"/>
      <c r="CG48" s="103"/>
      <c r="CI48" s="103"/>
      <c r="CJ48" s="103"/>
      <c r="CK48" s="103"/>
      <c r="CL48" s="103"/>
      <c r="CM48" s="103"/>
      <c r="CO48" s="103"/>
      <c r="CP48" s="103"/>
      <c r="CQ48" s="103"/>
      <c r="CR48" s="103"/>
      <c r="CS48" s="103"/>
      <c r="CU48" s="103"/>
      <c r="CV48" s="103"/>
      <c r="CW48" s="103"/>
      <c r="CX48" s="103"/>
      <c r="CY48" s="103"/>
      <c r="DA48" s="103"/>
      <c r="DB48" s="103"/>
      <c r="DC48" s="103"/>
      <c r="DD48" s="103"/>
      <c r="DE48" s="103"/>
      <c r="DG48" s="103"/>
      <c r="DH48" s="103"/>
      <c r="DI48" s="103"/>
      <c r="DJ48" s="103"/>
      <c r="DK48" s="103"/>
    </row>
    <row r="49" spans="2:115" ht="15" x14ac:dyDescent="0.3">
      <c r="B49" s="42" t="s">
        <v>36</v>
      </c>
      <c r="C49" s="209">
        <f>C46/C32</f>
        <v>0.49152542372881358</v>
      </c>
      <c r="D49" s="206">
        <f>D46/D32</f>
        <v>0.44881889763779526</v>
      </c>
      <c r="E49" s="206">
        <f>E46/E32</f>
        <v>0.39849624060150374</v>
      </c>
      <c r="F49" s="206">
        <f>F46/F32</f>
        <v>0.26515151515151514</v>
      </c>
      <c r="G49" s="208">
        <f>G46/G32</f>
        <v>0.39803921568627448</v>
      </c>
      <c r="H49" s="129"/>
      <c r="I49" s="209">
        <f>I46/I32</f>
        <v>0.4765625</v>
      </c>
      <c r="J49" s="206">
        <f>J46/J32</f>
        <v>0.48226950354609927</v>
      </c>
      <c r="K49" s="206">
        <f>K46/K32</f>
        <v>0.46405228758169936</v>
      </c>
      <c r="L49" s="206">
        <f>L46/L32</f>
        <v>0.20134228187919462</v>
      </c>
      <c r="M49" s="208">
        <f>M46/M32</f>
        <v>0.40280210157618213</v>
      </c>
      <c r="N49" s="129"/>
      <c r="O49" s="209">
        <f>O46/O32</f>
        <v>0.48571428571428571</v>
      </c>
      <c r="P49" s="206">
        <f>P46/P32</f>
        <v>0.48936170212765956</v>
      </c>
      <c r="Q49" s="206">
        <f>Q46/Q32</f>
        <v>0.50714285714285712</v>
      </c>
      <c r="R49" s="206">
        <f>R46/R32</f>
        <v>0.36296296296296299</v>
      </c>
      <c r="S49" s="208">
        <f>S46/S32</f>
        <v>0.46223021582733814</v>
      </c>
      <c r="U49" s="209">
        <f>U46/U32</f>
        <v>0.47580645161290325</v>
      </c>
      <c r="V49" s="206">
        <f>V46/V32</f>
        <v>0.48799999999999999</v>
      </c>
      <c r="W49" s="206">
        <f>W46/W32</f>
        <v>0.5</v>
      </c>
      <c r="X49" s="206">
        <f>X46/X32</f>
        <v>0.37096774193548387</v>
      </c>
      <c r="Y49" s="208">
        <f>Y46/Y32</f>
        <v>0.4589178356713427</v>
      </c>
      <c r="AA49" s="209">
        <f>AA46/AA32</f>
        <v>0.48214285714285715</v>
      </c>
      <c r="AB49" s="206">
        <f>AB46/AB32</f>
        <v>0.48695652173913045</v>
      </c>
      <c r="AC49" s="206">
        <f>AC46/AC32</f>
        <v>0.51694915254237284</v>
      </c>
      <c r="AD49" s="206">
        <f>AD46/AD32</f>
        <v>0.41880341880341881</v>
      </c>
      <c r="AE49" s="208">
        <f>AE46/AE32</f>
        <v>0.47619047619047616</v>
      </c>
      <c r="AG49" s="209">
        <f>AG46/AG32</f>
        <v>0.45794392523364486</v>
      </c>
      <c r="AH49" s="206">
        <f>AH46/AH32</f>
        <v>0.43518518518518517</v>
      </c>
      <c r="AI49" s="206">
        <f>AI46/AI32</f>
        <v>0.48623853211009177</v>
      </c>
      <c r="AJ49" s="206">
        <f>AJ46/AJ32</f>
        <v>0.44247787610619471</v>
      </c>
      <c r="AK49" s="208">
        <f>AK46/AK32</f>
        <v>0.45537757437070936</v>
      </c>
      <c r="AM49" s="209">
        <f>AM46/AM32</f>
        <v>0.48</v>
      </c>
      <c r="AN49" s="206">
        <f>AN46/AN32</f>
        <v>0.40566037735849059</v>
      </c>
      <c r="AO49" s="206">
        <f>AO46/AO32</f>
        <v>0.51485148514851486</v>
      </c>
      <c r="AP49" s="206">
        <f>AP46/AP32</f>
        <v>0.44859813084112149</v>
      </c>
      <c r="AQ49" s="208">
        <f>AQ46/AQ32</f>
        <v>0.46135265700483091</v>
      </c>
      <c r="AS49" s="209">
        <f>AS46/AS32</f>
        <v>0.46808510638297873</v>
      </c>
      <c r="AT49" s="206">
        <f>AT46/AT32</f>
        <v>0.4533695652173913</v>
      </c>
      <c r="AU49" s="206">
        <f>AU46/AU32</f>
        <v>0.50893617021276605</v>
      </c>
      <c r="AV49" s="206">
        <f ca="1">AV46/AV32</f>
        <v>0.44140218329816094</v>
      </c>
      <c r="AW49" s="208">
        <f ca="1">AW46/AW32</f>
        <v>0.46809759529954154</v>
      </c>
      <c r="AY49" s="209">
        <f>AY46/AY32</f>
        <v>0.45054945054945056</v>
      </c>
      <c r="AZ49" s="206">
        <f>AZ46/AZ32</f>
        <v>0.47727272727272729</v>
      </c>
      <c r="BA49" s="206">
        <f>BA46/BA32</f>
        <v>0.52</v>
      </c>
      <c r="BB49" s="206">
        <f ca="1">BB46/BB32</f>
        <v>0.38404932628161992</v>
      </c>
      <c r="BC49" s="208">
        <f ca="1">BC46/BC32</f>
        <v>0.45818404256328477</v>
      </c>
      <c r="BE49" s="209">
        <f>BE46/BE32</f>
        <v>0.48118681318681322</v>
      </c>
      <c r="BF49" s="206">
        <f>BF46/BF32</f>
        <v>0.48486666666666667</v>
      </c>
      <c r="BG49" s="206">
        <f>BG46/BG32</f>
        <v>0.50893617021276605</v>
      </c>
      <c r="BH49" s="206">
        <f ca="1">BH46/BH32</f>
        <v>0.3601391585486029</v>
      </c>
      <c r="BI49" s="208">
        <f ca="1">BI46/BI32</f>
        <v>0.45858408082885893</v>
      </c>
      <c r="BK49" s="209">
        <f>BK46/BK32</f>
        <v>0.46471780645161298</v>
      </c>
      <c r="BL49" s="206">
        <f>BL46/BL32</f>
        <v>0.48618423913043474</v>
      </c>
      <c r="BM49" s="206">
        <f>BM46/BM32</f>
        <v>0.53292731182795705</v>
      </c>
      <c r="BN49" s="206">
        <f ca="1">BN46/BN32</f>
        <v>0.41684150323965197</v>
      </c>
      <c r="BO49" s="208">
        <f ca="1">BO46/BO32</f>
        <v>0.47529557918391346</v>
      </c>
      <c r="BQ49" s="209">
        <f>BQ46/BQ32</f>
        <v>0.49483859014806897</v>
      </c>
      <c r="BR49" s="206">
        <f>BR46/BR32</f>
        <v>0.51060880653729457</v>
      </c>
      <c r="BS49" s="206">
        <f>BS46/BS32</f>
        <v>0.55246525537089008</v>
      </c>
      <c r="BT49" s="206">
        <f ca="1">BT46/BT32</f>
        <v>0.41422181935975411</v>
      </c>
      <c r="BU49" s="208">
        <f ca="1">BU46/BU32</f>
        <v>0.49319622174853028</v>
      </c>
      <c r="BW49" s="209">
        <f>BW46/BW32</f>
        <v>0.49171872587172583</v>
      </c>
      <c r="BX49" s="206">
        <f>BX46/BX32</f>
        <v>0.50744151631759349</v>
      </c>
      <c r="BY49" s="206">
        <f>BY46/BY32</f>
        <v>0.54955563943854024</v>
      </c>
      <c r="BZ49" s="206">
        <f ca="1">BZ46/BZ32</f>
        <v>0.41105518283168946</v>
      </c>
      <c r="CA49" s="208">
        <f ca="1">CA46/CA32</f>
        <v>0.49015190535625153</v>
      </c>
      <c r="CC49" s="209">
        <f>CC46/CC32</f>
        <v>0.48873254647426834</v>
      </c>
      <c r="CD49" s="206">
        <f>CD46/CD32</f>
        <v>0.50453549278275955</v>
      </c>
      <c r="CE49" s="206">
        <f>CE46/CE32</f>
        <v>0.546683683042964</v>
      </c>
      <c r="CF49" s="206">
        <f ca="1">CF46/CF32</f>
        <v>0.40808780757088498</v>
      </c>
      <c r="CG49" s="208">
        <f ca="1">CG46/CG32</f>
        <v>0.48720854128563806</v>
      </c>
      <c r="CI49" s="209">
        <f>CI46/CI32</f>
        <v>0.48504005604910949</v>
      </c>
      <c r="CJ49" s="206">
        <f>CJ46/CJ32</f>
        <v>0.50106030589527639</v>
      </c>
      <c r="CK49" s="206">
        <f>CK46/CK32</f>
        <v>0.54324186474538227</v>
      </c>
      <c r="CL49" s="206">
        <f ca="1">CL46/CL32</f>
        <v>0.40398409452357287</v>
      </c>
      <c r="CM49" s="208">
        <f ca="1">CM46/CM32</f>
        <v>0.48351972900322293</v>
      </c>
      <c r="CO49" s="209">
        <f>CO46/CO32</f>
        <v>0.48126100427255564</v>
      </c>
      <c r="CP49" s="206">
        <f>CP46/CP32</f>
        <v>0.49751701790482139</v>
      </c>
      <c r="CQ49" s="206">
        <f>CQ46/CQ32</f>
        <v>0.53972935063497463</v>
      </c>
      <c r="CR49" s="206">
        <f ca="1">CR46/CR32</f>
        <v>0.39975537373754266</v>
      </c>
      <c r="CS49" s="208">
        <f ca="1">CS46/CS32</f>
        <v>0.47974428625650883</v>
      </c>
      <c r="CU49" s="209">
        <f>CU46/CU32</f>
        <v>0.47750800493959533</v>
      </c>
      <c r="CV49" s="206">
        <f>CV46/CV32</f>
        <v>0.49399384892726494</v>
      </c>
      <c r="CW49" s="206">
        <f>CW46/CW32</f>
        <v>0.53623860426616732</v>
      </c>
      <c r="CX49" s="206">
        <f ca="1">CX46/CX32</f>
        <v>0.39556710437566328</v>
      </c>
      <c r="CY49" s="208">
        <f ca="1">CY46/CY32</f>
        <v>0.47599584472311934</v>
      </c>
      <c r="DA49" s="209">
        <f>DA46/DA32</f>
        <v>0.47378382771040045</v>
      </c>
      <c r="DB49" s="206">
        <f>DB46/DB32</f>
        <v>0.49049304819644102</v>
      </c>
      <c r="DC49" s="206">
        <f>DC46/DC32</f>
        <v>0.53277179582818568</v>
      </c>
      <c r="DD49" s="206">
        <f ca="1">DD46/DD32</f>
        <v>0.3914228943104846</v>
      </c>
      <c r="DE49" s="208">
        <f ca="1">DE46/DE32</f>
        <v>0.47227713247993919</v>
      </c>
      <c r="DG49" s="209">
        <f>DG46/DG32</f>
        <v>0.47009103712551148</v>
      </c>
      <c r="DH49" s="206">
        <f>DH46/DH32</f>
        <v>0.48701670630097715</v>
      </c>
      <c r="DI49" s="206">
        <f>DI46/DI32</f>
        <v>0.52933092497115319</v>
      </c>
      <c r="DJ49" s="206">
        <f ca="1">DJ46/DJ32</f>
        <v>0.38732604211232208</v>
      </c>
      <c r="DK49" s="208">
        <f ca="1">DK46/DK32</f>
        <v>0.46859066681903877</v>
      </c>
    </row>
    <row r="50" spans="2:115" ht="15.75" thickBot="1" x14ac:dyDescent="0.35">
      <c r="B50" s="41" t="s">
        <v>37</v>
      </c>
      <c r="C50" s="155" t="s">
        <v>35</v>
      </c>
      <c r="D50" s="106" t="s">
        <v>35</v>
      </c>
      <c r="E50" s="106" t="s">
        <v>35</v>
      </c>
      <c r="F50" s="106" t="s">
        <v>35</v>
      </c>
      <c r="G50" s="108" t="s">
        <v>35</v>
      </c>
      <c r="I50" s="174">
        <f>I49-C49</f>
        <v>-1.4962923728813582E-2</v>
      </c>
      <c r="J50" s="175">
        <f>J49-D49</f>
        <v>3.345060590830401E-2</v>
      </c>
      <c r="K50" s="175">
        <f>K49-E49</f>
        <v>6.5556046980195626E-2</v>
      </c>
      <c r="L50" s="175">
        <f>L49-F49</f>
        <v>-6.380923327232052E-2</v>
      </c>
      <c r="M50" s="177">
        <f>M49-G49</f>
        <v>4.7628858899076421E-3</v>
      </c>
      <c r="O50" s="174">
        <f>O49-I49</f>
        <v>9.1517857142857095E-3</v>
      </c>
      <c r="P50" s="175">
        <f>P49-J49</f>
        <v>7.0921985815602939E-3</v>
      </c>
      <c r="Q50" s="175">
        <f>Q49-K49</f>
        <v>4.3090569561157754E-2</v>
      </c>
      <c r="R50" s="175">
        <f>R49-L49</f>
        <v>0.16162068108376837</v>
      </c>
      <c r="S50" s="177">
        <f>S49-M49</f>
        <v>5.9428114251156017E-2</v>
      </c>
      <c r="U50" s="174">
        <f>U49-O49</f>
        <v>-9.9078341013824622E-3</v>
      </c>
      <c r="V50" s="175">
        <f>V49-P49</f>
        <v>-1.3617021276595698E-3</v>
      </c>
      <c r="W50" s="175">
        <f>W49-Q49</f>
        <v>-7.1428571428571175E-3</v>
      </c>
      <c r="X50" s="175">
        <f>X49-R49</f>
        <v>8.0047789725208873E-3</v>
      </c>
      <c r="Y50" s="177">
        <f>Y49-S49</f>
        <v>-3.3123801559954424E-3</v>
      </c>
      <c r="AA50" s="174">
        <f>AA49-U49</f>
        <v>6.3364055299539035E-3</v>
      </c>
      <c r="AB50" s="175">
        <f>AB49-V49</f>
        <v>-1.0434782608695348E-3</v>
      </c>
      <c r="AC50" s="175">
        <f>AC49-W49</f>
        <v>1.6949152542372836E-2</v>
      </c>
      <c r="AD50" s="175">
        <f>AD49-X49</f>
        <v>4.783567686793494E-2</v>
      </c>
      <c r="AE50" s="177">
        <f>AE49-Y49</f>
        <v>1.7272640519133464E-2</v>
      </c>
      <c r="AG50" s="174">
        <f>AG49-AA49</f>
        <v>-2.4198931909212296E-2</v>
      </c>
      <c r="AH50" s="175">
        <f>AH49-AB49</f>
        <v>-5.177133655394528E-2</v>
      </c>
      <c r="AI50" s="175">
        <f>AI49-AC49</f>
        <v>-3.0710620432281066E-2</v>
      </c>
      <c r="AJ50" s="175">
        <f>AJ49-AD49</f>
        <v>2.3674457302775898E-2</v>
      </c>
      <c r="AK50" s="177">
        <f>AK49-AE49</f>
        <v>-2.0812901819766805E-2</v>
      </c>
      <c r="AM50" s="174">
        <f>AM49-AG49</f>
        <v>2.2056074766355127E-2</v>
      </c>
      <c r="AN50" s="175">
        <f>AN49-AH49</f>
        <v>-2.9524807826694588E-2</v>
      </c>
      <c r="AO50" s="175">
        <f>AO49-AI49</f>
        <v>2.8612953038423095E-2</v>
      </c>
      <c r="AP50" s="175">
        <f>AP49-AJ49</f>
        <v>6.1202547349267777E-3</v>
      </c>
      <c r="AQ50" s="177">
        <f>AQ49-AK49</f>
        <v>5.9750826341215535E-3</v>
      </c>
      <c r="AS50" s="174">
        <f>AS49-AM49</f>
        <v>-1.1914893617021249E-2</v>
      </c>
      <c r="AT50" s="175">
        <f>AT49-AN49</f>
        <v>4.7709187858900715E-2</v>
      </c>
      <c r="AU50" s="175">
        <f>AU49-AO49</f>
        <v>-5.9153149357488166E-3</v>
      </c>
      <c r="AV50" s="175">
        <f ca="1">AV49-AP49</f>
        <v>-7.1959475429605457E-3</v>
      </c>
      <c r="AW50" s="177">
        <f ca="1">AW49-AQ49</f>
        <v>6.7449382947106229E-3</v>
      </c>
      <c r="AY50" s="174">
        <f>AY49-AS49</f>
        <v>-1.7535655833528174E-2</v>
      </c>
      <c r="AZ50" s="175">
        <f>AZ49-AT49</f>
        <v>2.3903162055335991E-2</v>
      </c>
      <c r="BA50" s="175">
        <f>BA49-AU49</f>
        <v>1.106382978723397E-2</v>
      </c>
      <c r="BB50" s="175">
        <f ca="1">BB49-AV49</f>
        <v>-5.7352857016541026E-2</v>
      </c>
      <c r="BC50" s="177">
        <f ca="1">BC49-AW49</f>
        <v>-9.9135527362567699E-3</v>
      </c>
      <c r="BE50" s="174">
        <f>BE49-AY49</f>
        <v>3.0637362637362664E-2</v>
      </c>
      <c r="BF50" s="175">
        <f>BF49-AZ49</f>
        <v>7.5939393939393751E-3</v>
      </c>
      <c r="BG50" s="175">
        <f>BG49-BA49</f>
        <v>-1.106382978723397E-2</v>
      </c>
      <c r="BH50" s="175">
        <f ca="1">BH49-BB49</f>
        <v>-2.3910167733017018E-2</v>
      </c>
      <c r="BI50" s="177">
        <f ca="1">BI49-BC49</f>
        <v>4.0003826557416522E-4</v>
      </c>
      <c r="BK50" s="174">
        <f>BK49-BE49</f>
        <v>-1.6469006735200242E-2</v>
      </c>
      <c r="BL50" s="175">
        <f>BL49-BF49</f>
        <v>1.3175724637680686E-3</v>
      </c>
      <c r="BM50" s="175">
        <f>BM49-BG49</f>
        <v>2.3991141615191003E-2</v>
      </c>
      <c r="BN50" s="175">
        <f ca="1">BN49-BH49</f>
        <v>5.6702344691049067E-2</v>
      </c>
      <c r="BO50" s="177">
        <f ca="1">BO49-BI49</f>
        <v>1.6711498355054533E-2</v>
      </c>
      <c r="BQ50" s="174">
        <f>BQ49-BK49</f>
        <v>3.0120783696455988E-2</v>
      </c>
      <c r="BR50" s="175">
        <f>BR49-BL49</f>
        <v>2.4424567406859832E-2</v>
      </c>
      <c r="BS50" s="175">
        <f>BS49-BM49</f>
        <v>1.9537943542933034E-2</v>
      </c>
      <c r="BT50" s="175">
        <f ca="1">BT49-BN49</f>
        <v>-2.6196838798978606E-3</v>
      </c>
      <c r="BU50" s="177">
        <f ca="1">BU49-BO49</f>
        <v>1.790064256461682E-2</v>
      </c>
      <c r="BW50" s="174">
        <f>BW49-BQ49</f>
        <v>-3.1198642763431428E-3</v>
      </c>
      <c r="BX50" s="175">
        <f>BX49-BR49</f>
        <v>-3.1672902197010799E-3</v>
      </c>
      <c r="BY50" s="175">
        <f>BY49-BS49</f>
        <v>-2.9096159323498405E-3</v>
      </c>
      <c r="BZ50" s="175">
        <f ca="1">BZ49-BT49</f>
        <v>-3.166636528064648E-3</v>
      </c>
      <c r="CA50" s="177">
        <f ca="1">CA49-BU49</f>
        <v>-3.0443163922787564E-3</v>
      </c>
      <c r="CC50" s="174">
        <f>CC49-BW49</f>
        <v>-2.9861793974574891E-3</v>
      </c>
      <c r="CD50" s="175">
        <f>CD49-BX49</f>
        <v>-2.9060235348339347E-3</v>
      </c>
      <c r="CE50" s="175">
        <f>CE49-BY49</f>
        <v>-2.8719563955762473E-3</v>
      </c>
      <c r="CF50" s="175">
        <f ca="1">CF49-BZ49</f>
        <v>-2.9673752608044834E-3</v>
      </c>
      <c r="CG50" s="177">
        <f ca="1">CG49-CA49</f>
        <v>-2.9433640706134634E-3</v>
      </c>
      <c r="CI50" s="174">
        <f>CI49-CC49</f>
        <v>-3.6924904251588453E-3</v>
      </c>
      <c r="CJ50" s="175">
        <f>CJ49-CD49</f>
        <v>-3.4751868874831615E-3</v>
      </c>
      <c r="CK50" s="175">
        <f>CK49-CE49</f>
        <v>-3.4418182975817224E-3</v>
      </c>
      <c r="CL50" s="175">
        <f ca="1">CL49-CF49</f>
        <v>-4.1037130473121075E-3</v>
      </c>
      <c r="CM50" s="177">
        <f ca="1">CM49-CG49</f>
        <v>-3.6888122824151326E-3</v>
      </c>
      <c r="CO50" s="174">
        <f>CO49-CI49</f>
        <v>-3.7790517765538545E-3</v>
      </c>
      <c r="CP50" s="175">
        <f>CP49-CJ49</f>
        <v>-3.5432879904550019E-3</v>
      </c>
      <c r="CQ50" s="175">
        <f>CQ49-CK49</f>
        <v>-3.5125141104076496E-3</v>
      </c>
      <c r="CR50" s="175">
        <f ca="1">CR49-CL49</f>
        <v>-4.2287207860302045E-3</v>
      </c>
      <c r="CS50" s="177">
        <f ca="1">CS49-CM49</f>
        <v>-3.7754427467140972E-3</v>
      </c>
      <c r="CU50" s="174">
        <f>CU49-CO49</f>
        <v>-3.7529993329603051E-3</v>
      </c>
      <c r="CV50" s="175">
        <f>CV49-CP49</f>
        <v>-3.5231689775564456E-3</v>
      </c>
      <c r="CW50" s="175">
        <f>CW49-CQ49</f>
        <v>-3.490746368807307E-3</v>
      </c>
      <c r="CX50" s="175">
        <f ca="1">CX49-CR49</f>
        <v>-4.188269361879382E-3</v>
      </c>
      <c r="CY50" s="177">
        <f ca="1">CY49-CS49</f>
        <v>-3.7484415333894905E-3</v>
      </c>
      <c r="DA50" s="174">
        <f>DA49-CU49</f>
        <v>-3.7241772291948805E-3</v>
      </c>
      <c r="DB50" s="175">
        <f>DB49-CV49</f>
        <v>-3.5008007308239275E-3</v>
      </c>
      <c r="DC50" s="175">
        <f>DC49-CW49</f>
        <v>-3.4668084379816388E-3</v>
      </c>
      <c r="DD50" s="175">
        <f ca="1">DD49-CX49</f>
        <v>-4.1442100651786773E-3</v>
      </c>
      <c r="DE50" s="177">
        <f ca="1">DE49-CY49</f>
        <v>-3.7187122431801556E-3</v>
      </c>
      <c r="DG50" s="174">
        <f>DG49-DA49</f>
        <v>-3.6927905848889719E-3</v>
      </c>
      <c r="DH50" s="175">
        <f>DH49-DB49</f>
        <v>-3.4763418954638636E-3</v>
      </c>
      <c r="DI50" s="175">
        <f>DI49-DC49</f>
        <v>-3.4408708570324853E-3</v>
      </c>
      <c r="DJ50" s="175">
        <f ca="1">DJ49-DD49</f>
        <v>-4.0968521981625261E-3</v>
      </c>
      <c r="DK50" s="177">
        <f ca="1">DK49-DE49</f>
        <v>-3.6864656609004176E-3</v>
      </c>
    </row>
    <row r="51" spans="2:115" ht="15.75" thickBot="1" x14ac:dyDescent="0.35">
      <c r="B51" s="1"/>
      <c r="AA51" s="103"/>
      <c r="AB51" s="103"/>
      <c r="AC51" s="103"/>
      <c r="AD51" s="103"/>
      <c r="AE51" s="103"/>
      <c r="AG51" s="103"/>
      <c r="AH51" s="103"/>
      <c r="AI51" s="103"/>
      <c r="AJ51" s="103"/>
      <c r="AK51" s="103"/>
      <c r="AM51" s="103"/>
      <c r="AN51" s="103"/>
      <c r="AO51" s="103"/>
      <c r="AP51" s="103"/>
      <c r="AQ51" s="103"/>
      <c r="AS51" s="103"/>
      <c r="AT51" s="103"/>
      <c r="AU51" s="103"/>
      <c r="AV51" s="103"/>
      <c r="AW51" s="103"/>
      <c r="AY51" s="103"/>
      <c r="AZ51" s="103"/>
      <c r="BA51" s="103"/>
      <c r="BB51" s="103"/>
      <c r="BC51" s="103"/>
      <c r="BE51" s="103"/>
      <c r="BF51" s="103"/>
      <c r="BG51" s="103"/>
      <c r="BH51" s="103"/>
      <c r="BI51" s="103"/>
      <c r="BK51" s="103"/>
      <c r="BL51" s="103"/>
      <c r="BM51" s="103"/>
      <c r="BN51" s="103"/>
      <c r="BO51" s="103"/>
      <c r="BQ51" s="103"/>
      <c r="BR51" s="103"/>
      <c r="BS51" s="103"/>
      <c r="BT51" s="103"/>
      <c r="BU51" s="103"/>
      <c r="BW51" s="103"/>
      <c r="BX51" s="103"/>
      <c r="BY51" s="103"/>
      <c r="BZ51" s="103"/>
      <c r="CA51" s="103"/>
      <c r="CC51" s="103"/>
      <c r="CD51" s="103"/>
      <c r="CE51" s="103"/>
      <c r="CF51" s="103"/>
      <c r="CG51" s="103"/>
      <c r="CI51" s="103"/>
      <c r="CJ51" s="103"/>
      <c r="CK51" s="103"/>
      <c r="CL51" s="103"/>
      <c r="CM51" s="103"/>
      <c r="CO51" s="103"/>
      <c r="CP51" s="103"/>
      <c r="CQ51" s="103"/>
      <c r="CR51" s="103"/>
      <c r="CS51" s="103"/>
      <c r="CU51" s="103"/>
      <c r="CV51" s="103"/>
      <c r="CW51" s="103"/>
      <c r="CX51" s="103"/>
      <c r="CY51" s="103"/>
      <c r="DA51" s="103"/>
      <c r="DB51" s="103"/>
      <c r="DC51" s="103"/>
      <c r="DD51" s="103"/>
      <c r="DE51" s="103"/>
      <c r="DG51" s="103"/>
      <c r="DH51" s="103"/>
      <c r="DI51" s="103"/>
      <c r="DJ51" s="103"/>
      <c r="DK51" s="103"/>
    </row>
    <row r="52" spans="2:115" ht="15" x14ac:dyDescent="0.3">
      <c r="B52" s="139" t="s">
        <v>62</v>
      </c>
      <c r="C52" s="126">
        <v>18</v>
      </c>
      <c r="D52" s="127">
        <v>13</v>
      </c>
      <c r="E52" s="127">
        <v>17</v>
      </c>
      <c r="F52" s="127">
        <v>29</v>
      </c>
      <c r="G52" s="201">
        <f>C52+D52+E52+F52</f>
        <v>77</v>
      </c>
      <c r="H52" s="129"/>
      <c r="I52" s="126">
        <v>22</v>
      </c>
      <c r="J52" s="127">
        <v>9</v>
      </c>
      <c r="K52" s="127">
        <v>15</v>
      </c>
      <c r="L52" s="127">
        <v>18</v>
      </c>
      <c r="M52" s="201">
        <f>I52+J52+K52+L52</f>
        <v>64</v>
      </c>
      <c r="N52" s="129"/>
      <c r="O52" s="126">
        <v>32</v>
      </c>
      <c r="P52" s="127">
        <v>6</v>
      </c>
      <c r="Q52" s="127">
        <v>21</v>
      </c>
      <c r="R52" s="127">
        <v>16</v>
      </c>
      <c r="S52" s="201">
        <f>O52+P52+Q52+R52</f>
        <v>75</v>
      </c>
      <c r="T52" s="129"/>
      <c r="U52" s="126">
        <v>28</v>
      </c>
      <c r="V52" s="252">
        <v>10</v>
      </c>
      <c r="W52" s="252">
        <v>4</v>
      </c>
      <c r="X52" s="252">
        <v>20</v>
      </c>
      <c r="Y52" s="201">
        <f>U52+V52+W52+X52</f>
        <v>62</v>
      </c>
      <c r="Z52" s="254"/>
      <c r="AA52" s="251">
        <v>20</v>
      </c>
      <c r="AB52" s="252">
        <v>13</v>
      </c>
      <c r="AC52" s="252">
        <v>56</v>
      </c>
      <c r="AD52" s="252">
        <v>15</v>
      </c>
      <c r="AE52" s="201">
        <f>AA52+AB52+AC52+AD52</f>
        <v>104</v>
      </c>
      <c r="AF52" s="254"/>
      <c r="AG52" s="251">
        <v>17</v>
      </c>
      <c r="AH52" s="252">
        <v>11</v>
      </c>
      <c r="AI52" s="252">
        <v>8</v>
      </c>
      <c r="AJ52" s="252">
        <v>10.4</v>
      </c>
      <c r="AK52" s="201">
        <f>AG52+AH52+AI52+AJ52</f>
        <v>46.4</v>
      </c>
      <c r="AL52" s="254"/>
      <c r="AM52" s="251">
        <v>13</v>
      </c>
      <c r="AN52" s="252">
        <v>11</v>
      </c>
      <c r="AO52" s="252">
        <v>11</v>
      </c>
      <c r="AP52" s="252">
        <v>20</v>
      </c>
      <c r="AQ52" s="201">
        <f>AM52+AN52+AO52+AP52</f>
        <v>55</v>
      </c>
      <c r="AR52" s="254"/>
      <c r="AS52" s="251">
        <v>39</v>
      </c>
      <c r="AT52" s="252">
        <f>AN52*5/2</f>
        <v>27.5</v>
      </c>
      <c r="AU52" s="252">
        <f>AO52*1.19</f>
        <v>13.09</v>
      </c>
      <c r="AV52" s="252">
        <v>12</v>
      </c>
      <c r="AW52" s="201">
        <f>AS52+AT52+AU52+AV52</f>
        <v>91.59</v>
      </c>
      <c r="AX52" s="254"/>
      <c r="AY52" s="251">
        <v>12</v>
      </c>
      <c r="AZ52" s="252">
        <v>10</v>
      </c>
      <c r="BA52" s="252">
        <f>AU52*0.96</f>
        <v>12.5664</v>
      </c>
      <c r="BB52" s="252">
        <f>AV52*(1.08)</f>
        <v>12.96</v>
      </c>
      <c r="BC52" s="201">
        <f>AY52+AZ52+BA52+BB52</f>
        <v>47.526400000000002</v>
      </c>
      <c r="BD52" s="254"/>
      <c r="BE52" s="251">
        <f>AY52*1.53</f>
        <v>18.36</v>
      </c>
      <c r="BF52" s="252">
        <v>10</v>
      </c>
      <c r="BG52" s="199">
        <f>BA52*1.25</f>
        <v>15.708</v>
      </c>
      <c r="BH52" s="252">
        <v>12</v>
      </c>
      <c r="BI52" s="201">
        <f>BE52+BF52+BG52+BH52</f>
        <v>56.067999999999998</v>
      </c>
      <c r="BJ52" s="254"/>
      <c r="BK52" s="198">
        <f>BE52*0.86</f>
        <v>15.7896</v>
      </c>
      <c r="BL52" s="252">
        <v>16</v>
      </c>
      <c r="BM52" s="252">
        <f>BM55*BM32</f>
        <v>10.23</v>
      </c>
      <c r="BN52" s="252">
        <v>15</v>
      </c>
      <c r="BO52" s="201">
        <f>BK52+BL52+BM52+BN52</f>
        <v>57.019599999999997</v>
      </c>
      <c r="BP52" s="254"/>
      <c r="BQ52" s="251">
        <f>BQ55*BQ32</f>
        <v>15.036726357976461</v>
      </c>
      <c r="BR52" s="252">
        <f>BR55*BR32</f>
        <v>14.887502091831857</v>
      </c>
      <c r="BS52" s="252">
        <f>BS55*BS32</f>
        <v>11.296489502400245</v>
      </c>
      <c r="BT52" s="252">
        <f>BT55*BT32</f>
        <v>14.898942643726723</v>
      </c>
      <c r="BU52" s="201">
        <f>BQ52+BR52+BS52+BT52</f>
        <v>56.119660595935287</v>
      </c>
      <c r="BV52" s="254"/>
      <c r="BW52" s="251">
        <f>BW55*BW32</f>
        <v>14.359163545908512</v>
      </c>
      <c r="BX52" s="252">
        <f>BX55*BX32</f>
        <v>14.171866247032014</v>
      </c>
      <c r="BY52" s="252">
        <f>BY55*BY32</f>
        <v>13.351569606452575</v>
      </c>
      <c r="BZ52" s="252">
        <f>BZ55*BZ32</f>
        <v>14.125866464036839</v>
      </c>
      <c r="CA52" s="201">
        <f>BW52+BX52+BY52+BZ52</f>
        <v>56.00846586342994</v>
      </c>
      <c r="CB52" s="254"/>
      <c r="CC52" s="251">
        <f>CC55*CC32</f>
        <v>13.565268173946327</v>
      </c>
      <c r="CD52" s="252">
        <f>CD55*CD32</f>
        <v>13.383372503696458</v>
      </c>
      <c r="CE52" s="252">
        <f>CE55*CE32</f>
        <v>12.554762187537179</v>
      </c>
      <c r="CF52" s="252">
        <f>CF55*CF32</f>
        <v>13.355551325836911</v>
      </c>
      <c r="CG52" s="201">
        <f>CC52+CD52+CE52+CF52</f>
        <v>52.858954191016878</v>
      </c>
      <c r="CH52" s="254"/>
      <c r="CI52" s="251">
        <f>CI55*CI32</f>
        <v>12.732782883394275</v>
      </c>
      <c r="CJ52" s="252">
        <f>CJ55*CJ32</f>
        <v>12.557740545462652</v>
      </c>
      <c r="CK52" s="252">
        <f>CK55*CK32</f>
        <v>11.719088595425728</v>
      </c>
      <c r="CL52" s="252">
        <f>CL55*CL32</f>
        <v>12.545836813100628</v>
      </c>
      <c r="CM52" s="201">
        <f>CI52+CJ52+CK52+CL52</f>
        <v>49.555448837383288</v>
      </c>
      <c r="CN52" s="254"/>
      <c r="CO52" s="251">
        <f>CO55*CO32</f>
        <v>12.854945896414579</v>
      </c>
      <c r="CP52" s="252">
        <f>CP55*CP32</f>
        <v>11.6996506053364</v>
      </c>
      <c r="CQ52" s="252">
        <f>CQ55*CQ32</f>
        <v>10.849249690819718</v>
      </c>
      <c r="CR52" s="252">
        <f>CR55*CR32</f>
        <v>11.700224324849623</v>
      </c>
      <c r="CS52" s="201">
        <f>CO52+CP52+CQ52+CR52</f>
        <v>47.104070517420318</v>
      </c>
      <c r="CT52" s="254"/>
      <c r="CU52" s="251">
        <f>CU55*CU32</f>
        <v>12.991526400045492</v>
      </c>
      <c r="CV52" s="252">
        <f>CV55*CV32</f>
        <v>10.835455603356683</v>
      </c>
      <c r="CW52" s="252">
        <f>CW55*CW32</f>
        <v>9.971155194721419</v>
      </c>
      <c r="CX52" s="252">
        <f>CX55*CX32</f>
        <v>11.832926034940861</v>
      </c>
      <c r="CY52" s="201">
        <f>CU52+CV52+CW52+CX52</f>
        <v>45.631063233064459</v>
      </c>
      <c r="CZ52" s="254"/>
      <c r="DA52" s="251">
        <f>DA55*DA32</f>
        <v>13.14280952570965</v>
      </c>
      <c r="DB52" s="252">
        <f>DB55*DB32</f>
        <v>10.9583379441827</v>
      </c>
      <c r="DC52" s="252">
        <f>DC55*DC32</f>
        <v>10.090732867141227</v>
      </c>
      <c r="DD52" s="252">
        <f>DD55*DD32</f>
        <v>11.979144852400358</v>
      </c>
      <c r="DE52" s="201">
        <f>DA52+DB52+DC52+DD52</f>
        <v>46.171025189433941</v>
      </c>
      <c r="DF52" s="254"/>
      <c r="DG52" s="251">
        <f>DG55*DG32</f>
        <v>13.30909245318157</v>
      </c>
      <c r="DH52" s="252">
        <f>DH55*DH32</f>
        <v>11.093566369129574</v>
      </c>
      <c r="DI52" s="252">
        <f>DI55*DI32</f>
        <v>10.221919654802518</v>
      </c>
      <c r="DJ52" s="252">
        <f>DJ55*DJ32</f>
        <v>12.139159410812091</v>
      </c>
      <c r="DK52" s="201">
        <f>DG52+DH52+DI52+DJ52</f>
        <v>46.763737887925757</v>
      </c>
    </row>
    <row r="53" spans="2:115" ht="15" x14ac:dyDescent="0.3">
      <c r="B53" s="5" t="s">
        <v>40</v>
      </c>
      <c r="C53" s="144" t="s">
        <v>35</v>
      </c>
      <c r="D53" s="107" t="s">
        <v>35</v>
      </c>
      <c r="E53" s="107" t="s">
        <v>35</v>
      </c>
      <c r="F53" s="107" t="s">
        <v>35</v>
      </c>
      <c r="G53" s="138" t="s">
        <v>35</v>
      </c>
      <c r="H53" s="107"/>
      <c r="I53" s="151">
        <f>I52/C52-1</f>
        <v>0.22222222222222232</v>
      </c>
      <c r="J53" s="133">
        <f>J52/D52-1</f>
        <v>-0.30769230769230771</v>
      </c>
      <c r="K53" s="133">
        <f>K52/E52-1</f>
        <v>-0.11764705882352944</v>
      </c>
      <c r="L53" s="133">
        <f>L52/F52-1</f>
        <v>-0.37931034482758619</v>
      </c>
      <c r="M53" s="153">
        <f>M52/G52-1</f>
        <v>-0.16883116883116878</v>
      </c>
      <c r="N53" s="107"/>
      <c r="O53" s="151">
        <f>O52/I52-1</f>
        <v>0.45454545454545459</v>
      </c>
      <c r="P53" s="133">
        <f>P52/J52-1</f>
        <v>-0.33333333333333337</v>
      </c>
      <c r="Q53" s="133">
        <f>Q52/K52-1</f>
        <v>0.39999999999999991</v>
      </c>
      <c r="R53" s="133">
        <f>R52/L52-1</f>
        <v>-0.11111111111111116</v>
      </c>
      <c r="S53" s="153">
        <f>S52/M52-1</f>
        <v>0.171875</v>
      </c>
      <c r="T53" s="107"/>
      <c r="U53" s="151">
        <f>U52/O52-1</f>
        <v>-0.125</v>
      </c>
      <c r="V53" s="133">
        <f>V52/P52-1</f>
        <v>0.66666666666666674</v>
      </c>
      <c r="W53" s="133">
        <f>W52/Q52-1</f>
        <v>-0.80952380952380953</v>
      </c>
      <c r="X53" s="133">
        <f>X52/R52-1</f>
        <v>0.25</v>
      </c>
      <c r="Y53" s="153">
        <f>Y52/S52-1</f>
        <v>-0.17333333333333334</v>
      </c>
      <c r="AA53" s="151">
        <f>AA52/U52-1</f>
        <v>-0.2857142857142857</v>
      </c>
      <c r="AB53" s="133">
        <f>AB52/V52-1</f>
        <v>0.30000000000000004</v>
      </c>
      <c r="AC53" s="133">
        <f>AC52/W52-1</f>
        <v>13</v>
      </c>
      <c r="AD53" s="133">
        <f>AD52/X52-1</f>
        <v>-0.25</v>
      </c>
      <c r="AE53" s="153">
        <f>AE52/Y52-1</f>
        <v>0.67741935483870974</v>
      </c>
      <c r="AG53" s="151">
        <f>AG52/AA52-1</f>
        <v>-0.15000000000000002</v>
      </c>
      <c r="AH53" s="133">
        <f>AH52/AB52-1</f>
        <v>-0.15384615384615385</v>
      </c>
      <c r="AI53" s="133">
        <f>AI52/AC52-1</f>
        <v>-0.85714285714285721</v>
      </c>
      <c r="AJ53" s="133">
        <f>AJ52/AD52-1</f>
        <v>-0.30666666666666664</v>
      </c>
      <c r="AK53" s="153">
        <f>AK52/AE52-1</f>
        <v>-0.55384615384615388</v>
      </c>
      <c r="AM53" s="151">
        <f>AM52/AG52-1</f>
        <v>-0.23529411764705888</v>
      </c>
      <c r="AN53" s="133">
        <f>AN52/AH52-1</f>
        <v>0</v>
      </c>
      <c r="AO53" s="133">
        <f>AO52/AI52-1</f>
        <v>0.375</v>
      </c>
      <c r="AP53" s="133">
        <f>AP52/AJ52-1</f>
        <v>0.92307692307692291</v>
      </c>
      <c r="AQ53" s="153">
        <f>AQ52/AK52-1</f>
        <v>0.18534482758620685</v>
      </c>
      <c r="AS53" s="151">
        <f>AS52/AM52-1</f>
        <v>2</v>
      </c>
      <c r="AT53" s="133">
        <f>AT52/AN52-1</f>
        <v>1.5</v>
      </c>
      <c r="AU53" s="133">
        <f>AU52/AO52-1</f>
        <v>0.18999999999999995</v>
      </c>
      <c r="AV53" s="133">
        <f>AV52/AP52-1</f>
        <v>-0.4</v>
      </c>
      <c r="AW53" s="153">
        <f>AW52/AQ52-1</f>
        <v>0.66527272727272724</v>
      </c>
      <c r="AY53" s="151">
        <f>AY52/AS52-1</f>
        <v>-0.69230769230769229</v>
      </c>
      <c r="AZ53" s="133">
        <f>AZ52/AT52-1</f>
        <v>-0.63636363636363635</v>
      </c>
      <c r="BA53" s="133">
        <f>BA52/AU52-1</f>
        <v>-4.0000000000000036E-2</v>
      </c>
      <c r="BB53" s="133">
        <f>BB52/AV52-1</f>
        <v>8.0000000000000071E-2</v>
      </c>
      <c r="BC53" s="153">
        <f>BC52/AW52-1</f>
        <v>-0.48109618954034283</v>
      </c>
      <c r="BE53" s="151">
        <f>BE52/AY52-1</f>
        <v>0.53</v>
      </c>
      <c r="BF53" s="133">
        <f>BF52/AZ52-1</f>
        <v>0</v>
      </c>
      <c r="BG53" s="133">
        <f>BG52/BA52-1</f>
        <v>0.25</v>
      </c>
      <c r="BH53" s="133">
        <f>BH52/BB52-1</f>
        <v>-7.4074074074074181E-2</v>
      </c>
      <c r="BI53" s="153">
        <f>BI52/BC52-1</f>
        <v>0.17972326959332063</v>
      </c>
      <c r="BK53" s="151">
        <f>BK52/BE52-1</f>
        <v>-0.14000000000000001</v>
      </c>
      <c r="BL53" s="133">
        <f>BL52/BF52-1</f>
        <v>0.60000000000000009</v>
      </c>
      <c r="BM53" s="133">
        <f>BM52/BG52-1</f>
        <v>-0.34873949579831931</v>
      </c>
      <c r="BN53" s="133">
        <f>BN52/BH52-1</f>
        <v>0.25</v>
      </c>
      <c r="BO53" s="153">
        <f>BO52/BI52-1</f>
        <v>1.6972247984590183E-2</v>
      </c>
      <c r="BQ53" s="151">
        <f>BQ52/BK52-1</f>
        <v>-4.7681615875230454E-2</v>
      </c>
      <c r="BR53" s="133">
        <f>BR52/BL52-1</f>
        <v>-6.9531119260508922E-2</v>
      </c>
      <c r="BS53" s="133">
        <f>BS52/BM52-1</f>
        <v>0.10425117325515587</v>
      </c>
      <c r="BT53" s="133">
        <f>BT52/BN52-1</f>
        <v>-6.7371570848850926E-3</v>
      </c>
      <c r="BU53" s="153">
        <f>BU52/BO52-1</f>
        <v>-1.5782983466469558E-2</v>
      </c>
      <c r="BW53" s="151">
        <f>BW52/BQ52-1</f>
        <v>-4.5060526868504591E-2</v>
      </c>
      <c r="BX53" s="133">
        <f>BX52/BR52-1</f>
        <v>-4.8069571401940014E-2</v>
      </c>
      <c r="BY53" s="133">
        <f>BY52/BS52-1</f>
        <v>0.18192201246375461</v>
      </c>
      <c r="BZ53" s="133">
        <f>BZ52/BT52-1</f>
        <v>-5.1887989515510435E-2</v>
      </c>
      <c r="CA53" s="153">
        <f>CA52/BU52-1</f>
        <v>-1.9813864040617579E-3</v>
      </c>
      <c r="CC53" s="151">
        <f>CC52/BW52-1</f>
        <v>-5.5288413522415536E-2</v>
      </c>
      <c r="CD53" s="133">
        <f>CD52/BX52-1</f>
        <v>-5.5637961126022373E-2</v>
      </c>
      <c r="CE53" s="133">
        <f>CE52/BY52-1</f>
        <v>-5.9678932320460176E-2</v>
      </c>
      <c r="CF53" s="133">
        <f>CF52/BZ52-1</f>
        <v>-5.4532239856654452E-2</v>
      </c>
      <c r="CG53" s="153">
        <f>CG52/CA52-1</f>
        <v>-5.6232778810488715E-2</v>
      </c>
      <c r="CI53" s="151">
        <f>CI52/CC52-1</f>
        <v>-6.1368878217309186E-2</v>
      </c>
      <c r="CJ53" s="133">
        <f>CJ52/CD52-1</f>
        <v>-6.169087485278979E-2</v>
      </c>
      <c r="CK53" s="133">
        <f>CK52/CE52-1</f>
        <v>-6.6562279685473014E-2</v>
      </c>
      <c r="CL53" s="133">
        <f>CL52/CF52-1</f>
        <v>-6.0627561751782855E-2</v>
      </c>
      <c r="CM53" s="153">
        <f>CM52/CG52-1</f>
        <v>-6.2496608269919318E-2</v>
      </c>
      <c r="CO53" s="151">
        <f>CO52/CI52-1</f>
        <v>9.5943686575874487E-3</v>
      </c>
      <c r="CP53" s="133">
        <f>CP52/CJ52-1</f>
        <v>-6.8331555108955944E-2</v>
      </c>
      <c r="CQ53" s="133">
        <f>CQ52/CK52-1</f>
        <v>-7.422410860052131E-2</v>
      </c>
      <c r="CR53" s="133">
        <f>CR52/CL52-1</f>
        <v>-6.7401840215871367E-2</v>
      </c>
      <c r="CS53" s="153">
        <f>CS52/CM52-1</f>
        <v>-4.9467382043237973E-2</v>
      </c>
      <c r="CU53" s="151">
        <f>CU52/CO52-1</f>
        <v>1.0624743560298189E-2</v>
      </c>
      <c r="CV53" s="133">
        <f>CV52/CP52-1</f>
        <v>-7.3865026497931807E-2</v>
      </c>
      <c r="CW53" s="133">
        <f>CW52/CQ52-1</f>
        <v>-8.093596526230884E-2</v>
      </c>
      <c r="CX53" s="133">
        <f>CX52/CR52-1</f>
        <v>1.1341809046293116E-2</v>
      </c>
      <c r="CY53" s="153">
        <f>CY52/CS52-1</f>
        <v>-3.1271337448662839E-2</v>
      </c>
      <c r="DA53" s="151">
        <f>DA52/CU52-1</f>
        <v>1.1644753742225955E-2</v>
      </c>
      <c r="DB53" s="133">
        <f>DB52/CV52-1</f>
        <v>1.1340763630460549E-2</v>
      </c>
      <c r="DC53" s="133">
        <f>DC52/CW52-1</f>
        <v>1.1992358967906736E-2</v>
      </c>
      <c r="DD53" s="133">
        <f>DD52/CX52-1</f>
        <v>1.2356945106200667E-2</v>
      </c>
      <c r="DE53" s="153">
        <f>DE52/CY52-1</f>
        <v>1.183321005718363E-2</v>
      </c>
      <c r="DG53" s="151">
        <f>DG52/DA52-1</f>
        <v>1.2652007711642099E-2</v>
      </c>
      <c r="DH53" s="133">
        <f>DH52/DB52-1</f>
        <v>1.2340231304753813E-2</v>
      </c>
      <c r="DI53" s="133">
        <f>DI52/DC52-1</f>
        <v>1.3000719510520176E-2</v>
      </c>
      <c r="DJ53" s="133">
        <f>DJ52/DD52-1</f>
        <v>1.3357761374733768E-2</v>
      </c>
      <c r="DK53" s="153">
        <f>DK52/DE52-1</f>
        <v>1.2837330253335111E-2</v>
      </c>
    </row>
    <row r="54" spans="2:115" ht="15" x14ac:dyDescent="0.3">
      <c r="B54" s="105"/>
      <c r="C54" s="144"/>
      <c r="D54" s="107"/>
      <c r="E54" s="107"/>
      <c r="F54" s="107"/>
      <c r="G54" s="138"/>
      <c r="H54" s="107"/>
      <c r="I54" s="144"/>
      <c r="J54" s="107"/>
      <c r="K54" s="107"/>
      <c r="L54" s="107"/>
      <c r="M54" s="138"/>
      <c r="N54" s="107"/>
      <c r="O54" s="144"/>
      <c r="P54" s="107"/>
      <c r="Q54" s="107"/>
      <c r="R54" s="107"/>
      <c r="S54" s="138"/>
      <c r="T54" s="107"/>
      <c r="U54" s="144"/>
      <c r="V54" s="107"/>
      <c r="W54" s="107"/>
      <c r="X54" s="145"/>
      <c r="Y54" s="138"/>
      <c r="AA54" s="144"/>
      <c r="AB54" s="107"/>
      <c r="AC54" s="107"/>
      <c r="AD54" s="145"/>
      <c r="AE54" s="138"/>
      <c r="AG54" s="144"/>
      <c r="AH54" s="107"/>
      <c r="AI54" s="107"/>
      <c r="AJ54" s="145"/>
      <c r="AK54" s="138"/>
      <c r="AM54" s="144"/>
      <c r="AN54" s="107"/>
      <c r="AO54" s="107"/>
      <c r="AP54" s="107"/>
      <c r="AQ54" s="138"/>
      <c r="AS54" s="144"/>
      <c r="AT54" s="107"/>
      <c r="AU54" s="107"/>
      <c r="AV54" s="107"/>
      <c r="AW54" s="138"/>
      <c r="AY54" s="144"/>
      <c r="AZ54" s="107"/>
      <c r="BA54" s="107"/>
      <c r="BB54" s="107"/>
      <c r="BC54" s="138"/>
      <c r="BE54" s="144"/>
      <c r="BF54" s="107"/>
      <c r="BG54" s="107"/>
      <c r="BH54" s="145"/>
      <c r="BI54" s="138"/>
      <c r="BK54" s="144"/>
      <c r="BL54" s="107"/>
      <c r="BM54" s="107"/>
      <c r="BN54" s="107"/>
      <c r="BO54" s="138"/>
      <c r="BQ54" s="144"/>
      <c r="BR54" s="107"/>
      <c r="BS54" s="107"/>
      <c r="BT54" s="145"/>
      <c r="BU54" s="138"/>
      <c r="BW54" s="144"/>
      <c r="BX54" s="107"/>
      <c r="BY54" s="107"/>
      <c r="BZ54" s="145"/>
      <c r="CA54" s="138"/>
      <c r="CC54" s="144"/>
      <c r="CD54" s="107"/>
      <c r="CE54" s="107"/>
      <c r="CF54" s="145"/>
      <c r="CG54" s="138"/>
      <c r="CI54" s="144"/>
      <c r="CJ54" s="107"/>
      <c r="CK54" s="107"/>
      <c r="CL54" s="145"/>
      <c r="CM54" s="138"/>
      <c r="CO54" s="144"/>
      <c r="CP54" s="107"/>
      <c r="CQ54" s="107"/>
      <c r="CR54" s="145"/>
      <c r="CS54" s="138"/>
      <c r="CU54" s="144"/>
      <c r="CV54" s="107"/>
      <c r="CW54" s="107"/>
      <c r="CX54" s="145"/>
      <c r="CY54" s="138"/>
      <c r="DA54" s="144"/>
      <c r="DB54" s="107"/>
      <c r="DC54" s="107"/>
      <c r="DD54" s="145"/>
      <c r="DE54" s="138"/>
      <c r="DG54" s="144"/>
      <c r="DH54" s="107"/>
      <c r="DI54" s="107"/>
      <c r="DJ54" s="145"/>
      <c r="DK54" s="138"/>
    </row>
    <row r="55" spans="2:115" ht="15" x14ac:dyDescent="0.3">
      <c r="B55" s="105" t="s">
        <v>24</v>
      </c>
      <c r="C55" s="171">
        <f>C52/C32</f>
        <v>0.15254237288135594</v>
      </c>
      <c r="D55" s="165">
        <f>D52/D32</f>
        <v>0.10236220472440945</v>
      </c>
      <c r="E55" s="165">
        <f>E52/E32</f>
        <v>0.12781954887218044</v>
      </c>
      <c r="F55" s="165">
        <f>F52/F32</f>
        <v>0.2196969696969697</v>
      </c>
      <c r="G55" s="173">
        <f>G52/G32</f>
        <v>0.15098039215686274</v>
      </c>
      <c r="H55" s="166"/>
      <c r="I55" s="171">
        <f>I52/I32</f>
        <v>0.171875</v>
      </c>
      <c r="J55" s="165">
        <f>J52/J32</f>
        <v>6.3829787234042548E-2</v>
      </c>
      <c r="K55" s="165">
        <f>K52/K32</f>
        <v>9.8039215686274508E-2</v>
      </c>
      <c r="L55" s="165">
        <f>L52/L32</f>
        <v>0.12080536912751678</v>
      </c>
      <c r="M55" s="173">
        <f>M52/M32</f>
        <v>0.11208406304728546</v>
      </c>
      <c r="N55" s="166"/>
      <c r="O55" s="171">
        <f>O52/O32</f>
        <v>0.22857142857142856</v>
      </c>
      <c r="P55" s="165">
        <f>P52/P32</f>
        <v>4.2553191489361701E-2</v>
      </c>
      <c r="Q55" s="165">
        <f>Q52/Q32</f>
        <v>0.15</v>
      </c>
      <c r="R55" s="165">
        <f>R52/R32</f>
        <v>0.11851851851851852</v>
      </c>
      <c r="S55" s="173">
        <f>S52/S32</f>
        <v>0.13489208633093525</v>
      </c>
      <c r="T55" s="166"/>
      <c r="U55" s="171">
        <f>U52/U32</f>
        <v>0.22580645161290322</v>
      </c>
      <c r="V55" s="165">
        <f>V52/V32</f>
        <v>0.08</v>
      </c>
      <c r="W55" s="165">
        <f>W52/W32</f>
        <v>3.1746031746031744E-2</v>
      </c>
      <c r="X55" s="165">
        <f>X52/X32</f>
        <v>0.16129032258064516</v>
      </c>
      <c r="Y55" s="173">
        <f>Y52/Y32</f>
        <v>0.12424849699398798</v>
      </c>
      <c r="AA55" s="171">
        <f>AA52/AA32</f>
        <v>0.17857142857142858</v>
      </c>
      <c r="AB55" s="165">
        <f>AB52/AB32</f>
        <v>0.11304347826086956</v>
      </c>
      <c r="AC55" s="165">
        <f>AC52/AC32</f>
        <v>0.47457627118644069</v>
      </c>
      <c r="AD55" s="165">
        <f>AD52/AD32</f>
        <v>0.12820512820512819</v>
      </c>
      <c r="AE55" s="173">
        <f>AE52/AE32</f>
        <v>0.22510822510822512</v>
      </c>
      <c r="AG55" s="171">
        <f>AG52/AG32</f>
        <v>0.15887850467289719</v>
      </c>
      <c r="AH55" s="165">
        <f>AH52/AH32</f>
        <v>0.10185185185185185</v>
      </c>
      <c r="AI55" s="165">
        <f>AI52/AI32</f>
        <v>7.3394495412844041E-2</v>
      </c>
      <c r="AJ55" s="165">
        <f>AJ52/AJ32</f>
        <v>9.2035398230088494E-2</v>
      </c>
      <c r="AK55" s="173">
        <f>AK52/AK32</f>
        <v>0.10617848970251716</v>
      </c>
      <c r="AM55" s="171">
        <f>AM52/AM32</f>
        <v>0.13</v>
      </c>
      <c r="AN55" s="165">
        <f>AN52/AN32</f>
        <v>0.10377358490566038</v>
      </c>
      <c r="AO55" s="165">
        <f>AO52/AO32</f>
        <v>0.10891089108910891</v>
      </c>
      <c r="AP55" s="165">
        <f>AP52/AP32</f>
        <v>0.18691588785046728</v>
      </c>
      <c r="AQ55" s="173">
        <f>AQ52/AQ32</f>
        <v>0.13285024154589373</v>
      </c>
      <c r="AS55" s="171">
        <f>AS52/AS32</f>
        <v>0.41489361702127658</v>
      </c>
      <c r="AT55" s="165">
        <f>AT52/AT32</f>
        <v>0.29891304347826086</v>
      </c>
      <c r="AU55" s="165">
        <f>AU52/AU32</f>
        <v>0.13925531914893616</v>
      </c>
      <c r="AV55" s="165">
        <f>AV52/AV32</f>
        <v>0.12903225806451613</v>
      </c>
      <c r="AW55" s="173">
        <f>AW52/AW32</f>
        <v>0.2455495978552279</v>
      </c>
      <c r="AY55" s="171">
        <f>AY52/AY32</f>
        <v>0.13186813186813187</v>
      </c>
      <c r="AZ55" s="165">
        <f>AZ52/AZ32</f>
        <v>0.11363636363636363</v>
      </c>
      <c r="BA55" s="165">
        <f>BA52/BA32</f>
        <v>0.1365913043478261</v>
      </c>
      <c r="BB55" s="165">
        <f>BB52/BB32</f>
        <v>0.14400000000000002</v>
      </c>
      <c r="BC55" s="173">
        <f>BC52/BC32</f>
        <v>0.13165207756232689</v>
      </c>
      <c r="BE55" s="171">
        <f>BE52/BE32</f>
        <v>0.20175824175824175</v>
      </c>
      <c r="BF55" s="165">
        <f>BF52/BF32</f>
        <v>0.1111111111111111</v>
      </c>
      <c r="BG55" s="165">
        <f>BG52/BG32</f>
        <v>0.16710638297872341</v>
      </c>
      <c r="BH55" s="165">
        <f>BH52/BH32</f>
        <v>0.12903225806451613</v>
      </c>
      <c r="BI55" s="173">
        <f>BI52/BI32</f>
        <v>0.15235869565217391</v>
      </c>
      <c r="BK55" s="171">
        <f>BK52/BK32</f>
        <v>0.16978064516129032</v>
      </c>
      <c r="BL55" s="165">
        <f>BL52/BL32</f>
        <v>0.17391304347826086</v>
      </c>
      <c r="BM55" s="165">
        <v>0.11</v>
      </c>
      <c r="BN55" s="165">
        <f>BN52/BN32</f>
        <v>0.16304347826086957</v>
      </c>
      <c r="BO55" s="173">
        <f>BO52/BO32</f>
        <v>0.15410702702702703</v>
      </c>
      <c r="BQ55" s="171">
        <v>0.16</v>
      </c>
      <c r="BR55" s="165">
        <v>0.16</v>
      </c>
      <c r="BS55" s="165">
        <v>0.12</v>
      </c>
      <c r="BT55" s="165">
        <v>0.16</v>
      </c>
      <c r="BU55" s="173">
        <f>BU52/BU32</f>
        <v>0.14993941956009568</v>
      </c>
      <c r="BW55" s="171">
        <v>0.15</v>
      </c>
      <c r="BX55" s="165">
        <v>0.15</v>
      </c>
      <c r="BY55" s="165">
        <v>0.14000000000000001</v>
      </c>
      <c r="BZ55" s="165">
        <v>0.15</v>
      </c>
      <c r="CA55" s="173">
        <f>CA52/CA32</f>
        <v>0.1474886388068643</v>
      </c>
      <c r="CC55" s="171">
        <v>0.14000000000000001</v>
      </c>
      <c r="CD55" s="165">
        <v>0.14000000000000001</v>
      </c>
      <c r="CE55" s="165">
        <v>0.13</v>
      </c>
      <c r="CF55" s="165">
        <v>0.14000000000000001</v>
      </c>
      <c r="CG55" s="173">
        <f>CG52/CG32</f>
        <v>0.1374880469678828</v>
      </c>
      <c r="CI55" s="171">
        <v>0.13</v>
      </c>
      <c r="CJ55" s="165">
        <v>0.13</v>
      </c>
      <c r="CK55" s="165">
        <v>0.12</v>
      </c>
      <c r="CL55" s="165">
        <v>0.13</v>
      </c>
      <c r="CM55" s="173">
        <f>CM52/CM32</f>
        <v>0.12748759808156421</v>
      </c>
      <c r="CO55" s="171">
        <v>0.13</v>
      </c>
      <c r="CP55" s="165">
        <v>0.12</v>
      </c>
      <c r="CQ55" s="165">
        <v>0.11</v>
      </c>
      <c r="CR55" s="165">
        <v>0.12</v>
      </c>
      <c r="CS55" s="173">
        <f>CS52/CS32</f>
        <v>0.12000648785528809</v>
      </c>
      <c r="CU55" s="171">
        <v>0.13</v>
      </c>
      <c r="CV55" s="165">
        <v>0.11</v>
      </c>
      <c r="CW55" s="165">
        <v>0.1</v>
      </c>
      <c r="CX55" s="165">
        <v>0.12</v>
      </c>
      <c r="CY55" s="173">
        <f>CY52/CY32</f>
        <v>0.11500974617028985</v>
      </c>
      <c r="DA55" s="171">
        <v>0.13</v>
      </c>
      <c r="DB55" s="165">
        <v>0.11</v>
      </c>
      <c r="DC55" s="165">
        <v>0.1</v>
      </c>
      <c r="DD55" s="165">
        <v>0.12</v>
      </c>
      <c r="DE55" s="173">
        <f>DE52/DE32</f>
        <v>0.1150096969117301</v>
      </c>
      <c r="DG55" s="171">
        <v>0.13</v>
      </c>
      <c r="DH55" s="165">
        <v>0.11</v>
      </c>
      <c r="DI55" s="165">
        <v>0.1</v>
      </c>
      <c r="DJ55" s="165">
        <v>0.12</v>
      </c>
      <c r="DK55" s="173">
        <f>DK52/DK32</f>
        <v>0.11500964532506412</v>
      </c>
    </row>
    <row r="56" spans="2:115" ht="15.75" thickBot="1" x14ac:dyDescent="0.35">
      <c r="B56" s="140" t="s">
        <v>40</v>
      </c>
      <c r="C56" s="155" t="s">
        <v>35</v>
      </c>
      <c r="D56" s="106" t="s">
        <v>35</v>
      </c>
      <c r="E56" s="106" t="s">
        <v>35</v>
      </c>
      <c r="F56" s="106" t="s">
        <v>35</v>
      </c>
      <c r="G56" s="108" t="s">
        <v>35</v>
      </c>
      <c r="I56" s="174">
        <f>I55-C55</f>
        <v>1.9332627118644058E-2</v>
      </c>
      <c r="J56" s="175">
        <f>J55-D55</f>
        <v>-3.8532417490366899E-2</v>
      </c>
      <c r="K56" s="175">
        <f>K55-E55</f>
        <v>-2.9780333185905936E-2</v>
      </c>
      <c r="L56" s="175">
        <f>L55-F55</f>
        <v>-9.8891600569452912E-2</v>
      </c>
      <c r="M56" s="177">
        <f>M55-G55</f>
        <v>-3.8896329109577271E-2</v>
      </c>
      <c r="O56" s="174">
        <f>O55-I55</f>
        <v>5.6696428571428564E-2</v>
      </c>
      <c r="P56" s="175">
        <f>P55-J55</f>
        <v>-2.1276595744680847E-2</v>
      </c>
      <c r="Q56" s="175">
        <f>Q55-K55</f>
        <v>5.1960784313725486E-2</v>
      </c>
      <c r="R56" s="175">
        <f>R55-L55</f>
        <v>-2.2868506089982615E-3</v>
      </c>
      <c r="S56" s="177">
        <f>S55-M55</f>
        <v>2.2808023283649781E-2</v>
      </c>
      <c r="U56" s="174">
        <f>U55-O55</f>
        <v>-2.7649769585253448E-3</v>
      </c>
      <c r="V56" s="175">
        <f>V55-P55</f>
        <v>3.7446808510638301E-2</v>
      </c>
      <c r="W56" s="175">
        <f>W55-Q55</f>
        <v>-0.11825396825396825</v>
      </c>
      <c r="X56" s="175">
        <f>X55-R55</f>
        <v>4.2771804062126634E-2</v>
      </c>
      <c r="Y56" s="177">
        <f>Y55-S55</f>
        <v>-1.0643589336947271E-2</v>
      </c>
      <c r="AA56" s="174">
        <f>AA55-U55</f>
        <v>-4.7235023041474644E-2</v>
      </c>
      <c r="AB56" s="175">
        <f>AB55-V55</f>
        <v>3.3043478260869563E-2</v>
      </c>
      <c r="AC56" s="175">
        <f>AC55-W55</f>
        <v>0.44283023944040895</v>
      </c>
      <c r="AD56" s="175">
        <f>AD55-X55</f>
        <v>-3.3085194375516963E-2</v>
      </c>
      <c r="AE56" s="177">
        <f>AE55-Y55</f>
        <v>0.10085972811423714</v>
      </c>
      <c r="AG56" s="174">
        <f>AG55-AA55</f>
        <v>-1.9692923898531389E-2</v>
      </c>
      <c r="AH56" s="175">
        <f>AH55-AB55</f>
        <v>-1.1191626409017719E-2</v>
      </c>
      <c r="AI56" s="175">
        <f>AI55-AC55</f>
        <v>-0.40118177577359665</v>
      </c>
      <c r="AJ56" s="175">
        <f>AJ55-AD55</f>
        <v>-3.6169729975039699E-2</v>
      </c>
      <c r="AK56" s="177">
        <f>AK55-AE55</f>
        <v>-0.11892973540570796</v>
      </c>
      <c r="AM56" s="174">
        <f>AM55-AG55</f>
        <v>-2.8878504672897182E-2</v>
      </c>
      <c r="AN56" s="175">
        <f>AN55-AH55</f>
        <v>1.9217330538085359E-3</v>
      </c>
      <c r="AO56" s="175">
        <f>AO55-AI55</f>
        <v>3.551639567626487E-2</v>
      </c>
      <c r="AP56" s="175">
        <f>AP55-AJ55</f>
        <v>9.4880489620378788E-2</v>
      </c>
      <c r="AQ56" s="177">
        <f>AQ55-AK55</f>
        <v>2.667175184337657E-2</v>
      </c>
      <c r="AS56" s="174">
        <f>AS55-AM55</f>
        <v>0.28489361702127658</v>
      </c>
      <c r="AT56" s="175">
        <f>AT55-AN55</f>
        <v>0.19513945857260048</v>
      </c>
      <c r="AU56" s="175">
        <f>AU55-AO55</f>
        <v>3.0344428059827247E-2</v>
      </c>
      <c r="AV56" s="175">
        <f>AV55-AP55</f>
        <v>-5.7883629785951157E-2</v>
      </c>
      <c r="AW56" s="177">
        <f>AW55-AQ55</f>
        <v>0.11269935630933417</v>
      </c>
      <c r="AY56" s="174">
        <f>AY55-AS55</f>
        <v>-0.28302548515314474</v>
      </c>
      <c r="AZ56" s="175">
        <f>AZ55-AT55</f>
        <v>-0.18527667984189722</v>
      </c>
      <c r="BA56" s="175">
        <f>BA55-AU55</f>
        <v>-2.6640148011100595E-3</v>
      </c>
      <c r="BB56" s="175">
        <f>BB55-AV55</f>
        <v>1.4967741935483891E-2</v>
      </c>
      <c r="BC56" s="177">
        <f>BC55-AW55</f>
        <v>-0.11389752029290101</v>
      </c>
      <c r="BE56" s="174">
        <f>BE55-AY55</f>
        <v>6.9890109890109881E-2</v>
      </c>
      <c r="BF56" s="175">
        <f>BF55-AZ55</f>
        <v>-2.5252525252525276E-3</v>
      </c>
      <c r="BG56" s="175">
        <f>BG55-BA55</f>
        <v>3.0515078630897308E-2</v>
      </c>
      <c r="BH56" s="175">
        <f>BH55-BB55</f>
        <v>-1.4967741935483891E-2</v>
      </c>
      <c r="BI56" s="177">
        <f>BI55-BC55</f>
        <v>2.0706618089847029E-2</v>
      </c>
      <c r="BK56" s="174">
        <f>BK55-BE55</f>
        <v>-3.197759659695143E-2</v>
      </c>
      <c r="BL56" s="175">
        <f>BL55-BF55</f>
        <v>6.280193236714976E-2</v>
      </c>
      <c r="BM56" s="175">
        <f>BM55-BG55</f>
        <v>-5.7106382978723405E-2</v>
      </c>
      <c r="BN56" s="175">
        <f>BN55-BH55</f>
        <v>3.4011220196353442E-2</v>
      </c>
      <c r="BO56" s="177">
        <f>BO55-BI55</f>
        <v>1.7483313748531126E-3</v>
      </c>
      <c r="BQ56" s="174">
        <f>BQ55-BK55</f>
        <v>-9.7806451612903189E-3</v>
      </c>
      <c r="BR56" s="175">
        <f>BR55-BL55</f>
        <v>-1.3913043478260861E-2</v>
      </c>
      <c r="BS56" s="175">
        <f>BS55-BM55</f>
        <v>9.999999999999995E-3</v>
      </c>
      <c r="BT56" s="175">
        <f>BT55-BN55</f>
        <v>-3.0434782608695643E-3</v>
      </c>
      <c r="BU56" s="177">
        <f>BU55-BO55</f>
        <v>-4.1676074669313445E-3</v>
      </c>
      <c r="BW56" s="174">
        <f>BW55-BQ55</f>
        <v>-1.0000000000000009E-2</v>
      </c>
      <c r="BX56" s="175">
        <f>BX55-BR55</f>
        <v>-1.0000000000000009E-2</v>
      </c>
      <c r="BY56" s="175">
        <f>BY55-BS55</f>
        <v>2.0000000000000018E-2</v>
      </c>
      <c r="BZ56" s="175">
        <f>BZ55-BT55</f>
        <v>-1.0000000000000009E-2</v>
      </c>
      <c r="CA56" s="177">
        <f>CA55-BU55</f>
        <v>-2.4507807532313797E-3</v>
      </c>
      <c r="CC56" s="174">
        <f>CC55-BW55</f>
        <v>-9.9999999999999811E-3</v>
      </c>
      <c r="CD56" s="175">
        <f>CD55-BX55</f>
        <v>-9.9999999999999811E-3</v>
      </c>
      <c r="CE56" s="175">
        <f>CE55-BY55</f>
        <v>-1.0000000000000009E-2</v>
      </c>
      <c r="CF56" s="175">
        <f>CF55-BZ55</f>
        <v>-9.9999999999999811E-3</v>
      </c>
      <c r="CG56" s="177">
        <f>CG55-CA55</f>
        <v>-1.0000591838981499E-2</v>
      </c>
      <c r="CI56" s="174">
        <f>CI55-CC55</f>
        <v>-1.0000000000000009E-2</v>
      </c>
      <c r="CJ56" s="175">
        <f>CJ55-CD55</f>
        <v>-1.0000000000000009E-2</v>
      </c>
      <c r="CK56" s="175">
        <f>CK55-CE55</f>
        <v>-1.0000000000000009E-2</v>
      </c>
      <c r="CL56" s="175">
        <f>CL55-CF55</f>
        <v>-1.0000000000000009E-2</v>
      </c>
      <c r="CM56" s="177">
        <f>CM55-CG55</f>
        <v>-1.0000448886318597E-2</v>
      </c>
      <c r="CO56" s="174">
        <f>CO55-CI55</f>
        <v>0</v>
      </c>
      <c r="CP56" s="175">
        <f>CP55-CJ55</f>
        <v>-1.0000000000000009E-2</v>
      </c>
      <c r="CQ56" s="175">
        <f>CQ55-CK55</f>
        <v>-9.999999999999995E-3</v>
      </c>
      <c r="CR56" s="175">
        <f>CR55-CL55</f>
        <v>-1.0000000000000009E-2</v>
      </c>
      <c r="CS56" s="177">
        <f>CS55-CM55</f>
        <v>-7.481110226276122E-3</v>
      </c>
      <c r="CU56" s="174">
        <f>CU55-CO55</f>
        <v>0</v>
      </c>
      <c r="CV56" s="175">
        <f>CV55-CP55</f>
        <v>-9.999999999999995E-3</v>
      </c>
      <c r="CW56" s="175">
        <f>CW55-CQ55</f>
        <v>-9.999999999999995E-3</v>
      </c>
      <c r="CX56" s="175">
        <f>CX55-CR55</f>
        <v>0</v>
      </c>
      <c r="CY56" s="177">
        <f>CY55-CS55</f>
        <v>-4.9967416849982377E-3</v>
      </c>
      <c r="DA56" s="174">
        <f>DA55-CU55</f>
        <v>0</v>
      </c>
      <c r="DB56" s="175">
        <f>DB55-CV55</f>
        <v>0</v>
      </c>
      <c r="DC56" s="175">
        <f>DC55-CW55</f>
        <v>0</v>
      </c>
      <c r="DD56" s="175">
        <f>DD55-CX55</f>
        <v>0</v>
      </c>
      <c r="DE56" s="177">
        <f>DE55-CY55</f>
        <v>-4.9258559745024577E-8</v>
      </c>
      <c r="DG56" s="174">
        <f>DG55-DA55</f>
        <v>0</v>
      </c>
      <c r="DH56" s="175">
        <f>DH55-DB55</f>
        <v>0</v>
      </c>
      <c r="DI56" s="175">
        <f>DI55-DC55</f>
        <v>0</v>
      </c>
      <c r="DJ56" s="175">
        <f>DJ55-DD55</f>
        <v>0</v>
      </c>
      <c r="DK56" s="177">
        <f>DK55-DE55</f>
        <v>-5.1586665980596358E-8</v>
      </c>
    </row>
    <row r="57" spans="2:115" ht="15.75" thickBot="1" x14ac:dyDescent="0.35">
      <c r="B57" s="1"/>
      <c r="AA57" s="103"/>
      <c r="AB57" s="103"/>
      <c r="AC57" s="103"/>
      <c r="AD57" s="103"/>
      <c r="AE57" s="103"/>
      <c r="AG57" s="103"/>
      <c r="AH57" s="103"/>
      <c r="AI57" s="103"/>
      <c r="AJ57" s="103"/>
      <c r="AK57" s="103"/>
      <c r="AM57" s="103"/>
      <c r="AN57" s="103"/>
      <c r="AO57" s="103"/>
      <c r="AP57" s="103"/>
      <c r="AQ57" s="103"/>
      <c r="AS57" s="103"/>
      <c r="AT57" s="103"/>
      <c r="AU57" s="103"/>
      <c r="AV57" s="103"/>
      <c r="AW57" s="103"/>
      <c r="AY57" s="103"/>
      <c r="AZ57" s="103"/>
      <c r="BA57" s="103"/>
      <c r="BB57" s="103"/>
      <c r="BC57" s="103"/>
      <c r="BE57" s="103"/>
      <c r="BF57" s="103"/>
      <c r="BG57" s="103"/>
      <c r="BH57" s="103"/>
      <c r="BI57" s="103"/>
      <c r="BK57" s="103"/>
      <c r="BL57" s="103"/>
      <c r="BM57" s="103"/>
      <c r="BN57" s="103"/>
      <c r="BO57" s="103"/>
      <c r="BQ57" s="103"/>
      <c r="BR57" s="103"/>
      <c r="BS57" s="103"/>
      <c r="BT57" s="103"/>
      <c r="BU57" s="103"/>
      <c r="BW57" s="103"/>
      <c r="BX57" s="103"/>
      <c r="BY57" s="103"/>
      <c r="BZ57" s="103"/>
      <c r="CA57" s="103"/>
      <c r="CC57" s="103"/>
      <c r="CD57" s="103"/>
      <c r="CE57" s="103"/>
      <c r="CF57" s="103"/>
      <c r="CG57" s="103"/>
      <c r="CI57" s="103"/>
      <c r="CJ57" s="103"/>
      <c r="CK57" s="103"/>
      <c r="CL57" s="103"/>
      <c r="CM57" s="103"/>
      <c r="CO57" s="103"/>
      <c r="CP57" s="103"/>
      <c r="CQ57" s="103"/>
      <c r="CR57" s="103"/>
      <c r="CS57" s="103"/>
      <c r="CU57" s="103"/>
      <c r="CV57" s="103"/>
      <c r="CW57" s="103"/>
      <c r="CX57" s="103"/>
      <c r="CY57" s="103"/>
      <c r="DA57" s="103"/>
      <c r="DB57" s="103"/>
      <c r="DC57" s="103"/>
      <c r="DD57" s="103"/>
      <c r="DE57" s="103"/>
      <c r="DG57" s="103"/>
      <c r="DH57" s="103"/>
      <c r="DI57" s="103"/>
      <c r="DJ57" s="103"/>
      <c r="DK57" s="103"/>
    </row>
    <row r="58" spans="2:115" ht="15" x14ac:dyDescent="0.3">
      <c r="B58" s="42" t="s">
        <v>156</v>
      </c>
      <c r="C58" s="198">
        <f>C46-C52</f>
        <v>40</v>
      </c>
      <c r="D58" s="199">
        <f>D46-D52</f>
        <v>44</v>
      </c>
      <c r="E58" s="199">
        <f>E46-E52</f>
        <v>36</v>
      </c>
      <c r="F58" s="199">
        <f>F46-F52</f>
        <v>6</v>
      </c>
      <c r="G58" s="201">
        <f>C58+D58+E58+F58</f>
        <v>126</v>
      </c>
      <c r="H58" s="197"/>
      <c r="I58" s="198">
        <f>I46-I52</f>
        <v>39</v>
      </c>
      <c r="J58" s="199">
        <f>J46-J52</f>
        <v>59</v>
      </c>
      <c r="K58" s="199">
        <f>K46-K52</f>
        <v>56</v>
      </c>
      <c r="L58" s="199">
        <f>L46-L52</f>
        <v>12</v>
      </c>
      <c r="M58" s="201">
        <f>I58+J58+K58+L58</f>
        <v>166</v>
      </c>
      <c r="N58" s="197"/>
      <c r="O58" s="198">
        <f>O46-O52</f>
        <v>36</v>
      </c>
      <c r="P58" s="199">
        <f>P46-P52</f>
        <v>63</v>
      </c>
      <c r="Q58" s="199">
        <f>Q46-Q52</f>
        <v>50</v>
      </c>
      <c r="R58" s="199">
        <f>R46-R52</f>
        <v>33</v>
      </c>
      <c r="S58" s="201">
        <f>O58+P58+Q58+R58</f>
        <v>182</v>
      </c>
      <c r="T58" s="197"/>
      <c r="U58" s="198">
        <f>U46-U52</f>
        <v>31</v>
      </c>
      <c r="V58" s="199">
        <f>V46-V52</f>
        <v>51</v>
      </c>
      <c r="W58" s="199">
        <f>W46-W52</f>
        <v>59</v>
      </c>
      <c r="X58" s="199">
        <f>X46-X52</f>
        <v>26</v>
      </c>
      <c r="Y58" s="201">
        <f>U58+V58+W58+X58</f>
        <v>167</v>
      </c>
      <c r="Z58" s="259"/>
      <c r="AA58" s="198">
        <f>AA46-AA52</f>
        <v>34</v>
      </c>
      <c r="AB58" s="199">
        <f>AB46-AB52</f>
        <v>43</v>
      </c>
      <c r="AC58" s="199">
        <f>AC46-AC52</f>
        <v>5</v>
      </c>
      <c r="AD58" s="199">
        <f>AD46-AD52</f>
        <v>34</v>
      </c>
      <c r="AE58" s="201">
        <f>AA58+AB58+AC58+AD58</f>
        <v>116</v>
      </c>
      <c r="AF58" s="259"/>
      <c r="AG58" s="198">
        <f>AG46-AG52</f>
        <v>32</v>
      </c>
      <c r="AH58" s="199">
        <f>AH46-AH52</f>
        <v>36</v>
      </c>
      <c r="AI58" s="199">
        <f>AI46-AI52</f>
        <v>45</v>
      </c>
      <c r="AJ58" s="199">
        <f>AJ46-AJ52</f>
        <v>39.6</v>
      </c>
      <c r="AK58" s="201">
        <f>AG58+AH58+AI58+AJ58</f>
        <v>152.6</v>
      </c>
      <c r="AL58" s="259"/>
      <c r="AM58" s="198">
        <f>AM46-AM52</f>
        <v>35</v>
      </c>
      <c r="AN58" s="199">
        <f>AN46-AN52</f>
        <v>32</v>
      </c>
      <c r="AO58" s="199">
        <f>AO46-AO52</f>
        <v>41</v>
      </c>
      <c r="AP58" s="199">
        <f>AP46-AP52</f>
        <v>28</v>
      </c>
      <c r="AQ58" s="201">
        <f>AM58+AN58+AO58+AP58</f>
        <v>136</v>
      </c>
      <c r="AR58" s="259"/>
      <c r="AS58" s="198">
        <f>AS46-AS52</f>
        <v>5</v>
      </c>
      <c r="AT58" s="199">
        <f>AT46-AT52</f>
        <v>14.21</v>
      </c>
      <c r="AU58" s="199">
        <f>AU46-AU52</f>
        <v>34.75</v>
      </c>
      <c r="AV58" s="199">
        <f ca="1">AV46-AV52</f>
        <v>29.050403046728967</v>
      </c>
      <c r="AW58" s="201">
        <f ca="1">AS58+AT58+AU58+AV58</f>
        <v>83.010403046728968</v>
      </c>
      <c r="AX58" s="259"/>
      <c r="AY58" s="198">
        <f>AY46-AY52</f>
        <v>29</v>
      </c>
      <c r="AZ58" s="199">
        <f>AZ46-AZ52</f>
        <v>32</v>
      </c>
      <c r="BA58" s="199">
        <f>BA46-BA52</f>
        <v>35.273600000000002</v>
      </c>
      <c r="BB58" s="199">
        <f ca="1">BB46-BB52</f>
        <v>21.60443936534579</v>
      </c>
      <c r="BC58" s="201">
        <f ca="1">AY58+AZ58+BA58+BB58</f>
        <v>117.87803936534578</v>
      </c>
      <c r="BD58" s="259"/>
      <c r="BE58" s="198">
        <f>BE46-BE52</f>
        <v>25.428000000000004</v>
      </c>
      <c r="BF58" s="199">
        <f>BF46-BF52</f>
        <v>33.637999999999998</v>
      </c>
      <c r="BG58" s="199">
        <f>BG46-BG52</f>
        <v>32.132000000000005</v>
      </c>
      <c r="BH58" s="199">
        <f ca="1">BH46-BH52</f>
        <v>21.492941745020069</v>
      </c>
      <c r="BI58" s="201">
        <f ca="1">BE58+BF58+BG58+BH58</f>
        <v>112.69094174502007</v>
      </c>
      <c r="BJ58" s="259"/>
      <c r="BK58" s="198">
        <f>BK46-BK52</f>
        <v>27.429156000000006</v>
      </c>
      <c r="BL58" s="199">
        <f>BL46-BL52</f>
        <v>28.728949999999998</v>
      </c>
      <c r="BM58" s="199">
        <f>BM46-BM52</f>
        <v>39.332239999999999</v>
      </c>
      <c r="BN58" s="199">
        <f ca="1">BN46-BN52</f>
        <v>23.349418298047979</v>
      </c>
      <c r="BO58" s="201">
        <f ca="1">BK58+BL58+BM58+BN58</f>
        <v>118.83976429804798</v>
      </c>
      <c r="BP58" s="259"/>
      <c r="BQ58" s="198">
        <f>BQ46-BQ52</f>
        <v>31.46797658841966</v>
      </c>
      <c r="BR58" s="199">
        <f>BR46-BR52</f>
        <v>32.623058379616523</v>
      </c>
      <c r="BS58" s="199">
        <f>BS46-BS52</f>
        <v>40.711160145417509</v>
      </c>
      <c r="BT58" s="199">
        <f ca="1">BT46-BT52</f>
        <v>23.672726908905201</v>
      </c>
      <c r="BU58" s="201">
        <f ca="1">BQ58+BR58+BS58+BT58</f>
        <v>128.4749220223589</v>
      </c>
      <c r="BV58" s="259"/>
      <c r="BW58" s="198">
        <f>BW46-BW52</f>
        <v>32.711967143277263</v>
      </c>
      <c r="BX58" s="199">
        <f>BX46-BX52</f>
        <v>33.770755735928304</v>
      </c>
      <c r="BY58" s="199">
        <f>BY46-BY52</f>
        <v>39.058647340563311</v>
      </c>
      <c r="BZ58" s="199">
        <f ca="1">BZ46-BZ52</f>
        <v>24.584204349501121</v>
      </c>
      <c r="CA58" s="201">
        <f ca="1">BW58+BX58+BY58+BZ58</f>
        <v>130.12557456926999</v>
      </c>
      <c r="CB58" s="259"/>
      <c r="CC58" s="198">
        <f>CC46-CC52</f>
        <v>33.790360813618932</v>
      </c>
      <c r="CD58" s="199">
        <f>CD46-CD52</f>
        <v>34.84795921950159</v>
      </c>
      <c r="CE58" s="199">
        <f>CE46-CE52</f>
        <v>40.241265754088701</v>
      </c>
      <c r="CF58" s="199">
        <f ca="1">CF46-CF52</f>
        <v>25.574717670314591</v>
      </c>
      <c r="CG58" s="201">
        <f ca="1">CC58+CD58+CE58+CF58</f>
        <v>134.45430345752382</v>
      </c>
      <c r="CH58" s="259"/>
      <c r="CI58" s="198">
        <f>CI46-CI52</f>
        <v>34.774214989088037</v>
      </c>
      <c r="CJ58" s="199">
        <f>CJ46-CJ52</f>
        <v>35.843684985791441</v>
      </c>
      <c r="CK58" s="199">
        <f>CK46-CK52</f>
        <v>41.3334075853694</v>
      </c>
      <c r="CL58" s="199">
        <f ca="1">CL46-CL52</f>
        <v>26.441228763676015</v>
      </c>
      <c r="CM58" s="201">
        <f ca="1">CI58+CJ58+CK58+CL58</f>
        <v>138.3925363239249</v>
      </c>
      <c r="CN58" s="259"/>
      <c r="CO58" s="198">
        <f>CO46-CO52</f>
        <v>34.734163118799643</v>
      </c>
      <c r="CP58" s="199">
        <f>CP46-CP52</f>
        <v>36.806810058791136</v>
      </c>
      <c r="CQ58" s="199">
        <f>CQ46-CQ52</f>
        <v>42.384009313751427</v>
      </c>
      <c r="CR58" s="199">
        <f ca="1">CR46-CR52</f>
        <v>27.276671906761621</v>
      </c>
      <c r="CS58" s="201">
        <f ca="1">CO58+CP58+CQ58+CR58</f>
        <v>141.20165439810381</v>
      </c>
      <c r="CT58" s="259"/>
      <c r="CU58" s="198">
        <f>CU46-CU52</f>
        <v>34.728149387691474</v>
      </c>
      <c r="CV58" s="199">
        <f>CV46-CV52</f>
        <v>37.824984563758477</v>
      </c>
      <c r="CW58" s="199">
        <f>CW46-CW52</f>
        <v>43.498028250666152</v>
      </c>
      <c r="CX58" s="199">
        <f ca="1">CX46-CX52</f>
        <v>27.173043031167097</v>
      </c>
      <c r="CY58" s="201">
        <f ca="1">CU58+CV58+CW58+CX58</f>
        <v>143.22420523328321</v>
      </c>
      <c r="CZ58" s="259"/>
      <c r="DA58" s="198">
        <f>DA46-DA52</f>
        <v>34.756041273978276</v>
      </c>
      <c r="DB58" s="199">
        <f>DB46-DB52</f>
        <v>37.905194614079967</v>
      </c>
      <c r="DC58" s="199">
        <f>DC46-DC52</f>
        <v>43.669845841352057</v>
      </c>
      <c r="DD58" s="199">
        <f ca="1">DD46-DD52</f>
        <v>27.095118060025399</v>
      </c>
      <c r="DE58" s="201">
        <f ca="1">DA58+DB58+DC58+DD58</f>
        <v>143.42619978943571</v>
      </c>
      <c r="DF58" s="259"/>
      <c r="DG58" s="198">
        <f>DG46-DG52</f>
        <v>34.817715812321829</v>
      </c>
      <c r="DH58" s="199">
        <f>DH46-DH52</f>
        <v>38.022362305641103</v>
      </c>
      <c r="DI58" s="199">
        <f>DI46-DI52</f>
        <v>43.885862203771751</v>
      </c>
      <c r="DJ58" s="199">
        <f ca="1">DJ46-DJ52</f>
        <v>27.042611998857872</v>
      </c>
      <c r="DK58" s="201">
        <f ca="1">DG58+DH58+DI58+DJ58</f>
        <v>143.76855232059256</v>
      </c>
    </row>
    <row r="59" spans="2:115" ht="15.75" thickBot="1" x14ac:dyDescent="0.35">
      <c r="B59" s="41" t="s">
        <v>23</v>
      </c>
      <c r="C59" s="155" t="s">
        <v>35</v>
      </c>
      <c r="D59" s="106" t="s">
        <v>35</v>
      </c>
      <c r="E59" s="106" t="s">
        <v>35</v>
      </c>
      <c r="F59" s="106" t="s">
        <v>35</v>
      </c>
      <c r="G59" s="108" t="s">
        <v>35</v>
      </c>
      <c r="I59" s="109">
        <f>I58/C58-1</f>
        <v>-2.5000000000000022E-2</v>
      </c>
      <c r="J59" s="110">
        <f>J58/D58-1</f>
        <v>0.34090909090909083</v>
      </c>
      <c r="K59" s="110">
        <f>K58/E58-1</f>
        <v>0.55555555555555558</v>
      </c>
      <c r="L59" s="110">
        <f>L58/F58-1</f>
        <v>1</v>
      </c>
      <c r="M59" s="122">
        <f>M58/G58-1</f>
        <v>0.31746031746031744</v>
      </c>
      <c r="O59" s="109">
        <f>O58/I58-1</f>
        <v>-7.6923076923076872E-2</v>
      </c>
      <c r="P59" s="110">
        <f>P58/J58-1</f>
        <v>6.7796610169491567E-2</v>
      </c>
      <c r="Q59" s="110">
        <f>Q58/K58-1</f>
        <v>-0.1071428571428571</v>
      </c>
      <c r="R59" s="110">
        <f>R58/L58-1</f>
        <v>1.75</v>
      </c>
      <c r="S59" s="122">
        <f>S58/M58-1</f>
        <v>9.6385542168674787E-2</v>
      </c>
      <c r="T59" s="107"/>
      <c r="U59" s="109">
        <f>U58/O58-1</f>
        <v>-0.13888888888888884</v>
      </c>
      <c r="V59" s="110">
        <f>V58/P58-1</f>
        <v>-0.19047619047619047</v>
      </c>
      <c r="W59" s="110">
        <f>W58/Q58-1</f>
        <v>0.17999999999999994</v>
      </c>
      <c r="X59" s="120">
        <f>X58/R58-1</f>
        <v>-0.21212121212121215</v>
      </c>
      <c r="Y59" s="122">
        <f>Y58/S58-1</f>
        <v>-8.2417582417582458E-2</v>
      </c>
      <c r="AA59" s="109">
        <f>AA58/U58-1</f>
        <v>9.6774193548387011E-2</v>
      </c>
      <c r="AB59" s="110">
        <f>AB58/V58-1</f>
        <v>-0.15686274509803921</v>
      </c>
      <c r="AC59" s="110">
        <f>AC58/W58-1</f>
        <v>-0.9152542372881356</v>
      </c>
      <c r="AD59" s="120">
        <f>AD58/X58-1</f>
        <v>0.30769230769230771</v>
      </c>
      <c r="AE59" s="122">
        <f>AE58/Y58-1</f>
        <v>-0.30538922155688619</v>
      </c>
      <c r="AG59" s="109">
        <f>AG58/AA58-1</f>
        <v>-5.8823529411764719E-2</v>
      </c>
      <c r="AH59" s="110">
        <f>AH58/AB58-1</f>
        <v>-0.16279069767441856</v>
      </c>
      <c r="AI59" s="110">
        <f>AI58/AC58-1</f>
        <v>8</v>
      </c>
      <c r="AJ59" s="120">
        <f>AJ58/AD58-1</f>
        <v>0.16470588235294126</v>
      </c>
      <c r="AK59" s="122">
        <f>AK58/AE58-1</f>
        <v>0.31551724137931036</v>
      </c>
      <c r="AM59" s="109">
        <f>AM58/AG58-1</f>
        <v>9.375E-2</v>
      </c>
      <c r="AN59" s="110">
        <f>AN58/AH58-1</f>
        <v>-0.11111111111111116</v>
      </c>
      <c r="AO59" s="110">
        <f>AO58/AI58-1</f>
        <v>-8.8888888888888906E-2</v>
      </c>
      <c r="AP59" s="120">
        <f>AP58/AJ58-1</f>
        <v>-0.29292929292929293</v>
      </c>
      <c r="AQ59" s="122">
        <f>AQ58/AK58-1</f>
        <v>-0.10878112712975097</v>
      </c>
      <c r="AS59" s="109">
        <f>AS58/AM58-1</f>
        <v>-0.85714285714285721</v>
      </c>
      <c r="AT59" s="110">
        <f>AT58/AN58-1</f>
        <v>-0.55593749999999997</v>
      </c>
      <c r="AU59" s="110">
        <f>AU58/AO58-1</f>
        <v>-0.15243902439024393</v>
      </c>
      <c r="AV59" s="120">
        <f ca="1">AV58/AP58-1</f>
        <v>3.7514394526034556E-2</v>
      </c>
      <c r="AW59" s="122">
        <f ca="1">AW58/AQ58-1</f>
        <v>-0.38962938936228697</v>
      </c>
      <c r="AY59" s="109">
        <f>AY58/AS58-1</f>
        <v>4.8</v>
      </c>
      <c r="AZ59" s="110">
        <f>AZ58/AT58-1</f>
        <v>1.2519352568613651</v>
      </c>
      <c r="BA59" s="110">
        <f>BA58/AU58-1</f>
        <v>1.5067625899280568E-2</v>
      </c>
      <c r="BB59" s="120">
        <f ca="1">BB58/AV58-1</f>
        <v>-0.25631188900911239</v>
      </c>
      <c r="BC59" s="122">
        <f ca="1">BC58/AW58-1</f>
        <v>0.42003935698262795</v>
      </c>
      <c r="BE59" s="109">
        <f>BE58/AY58-1</f>
        <v>-0.12317241379310329</v>
      </c>
      <c r="BF59" s="110">
        <f>BF58/AZ58-1</f>
        <v>5.1187499999999941E-2</v>
      </c>
      <c r="BG59" s="110">
        <f>BG58/BA58-1</f>
        <v>-8.9063775741631046E-2</v>
      </c>
      <c r="BH59" s="120">
        <f ca="1">BH58/BB58-1</f>
        <v>-5.1608661738553607E-3</v>
      </c>
      <c r="BI59" s="122">
        <f ca="1">BI58/BC58-1</f>
        <v>-4.4003935323771892E-2</v>
      </c>
      <c r="BK59" s="109">
        <f>BK58/BE58-1</f>
        <v>7.8698914582350232E-2</v>
      </c>
      <c r="BL59" s="110">
        <f>BL58/BF58-1</f>
        <v>-0.14593763006124028</v>
      </c>
      <c r="BM59" s="110">
        <f>BM58/BG58-1</f>
        <v>0.22408315697746772</v>
      </c>
      <c r="BN59" s="120">
        <f ca="1">BN58/BH58-1</f>
        <v>8.63761031436312E-2</v>
      </c>
      <c r="BO59" s="122">
        <f ca="1">BO58/BI58-1</f>
        <v>5.4563591871834127E-2</v>
      </c>
      <c r="BQ59" s="109">
        <f>BQ58/BK58-1</f>
        <v>0.14724552911579392</v>
      </c>
      <c r="BR59" s="110">
        <f>BR58/BL58-1</f>
        <v>0.13554649159180987</v>
      </c>
      <c r="BS59" s="110">
        <f>BS58/BM58-1</f>
        <v>3.5058266333610977E-2</v>
      </c>
      <c r="BT59" s="120">
        <f ca="1">BT58/BN58-1</f>
        <v>1.3846538133425401E-2</v>
      </c>
      <c r="BU59" s="122">
        <f ca="1">BU58/BO58-1</f>
        <v>8.1076883492852803E-2</v>
      </c>
      <c r="BW59" s="109">
        <f>BW58/BQ58-1</f>
        <v>3.9531952471179688E-2</v>
      </c>
      <c r="BX59" s="110">
        <f>BX58/BR58-1</f>
        <v>3.5180556738631408E-2</v>
      </c>
      <c r="BY59" s="110">
        <f>BY58/BS58-1</f>
        <v>-4.0591149919371849E-2</v>
      </c>
      <c r="BZ59" s="120">
        <f ca="1">BZ58/BT58-1</f>
        <v>3.850327189188496E-2</v>
      </c>
      <c r="CA59" s="122">
        <f ca="1">CA58/BU58-1</f>
        <v>1.2848052529845555E-2</v>
      </c>
      <c r="CC59" s="109">
        <f>CC58/BW58-1</f>
        <v>3.2966335091324295E-2</v>
      </c>
      <c r="CD59" s="110">
        <f>CD58/BX58-1</f>
        <v>3.1897523762764335E-2</v>
      </c>
      <c r="CE59" s="110">
        <f>CE58/BY58-1</f>
        <v>3.0278017649044697E-2</v>
      </c>
      <c r="CF59" s="120">
        <f ca="1">CF58/BZ58-1</f>
        <v>4.0290639742976753E-2</v>
      </c>
      <c r="CG59" s="122">
        <f ca="1">CG58/CA58-1</f>
        <v>3.3265781170092046E-2</v>
      </c>
      <c r="CI59" s="109">
        <f>CI58/CC58-1</f>
        <v>2.9116415207752766E-2</v>
      </c>
      <c r="CJ59" s="110">
        <f>CJ58/CD58-1</f>
        <v>2.857343123073397E-2</v>
      </c>
      <c r="CK59" s="110">
        <f>CK58/CE58-1</f>
        <v>2.7139847885369495E-2</v>
      </c>
      <c r="CL59" s="120">
        <f ca="1">CL58/CF58-1</f>
        <v>3.3881550699080165E-2</v>
      </c>
      <c r="CM59" s="122">
        <f ca="1">CM58/CG58-1</f>
        <v>2.929049323917865E-2</v>
      </c>
      <c r="CO59" s="109">
        <f>CO58/CI58-1</f>
        <v>-1.1517692146598701E-3</v>
      </c>
      <c r="CP59" s="110">
        <f>CP58/CJ58-1</f>
        <v>2.6870146676645668E-2</v>
      </c>
      <c r="CQ59" s="110">
        <f>CQ58/CK58-1</f>
        <v>2.5417738090239173E-2</v>
      </c>
      <c r="CR59" s="120">
        <f ca="1">CR58/CL58-1</f>
        <v>3.1596229908698703E-2</v>
      </c>
      <c r="CS59" s="122">
        <f ca="1">CS58/CM58-1</f>
        <v>2.0298190558512674E-2</v>
      </c>
      <c r="CU59" s="109">
        <f>CU58/CO58-1</f>
        <v>-1.7313591485135227E-4</v>
      </c>
      <c r="CV59" s="110">
        <f>CV58/CP58-1</f>
        <v>2.7662666320200646E-2</v>
      </c>
      <c r="CW59" s="110">
        <f>CW58/CQ58-1</f>
        <v>2.6283944226892286E-2</v>
      </c>
      <c r="CX59" s="120">
        <f ca="1">CX58/CR58-1</f>
        <v>-3.7991759386465374E-3</v>
      </c>
      <c r="CY59" s="122">
        <f ca="1">CY58/CS58-1</f>
        <v>1.4323846585232003E-2</v>
      </c>
      <c r="DA59" s="109">
        <f>DA58/CU58-1</f>
        <v>8.031492255873296E-4</v>
      </c>
      <c r="DB59" s="110">
        <f>DB58/CV58-1</f>
        <v>2.1205573841354131E-3</v>
      </c>
      <c r="DC59" s="110">
        <f>DC58/CW58-1</f>
        <v>3.9500087152404273E-3</v>
      </c>
      <c r="DD59" s="120">
        <f ca="1">DD58/CX58-1</f>
        <v>-2.8677307525815099E-3</v>
      </c>
      <c r="DE59" s="122">
        <f ca="1">DE58/CY58-1</f>
        <v>1.4103381186405528E-3</v>
      </c>
      <c r="DG59" s="109">
        <f>DG58/DA58-1</f>
        <v>1.7744983629572886E-3</v>
      </c>
      <c r="DH59" s="110">
        <f>DH58/DB58-1</f>
        <v>3.0910721539367803E-3</v>
      </c>
      <c r="DI59" s="110">
        <f>DI58/DC58-1</f>
        <v>4.9465794590723977E-3</v>
      </c>
      <c r="DJ59" s="120">
        <f ca="1">DJ58/DD58-1</f>
        <v>-1.9378421253307687E-3</v>
      </c>
      <c r="DK59" s="122">
        <f ca="1">DK58/DE58-1</f>
        <v>2.3869595071155381E-3</v>
      </c>
    </row>
    <row r="60" spans="2:115" ht="15.75" thickBot="1" x14ac:dyDescent="0.35">
      <c r="B60" s="1"/>
      <c r="AA60" s="103"/>
      <c r="AB60" s="103"/>
      <c r="AC60" s="103"/>
      <c r="AD60" s="103"/>
      <c r="AE60" s="103"/>
      <c r="AG60" s="103"/>
      <c r="AH60" s="103"/>
      <c r="AI60" s="103"/>
      <c r="AJ60" s="103"/>
      <c r="AK60" s="103"/>
      <c r="AM60" s="103"/>
      <c r="AN60" s="103"/>
      <c r="AO60" s="103"/>
      <c r="AP60" s="103"/>
      <c r="AQ60" s="103"/>
      <c r="AS60" s="103"/>
      <c r="AT60" s="103"/>
      <c r="AU60" s="103"/>
      <c r="AV60" s="103"/>
      <c r="AW60" s="103"/>
      <c r="AY60" s="103"/>
      <c r="AZ60" s="103"/>
      <c r="BA60" s="103"/>
      <c r="BB60" s="103"/>
      <c r="BC60" s="103"/>
      <c r="BE60" s="103"/>
      <c r="BF60" s="103"/>
      <c r="BG60" s="103"/>
      <c r="BH60" s="103"/>
      <c r="BI60" s="103"/>
      <c r="BK60" s="103"/>
      <c r="BL60" s="103"/>
      <c r="BM60" s="103"/>
      <c r="BN60" s="103"/>
      <c r="BO60" s="103"/>
      <c r="BQ60" s="103"/>
      <c r="BR60" s="103"/>
      <c r="BS60" s="103"/>
      <c r="BT60" s="103"/>
      <c r="BU60" s="103"/>
      <c r="BW60" s="103"/>
      <c r="BX60" s="103"/>
      <c r="BY60" s="103"/>
      <c r="BZ60" s="103"/>
      <c r="CA60" s="103"/>
      <c r="CC60" s="103"/>
      <c r="CD60" s="103"/>
      <c r="CE60" s="103"/>
      <c r="CF60" s="103"/>
      <c r="CG60" s="103"/>
      <c r="CI60" s="103"/>
      <c r="CJ60" s="103"/>
      <c r="CK60" s="103"/>
      <c r="CL60" s="103"/>
      <c r="CM60" s="103"/>
      <c r="CO60" s="103"/>
      <c r="CP60" s="103"/>
      <c r="CQ60" s="103"/>
      <c r="CR60" s="103"/>
      <c r="CS60" s="103"/>
      <c r="CU60" s="103"/>
      <c r="CV60" s="103"/>
      <c r="CW60" s="103"/>
      <c r="CX60" s="103"/>
      <c r="CY60" s="103"/>
      <c r="DA60" s="103"/>
      <c r="DB60" s="103"/>
      <c r="DC60" s="103"/>
      <c r="DD60" s="103"/>
      <c r="DE60" s="103"/>
      <c r="DG60" s="103"/>
      <c r="DH60" s="103"/>
      <c r="DI60" s="103"/>
      <c r="DJ60" s="103"/>
      <c r="DK60" s="103"/>
    </row>
    <row r="61" spans="2:115" ht="15" x14ac:dyDescent="0.3">
      <c r="B61" s="139" t="s">
        <v>153</v>
      </c>
      <c r="C61" s="111">
        <f>C67-C64</f>
        <v>92.96</v>
      </c>
      <c r="D61" s="112">
        <f>D67-D64</f>
        <v>99.12</v>
      </c>
      <c r="E61" s="112">
        <f>E67-E64</f>
        <v>101.68</v>
      </c>
      <c r="F61" s="115">
        <f>F67-F64</f>
        <v>98.82</v>
      </c>
      <c r="G61" s="113">
        <f>C61+D61+E61+F61</f>
        <v>392.58</v>
      </c>
      <c r="I61" s="111">
        <f>I67-I64</f>
        <v>98.4</v>
      </c>
      <c r="J61" s="112">
        <f>J67-J64</f>
        <v>108.24000000000001</v>
      </c>
      <c r="K61" s="112">
        <f>K67-K64</f>
        <v>118.08</v>
      </c>
      <c r="L61" s="115">
        <f>L67-L64</f>
        <v>114.21000000000001</v>
      </c>
      <c r="M61" s="113">
        <f>I61+J61+K61+L61</f>
        <v>438.93000000000006</v>
      </c>
      <c r="O61" s="111">
        <f>O67-O64</f>
        <v>102.7</v>
      </c>
      <c r="P61" s="112">
        <f>P67-P64</f>
        <v>106.92</v>
      </c>
      <c r="Q61" s="112">
        <f>Q67-Q64</f>
        <v>106.11</v>
      </c>
      <c r="R61" s="115">
        <f>R67-R64</f>
        <v>99.2</v>
      </c>
      <c r="S61" s="113">
        <f>O61+P61+Q61+R61</f>
        <v>414.93</v>
      </c>
      <c r="U61" s="111">
        <f>U67-U64</f>
        <v>90.4</v>
      </c>
      <c r="V61" s="112">
        <f>V67-V64</f>
        <v>93.6</v>
      </c>
      <c r="W61" s="112">
        <f>W67-W64</f>
        <v>92.43</v>
      </c>
      <c r="X61" s="115">
        <f>X67-X64</f>
        <v>89.27</v>
      </c>
      <c r="Y61" s="113">
        <f>U61+V61+W61+X61</f>
        <v>365.7</v>
      </c>
      <c r="AA61" s="111">
        <f>AA67-AA64</f>
        <v>80.08</v>
      </c>
      <c r="AB61" s="112">
        <f>AB67-AB64</f>
        <v>82.68</v>
      </c>
      <c r="AC61" s="112">
        <f>AC67-AC64</f>
        <v>83.16</v>
      </c>
      <c r="AD61" s="115">
        <f>AD67-AD64</f>
        <v>78.28</v>
      </c>
      <c r="AE61" s="113">
        <f>AA61+AB61+AC61+AD61</f>
        <v>324.2</v>
      </c>
      <c r="AG61" s="111">
        <f>AG67-AG64</f>
        <v>73.5</v>
      </c>
      <c r="AH61" s="112">
        <f>AH67-AH64</f>
        <v>73.72</v>
      </c>
      <c r="AI61" s="112">
        <f>AI67-AI64</f>
        <v>72.52</v>
      </c>
      <c r="AJ61" s="115">
        <f>AJ67-AJ64</f>
        <v>67.89</v>
      </c>
      <c r="AK61" s="113">
        <f>AG61+AH61+AI61+AJ61</f>
        <v>287.63</v>
      </c>
      <c r="AM61" s="111">
        <f>AM67-AM64</f>
        <v>63</v>
      </c>
      <c r="AN61" s="112">
        <f>AN67-AN64</f>
        <v>63.900000000000006</v>
      </c>
      <c r="AO61" s="112">
        <f>AO67-AO64</f>
        <v>59.84</v>
      </c>
      <c r="AP61" s="115">
        <f>AP67-AP64</f>
        <v>55.44</v>
      </c>
      <c r="AQ61" s="113">
        <f>AM61+AN61+AO61+AP61</f>
        <v>242.18</v>
      </c>
      <c r="AS61" s="111">
        <f>AS67-AS64</f>
        <v>52.480000000000004</v>
      </c>
      <c r="AT61" s="112">
        <f>AT67-AT64</f>
        <v>53.95</v>
      </c>
      <c r="AU61" s="112">
        <f>AU67-AU64</f>
        <v>54.6</v>
      </c>
      <c r="AV61" s="115">
        <f>AV67-AV64</f>
        <v>51.66</v>
      </c>
      <c r="AW61" s="113">
        <f>AS61+AT61+AU61+AV61</f>
        <v>212.69</v>
      </c>
      <c r="AY61" s="111">
        <f>AY67-AY64</f>
        <v>48.8</v>
      </c>
      <c r="AZ61" s="112">
        <f>AZ67-AZ64</f>
        <v>49.769999999999996</v>
      </c>
      <c r="BA61" s="112">
        <f>BA67-BA64</f>
        <v>52.08</v>
      </c>
      <c r="BB61" s="115">
        <f>BB67-BB64</f>
        <v>48.8</v>
      </c>
      <c r="BC61" s="113">
        <f>AY61+AZ61+BA61+BB61</f>
        <v>199.45</v>
      </c>
      <c r="BE61" s="111">
        <f>BE67-BE64</f>
        <v>49.199999999999996</v>
      </c>
      <c r="BF61" s="112">
        <f>BF67-BF64</f>
        <v>48.8</v>
      </c>
      <c r="BG61" s="112">
        <f>BG67-BG64</f>
        <v>48.97</v>
      </c>
      <c r="BH61" s="115">
        <f>BH67-BH64</f>
        <v>48.38</v>
      </c>
      <c r="BI61" s="113">
        <f>BE61+BF61+BG61+BH61</f>
        <v>195.35</v>
      </c>
      <c r="BK61" s="111">
        <f>BK67-BK64</f>
        <v>48.14</v>
      </c>
      <c r="BL61" s="112">
        <f>BL67-BL64</f>
        <v>47.56</v>
      </c>
      <c r="BM61" s="112">
        <f>BM67-BM64</f>
        <v>47.6</v>
      </c>
      <c r="BN61" s="115">
        <f>BN67-BN64</f>
        <v>46.199999999999996</v>
      </c>
      <c r="BO61" s="113">
        <f>BK61+BL61+BM61+BN61</f>
        <v>189.5</v>
      </c>
      <c r="BQ61" s="111">
        <f>BQ67-BQ64</f>
        <v>46.07176296296295</v>
      </c>
      <c r="BR61" s="112">
        <f>BR67-BR64</f>
        <v>45.455217021276596</v>
      </c>
      <c r="BS61" s="112">
        <f>BS67-BS64</f>
        <v>45.411781249999997</v>
      </c>
      <c r="BT61" s="115">
        <f>BT67-BT64</f>
        <v>44.144264705882357</v>
      </c>
      <c r="BU61" s="113">
        <f>BQ61+BR61+BS61+BT61</f>
        <v>181.0830259401219</v>
      </c>
      <c r="BW61" s="111">
        <f>BW67-BW64</f>
        <v>44.40048101795734</v>
      </c>
      <c r="BX61" s="112">
        <f>BX67-BX64</f>
        <v>43.86393025531914</v>
      </c>
      <c r="BY61" s="112">
        <f>BY67-BY64</f>
        <v>43.850227656249999</v>
      </c>
      <c r="BZ61" s="115">
        <f>BZ67-BZ64</f>
        <v>42.624739705882348</v>
      </c>
      <c r="CA61" s="113">
        <f>BW61+BX61+BY61+BZ61</f>
        <v>174.73937863540883</v>
      </c>
      <c r="CC61" s="111">
        <f>CC67-CC64</f>
        <v>42.870581025628489</v>
      </c>
      <c r="CD61" s="112">
        <f>CD67-CD64</f>
        <v>42.351499234255307</v>
      </c>
      <c r="CE61" s="112">
        <f>CE67-CE64</f>
        <v>42.337255028906249</v>
      </c>
      <c r="CF61" s="115">
        <f>CF67-CF64</f>
        <v>41.152579819852924</v>
      </c>
      <c r="CG61" s="113">
        <f>CC61+CD61+CE61+CF61</f>
        <v>168.71191510864296</v>
      </c>
      <c r="CI61" s="111">
        <f>CI67-CI64</f>
        <v>41.605154571943437</v>
      </c>
      <c r="CJ61" s="112">
        <f>CJ67-CJ64</f>
        <v>41.100427271693611</v>
      </c>
      <c r="CK61" s="112">
        <f>CK67-CK64</f>
        <v>41.085640940249995</v>
      </c>
      <c r="CL61" s="115">
        <f>CL67-CL64</f>
        <v>39.934591891764697</v>
      </c>
      <c r="CM61" s="113">
        <f>CI61+CJ61+CK61+CL61</f>
        <v>163.72581467565175</v>
      </c>
      <c r="CO61" s="111">
        <f>CO67-CO64</f>
        <v>40.372369304912155</v>
      </c>
      <c r="CP61" s="112">
        <f>CP67-CP64</f>
        <v>39.881678667362031</v>
      </c>
      <c r="CQ61" s="112">
        <f>CQ67-CQ64</f>
        <v>39.866416370639996</v>
      </c>
      <c r="CR61" s="115">
        <f>CR67-CR64</f>
        <v>38.748198870211752</v>
      </c>
      <c r="CS61" s="113">
        <f>CO61+CP61+CQ61+CR61</f>
        <v>158.86866321312593</v>
      </c>
      <c r="CU61" s="111">
        <f>CU67-CU64</f>
        <v>39.17163861192828</v>
      </c>
      <c r="CV61" s="112">
        <f>CV67-CV64</f>
        <v>38.694669267742256</v>
      </c>
      <c r="CW61" s="112">
        <f>CW67-CW64</f>
        <v>38.678992741094383</v>
      </c>
      <c r="CX61" s="115">
        <f>CX67-CX64</f>
        <v>37.592821943356221</v>
      </c>
      <c r="CY61" s="113">
        <f>CU61+CV61+CW61+CX61</f>
        <v>154.13812256412115</v>
      </c>
      <c r="DA61" s="111">
        <f>DA67-DA64</f>
        <v>38.002370583495235</v>
      </c>
      <c r="DB61" s="112">
        <f>DB67-DB64</f>
        <v>37.538809934224311</v>
      </c>
      <c r="DC61" s="112">
        <f>DC67-DC64</f>
        <v>37.522776735719404</v>
      </c>
      <c r="DD61" s="115">
        <f>DD67-DD64</f>
        <v>36.467878052456804</v>
      </c>
      <c r="DE61" s="113">
        <f>DA61+DB61+DC61+DD61</f>
        <v>149.53183530589575</v>
      </c>
      <c r="DG61" s="111">
        <f>DG67-DG64</f>
        <v>36.863969375557758</v>
      </c>
      <c r="DH61" s="112">
        <f>DH67-DH64</f>
        <v>36.413507876559414</v>
      </c>
      <c r="DI61" s="112">
        <f>DI67-DI64</f>
        <v>36.397171622388676</v>
      </c>
      <c r="DJ61" s="115">
        <f>DJ67-DJ64</f>
        <v>35.372781157719963</v>
      </c>
      <c r="DK61" s="113">
        <f>DG61+DH61+DI61+DJ61</f>
        <v>145.0474300322258</v>
      </c>
    </row>
    <row r="62" spans="2:115" ht="15" x14ac:dyDescent="0.3">
      <c r="B62" s="5" t="s">
        <v>23</v>
      </c>
      <c r="C62" s="144" t="s">
        <v>35</v>
      </c>
      <c r="D62" s="107" t="s">
        <v>35</v>
      </c>
      <c r="E62" s="107" t="s">
        <v>35</v>
      </c>
      <c r="F62" s="145" t="s">
        <v>35</v>
      </c>
      <c r="G62" s="138" t="s">
        <v>35</v>
      </c>
      <c r="I62" s="151">
        <f>I61/C61-1</f>
        <v>5.8519793459552716E-2</v>
      </c>
      <c r="J62" s="133">
        <f>J61/D61-1</f>
        <v>9.2009685230024285E-2</v>
      </c>
      <c r="K62" s="133">
        <f>K61/E61-1</f>
        <v>0.16129032258064502</v>
      </c>
      <c r="L62" s="133">
        <f>L61/F61-1</f>
        <v>0.15573770491803285</v>
      </c>
      <c r="M62" s="153">
        <f>M61/G61-1</f>
        <v>0.11806510774873935</v>
      </c>
      <c r="N62" s="107"/>
      <c r="O62" s="151">
        <f>O61/I61-1</f>
        <v>4.3699186991869921E-2</v>
      </c>
      <c r="P62" s="133">
        <f>P61/J61-1</f>
        <v>-1.2195121951219634E-2</v>
      </c>
      <c r="Q62" s="133">
        <f>Q61/K61-1</f>
        <v>-0.10137195121951215</v>
      </c>
      <c r="R62" s="133">
        <f>R61/L61-1</f>
        <v>-0.13142456877681463</v>
      </c>
      <c r="S62" s="153">
        <f>S61/M61-1</f>
        <v>-5.4678422527510206E-2</v>
      </c>
      <c r="T62" s="107"/>
      <c r="U62" s="151">
        <f>U61/O61-1</f>
        <v>-0.11976630963972734</v>
      </c>
      <c r="V62" s="133">
        <f>V61/P61-1</f>
        <v>-0.12457912457912468</v>
      </c>
      <c r="W62" s="133">
        <f>W61/Q61-1</f>
        <v>-0.12892281594571664</v>
      </c>
      <c r="X62" s="133">
        <f>X61/R61-1</f>
        <v>-0.10010080645161301</v>
      </c>
      <c r="Y62" s="153">
        <f>Y61/S61-1</f>
        <v>-0.11864651868989951</v>
      </c>
      <c r="AA62" s="151">
        <f>AA61/U61-1</f>
        <v>-0.11415929203539832</v>
      </c>
      <c r="AB62" s="133">
        <f>AB61/V61-1</f>
        <v>-0.11666666666666659</v>
      </c>
      <c r="AC62" s="133">
        <f>AC61/W61-1</f>
        <v>-0.10029211295034091</v>
      </c>
      <c r="AD62" s="133">
        <f>AD61/X61-1</f>
        <v>-0.12310966730144501</v>
      </c>
      <c r="AE62" s="153">
        <f>AE61/Y61-1</f>
        <v>-0.1134809953513809</v>
      </c>
      <c r="AG62" s="151">
        <f>AG61/AA61-1</f>
        <v>-8.2167832167832189E-2</v>
      </c>
      <c r="AH62" s="133">
        <f>AH61/AB61-1</f>
        <v>-0.10836961780358012</v>
      </c>
      <c r="AI62" s="133">
        <f>AI61/AC61-1</f>
        <v>-0.12794612794612792</v>
      </c>
      <c r="AJ62" s="133">
        <f>AJ61/AD61-1</f>
        <v>-0.13272866632600921</v>
      </c>
      <c r="AK62" s="153">
        <f>AK61/AE61-1</f>
        <v>-0.1128007402837754</v>
      </c>
      <c r="AM62" s="151">
        <f>AM61/AG61-1</f>
        <v>-0.1428571428571429</v>
      </c>
      <c r="AN62" s="133">
        <f>AN61/AH61-1</f>
        <v>-0.13320672816060763</v>
      </c>
      <c r="AO62" s="133">
        <f>AO61/AI61-1</f>
        <v>-0.1748483177054605</v>
      </c>
      <c r="AP62" s="133">
        <f>AP61/AJ61-1</f>
        <v>-0.18338488731771985</v>
      </c>
      <c r="AQ62" s="153">
        <f>AQ61/AK61-1</f>
        <v>-0.15801550603205505</v>
      </c>
      <c r="AS62" s="151">
        <f>AS61/AM61-1</f>
        <v>-0.1669841269841269</v>
      </c>
      <c r="AT62" s="133">
        <f>AT61/AN61-1</f>
        <v>-0.15571205007824729</v>
      </c>
      <c r="AU62" s="133">
        <f>AU61/AO61-1</f>
        <v>-8.7566844919786169E-2</v>
      </c>
      <c r="AV62" s="133">
        <f>AV61/AP61-1</f>
        <v>-6.8181818181818232E-2</v>
      </c>
      <c r="AW62" s="153">
        <f>AW61/AQ61-1</f>
        <v>-0.12176893219919072</v>
      </c>
      <c r="AY62" s="151">
        <f>AY61/AS61-1</f>
        <v>-7.0121951219512368E-2</v>
      </c>
      <c r="AZ62" s="133">
        <f>AZ61/AT61-1</f>
        <v>-7.7479147358665568E-2</v>
      </c>
      <c r="BA62" s="133">
        <f>BA61/AU61-1</f>
        <v>-4.6153846153846212E-2</v>
      </c>
      <c r="BB62" s="133">
        <f>BB61/AV61-1</f>
        <v>-5.5361982191250436E-2</v>
      </c>
      <c r="BC62" s="153">
        <f>BC61/AW61-1</f>
        <v>-6.2250223329728738E-2</v>
      </c>
      <c r="BE62" s="151">
        <f>BE61/AY61-1</f>
        <v>8.1967213114753079E-3</v>
      </c>
      <c r="BF62" s="133">
        <f>BF61/AZ61-1</f>
        <v>-1.9489652401044832E-2</v>
      </c>
      <c r="BG62" s="133">
        <f>BG61/BA61-1</f>
        <v>-5.9715821812596048E-2</v>
      </c>
      <c r="BH62" s="133">
        <f>BH61/BB61-1</f>
        <v>-8.6065573770490733E-3</v>
      </c>
      <c r="BI62" s="153">
        <f>BI61/BC61-1</f>
        <v>-2.0556530458761602E-2</v>
      </c>
      <c r="BK62" s="151">
        <f>BK61/BE61-1</f>
        <v>-2.1544715447154417E-2</v>
      </c>
      <c r="BL62" s="133">
        <f>BL61/BF61-1</f>
        <v>-2.5409836065573677E-2</v>
      </c>
      <c r="BM62" s="133">
        <f>BM61/BG61-1</f>
        <v>-2.7976312027772066E-2</v>
      </c>
      <c r="BN62" s="133">
        <f>BN61/BH61-1</f>
        <v>-4.5059942124845098E-2</v>
      </c>
      <c r="BO62" s="153">
        <f>BO61/BI61-1</f>
        <v>-2.9946250319938583E-2</v>
      </c>
      <c r="BQ62" s="151">
        <f>BQ61/BK61-1</f>
        <v>-4.2962962962963203E-2</v>
      </c>
      <c r="BR62" s="133">
        <f>BR61/BL61-1</f>
        <v>-4.4255319148936212E-2</v>
      </c>
      <c r="BS62" s="133">
        <f>BS61/BM61-1</f>
        <v>-4.597098214285722E-2</v>
      </c>
      <c r="BT62" s="133">
        <f>BT61/BN61-1</f>
        <v>-4.449643493761124E-2</v>
      </c>
      <c r="BU62" s="153">
        <f>BU61/BO61-1</f>
        <v>-4.4416749656348786E-2</v>
      </c>
      <c r="BW62" s="151">
        <f>BW61/BQ61-1</f>
        <v>-3.6275623885917985E-2</v>
      </c>
      <c r="BX62" s="133">
        <f>BX61/BR61-1</f>
        <v>-3.5007791629563911E-2</v>
      </c>
      <c r="BY62" s="133">
        <f>BY61/BS61-1</f>
        <v>-3.438653034007555E-2</v>
      </c>
      <c r="BZ62" s="133">
        <f>BZ61/BT61-1</f>
        <v>-3.442179884802854E-2</v>
      </c>
      <c r="CA62" s="153">
        <f>CA61/BU61-1</f>
        <v>-3.5031705880653408E-2</v>
      </c>
      <c r="CC62" s="151">
        <f>CC61/BW61-1</f>
        <v>-3.4456833738132242E-2</v>
      </c>
      <c r="CD62" s="133">
        <f>CD61/BX61-1</f>
        <v>-3.4480061687596431E-2</v>
      </c>
      <c r="CE62" s="133">
        <f>CE61/BY61-1</f>
        <v>-3.4503187513739264E-2</v>
      </c>
      <c r="CF62" s="133">
        <f>CF61/BZ61-1</f>
        <v>-3.453768624014053E-2</v>
      </c>
      <c r="CG62" s="153">
        <f>CG61/CA61-1</f>
        <v>-3.4494019458213176E-2</v>
      </c>
      <c r="CI62" s="151">
        <f>CI61/CC61-1</f>
        <v>-2.9517361869403347E-2</v>
      </c>
      <c r="CJ62" s="133">
        <f>CJ61/CD61-1</f>
        <v>-2.9540204837655071E-2</v>
      </c>
      <c r="CK62" s="133">
        <f>CK61/CE61-1</f>
        <v>-2.9562948467058203E-2</v>
      </c>
      <c r="CL62" s="133">
        <f>CL61/CF61-1</f>
        <v>-2.9596879063718884E-2</v>
      </c>
      <c r="CM62" s="153">
        <f>CM61/CG61-1</f>
        <v>-2.9553931800136213E-2</v>
      </c>
      <c r="CO62" s="151">
        <f>CO61/CI61-1</f>
        <v>-2.9630589760207604E-2</v>
      </c>
      <c r="CP62" s="133">
        <f>CP61/CJ61-1</f>
        <v>-2.9652942444492458E-2</v>
      </c>
      <c r="CQ62" s="133">
        <f>CQ61/CK61-1</f>
        <v>-2.9675198967519911E-2</v>
      </c>
      <c r="CR62" s="133">
        <f>CR61/CL61-1</f>
        <v>-2.9708404802744504E-2</v>
      </c>
      <c r="CS62" s="153">
        <f>CS61/CM61-1</f>
        <v>-2.9666375288148972E-2</v>
      </c>
      <c r="CU62" s="151">
        <f>CU61/CO61-1</f>
        <v>-2.9741397734558528E-2</v>
      </c>
      <c r="CV62" s="133">
        <f>CV61/CP61-1</f>
        <v>-2.9763275751759855E-2</v>
      </c>
      <c r="CW62" s="133">
        <f>CW61/CQ61-1</f>
        <v>-2.9785060651202677E-2</v>
      </c>
      <c r="CX62" s="133">
        <f>CX61/CR61-1</f>
        <v>-2.9817564700891031E-2</v>
      </c>
      <c r="CY62" s="153">
        <f>CY61/CS61-1</f>
        <v>-2.9776423829151577E-2</v>
      </c>
      <c r="DA62" s="151">
        <f>DA61/CU61-1</f>
        <v>-2.9849862550222483E-2</v>
      </c>
      <c r="DB62" s="133">
        <f>DB61/CV61-1</f>
        <v>-2.9871280860940819E-2</v>
      </c>
      <c r="DC62" s="133">
        <f>DC61/CW61-1</f>
        <v>-2.9892608970309653E-2</v>
      </c>
      <c r="DD62" s="133">
        <f>DD61/CX61-1</f>
        <v>-2.9924433249369997E-2</v>
      </c>
      <c r="DE62" s="153">
        <f>DE61/CY61-1</f>
        <v>-2.9884153132260893E-2</v>
      </c>
      <c r="DG62" s="151">
        <f>DG61/DA61-1</f>
        <v>-2.9956057752668075E-2</v>
      </c>
      <c r="DH62" s="133">
        <f>DH61/DB61-1</f>
        <v>-2.9977030695343188E-2</v>
      </c>
      <c r="DI62" s="133">
        <f>DI61/DC61-1</f>
        <v>-2.9997916232548438E-2</v>
      </c>
      <c r="DJ62" s="133">
        <f>DJ61/DD61-1</f>
        <v>-3.0029081844619832E-2</v>
      </c>
      <c r="DK62" s="153">
        <f>DK61/DE61-1</f>
        <v>-2.998963574877711E-2</v>
      </c>
    </row>
    <row r="63" spans="2:115" ht="15" x14ac:dyDescent="0.3">
      <c r="B63" s="5"/>
      <c r="C63" s="144"/>
      <c r="D63" s="107"/>
      <c r="E63" s="107"/>
      <c r="F63" s="145"/>
      <c r="G63" s="138"/>
      <c r="I63" s="144"/>
      <c r="J63" s="107"/>
      <c r="K63" s="107"/>
      <c r="L63" s="107"/>
      <c r="M63" s="138"/>
      <c r="O63" s="144"/>
      <c r="P63" s="107"/>
      <c r="Q63" s="107"/>
      <c r="R63" s="107"/>
      <c r="S63" s="138"/>
      <c r="U63" s="144"/>
      <c r="V63" s="107"/>
      <c r="W63" s="107"/>
      <c r="X63" s="107"/>
      <c r="Y63" s="138"/>
      <c r="AA63" s="144"/>
      <c r="AB63" s="107"/>
      <c r="AC63" s="107"/>
      <c r="AD63" s="107"/>
      <c r="AE63" s="138"/>
      <c r="AG63" s="144"/>
      <c r="AH63" s="107"/>
      <c r="AI63" s="107"/>
      <c r="AJ63" s="107"/>
      <c r="AK63" s="138"/>
      <c r="AM63" s="144"/>
      <c r="AN63" s="107"/>
      <c r="AO63" s="107"/>
      <c r="AP63" s="107"/>
      <c r="AQ63" s="138"/>
      <c r="AS63" s="144"/>
      <c r="AT63" s="107"/>
      <c r="AU63" s="107"/>
      <c r="AV63" s="107"/>
      <c r="AW63" s="138"/>
      <c r="AY63" s="144"/>
      <c r="AZ63" s="107"/>
      <c r="BA63" s="107"/>
      <c r="BB63" s="107"/>
      <c r="BC63" s="138"/>
      <c r="BE63" s="144"/>
      <c r="BF63" s="107"/>
      <c r="BG63" s="107"/>
      <c r="BH63" s="107"/>
      <c r="BI63" s="138"/>
      <c r="BK63" s="144"/>
      <c r="BL63" s="107"/>
      <c r="BM63" s="107"/>
      <c r="BN63" s="107"/>
      <c r="BO63" s="138"/>
      <c r="BQ63" s="144"/>
      <c r="BR63" s="107"/>
      <c r="BS63" s="107"/>
      <c r="BT63" s="107"/>
      <c r="BU63" s="138"/>
      <c r="BW63" s="144"/>
      <c r="BX63" s="107"/>
      <c r="BY63" s="107"/>
      <c r="BZ63" s="107"/>
      <c r="CA63" s="138"/>
      <c r="CC63" s="144"/>
      <c r="CD63" s="107"/>
      <c r="CE63" s="107"/>
      <c r="CF63" s="107"/>
      <c r="CG63" s="138"/>
      <c r="CI63" s="144"/>
      <c r="CJ63" s="107"/>
      <c r="CK63" s="107"/>
      <c r="CL63" s="107"/>
      <c r="CM63" s="138"/>
      <c r="CO63" s="144"/>
      <c r="CP63" s="107"/>
      <c r="CQ63" s="107"/>
      <c r="CR63" s="107"/>
      <c r="CS63" s="138"/>
      <c r="CU63" s="144"/>
      <c r="CV63" s="107"/>
      <c r="CW63" s="107"/>
      <c r="CX63" s="107"/>
      <c r="CY63" s="138"/>
      <c r="DA63" s="144"/>
      <c r="DB63" s="107"/>
      <c r="DC63" s="107"/>
      <c r="DD63" s="107"/>
      <c r="DE63" s="138"/>
      <c r="DG63" s="144"/>
      <c r="DH63" s="107"/>
      <c r="DI63" s="107"/>
      <c r="DJ63" s="107"/>
      <c r="DK63" s="138"/>
    </row>
    <row r="64" spans="2:115" ht="15" x14ac:dyDescent="0.3">
      <c r="B64" s="105" t="s">
        <v>154</v>
      </c>
      <c r="C64" s="116">
        <f>C67*C15</f>
        <v>19.040000000000003</v>
      </c>
      <c r="D64" s="117">
        <f>D67*D15</f>
        <v>18.88</v>
      </c>
      <c r="E64" s="117">
        <f>E67*E15</f>
        <v>22.32</v>
      </c>
      <c r="F64" s="119">
        <f>F67*F15</f>
        <v>23.18</v>
      </c>
      <c r="G64" s="118">
        <f>C64+D64+E64+F64</f>
        <v>83.42</v>
      </c>
      <c r="I64" s="116">
        <f>I67*I15</f>
        <v>21.599999999999998</v>
      </c>
      <c r="J64" s="117">
        <f>J67*J15</f>
        <v>23.759999999999998</v>
      </c>
      <c r="K64" s="117">
        <f>K67*K15</f>
        <v>25.919999999999998</v>
      </c>
      <c r="L64" s="119">
        <f>L67*L15</f>
        <v>26.79</v>
      </c>
      <c r="M64" s="118">
        <f>I64+J64+K64+L64</f>
        <v>98.07</v>
      </c>
      <c r="O64" s="116">
        <f>O67*O15</f>
        <v>27.3</v>
      </c>
      <c r="P64" s="117">
        <f>P67*P15</f>
        <v>25.080000000000002</v>
      </c>
      <c r="Q64" s="117">
        <f>Q67*Q15</f>
        <v>24.89</v>
      </c>
      <c r="R64" s="119">
        <f>R67*R15</f>
        <v>24.8</v>
      </c>
      <c r="S64" s="118">
        <f>O64+P64+Q64+R64</f>
        <v>102.07000000000001</v>
      </c>
      <c r="U64" s="116">
        <f>U67*U15</f>
        <v>22.6</v>
      </c>
      <c r="V64" s="117">
        <f>V67*V15</f>
        <v>23.400000000000002</v>
      </c>
      <c r="W64" s="117">
        <f>W67*W15</f>
        <v>24.57</v>
      </c>
      <c r="X64" s="119">
        <f>X67*X15</f>
        <v>23.73</v>
      </c>
      <c r="Y64" s="118">
        <f>U64+V64+W64+X64</f>
        <v>94.3</v>
      </c>
      <c r="AA64" s="116">
        <f>AA67*AA15</f>
        <v>23.92</v>
      </c>
      <c r="AB64" s="117">
        <f>AB67*AB15</f>
        <v>23.32</v>
      </c>
      <c r="AC64" s="117">
        <f>AC67*AC15</f>
        <v>24.84</v>
      </c>
      <c r="AD64" s="119">
        <f>AD67*AD15</f>
        <v>24.72</v>
      </c>
      <c r="AE64" s="118">
        <f>AA64+AB64+AC64+AD64</f>
        <v>96.8</v>
      </c>
      <c r="AG64" s="116">
        <f>AG67*AG15</f>
        <v>24.5</v>
      </c>
      <c r="AH64" s="117">
        <f>AH67*AH15</f>
        <v>23.279999999999998</v>
      </c>
      <c r="AI64" s="117">
        <f>AI67*AI15</f>
        <v>25.48</v>
      </c>
      <c r="AJ64" s="119">
        <f>AJ67*AJ15</f>
        <v>25.110000000000003</v>
      </c>
      <c r="AK64" s="118">
        <f>AG64+AH64+AI64+AJ64</f>
        <v>98.37</v>
      </c>
      <c r="AM64" s="116">
        <f>AM67*AM15</f>
        <v>27</v>
      </c>
      <c r="AN64" s="117">
        <f>AN67*AN15</f>
        <v>26.099999999999998</v>
      </c>
      <c r="AO64" s="117">
        <f>AO67*AO15</f>
        <v>28.16</v>
      </c>
      <c r="AP64" s="119">
        <f>AP67*AP15</f>
        <v>28.560000000000002</v>
      </c>
      <c r="AQ64" s="118">
        <f>AM64+AN64+AO64+AP64</f>
        <v>109.82</v>
      </c>
      <c r="AS64" s="116">
        <f>AS67*AS15</f>
        <v>29.52</v>
      </c>
      <c r="AT64" s="117">
        <f>AT67*AT15</f>
        <v>29.049999999999997</v>
      </c>
      <c r="AU64" s="117">
        <f>AU67*AU15</f>
        <v>29.4</v>
      </c>
      <c r="AV64" s="119">
        <f>AV67*AV15</f>
        <v>30.34</v>
      </c>
      <c r="AW64" s="118">
        <f>AS64+AT64+AU64+AV64</f>
        <v>118.31</v>
      </c>
      <c r="AY64" s="116">
        <f>AY67*AY15</f>
        <v>31.200000000000003</v>
      </c>
      <c r="AZ64" s="117">
        <f>AZ67*AZ15</f>
        <v>29.23</v>
      </c>
      <c r="BA64" s="117">
        <f>BA67*BA15</f>
        <v>31.92</v>
      </c>
      <c r="BB64" s="119">
        <f>BB67*BB15</f>
        <v>31.200000000000003</v>
      </c>
      <c r="BC64" s="118">
        <f>AY64+AZ64+BA64+BB64</f>
        <v>123.55000000000001</v>
      </c>
      <c r="BE64" s="116">
        <f>BE67*BE15</f>
        <v>32.800000000000004</v>
      </c>
      <c r="BF64" s="117">
        <f>BF67*BF15</f>
        <v>31.200000000000003</v>
      </c>
      <c r="BG64" s="117">
        <f>BG67*BG15</f>
        <v>34.03</v>
      </c>
      <c r="BH64" s="119">
        <f>BH67*BH15</f>
        <v>33.619999999999997</v>
      </c>
      <c r="BI64" s="118">
        <f>BE64+BF64+BG64+BH64</f>
        <v>131.65</v>
      </c>
      <c r="BK64" s="116">
        <f>BK67*BK15</f>
        <v>34.86</v>
      </c>
      <c r="BL64" s="117">
        <f>BL67*BL15</f>
        <v>34.44</v>
      </c>
      <c r="BM64" s="117">
        <f>BM67*BM15</f>
        <v>37.4</v>
      </c>
      <c r="BN64" s="119">
        <f>BN67*BN15</f>
        <v>37.800000000000004</v>
      </c>
      <c r="BO64" s="118">
        <f>BK64+BL64+BM64+BN64</f>
        <v>144.5</v>
      </c>
      <c r="BQ64" s="116">
        <f>BQ67*BQ15</f>
        <v>39.507999999999996</v>
      </c>
      <c r="BR64" s="117">
        <f>BR67*BR15</f>
        <v>38.113085778275476</v>
      </c>
      <c r="BS64" s="117">
        <f>BS67*BS15</f>
        <v>40.938891517857151</v>
      </c>
      <c r="BT64" s="119">
        <f>BT67*BT15</f>
        <v>41.060502673796798</v>
      </c>
      <c r="BU64" s="118">
        <f>BQ64+BR64+BS64+BT64</f>
        <v>159.62047996992942</v>
      </c>
      <c r="BW64" s="116">
        <f>BW67*BW15</f>
        <v>42.659748939393943</v>
      </c>
      <c r="BX64" s="117">
        <f>BX67*BX15</f>
        <v>40.822576609182526</v>
      </c>
      <c r="BY64" s="117">
        <f>BY67*BY15</f>
        <v>43.463562656250005</v>
      </c>
      <c r="BZ64" s="119">
        <f>BZ67*BZ15</f>
        <v>43.383504705882345</v>
      </c>
      <c r="CA64" s="118">
        <f>BW64+BX64+BY64+BZ64</f>
        <v>170.3293929107088</v>
      </c>
      <c r="CC64" s="116">
        <f>CC67*CC15</f>
        <v>45.071593058333342</v>
      </c>
      <c r="CD64" s="117">
        <f>CD67*CD15</f>
        <v>43.129515365106379</v>
      </c>
      <c r="CE64" s="117">
        <f>CE67*CE15</f>
        <v>45.918647233593752</v>
      </c>
      <c r="CF64" s="119">
        <f>CF67*CF15</f>
        <v>45.832429402941166</v>
      </c>
      <c r="CG64" s="118">
        <f>CC64+CD64+CE64+CF64</f>
        <v>179.95218505997462</v>
      </c>
      <c r="CI64" s="116">
        <f>CI67*CI15</f>
        <v>47.158479671624995</v>
      </c>
      <c r="CJ64" s="117">
        <f>CJ67*CJ15</f>
        <v>45.12541850969361</v>
      </c>
      <c r="CK64" s="117">
        <f>CK67*CK15</f>
        <v>48.042496993605475</v>
      </c>
      <c r="CL64" s="119">
        <f>CL67*CL15</f>
        <v>47.950614761823516</v>
      </c>
      <c r="CM64" s="118">
        <f>CI64+CJ64+CK64+CL64</f>
        <v>188.27700993674759</v>
      </c>
      <c r="CO64" s="116">
        <f>CO67*CO15</f>
        <v>49.097896343711255</v>
      </c>
      <c r="CP64" s="117">
        <f>CP67*CP15</f>
        <v>46.980142274997185</v>
      </c>
      <c r="CQ64" s="117">
        <f>CQ67*CQ15</f>
        <v>50.015969923454648</v>
      </c>
      <c r="CR64" s="119">
        <f>CR67*CR15</f>
        <v>49.918605044351011</v>
      </c>
      <c r="CS64" s="118">
        <f>CO64+CP64+CQ64+CR64</f>
        <v>196.01261358651408</v>
      </c>
      <c r="CU64" s="116">
        <f>CU67*CU15</f>
        <v>51.111235384418215</v>
      </c>
      <c r="CV64" s="117">
        <f>CV67*CV15</f>
        <v>48.905536589560256</v>
      </c>
      <c r="CW64" s="117">
        <f>CW67*CW15</f>
        <v>52.064612981800543</v>
      </c>
      <c r="CX64" s="119">
        <f>CX67*CX15</f>
        <v>51.961519190544529</v>
      </c>
      <c r="CY64" s="118">
        <f>CU64+CV64+CW64+CX64</f>
        <v>204.04290414632354</v>
      </c>
      <c r="DA64" s="116">
        <f>DA67*DA15</f>
        <v>53.201186660858241</v>
      </c>
      <c r="DB64" s="117">
        <f>DB67*DB15</f>
        <v>50.904172434949608</v>
      </c>
      <c r="DC64" s="117">
        <f>DC67*DC15</f>
        <v>54.191160250716081</v>
      </c>
      <c r="DD64" s="119">
        <f>DD67*DD15</f>
        <v>54.082081440969738</v>
      </c>
      <c r="DE64" s="118">
        <f>DA64+DB64+DC64+DD64</f>
        <v>212.37860078749367</v>
      </c>
      <c r="DG64" s="116">
        <f>DG67*DG15</f>
        <v>55.370534902038727</v>
      </c>
      <c r="DH64" s="117">
        <f>DH67*DH15</f>
        <v>52.978711448131712</v>
      </c>
      <c r="DI64" s="117">
        <f>DI67*DI15</f>
        <v>56.398442204082919</v>
      </c>
      <c r="DJ64" s="119">
        <f>DJ67*DJ15</f>
        <v>56.283112059148969</v>
      </c>
      <c r="DK64" s="118">
        <f>DG64+DH64+DI64+DJ64</f>
        <v>221.03080061340233</v>
      </c>
    </row>
    <row r="65" spans="1:115" ht="15" x14ac:dyDescent="0.3">
      <c r="B65" s="5" t="s">
        <v>23</v>
      </c>
      <c r="C65" s="144" t="s">
        <v>35</v>
      </c>
      <c r="D65" s="107" t="s">
        <v>35</v>
      </c>
      <c r="E65" s="107" t="s">
        <v>35</v>
      </c>
      <c r="F65" s="145" t="s">
        <v>35</v>
      </c>
      <c r="G65" s="138" t="s">
        <v>35</v>
      </c>
      <c r="I65" s="151">
        <f>I64/C64-1</f>
        <v>0.13445378151260479</v>
      </c>
      <c r="J65" s="133">
        <f>J64/D64-1</f>
        <v>0.25847457627118642</v>
      </c>
      <c r="K65" s="133">
        <f>K64/E64-1</f>
        <v>0.16129032258064502</v>
      </c>
      <c r="L65" s="133">
        <f>L64/F64-1</f>
        <v>0.15573770491803285</v>
      </c>
      <c r="M65" s="153">
        <f>M64/G64-1</f>
        <v>0.17561735794773425</v>
      </c>
      <c r="N65" s="107"/>
      <c r="O65" s="151">
        <f>O64/I64-1</f>
        <v>0.26388888888888906</v>
      </c>
      <c r="P65" s="133">
        <f>P64/J64-1</f>
        <v>5.5555555555555802E-2</v>
      </c>
      <c r="Q65" s="133">
        <f>Q64/K64-1</f>
        <v>-3.9737654320987525E-2</v>
      </c>
      <c r="R65" s="133">
        <f>R64/L64-1</f>
        <v>-7.4281448301604991E-2</v>
      </c>
      <c r="S65" s="153">
        <f>S64/M64-1</f>
        <v>4.0787192821454266E-2</v>
      </c>
      <c r="T65" s="107"/>
      <c r="U65" s="151">
        <f>U64/O64-1</f>
        <v>-0.1721611721611721</v>
      </c>
      <c r="V65" s="133">
        <f>V64/P64-1</f>
        <v>-6.6985645933014371E-2</v>
      </c>
      <c r="W65" s="133">
        <f>W64/Q64-1</f>
        <v>-1.2856568903173993E-2</v>
      </c>
      <c r="X65" s="133">
        <f>X64/R64-1</f>
        <v>-4.3145161290322642E-2</v>
      </c>
      <c r="Y65" s="153">
        <f>Y64/S64-1</f>
        <v>-7.6124228470657473E-2</v>
      </c>
      <c r="AA65" s="151">
        <f>AA64/U64-1</f>
        <v>5.8407079646017657E-2</v>
      </c>
      <c r="AB65" s="133">
        <f>AB64/V64-1</f>
        <v>-3.4188034188035177E-3</v>
      </c>
      <c r="AC65" s="133">
        <f>AC64/W64-1</f>
        <v>1.098901098901095E-2</v>
      </c>
      <c r="AD65" s="133">
        <f>AD64/X64-1</f>
        <v>4.1719342604298326E-2</v>
      </c>
      <c r="AE65" s="153">
        <f>AE64/Y64-1</f>
        <v>2.6511134676564074E-2</v>
      </c>
      <c r="AG65" s="151">
        <f>AG64/AA64-1</f>
        <v>2.4247491638795804E-2</v>
      </c>
      <c r="AH65" s="133">
        <f>AH64/AB64-1</f>
        <v>-1.7152658662094034E-3</v>
      </c>
      <c r="AI65" s="133">
        <f>AI64/AC64-1</f>
        <v>2.5764895330112836E-2</v>
      </c>
      <c r="AJ65" s="133">
        <f>AJ64/AD64-1</f>
        <v>1.5776699029126373E-2</v>
      </c>
      <c r="AK65" s="153">
        <f>AK64/AE64-1</f>
        <v>1.6219008264462875E-2</v>
      </c>
      <c r="AM65" s="151">
        <f>AM64/AG64-1</f>
        <v>0.1020408163265305</v>
      </c>
      <c r="AN65" s="133">
        <f>AN64/AH64-1</f>
        <v>0.12113402061855671</v>
      </c>
      <c r="AO65" s="133">
        <f>AO64/AI64-1</f>
        <v>0.10518053375196224</v>
      </c>
      <c r="AP65" s="133">
        <f>AP64/AJ64-1</f>
        <v>0.13739545997610514</v>
      </c>
      <c r="AQ65" s="153">
        <f>AQ64/AK64-1</f>
        <v>0.11639727559215185</v>
      </c>
      <c r="AS65" s="151">
        <f>AS64/AM64-1</f>
        <v>9.3333333333333268E-2</v>
      </c>
      <c r="AT65" s="133">
        <f>AT64/AN64-1</f>
        <v>0.11302681992337171</v>
      </c>
      <c r="AU65" s="133">
        <f>AU64/AO64-1</f>
        <v>4.4034090909090828E-2</v>
      </c>
      <c r="AV65" s="133">
        <f>AV64/AP64-1</f>
        <v>6.2324929971988796E-2</v>
      </c>
      <c r="AW65" s="153">
        <f>AW64/AQ64-1</f>
        <v>7.7308322709888966E-2</v>
      </c>
      <c r="AY65" s="151">
        <f>AY64/AS64-1</f>
        <v>5.6910569105691255E-2</v>
      </c>
      <c r="AZ65" s="133">
        <f>AZ64/AT64-1</f>
        <v>6.1962134251292156E-3</v>
      </c>
      <c r="BA65" s="133">
        <f>BA64/AU64-1</f>
        <v>8.5714285714285854E-2</v>
      </c>
      <c r="BB65" s="133">
        <f>BB64/AV64-1</f>
        <v>2.8345418589321048E-2</v>
      </c>
      <c r="BC65" s="153">
        <f>BC64/AW64-1</f>
        <v>4.4290423463781758E-2</v>
      </c>
      <c r="BE65" s="151">
        <f>BE64/AY64-1</f>
        <v>5.1282051282051322E-2</v>
      </c>
      <c r="BF65" s="133">
        <f>BF64/AZ64-1</f>
        <v>6.7396510434485135E-2</v>
      </c>
      <c r="BG65" s="133">
        <f>BG64/BA64-1</f>
        <v>6.6102756892230552E-2</v>
      </c>
      <c r="BH65" s="133">
        <f>BH64/BB64-1</f>
        <v>7.7564102564102289E-2</v>
      </c>
      <c r="BI65" s="153">
        <f>BI64/BC64-1</f>
        <v>6.5560501821124939E-2</v>
      </c>
      <c r="BK65" s="151">
        <f>BK64/BE64-1</f>
        <v>6.2804878048780433E-2</v>
      </c>
      <c r="BL65" s="133">
        <f>BL64/BF64-1</f>
        <v>0.1038461538461537</v>
      </c>
      <c r="BM65" s="133">
        <f>BM64/BG64-1</f>
        <v>9.9030267411107875E-2</v>
      </c>
      <c r="BN65" s="133">
        <f>BN64/BH64-1</f>
        <v>0.12433075550267714</v>
      </c>
      <c r="BO65" s="153">
        <f>BO64/BI64-1</f>
        <v>9.7607292062286355E-2</v>
      </c>
      <c r="BQ65" s="151">
        <f>BQ64/BK64-1</f>
        <v>0.1333333333333333</v>
      </c>
      <c r="BR65" s="133">
        <f>BR64/BL64-1</f>
        <v>0.10665173572228448</v>
      </c>
      <c r="BS65" s="133">
        <f>BS64/BM64-1</f>
        <v>9.4622767857143186E-2</v>
      </c>
      <c r="BT65" s="133">
        <f>BT64/BN64-1</f>
        <v>8.6256684491978541E-2</v>
      </c>
      <c r="BU65" s="153">
        <f>BU64/BO64-1</f>
        <v>0.1046399997918992</v>
      </c>
      <c r="BW65" s="151">
        <f>BW64/BQ64-1</f>
        <v>7.9774955436720418E-2</v>
      </c>
      <c r="BX65" s="133">
        <f>BX64/BR64-1</f>
        <v>7.1090828138913542E-2</v>
      </c>
      <c r="BY65" s="133">
        <f>BY64/BS64-1</f>
        <v>6.1669259835518853E-2</v>
      </c>
      <c r="BZ65" s="133">
        <f>BZ64/BT64-1</f>
        <v>5.6575099689853525E-2</v>
      </c>
      <c r="CA65" s="153">
        <f>CA64/BU64-1</f>
        <v>6.7089843000076366E-2</v>
      </c>
      <c r="CC65" s="151">
        <f>CC64/BW64-1</f>
        <v>5.6536763082358332E-2</v>
      </c>
      <c r="CD65" s="133">
        <f>CD64/BX64-1</f>
        <v>5.6511346111478344E-2</v>
      </c>
      <c r="CE65" s="133">
        <f>CE64/BY64-1</f>
        <v>5.6486040888107159E-2</v>
      </c>
      <c r="CF65" s="133">
        <f>CF64/BZ64-1</f>
        <v>5.6448290972830772E-2</v>
      </c>
      <c r="CG65" s="153">
        <f>CG64/CA64-1</f>
        <v>5.649519431041683E-2</v>
      </c>
      <c r="CI65" s="151">
        <f>CI64/CC64-1</f>
        <v>4.6301594234548826E-2</v>
      </c>
      <c r="CJ65" s="133">
        <f>CJ64/CD64-1</f>
        <v>4.6276966659402952E-2</v>
      </c>
      <c r="CK65" s="133">
        <f>CK64/CE64-1</f>
        <v>4.6252446183953078E-2</v>
      </c>
      <c r="CL65" s="133">
        <f>CL64/CF64-1</f>
        <v>4.6215864759427738E-2</v>
      </c>
      <c r="CM65" s="153">
        <f>CM64/CG64-1</f>
        <v>4.6261315882318632E-2</v>
      </c>
      <c r="CO65" s="151">
        <f>CO64/CI64-1</f>
        <v>4.1125513069777631E-2</v>
      </c>
      <c r="CP65" s="133">
        <f>CP64/CJ64-1</f>
        <v>4.1101530502263506E-2</v>
      </c>
      <c r="CQ65" s="133">
        <f>CQ64/CK64-1</f>
        <v>4.1077651107765067E-2</v>
      </c>
      <c r="CR65" s="133">
        <f>CR64/CL64-1</f>
        <v>4.1042024013722145E-2</v>
      </c>
      <c r="CS65" s="153">
        <f>CS64/CM64-1</f>
        <v>4.1086289039566237E-2</v>
      </c>
      <c r="CU65" s="151">
        <f>CU64/CO64-1</f>
        <v>4.1006625347296266E-2</v>
      </c>
      <c r="CV65" s="133">
        <f>CV64/CP64-1</f>
        <v>4.0983152058008177E-2</v>
      </c>
      <c r="CW65" s="133">
        <f>CW64/CQ64-1</f>
        <v>4.0959778676314285E-2</v>
      </c>
      <c r="CX65" s="133">
        <f>CX64/CR64-1</f>
        <v>4.0924904539669349E-2</v>
      </c>
      <c r="CY65" s="153">
        <f>CY64/CS64-1</f>
        <v>4.0968233691068612E-2</v>
      </c>
      <c r="DA65" s="151">
        <f>DA64/CU64-1</f>
        <v>4.0890251638824093E-2</v>
      </c>
      <c r="DB65" s="133">
        <f>DB64/CV64-1</f>
        <v>4.0867271576281894E-2</v>
      </c>
      <c r="DC65" s="133">
        <f>DC64/CW64-1</f>
        <v>4.0844388292272216E-2</v>
      </c>
      <c r="DD65" s="133">
        <f>DD64/CX64-1</f>
        <v>4.0810243492863219E-2</v>
      </c>
      <c r="DE65" s="153">
        <f>DE64/CY64-1</f>
        <v>4.0852666139237215E-2</v>
      </c>
      <c r="DG65" s="151">
        <f>DG64/DA64-1</f>
        <v>4.077631303620044E-2</v>
      </c>
      <c r="DH65" s="133">
        <f>DH64/DB64-1</f>
        <v>4.0753810816454239E-2</v>
      </c>
      <c r="DI65" s="133">
        <f>DI64/DC64-1</f>
        <v>4.0731402375494774E-2</v>
      </c>
      <c r="DJ65" s="133">
        <f>DJ64/DD64-1</f>
        <v>4.0697964270876685E-2</v>
      </c>
      <c r="DK65" s="153">
        <f>DK64/DE64-1</f>
        <v>4.0739508565488913E-2</v>
      </c>
    </row>
    <row r="66" spans="1:115" ht="15" x14ac:dyDescent="0.3">
      <c r="B66" s="5"/>
      <c r="C66" s="144"/>
      <c r="D66" s="107"/>
      <c r="E66" s="107"/>
      <c r="F66" s="145"/>
      <c r="G66" s="138"/>
      <c r="I66" s="144"/>
      <c r="J66" s="107"/>
      <c r="K66" s="107"/>
      <c r="L66" s="107"/>
      <c r="M66" s="138"/>
      <c r="O66" s="144"/>
      <c r="P66" s="107"/>
      <c r="Q66" s="107"/>
      <c r="R66" s="107"/>
      <c r="S66" s="138"/>
      <c r="U66" s="144"/>
      <c r="V66" s="107"/>
      <c r="W66" s="107"/>
      <c r="X66" s="107"/>
      <c r="Y66" s="138"/>
      <c r="AA66" s="144"/>
      <c r="AB66" s="107"/>
      <c r="AC66" s="107"/>
      <c r="AD66" s="107"/>
      <c r="AE66" s="138"/>
      <c r="AG66" s="144"/>
      <c r="AH66" s="107"/>
      <c r="AI66" s="107"/>
      <c r="AJ66" s="107"/>
      <c r="AK66" s="138"/>
      <c r="AM66" s="144"/>
      <c r="AN66" s="107"/>
      <c r="AO66" s="107"/>
      <c r="AP66" s="107"/>
      <c r="AQ66" s="138"/>
      <c r="AS66" s="144"/>
      <c r="AT66" s="107"/>
      <c r="AU66" s="107"/>
      <c r="AV66" s="107"/>
      <c r="AW66" s="138"/>
      <c r="AY66" s="144"/>
      <c r="AZ66" s="107"/>
      <c r="BA66" s="107"/>
      <c r="BB66" s="107"/>
      <c r="BC66" s="138"/>
      <c r="BE66" s="144"/>
      <c r="BF66" s="107"/>
      <c r="BG66" s="107"/>
      <c r="BH66" s="107"/>
      <c r="BI66" s="138"/>
      <c r="BK66" s="144"/>
      <c r="BL66" s="107"/>
      <c r="BM66" s="107"/>
      <c r="BN66" s="107"/>
      <c r="BO66" s="138"/>
      <c r="BQ66" s="144"/>
      <c r="BR66" s="107"/>
      <c r="BS66" s="107"/>
      <c r="BT66" s="107"/>
      <c r="BU66" s="138"/>
      <c r="BW66" s="144"/>
      <c r="BX66" s="107"/>
      <c r="BY66" s="107"/>
      <c r="BZ66" s="107"/>
      <c r="CA66" s="138"/>
      <c r="CC66" s="144"/>
      <c r="CD66" s="107"/>
      <c r="CE66" s="107"/>
      <c r="CF66" s="107"/>
      <c r="CG66" s="138"/>
      <c r="CI66" s="144"/>
      <c r="CJ66" s="107"/>
      <c r="CK66" s="107"/>
      <c r="CL66" s="107"/>
      <c r="CM66" s="138"/>
      <c r="CO66" s="144"/>
      <c r="CP66" s="107"/>
      <c r="CQ66" s="107"/>
      <c r="CR66" s="107"/>
      <c r="CS66" s="138"/>
      <c r="CU66" s="144"/>
      <c r="CV66" s="107"/>
      <c r="CW66" s="107"/>
      <c r="CX66" s="107"/>
      <c r="CY66" s="138"/>
      <c r="DA66" s="144"/>
      <c r="DB66" s="107"/>
      <c r="DC66" s="107"/>
      <c r="DD66" s="107"/>
      <c r="DE66" s="138"/>
      <c r="DG66" s="144"/>
      <c r="DH66" s="107"/>
      <c r="DI66" s="107"/>
      <c r="DJ66" s="107"/>
      <c r="DK66" s="138"/>
    </row>
    <row r="67" spans="1:115" ht="15.75" thickBot="1" x14ac:dyDescent="0.35">
      <c r="B67" s="325" t="s">
        <v>155</v>
      </c>
      <c r="C67" s="123">
        <f>C20</f>
        <v>112</v>
      </c>
      <c r="D67" s="124">
        <f>D20</f>
        <v>118</v>
      </c>
      <c r="E67" s="124">
        <f>E20</f>
        <v>124</v>
      </c>
      <c r="F67" s="125">
        <f>F20</f>
        <v>122</v>
      </c>
      <c r="G67" s="121">
        <f>C67+D67+E67+F67</f>
        <v>476</v>
      </c>
      <c r="I67" s="123">
        <f>I20</f>
        <v>120</v>
      </c>
      <c r="J67" s="124">
        <f>J20</f>
        <v>132</v>
      </c>
      <c r="K67" s="124">
        <f>K20</f>
        <v>144</v>
      </c>
      <c r="L67" s="125">
        <f>L20</f>
        <v>141</v>
      </c>
      <c r="M67" s="121">
        <f>I67+J67+K67+L67</f>
        <v>537</v>
      </c>
      <c r="O67" s="123">
        <f>O20</f>
        <v>130</v>
      </c>
      <c r="P67" s="124">
        <f>P20</f>
        <v>132</v>
      </c>
      <c r="Q67" s="124">
        <f>Q20</f>
        <v>131</v>
      </c>
      <c r="R67" s="125">
        <f>R20</f>
        <v>124</v>
      </c>
      <c r="S67" s="121">
        <f>O67+P67+Q67+R67</f>
        <v>517</v>
      </c>
      <c r="U67" s="123">
        <f>U20</f>
        <v>113</v>
      </c>
      <c r="V67" s="124">
        <f>V20</f>
        <v>117</v>
      </c>
      <c r="W67" s="124">
        <f>W20</f>
        <v>117</v>
      </c>
      <c r="X67" s="125">
        <f>X20</f>
        <v>113</v>
      </c>
      <c r="Y67" s="121">
        <f>U67+V67+W67+X67</f>
        <v>460</v>
      </c>
      <c r="AA67" s="123">
        <f>AA20</f>
        <v>104</v>
      </c>
      <c r="AB67" s="124">
        <f>AB20</f>
        <v>106</v>
      </c>
      <c r="AC67" s="124">
        <f>AC20</f>
        <v>108</v>
      </c>
      <c r="AD67" s="125">
        <f>AD20</f>
        <v>103</v>
      </c>
      <c r="AE67" s="121">
        <f>AA67+AB67+AC67+AD67</f>
        <v>421</v>
      </c>
      <c r="AG67" s="123">
        <f>AG20</f>
        <v>98</v>
      </c>
      <c r="AH67" s="124">
        <f>AH20</f>
        <v>97</v>
      </c>
      <c r="AI67" s="124">
        <f>AI20</f>
        <v>98</v>
      </c>
      <c r="AJ67" s="125">
        <f>AJ20</f>
        <v>93</v>
      </c>
      <c r="AK67" s="121">
        <f>AG67+AH67+AI67+AJ67</f>
        <v>386</v>
      </c>
      <c r="AM67" s="123">
        <f>AM20</f>
        <v>90</v>
      </c>
      <c r="AN67" s="124">
        <f>AN20</f>
        <v>90</v>
      </c>
      <c r="AO67" s="124">
        <f>AO20</f>
        <v>88</v>
      </c>
      <c r="AP67" s="125">
        <f>AP20</f>
        <v>84</v>
      </c>
      <c r="AQ67" s="121">
        <f>AM67+AN67+AO67+AP67</f>
        <v>352</v>
      </c>
      <c r="AS67" s="123">
        <f>AS20</f>
        <v>82</v>
      </c>
      <c r="AT67" s="124">
        <f>AT20</f>
        <v>83</v>
      </c>
      <c r="AU67" s="124">
        <f>AU20</f>
        <v>84</v>
      </c>
      <c r="AV67" s="125">
        <f>AV20</f>
        <v>82</v>
      </c>
      <c r="AW67" s="121">
        <f>AS67+AT67+AU67+AV67</f>
        <v>331</v>
      </c>
      <c r="AY67" s="123">
        <f>AY20</f>
        <v>80</v>
      </c>
      <c r="AZ67" s="124">
        <f>AZ20</f>
        <v>79</v>
      </c>
      <c r="BA67" s="124">
        <f>BA20</f>
        <v>84</v>
      </c>
      <c r="BB67" s="125">
        <f>BB20</f>
        <v>80</v>
      </c>
      <c r="BC67" s="121">
        <f>AY67+AZ67+BA67+BB67</f>
        <v>323</v>
      </c>
      <c r="BE67" s="123">
        <f>BE20</f>
        <v>82</v>
      </c>
      <c r="BF67" s="124">
        <f>BF20</f>
        <v>80</v>
      </c>
      <c r="BG67" s="124">
        <f>BG20</f>
        <v>83</v>
      </c>
      <c r="BH67" s="125">
        <f>BH20</f>
        <v>82</v>
      </c>
      <c r="BI67" s="121">
        <f>BE67+BF67+BG67+BH67</f>
        <v>327</v>
      </c>
      <c r="BK67" s="123">
        <f>BK20</f>
        <v>83</v>
      </c>
      <c r="BL67" s="124">
        <f>BL20</f>
        <v>82</v>
      </c>
      <c r="BM67" s="124">
        <f>BM20</f>
        <v>85</v>
      </c>
      <c r="BN67" s="125">
        <f>BN20</f>
        <v>84</v>
      </c>
      <c r="BO67" s="121">
        <f>BK67+BL67+BM67+BN67</f>
        <v>334</v>
      </c>
      <c r="BQ67" s="123">
        <f>BQ20</f>
        <v>85.579762962962945</v>
      </c>
      <c r="BR67" s="124">
        <f>BR20</f>
        <v>83.568302799552072</v>
      </c>
      <c r="BS67" s="124">
        <f>BS20</f>
        <v>86.350672767857148</v>
      </c>
      <c r="BT67" s="125">
        <f>BT20</f>
        <v>85.204767379679154</v>
      </c>
      <c r="BU67" s="121">
        <f>BQ67+BR67+BS67+BT67</f>
        <v>340.70350591005132</v>
      </c>
      <c r="BW67" s="123">
        <f>BW20</f>
        <v>87.060229957351282</v>
      </c>
      <c r="BX67" s="124">
        <f>BX20</f>
        <v>84.686506864501666</v>
      </c>
      <c r="BY67" s="124">
        <f>BY20</f>
        <v>87.313790312500004</v>
      </c>
      <c r="BZ67" s="125">
        <f>BZ20</f>
        <v>86.008244411764693</v>
      </c>
      <c r="CA67" s="121">
        <f>BW67+BX67+BY67+BZ67</f>
        <v>345.0687715461176</v>
      </c>
      <c r="CC67" s="123">
        <f>CC20</f>
        <v>87.942174083961831</v>
      </c>
      <c r="CD67" s="124">
        <f>CD20</f>
        <v>85.481014599361686</v>
      </c>
      <c r="CE67" s="124">
        <f>CE20</f>
        <v>88.255902262500001</v>
      </c>
      <c r="CF67" s="125">
        <f>CF20</f>
        <v>86.985009222794091</v>
      </c>
      <c r="CG67" s="121">
        <f>CC67+CD67+CE67+CF67</f>
        <v>348.66410016861761</v>
      </c>
      <c r="CI67" s="123">
        <f>CI20</f>
        <v>88.763634243568433</v>
      </c>
      <c r="CJ67" s="124">
        <f>CJ20</f>
        <v>86.225845781387221</v>
      </c>
      <c r="CK67" s="124">
        <f>CK20</f>
        <v>89.12813793385547</v>
      </c>
      <c r="CL67" s="125">
        <f>CL20</f>
        <v>87.885206653588213</v>
      </c>
      <c r="CM67" s="121">
        <f>CI67+CJ67+CK67+CL67</f>
        <v>352.00282461239937</v>
      </c>
      <c r="CO67" s="123">
        <f>CO20</f>
        <v>89.47026564862341</v>
      </c>
      <c r="CP67" s="124">
        <f>CP20</f>
        <v>86.861820942359216</v>
      </c>
      <c r="CQ67" s="124">
        <f>CQ20</f>
        <v>89.882386294094644</v>
      </c>
      <c r="CR67" s="125">
        <f>CR20</f>
        <v>88.666803914562763</v>
      </c>
      <c r="CS67" s="121">
        <f>CO67+CP67+CQ67+CR67</f>
        <v>354.88127679964003</v>
      </c>
      <c r="CU67" s="123">
        <f>CU20</f>
        <v>90.282873996346495</v>
      </c>
      <c r="CV67" s="124">
        <f>CV20</f>
        <v>87.600205857302512</v>
      </c>
      <c r="CW67" s="124">
        <f>CW20</f>
        <v>90.743605722894927</v>
      </c>
      <c r="CX67" s="125">
        <f>CX20</f>
        <v>89.554341133900749</v>
      </c>
      <c r="CY67" s="121">
        <f>CU67+CV67+CW67+CX67</f>
        <v>358.18102671044471</v>
      </c>
      <c r="DA67" s="123">
        <f>DA20</f>
        <v>91.203557244353476</v>
      </c>
      <c r="DB67" s="124">
        <f>DB20</f>
        <v>88.442982369173919</v>
      </c>
      <c r="DC67" s="124">
        <f>DC20</f>
        <v>91.713936986435485</v>
      </c>
      <c r="DD67" s="125">
        <f>DD20</f>
        <v>90.549959493426542</v>
      </c>
      <c r="DE67" s="121">
        <f>DA67+DB67+DC67+DD67</f>
        <v>361.91043609338942</v>
      </c>
      <c r="DG67" s="123">
        <f>DG20</f>
        <v>92.234504277596486</v>
      </c>
      <c r="DH67" s="124">
        <f>DH20</f>
        <v>89.392219324691126</v>
      </c>
      <c r="DI67" s="124">
        <f>DI20</f>
        <v>92.795613826471595</v>
      </c>
      <c r="DJ67" s="125">
        <f>DJ20</f>
        <v>91.655893216868932</v>
      </c>
      <c r="DK67" s="121">
        <f>DG67+DH67+DI67+DJ67</f>
        <v>366.07823064562814</v>
      </c>
    </row>
    <row r="69" spans="1:115" x14ac:dyDescent="0.2">
      <c r="A69" s="278"/>
      <c r="B69" s="278"/>
      <c r="C69" s="279"/>
      <c r="D69" s="279"/>
      <c r="E69" s="279"/>
      <c r="F69" s="279"/>
      <c r="G69" s="279"/>
      <c r="H69" s="279"/>
      <c r="I69" s="279"/>
      <c r="J69" s="279"/>
      <c r="K69" s="279"/>
      <c r="L69" s="279"/>
      <c r="M69" s="279"/>
      <c r="N69" s="279"/>
      <c r="O69" s="279"/>
      <c r="P69" s="279"/>
      <c r="Q69" s="279"/>
      <c r="R69" s="279"/>
      <c r="S69" s="279"/>
      <c r="T69" s="279"/>
      <c r="U69" s="279"/>
      <c r="V69" s="279"/>
      <c r="W69" s="279"/>
      <c r="X69" s="279"/>
      <c r="Y69" s="279"/>
      <c r="Z69" s="278"/>
      <c r="AA69" s="278"/>
      <c r="AB69" s="278"/>
      <c r="AC69" s="278"/>
      <c r="AD69" s="278"/>
      <c r="AE69" s="278"/>
      <c r="AF69" s="278"/>
      <c r="AG69" s="278"/>
      <c r="AH69" s="278"/>
      <c r="AI69" s="278"/>
      <c r="AJ69" s="278"/>
      <c r="AK69" s="278"/>
      <c r="AL69" s="278"/>
      <c r="AM69" s="278"/>
      <c r="AN69" s="278"/>
      <c r="AO69" s="278"/>
      <c r="AP69" s="278"/>
      <c r="AQ69" s="278"/>
      <c r="AR69" s="278"/>
      <c r="AS69" s="278"/>
      <c r="AT69" s="278"/>
      <c r="AU69" s="278"/>
      <c r="AV69" s="278"/>
      <c r="AW69" s="278"/>
      <c r="AX69" s="278"/>
      <c r="AY69" s="278"/>
      <c r="AZ69" s="278"/>
      <c r="BA69" s="278"/>
      <c r="BB69" s="278"/>
      <c r="BC69" s="278"/>
      <c r="BD69" s="278"/>
      <c r="BE69" s="278"/>
      <c r="BF69" s="278"/>
      <c r="BG69" s="278"/>
      <c r="BH69" s="278"/>
      <c r="BI69" s="278"/>
      <c r="BJ69" s="278"/>
      <c r="BK69" s="278"/>
      <c r="BL69" s="278"/>
      <c r="BM69" s="278"/>
      <c r="BN69" s="278"/>
      <c r="BO69" s="278"/>
      <c r="BP69" s="278"/>
      <c r="BQ69" s="278"/>
      <c r="BR69" s="278"/>
      <c r="BS69" s="278"/>
      <c r="BT69" s="278"/>
      <c r="BU69" s="278"/>
      <c r="BV69" s="278"/>
      <c r="BW69" s="278"/>
      <c r="BX69" s="278"/>
      <c r="BY69" s="278"/>
      <c r="BZ69" s="278"/>
      <c r="CA69" s="278"/>
      <c r="CB69" s="278"/>
      <c r="CC69" s="278"/>
      <c r="CD69" s="278"/>
      <c r="CE69" s="278"/>
      <c r="CF69" s="278"/>
      <c r="CG69" s="278"/>
      <c r="CH69" s="278"/>
      <c r="CI69" s="278"/>
      <c r="CJ69" s="278"/>
      <c r="CK69" s="278"/>
      <c r="CL69" s="278"/>
      <c r="CM69" s="278"/>
      <c r="CN69" s="278"/>
      <c r="CO69" s="278"/>
      <c r="CP69" s="278"/>
      <c r="CQ69" s="278"/>
      <c r="CR69" s="278"/>
      <c r="CS69" s="278"/>
      <c r="CT69" s="278"/>
      <c r="CU69" s="278"/>
      <c r="CV69" s="278"/>
      <c r="CW69" s="278"/>
      <c r="CX69" s="278"/>
      <c r="CY69" s="278"/>
      <c r="CZ69" s="278"/>
      <c r="DA69" s="278"/>
      <c r="DB69" s="278"/>
      <c r="DC69" s="278"/>
      <c r="DD69" s="278"/>
      <c r="DE69" s="278"/>
      <c r="DF69" s="278"/>
      <c r="DG69" s="278"/>
      <c r="DH69" s="278"/>
      <c r="DI69" s="278"/>
      <c r="DJ69" s="278"/>
      <c r="DK69" s="278"/>
    </row>
    <row r="70" spans="1:115" ht="13.5" thickBot="1" x14ac:dyDescent="0.25"/>
    <row r="71" spans="1:115" x14ac:dyDescent="0.2">
      <c r="B71" s="281" t="s">
        <v>144</v>
      </c>
      <c r="C71" s="712">
        <v>2007</v>
      </c>
      <c r="D71" s="713"/>
      <c r="E71" s="713"/>
      <c r="F71" s="713"/>
      <c r="G71" s="714"/>
      <c r="H71" s="129"/>
      <c r="I71" s="712">
        <v>2008</v>
      </c>
      <c r="J71" s="713"/>
      <c r="K71" s="713"/>
      <c r="L71" s="713"/>
      <c r="M71" s="714"/>
      <c r="N71" s="129"/>
      <c r="O71" s="712">
        <v>2009</v>
      </c>
      <c r="P71" s="713"/>
      <c r="Q71" s="713"/>
      <c r="R71" s="713"/>
      <c r="S71" s="714"/>
      <c r="T71" s="129"/>
      <c r="U71" s="712">
        <v>2010</v>
      </c>
      <c r="V71" s="713"/>
      <c r="W71" s="713"/>
      <c r="X71" s="713"/>
      <c r="Y71" s="714"/>
      <c r="AA71" s="712">
        <v>2011</v>
      </c>
      <c r="AB71" s="713"/>
      <c r="AC71" s="713"/>
      <c r="AD71" s="713"/>
      <c r="AE71" s="714"/>
      <c r="AG71" s="712">
        <v>2012</v>
      </c>
      <c r="AH71" s="713"/>
      <c r="AI71" s="713"/>
      <c r="AJ71" s="713"/>
      <c r="AK71" s="714"/>
      <c r="AM71" s="712">
        <v>2013</v>
      </c>
      <c r="AN71" s="713"/>
      <c r="AO71" s="713"/>
      <c r="AP71" s="713"/>
      <c r="AQ71" s="714"/>
      <c r="AS71" s="712">
        <v>2014</v>
      </c>
      <c r="AT71" s="713"/>
      <c r="AU71" s="713"/>
      <c r="AV71" s="713"/>
      <c r="AW71" s="714"/>
      <c r="AY71" s="712">
        <v>2015</v>
      </c>
      <c r="AZ71" s="713"/>
      <c r="BA71" s="713"/>
      <c r="BB71" s="713"/>
      <c r="BC71" s="714"/>
      <c r="BE71" s="712">
        <v>2016</v>
      </c>
      <c r="BF71" s="713"/>
      <c r="BG71" s="713"/>
      <c r="BH71" s="713"/>
      <c r="BI71" s="714"/>
      <c r="BK71" s="712">
        <v>2017</v>
      </c>
      <c r="BL71" s="713"/>
      <c r="BM71" s="713"/>
      <c r="BN71" s="713"/>
      <c r="BO71" s="714"/>
      <c r="BQ71" s="712">
        <v>2018</v>
      </c>
      <c r="BR71" s="713"/>
      <c r="BS71" s="713"/>
      <c r="BT71" s="713"/>
      <c r="BU71" s="714"/>
      <c r="BW71" s="712">
        <v>2019</v>
      </c>
      <c r="BX71" s="713"/>
      <c r="BY71" s="713"/>
      <c r="BZ71" s="713"/>
      <c r="CA71" s="714"/>
      <c r="CC71" s="712">
        <v>2020</v>
      </c>
      <c r="CD71" s="713"/>
      <c r="CE71" s="713"/>
      <c r="CF71" s="713"/>
      <c r="CG71" s="714"/>
      <c r="CI71" s="712">
        <v>2021</v>
      </c>
      <c r="CJ71" s="713"/>
      <c r="CK71" s="713"/>
      <c r="CL71" s="713"/>
      <c r="CM71" s="714"/>
      <c r="CO71" s="712">
        <v>2022</v>
      </c>
      <c r="CP71" s="713"/>
      <c r="CQ71" s="713"/>
      <c r="CR71" s="713"/>
      <c r="CS71" s="714"/>
      <c r="CU71" s="712">
        <v>2023</v>
      </c>
      <c r="CV71" s="713"/>
      <c r="CW71" s="713"/>
      <c r="CX71" s="713"/>
      <c r="CY71" s="714"/>
      <c r="DA71" s="712">
        <v>2024</v>
      </c>
      <c r="DB71" s="713"/>
      <c r="DC71" s="713"/>
      <c r="DD71" s="713"/>
      <c r="DE71" s="714"/>
      <c r="DG71" s="712">
        <v>2025</v>
      </c>
      <c r="DH71" s="713"/>
      <c r="DI71" s="713"/>
      <c r="DJ71" s="713"/>
      <c r="DK71" s="714"/>
    </row>
    <row r="72" spans="1:115" ht="13.5" thickBot="1" x14ac:dyDescent="0.25">
      <c r="C72" s="130" t="s">
        <v>20</v>
      </c>
      <c r="D72" s="131" t="s">
        <v>19</v>
      </c>
      <c r="E72" s="131" t="s">
        <v>22</v>
      </c>
      <c r="F72" s="131" t="s">
        <v>21</v>
      </c>
      <c r="G72" s="132" t="s">
        <v>39</v>
      </c>
      <c r="H72" s="129"/>
      <c r="I72" s="130" t="s">
        <v>20</v>
      </c>
      <c r="J72" s="131" t="s">
        <v>19</v>
      </c>
      <c r="K72" s="131" t="s">
        <v>22</v>
      </c>
      <c r="L72" s="131" t="s">
        <v>21</v>
      </c>
      <c r="M72" s="132" t="s">
        <v>39</v>
      </c>
      <c r="N72" s="129"/>
      <c r="O72" s="130" t="s">
        <v>20</v>
      </c>
      <c r="P72" s="131" t="s">
        <v>19</v>
      </c>
      <c r="Q72" s="131" t="s">
        <v>22</v>
      </c>
      <c r="R72" s="131" t="s">
        <v>21</v>
      </c>
      <c r="S72" s="132" t="s">
        <v>39</v>
      </c>
      <c r="T72" s="129"/>
      <c r="U72" s="130" t="s">
        <v>20</v>
      </c>
      <c r="V72" s="131" t="s">
        <v>19</v>
      </c>
      <c r="W72" s="131" t="s">
        <v>22</v>
      </c>
      <c r="X72" s="131" t="s">
        <v>21</v>
      </c>
      <c r="Y72" s="132" t="s">
        <v>39</v>
      </c>
      <c r="AA72" s="130" t="s">
        <v>20</v>
      </c>
      <c r="AB72" s="131" t="s">
        <v>19</v>
      </c>
      <c r="AC72" s="131" t="s">
        <v>22</v>
      </c>
      <c r="AD72" s="131" t="s">
        <v>21</v>
      </c>
      <c r="AE72" s="132" t="s">
        <v>39</v>
      </c>
      <c r="AG72" s="130" t="s">
        <v>20</v>
      </c>
      <c r="AH72" s="131" t="s">
        <v>19</v>
      </c>
      <c r="AI72" s="131" t="s">
        <v>22</v>
      </c>
      <c r="AJ72" s="131" t="s">
        <v>21</v>
      </c>
      <c r="AK72" s="132" t="s">
        <v>39</v>
      </c>
      <c r="AM72" s="130" t="s">
        <v>20</v>
      </c>
      <c r="AN72" s="131" t="s">
        <v>19</v>
      </c>
      <c r="AO72" s="131" t="s">
        <v>22</v>
      </c>
      <c r="AP72" s="131" t="s">
        <v>21</v>
      </c>
      <c r="AQ72" s="132" t="s">
        <v>39</v>
      </c>
      <c r="AS72" s="130" t="s">
        <v>20</v>
      </c>
      <c r="AT72" s="131" t="s">
        <v>19</v>
      </c>
      <c r="AU72" s="131" t="s">
        <v>22</v>
      </c>
      <c r="AV72" s="131" t="s">
        <v>21</v>
      </c>
      <c r="AW72" s="132" t="s">
        <v>39</v>
      </c>
      <c r="AY72" s="130" t="s">
        <v>20</v>
      </c>
      <c r="AZ72" s="131" t="s">
        <v>19</v>
      </c>
      <c r="BA72" s="131" t="s">
        <v>22</v>
      </c>
      <c r="BB72" s="131" t="s">
        <v>21</v>
      </c>
      <c r="BC72" s="132" t="s">
        <v>39</v>
      </c>
      <c r="BE72" s="130" t="s">
        <v>20</v>
      </c>
      <c r="BF72" s="131" t="s">
        <v>19</v>
      </c>
      <c r="BG72" s="131" t="s">
        <v>22</v>
      </c>
      <c r="BH72" s="131" t="s">
        <v>21</v>
      </c>
      <c r="BI72" s="132" t="s">
        <v>39</v>
      </c>
      <c r="BK72" s="130" t="s">
        <v>20</v>
      </c>
      <c r="BL72" s="131" t="s">
        <v>19</v>
      </c>
      <c r="BM72" s="131" t="s">
        <v>22</v>
      </c>
      <c r="BN72" s="131" t="s">
        <v>21</v>
      </c>
      <c r="BO72" s="132" t="s">
        <v>39</v>
      </c>
      <c r="BQ72" s="130" t="s">
        <v>20</v>
      </c>
      <c r="BR72" s="131" t="s">
        <v>19</v>
      </c>
      <c r="BS72" s="131" t="s">
        <v>22</v>
      </c>
      <c r="BT72" s="131" t="s">
        <v>21</v>
      </c>
      <c r="BU72" s="132" t="s">
        <v>39</v>
      </c>
      <c r="BW72" s="130" t="s">
        <v>20</v>
      </c>
      <c r="BX72" s="131" t="s">
        <v>19</v>
      </c>
      <c r="BY72" s="131" t="s">
        <v>22</v>
      </c>
      <c r="BZ72" s="131" t="s">
        <v>21</v>
      </c>
      <c r="CA72" s="132" t="s">
        <v>39</v>
      </c>
      <c r="CC72" s="130" t="s">
        <v>20</v>
      </c>
      <c r="CD72" s="131" t="s">
        <v>19</v>
      </c>
      <c r="CE72" s="131" t="s">
        <v>22</v>
      </c>
      <c r="CF72" s="131" t="s">
        <v>21</v>
      </c>
      <c r="CG72" s="132" t="s">
        <v>39</v>
      </c>
      <c r="CI72" s="130" t="s">
        <v>20</v>
      </c>
      <c r="CJ72" s="131" t="s">
        <v>19</v>
      </c>
      <c r="CK72" s="131" t="s">
        <v>22</v>
      </c>
      <c r="CL72" s="131" t="s">
        <v>21</v>
      </c>
      <c r="CM72" s="132" t="s">
        <v>39</v>
      </c>
      <c r="CO72" s="130" t="s">
        <v>20</v>
      </c>
      <c r="CP72" s="131" t="s">
        <v>19</v>
      </c>
      <c r="CQ72" s="131" t="s">
        <v>22</v>
      </c>
      <c r="CR72" s="131" t="s">
        <v>21</v>
      </c>
      <c r="CS72" s="132" t="s">
        <v>39</v>
      </c>
      <c r="CU72" s="130" t="s">
        <v>20</v>
      </c>
      <c r="CV72" s="131" t="s">
        <v>19</v>
      </c>
      <c r="CW72" s="131" t="s">
        <v>22</v>
      </c>
      <c r="CX72" s="131" t="s">
        <v>21</v>
      </c>
      <c r="CY72" s="132" t="s">
        <v>39</v>
      </c>
      <c r="DA72" s="130" t="s">
        <v>20</v>
      </c>
      <c r="DB72" s="131" t="s">
        <v>19</v>
      </c>
      <c r="DC72" s="131" t="s">
        <v>22</v>
      </c>
      <c r="DD72" s="131" t="s">
        <v>21</v>
      </c>
      <c r="DE72" s="132" t="s">
        <v>39</v>
      </c>
      <c r="DG72" s="130" t="s">
        <v>20</v>
      </c>
      <c r="DH72" s="131" t="s">
        <v>19</v>
      </c>
      <c r="DI72" s="131" t="s">
        <v>22</v>
      </c>
      <c r="DJ72" s="131" t="s">
        <v>21</v>
      </c>
      <c r="DK72" s="132" t="s">
        <v>39</v>
      </c>
    </row>
    <row r="73" spans="1:115" ht="15.75" thickBot="1" x14ac:dyDescent="0.35">
      <c r="G73" s="2"/>
      <c r="H73" s="2"/>
      <c r="I73" s="2"/>
      <c r="J73" s="2"/>
      <c r="K73" s="2"/>
      <c r="L73" s="1"/>
      <c r="M73" s="1"/>
      <c r="N73" s="1"/>
      <c r="O73" s="1"/>
      <c r="P73" s="1"/>
      <c r="Q73" s="1"/>
      <c r="R73" s="1"/>
      <c r="S73" s="1"/>
      <c r="U73" s="1"/>
    </row>
    <row r="74" spans="1:115" ht="15" x14ac:dyDescent="0.3">
      <c r="B74" s="104" t="s">
        <v>146</v>
      </c>
      <c r="C74" s="111"/>
      <c r="D74" s="112"/>
      <c r="E74" s="112"/>
      <c r="F74" s="112"/>
      <c r="G74" s="113"/>
      <c r="H74" s="2"/>
      <c r="I74" s="111"/>
      <c r="J74" s="112"/>
      <c r="K74" s="112"/>
      <c r="L74" s="112"/>
      <c r="M74" s="113"/>
      <c r="N74" s="1"/>
      <c r="O74" s="111">
        <f>M76</f>
        <v>1126</v>
      </c>
      <c r="P74" s="112">
        <f>O76</f>
        <v>1123</v>
      </c>
      <c r="Q74" s="112">
        <f>P76</f>
        <v>1114</v>
      </c>
      <c r="R74" s="112">
        <f>Q76</f>
        <v>1104</v>
      </c>
      <c r="S74" s="113">
        <f>O74</f>
        <v>1126</v>
      </c>
      <c r="U74" s="111">
        <f>S76</f>
        <v>1101</v>
      </c>
      <c r="V74" s="112">
        <f>U76</f>
        <v>1093</v>
      </c>
      <c r="W74" s="112">
        <f>V76</f>
        <v>1084</v>
      </c>
      <c r="X74" s="112">
        <f>W76</f>
        <v>1072</v>
      </c>
      <c r="Y74" s="113">
        <f>U74</f>
        <v>1101</v>
      </c>
      <c r="AA74" s="111">
        <f>Y76</f>
        <v>1061</v>
      </c>
      <c r="AB74" s="112">
        <f>AA76</f>
        <v>1051</v>
      </c>
      <c r="AC74" s="112">
        <f>AB76</f>
        <v>1039</v>
      </c>
      <c r="AD74" s="112">
        <f>AC76</f>
        <v>1029</v>
      </c>
      <c r="AE74" s="113">
        <f>AA74</f>
        <v>1061</v>
      </c>
      <c r="AG74" s="111">
        <f>AE76</f>
        <v>1021</v>
      </c>
      <c r="AH74" s="112">
        <f>AG76</f>
        <v>1009</v>
      </c>
      <c r="AI74" s="112">
        <f>AH76</f>
        <v>993</v>
      </c>
      <c r="AJ74" s="112">
        <f>AI76</f>
        <v>977</v>
      </c>
      <c r="AK74" s="113">
        <f>AG74</f>
        <v>1021</v>
      </c>
      <c r="AM74" s="111">
        <f>AK76</f>
        <v>960</v>
      </c>
      <c r="AN74" s="112">
        <f>AM76</f>
        <v>945</v>
      </c>
      <c r="AO74" s="112">
        <f>AN76</f>
        <v>932</v>
      </c>
      <c r="AP74" s="112">
        <f>AO76</f>
        <v>919</v>
      </c>
      <c r="AQ74" s="113">
        <f>AM74</f>
        <v>960</v>
      </c>
      <c r="AS74" s="111">
        <f>AQ76</f>
        <v>922</v>
      </c>
      <c r="AT74" s="112">
        <f>AS76</f>
        <v>914</v>
      </c>
      <c r="AU74" s="112">
        <f>AT76</f>
        <v>908</v>
      </c>
      <c r="AV74" s="112">
        <f>AU76</f>
        <v>898</v>
      </c>
      <c r="AW74" s="113">
        <f>AS74</f>
        <v>922</v>
      </c>
      <c r="AY74" s="111">
        <f>AW76</f>
        <v>894</v>
      </c>
      <c r="AZ74" s="112">
        <f>AY76</f>
        <v>875</v>
      </c>
      <c r="BA74" s="112">
        <f>AZ76</f>
        <v>863</v>
      </c>
      <c r="BB74" s="112">
        <f>BA76</f>
        <v>858</v>
      </c>
      <c r="BC74" s="113">
        <f>AY74</f>
        <v>894</v>
      </c>
      <c r="BE74" s="111">
        <f>BC76</f>
        <v>855</v>
      </c>
      <c r="BF74" s="112">
        <f>BE76</f>
        <v>851</v>
      </c>
      <c r="BG74" s="112">
        <f>BF76</f>
        <v>848</v>
      </c>
      <c r="BH74" s="112">
        <f>BG76</f>
        <v>847</v>
      </c>
      <c r="BI74" s="113">
        <f>BE74</f>
        <v>855</v>
      </c>
      <c r="BK74" s="111">
        <f>BI76</f>
        <v>850</v>
      </c>
      <c r="BL74" s="112">
        <f>BK76</f>
        <v>854</v>
      </c>
      <c r="BM74" s="112">
        <f>BL76</f>
        <v>855</v>
      </c>
      <c r="BN74" s="112">
        <f>BM76</f>
        <v>855</v>
      </c>
      <c r="BO74" s="113">
        <f>BK74</f>
        <v>850</v>
      </c>
      <c r="BQ74" s="111">
        <f>BO76</f>
        <v>858</v>
      </c>
      <c r="BR74" s="112">
        <f>BQ76</f>
        <v>859</v>
      </c>
      <c r="BS74" s="112">
        <f>BR76</f>
        <v>860</v>
      </c>
      <c r="BT74" s="112">
        <f>BS76</f>
        <v>861</v>
      </c>
      <c r="BU74" s="113">
        <f>BQ74</f>
        <v>858</v>
      </c>
      <c r="BW74" s="111">
        <f>BU76</f>
        <v>862</v>
      </c>
      <c r="BX74" s="112">
        <f>BW76</f>
        <v>862</v>
      </c>
      <c r="BY74" s="112">
        <f>BX76</f>
        <v>862</v>
      </c>
      <c r="BZ74" s="112">
        <f>BY76</f>
        <v>862</v>
      </c>
      <c r="CA74" s="113">
        <f>BW74</f>
        <v>862</v>
      </c>
      <c r="CC74" s="111">
        <f>CA76</f>
        <v>862</v>
      </c>
      <c r="CD74" s="112">
        <f>CC76</f>
        <v>861</v>
      </c>
      <c r="CE74" s="112">
        <f>CD76</f>
        <v>860</v>
      </c>
      <c r="CF74" s="112">
        <f>CE76</f>
        <v>859</v>
      </c>
      <c r="CG74" s="113">
        <f>CC74</f>
        <v>862</v>
      </c>
      <c r="CI74" s="111">
        <f>CG76</f>
        <v>858</v>
      </c>
      <c r="CJ74" s="112">
        <f>CI76</f>
        <v>856</v>
      </c>
      <c r="CK74" s="112">
        <f>CJ76</f>
        <v>854</v>
      </c>
      <c r="CL74" s="112">
        <f>CK76</f>
        <v>852</v>
      </c>
      <c r="CM74" s="113">
        <f>CI74</f>
        <v>858</v>
      </c>
      <c r="CO74" s="111">
        <f>CM76</f>
        <v>850</v>
      </c>
      <c r="CP74" s="112">
        <f>CO76</f>
        <v>848</v>
      </c>
      <c r="CQ74" s="112">
        <f>CP76</f>
        <v>846</v>
      </c>
      <c r="CR74" s="112">
        <f>CQ76</f>
        <v>844</v>
      </c>
      <c r="CS74" s="113">
        <f>CO74</f>
        <v>850</v>
      </c>
      <c r="CU74" s="111">
        <f>CS76</f>
        <v>842</v>
      </c>
      <c r="CV74" s="112">
        <f>CU76</f>
        <v>840</v>
      </c>
      <c r="CW74" s="112">
        <f>CV76</f>
        <v>838</v>
      </c>
      <c r="CX74" s="112">
        <f>CW76</f>
        <v>836</v>
      </c>
      <c r="CY74" s="113">
        <f>CU74</f>
        <v>842</v>
      </c>
      <c r="DA74" s="111">
        <f>CY76</f>
        <v>834</v>
      </c>
      <c r="DB74" s="112">
        <f>DA76</f>
        <v>832</v>
      </c>
      <c r="DC74" s="112">
        <f>DB76</f>
        <v>830</v>
      </c>
      <c r="DD74" s="112">
        <f>DC76</f>
        <v>828</v>
      </c>
      <c r="DE74" s="113">
        <f>DA74</f>
        <v>834</v>
      </c>
      <c r="DG74" s="111">
        <f>DE76</f>
        <v>826</v>
      </c>
      <c r="DH74" s="112">
        <f>DG76</f>
        <v>824</v>
      </c>
      <c r="DI74" s="112">
        <f>DH76</f>
        <v>822</v>
      </c>
      <c r="DJ74" s="112">
        <f>DI76</f>
        <v>820</v>
      </c>
      <c r="DK74" s="113">
        <f>DG74</f>
        <v>826</v>
      </c>
    </row>
    <row r="75" spans="1:115" ht="15" x14ac:dyDescent="0.3">
      <c r="B75" s="105" t="s">
        <v>26</v>
      </c>
      <c r="C75" s="116"/>
      <c r="D75" s="117"/>
      <c r="E75" s="117"/>
      <c r="F75" s="117"/>
      <c r="G75" s="118"/>
      <c r="H75" s="2"/>
      <c r="I75" s="116"/>
      <c r="J75" s="117"/>
      <c r="K75" s="117"/>
      <c r="L75" s="117"/>
      <c r="M75" s="118"/>
      <c r="N75" s="1"/>
      <c r="O75" s="116">
        <f>O76-O74</f>
        <v>-3</v>
      </c>
      <c r="P75" s="117">
        <f>P76-P74</f>
        <v>-9</v>
      </c>
      <c r="Q75" s="117">
        <f>Q76-Q74</f>
        <v>-10</v>
      </c>
      <c r="R75" s="117">
        <f>R76-R74</f>
        <v>-3</v>
      </c>
      <c r="S75" s="118">
        <f>S76-S74</f>
        <v>-25</v>
      </c>
      <c r="T75" s="114"/>
      <c r="U75" s="116">
        <f>U76-U74</f>
        <v>-8</v>
      </c>
      <c r="V75" s="117">
        <f>V76-V74</f>
        <v>-9</v>
      </c>
      <c r="W75" s="117">
        <v>-12</v>
      </c>
      <c r="X75" s="117">
        <v>-11</v>
      </c>
      <c r="Y75" s="118">
        <f>U75+V75+W75+X75</f>
        <v>-40</v>
      </c>
      <c r="Z75" s="473"/>
      <c r="AA75" s="116">
        <v>-10</v>
      </c>
      <c r="AB75" s="117">
        <v>-12</v>
      </c>
      <c r="AC75" s="117">
        <v>-10</v>
      </c>
      <c r="AD75" s="117">
        <v>-8</v>
      </c>
      <c r="AE75" s="118">
        <f>AA75+AB75+AC75+AD75</f>
        <v>-40</v>
      </c>
      <c r="AF75" s="473"/>
      <c r="AG75" s="116">
        <v>-12</v>
      </c>
      <c r="AH75" s="117">
        <v>-16</v>
      </c>
      <c r="AI75" s="117">
        <v>-16</v>
      </c>
      <c r="AJ75" s="117">
        <v>-17</v>
      </c>
      <c r="AK75" s="118">
        <f>AG75+AH75+AI75+AJ75</f>
        <v>-61</v>
      </c>
      <c r="AL75" s="473"/>
      <c r="AM75" s="116">
        <v>-15</v>
      </c>
      <c r="AN75" s="117">
        <v>-13</v>
      </c>
      <c r="AO75" s="117">
        <v>-13</v>
      </c>
      <c r="AP75" s="117">
        <v>3</v>
      </c>
      <c r="AQ75" s="118">
        <f>AM75+AN75+AO75+AP75</f>
        <v>-38</v>
      </c>
      <c r="AR75" s="259"/>
      <c r="AS75" s="116">
        <v>-8</v>
      </c>
      <c r="AT75" s="117">
        <v>-6</v>
      </c>
      <c r="AU75" s="117">
        <v>-10</v>
      </c>
      <c r="AV75" s="117">
        <v>-4</v>
      </c>
      <c r="AW75" s="118">
        <f>AS75+AT75+AU75+AV75</f>
        <v>-28</v>
      </c>
      <c r="AX75" s="259"/>
      <c r="AY75" s="116">
        <v>-19</v>
      </c>
      <c r="AZ75" s="117">
        <v>-12</v>
      </c>
      <c r="BA75" s="117">
        <v>-5</v>
      </c>
      <c r="BB75" s="117">
        <v>-3</v>
      </c>
      <c r="BC75" s="118">
        <f>AY75+AZ75+BA75+BB75</f>
        <v>-39</v>
      </c>
      <c r="BD75" s="473"/>
      <c r="BE75" s="116">
        <v>-4</v>
      </c>
      <c r="BF75" s="117">
        <v>-3</v>
      </c>
      <c r="BG75" s="117">
        <v>-1</v>
      </c>
      <c r="BH75" s="117">
        <v>3</v>
      </c>
      <c r="BI75" s="118">
        <f>BE75+BF75+BG75+BH75</f>
        <v>-5</v>
      </c>
      <c r="BJ75" s="473"/>
      <c r="BK75" s="116">
        <v>4</v>
      </c>
      <c r="BL75" s="117">
        <v>1</v>
      </c>
      <c r="BM75" s="117">
        <v>0</v>
      </c>
      <c r="BN75" s="117">
        <v>3</v>
      </c>
      <c r="BO75" s="118">
        <f>BK75+BL75+BM75+BN75</f>
        <v>8</v>
      </c>
      <c r="BP75" s="473"/>
      <c r="BQ75" s="116">
        <v>1</v>
      </c>
      <c r="BR75" s="117">
        <f>BQ75</f>
        <v>1</v>
      </c>
      <c r="BS75" s="117">
        <f>BR75</f>
        <v>1</v>
      </c>
      <c r="BT75" s="117">
        <f>BS75</f>
        <v>1</v>
      </c>
      <c r="BU75" s="118">
        <f>BQ75+BR75+BS75+BT75</f>
        <v>4</v>
      </c>
      <c r="BV75" s="473"/>
      <c r="BW75" s="116">
        <v>0</v>
      </c>
      <c r="BX75" s="117">
        <f>BW75</f>
        <v>0</v>
      </c>
      <c r="BY75" s="117">
        <f>BX75</f>
        <v>0</v>
      </c>
      <c r="BZ75" s="117">
        <f>BY75</f>
        <v>0</v>
      </c>
      <c r="CA75" s="118">
        <f>BW75+BX75+BY75+BZ75</f>
        <v>0</v>
      </c>
      <c r="CB75" s="473"/>
      <c r="CC75" s="116">
        <v>-1</v>
      </c>
      <c r="CD75" s="117">
        <f>CC75</f>
        <v>-1</v>
      </c>
      <c r="CE75" s="117">
        <f>CD75</f>
        <v>-1</v>
      </c>
      <c r="CF75" s="117">
        <f>CE75</f>
        <v>-1</v>
      </c>
      <c r="CG75" s="118">
        <f>CC75+CD75+CE75+CF75</f>
        <v>-4</v>
      </c>
      <c r="CH75" s="473"/>
      <c r="CI75" s="116">
        <v>-2</v>
      </c>
      <c r="CJ75" s="117">
        <f>CI75</f>
        <v>-2</v>
      </c>
      <c r="CK75" s="117">
        <f>CJ75</f>
        <v>-2</v>
      </c>
      <c r="CL75" s="117">
        <f>CK75</f>
        <v>-2</v>
      </c>
      <c r="CM75" s="118">
        <f>CI75+CJ75+CK75+CL75</f>
        <v>-8</v>
      </c>
      <c r="CN75" s="473"/>
      <c r="CO75" s="116">
        <v>-2</v>
      </c>
      <c r="CP75" s="117">
        <f>CO75</f>
        <v>-2</v>
      </c>
      <c r="CQ75" s="117">
        <f>CP75</f>
        <v>-2</v>
      </c>
      <c r="CR75" s="117">
        <f>CQ75</f>
        <v>-2</v>
      </c>
      <c r="CS75" s="118">
        <f>CO75+CP75+CQ75+CR75</f>
        <v>-8</v>
      </c>
      <c r="CT75" s="473"/>
      <c r="CU75" s="116">
        <v>-2</v>
      </c>
      <c r="CV75" s="117">
        <f>CU75</f>
        <v>-2</v>
      </c>
      <c r="CW75" s="117">
        <f>CV75</f>
        <v>-2</v>
      </c>
      <c r="CX75" s="117">
        <f>CW75</f>
        <v>-2</v>
      </c>
      <c r="CY75" s="118">
        <f>CU75+CV75+CW75+CX75</f>
        <v>-8</v>
      </c>
      <c r="CZ75" s="473"/>
      <c r="DA75" s="116">
        <v>-2</v>
      </c>
      <c r="DB75" s="117">
        <f>DA75</f>
        <v>-2</v>
      </c>
      <c r="DC75" s="117">
        <f>DB75</f>
        <v>-2</v>
      </c>
      <c r="DD75" s="117">
        <f>DC75</f>
        <v>-2</v>
      </c>
      <c r="DE75" s="118">
        <f>DA75+DB75+DC75+DD75</f>
        <v>-8</v>
      </c>
      <c r="DF75" s="473"/>
      <c r="DG75" s="116">
        <v>-2</v>
      </c>
      <c r="DH75" s="117">
        <f>DG75</f>
        <v>-2</v>
      </c>
      <c r="DI75" s="117">
        <f>DH75</f>
        <v>-2</v>
      </c>
      <c r="DJ75" s="117">
        <f>DI75</f>
        <v>-2</v>
      </c>
      <c r="DK75" s="118">
        <f>DG75+DH75+DI75+DJ75</f>
        <v>-8</v>
      </c>
    </row>
    <row r="76" spans="1:115" ht="15.75" thickBot="1" x14ac:dyDescent="0.35">
      <c r="B76" s="5" t="s">
        <v>147</v>
      </c>
      <c r="C76" s="116"/>
      <c r="D76" s="117"/>
      <c r="E76" s="117"/>
      <c r="F76" s="117"/>
      <c r="G76" s="121"/>
      <c r="H76" s="2"/>
      <c r="I76" s="116"/>
      <c r="J76" s="117"/>
      <c r="K76" s="117"/>
      <c r="L76" s="117"/>
      <c r="M76" s="121">
        <v>1126</v>
      </c>
      <c r="N76" s="1"/>
      <c r="O76" s="116">
        <v>1123</v>
      </c>
      <c r="P76" s="117">
        <v>1114</v>
      </c>
      <c r="Q76" s="117">
        <v>1104</v>
      </c>
      <c r="R76" s="117">
        <v>1101</v>
      </c>
      <c r="S76" s="121">
        <f>R76</f>
        <v>1101</v>
      </c>
      <c r="U76" s="116">
        <v>1093</v>
      </c>
      <c r="V76" s="117">
        <v>1084</v>
      </c>
      <c r="W76" s="117">
        <f>W74+W75</f>
        <v>1072</v>
      </c>
      <c r="X76" s="117">
        <f>X74+X75</f>
        <v>1061</v>
      </c>
      <c r="Y76" s="121">
        <f>X76</f>
        <v>1061</v>
      </c>
      <c r="AA76" s="116">
        <f>AA74+AA75</f>
        <v>1051</v>
      </c>
      <c r="AB76" s="117">
        <f>AB74+AB75</f>
        <v>1039</v>
      </c>
      <c r="AC76" s="117">
        <f>AC74+AC75</f>
        <v>1029</v>
      </c>
      <c r="AD76" s="117">
        <f>AD74+AD75</f>
        <v>1021</v>
      </c>
      <c r="AE76" s="121">
        <f>AD76</f>
        <v>1021</v>
      </c>
      <c r="AG76" s="116">
        <f>AG74+AG75</f>
        <v>1009</v>
      </c>
      <c r="AH76" s="117">
        <f>AH74+AH75</f>
        <v>993</v>
      </c>
      <c r="AI76" s="117">
        <f>AI74+AI75</f>
        <v>977</v>
      </c>
      <c r="AJ76" s="117">
        <f>AJ74+AJ75</f>
        <v>960</v>
      </c>
      <c r="AK76" s="121">
        <f>AJ76</f>
        <v>960</v>
      </c>
      <c r="AM76" s="116">
        <f>AM74+AM75</f>
        <v>945</v>
      </c>
      <c r="AN76" s="117">
        <f>AN74+AN75</f>
        <v>932</v>
      </c>
      <c r="AO76" s="117">
        <f>AO74+AO75</f>
        <v>919</v>
      </c>
      <c r="AP76" s="117">
        <f>AP74+AP75</f>
        <v>922</v>
      </c>
      <c r="AQ76" s="121">
        <f>AP76</f>
        <v>922</v>
      </c>
      <c r="AS76" s="116">
        <f>AS74+AS75</f>
        <v>914</v>
      </c>
      <c r="AT76" s="117">
        <f>AT74+AT75</f>
        <v>908</v>
      </c>
      <c r="AU76" s="117">
        <f>AU74+AU75</f>
        <v>898</v>
      </c>
      <c r="AV76" s="117">
        <f>AV74+AV75</f>
        <v>894</v>
      </c>
      <c r="AW76" s="121">
        <f>AV76</f>
        <v>894</v>
      </c>
      <c r="AY76" s="116">
        <f>AY74+AY75</f>
        <v>875</v>
      </c>
      <c r="AZ76" s="117">
        <f>AZ74+AZ75</f>
        <v>863</v>
      </c>
      <c r="BA76" s="117">
        <f>BA74+BA75</f>
        <v>858</v>
      </c>
      <c r="BB76" s="117">
        <f>BB74+BB75</f>
        <v>855</v>
      </c>
      <c r="BC76" s="121">
        <f>BB76</f>
        <v>855</v>
      </c>
      <c r="BE76" s="116">
        <f>BE74+BE75</f>
        <v>851</v>
      </c>
      <c r="BF76" s="117">
        <f>BF74+BF75</f>
        <v>848</v>
      </c>
      <c r="BG76" s="117">
        <f>BG74+BG75</f>
        <v>847</v>
      </c>
      <c r="BH76" s="117">
        <f>BH74+BH75</f>
        <v>850</v>
      </c>
      <c r="BI76" s="121">
        <f>BH76</f>
        <v>850</v>
      </c>
      <c r="BK76" s="116">
        <f>BK74+BK75</f>
        <v>854</v>
      </c>
      <c r="BL76" s="117">
        <f>BL74+BL75</f>
        <v>855</v>
      </c>
      <c r="BM76" s="117">
        <f>BM74+BM75</f>
        <v>855</v>
      </c>
      <c r="BN76" s="117">
        <f>BN74+BN75</f>
        <v>858</v>
      </c>
      <c r="BO76" s="121">
        <f>BN76</f>
        <v>858</v>
      </c>
      <c r="BQ76" s="116">
        <f>BQ74+BQ75</f>
        <v>859</v>
      </c>
      <c r="BR76" s="117">
        <f>BR74+BR75</f>
        <v>860</v>
      </c>
      <c r="BS76" s="117">
        <f>BS74+BS75</f>
        <v>861</v>
      </c>
      <c r="BT76" s="117">
        <f>BT74+BT75</f>
        <v>862</v>
      </c>
      <c r="BU76" s="121">
        <f>BT76</f>
        <v>862</v>
      </c>
      <c r="BW76" s="116">
        <f>BW74+BW75</f>
        <v>862</v>
      </c>
      <c r="BX76" s="117">
        <f>BX74+BX75</f>
        <v>862</v>
      </c>
      <c r="BY76" s="117">
        <f>BY74+BY75</f>
        <v>862</v>
      </c>
      <c r="BZ76" s="117">
        <f>BZ74+BZ75</f>
        <v>862</v>
      </c>
      <c r="CA76" s="121">
        <f>BZ76</f>
        <v>862</v>
      </c>
      <c r="CC76" s="116">
        <f>CC74+CC75</f>
        <v>861</v>
      </c>
      <c r="CD76" s="117">
        <f>CD74+CD75</f>
        <v>860</v>
      </c>
      <c r="CE76" s="117">
        <f>CE74+CE75</f>
        <v>859</v>
      </c>
      <c r="CF76" s="117">
        <f>CF74+CF75</f>
        <v>858</v>
      </c>
      <c r="CG76" s="121">
        <f>CF76</f>
        <v>858</v>
      </c>
      <c r="CI76" s="116">
        <f>CI74+CI75</f>
        <v>856</v>
      </c>
      <c r="CJ76" s="117">
        <f>CJ74+CJ75</f>
        <v>854</v>
      </c>
      <c r="CK76" s="117">
        <f>CK74+CK75</f>
        <v>852</v>
      </c>
      <c r="CL76" s="117">
        <f>CL74+CL75</f>
        <v>850</v>
      </c>
      <c r="CM76" s="121">
        <f>CL76</f>
        <v>850</v>
      </c>
      <c r="CO76" s="116">
        <f>CO74+CO75</f>
        <v>848</v>
      </c>
      <c r="CP76" s="117">
        <f>CP74+CP75</f>
        <v>846</v>
      </c>
      <c r="CQ76" s="117">
        <f>CQ74+CQ75</f>
        <v>844</v>
      </c>
      <c r="CR76" s="117">
        <f>CR74+CR75</f>
        <v>842</v>
      </c>
      <c r="CS76" s="121">
        <f>CR76</f>
        <v>842</v>
      </c>
      <c r="CU76" s="116">
        <f>CU74+CU75</f>
        <v>840</v>
      </c>
      <c r="CV76" s="117">
        <f>CV74+CV75</f>
        <v>838</v>
      </c>
      <c r="CW76" s="117">
        <f>CW74+CW75</f>
        <v>836</v>
      </c>
      <c r="CX76" s="117">
        <f>CX74+CX75</f>
        <v>834</v>
      </c>
      <c r="CY76" s="121">
        <f>CX76</f>
        <v>834</v>
      </c>
      <c r="DA76" s="116">
        <f>DA74+DA75</f>
        <v>832</v>
      </c>
      <c r="DB76" s="117">
        <f>DB74+DB75</f>
        <v>830</v>
      </c>
      <c r="DC76" s="117">
        <f>DC74+DC75</f>
        <v>828</v>
      </c>
      <c r="DD76" s="117">
        <f>DD74+DD75</f>
        <v>826</v>
      </c>
      <c r="DE76" s="121">
        <f>DD76</f>
        <v>826</v>
      </c>
      <c r="DG76" s="116">
        <f>DG74+DG75</f>
        <v>824</v>
      </c>
      <c r="DH76" s="117">
        <f>DH74+DH75</f>
        <v>822</v>
      </c>
      <c r="DI76" s="117">
        <f>DI74+DI75</f>
        <v>820</v>
      </c>
      <c r="DJ76" s="117">
        <f>DJ74+DJ75</f>
        <v>818</v>
      </c>
      <c r="DK76" s="121">
        <f>DJ76</f>
        <v>818</v>
      </c>
    </row>
    <row r="77" spans="1:115" ht="15" x14ac:dyDescent="0.3">
      <c r="B77" s="38" t="s">
        <v>28</v>
      </c>
      <c r="C77" s="112"/>
      <c r="D77" s="112"/>
      <c r="E77" s="112"/>
      <c r="F77" s="112"/>
      <c r="G77" s="118"/>
      <c r="H77" s="2"/>
      <c r="I77" s="111"/>
      <c r="J77" s="112"/>
      <c r="K77" s="112"/>
      <c r="L77" s="112"/>
      <c r="M77" s="113"/>
      <c r="N77" s="1"/>
      <c r="O77" s="111">
        <f>O76-O75/2</f>
        <v>1124.5</v>
      </c>
      <c r="P77" s="112">
        <f>P76-P75/2</f>
        <v>1118.5</v>
      </c>
      <c r="Q77" s="112">
        <f>Q76-Q75/2</f>
        <v>1109</v>
      </c>
      <c r="R77" s="115">
        <f>R76-R75/2</f>
        <v>1102.5</v>
      </c>
      <c r="S77" s="113">
        <f>(O77+P77+Q77+R77)/4</f>
        <v>1113.625</v>
      </c>
      <c r="U77" s="111">
        <f>U76-U75/2</f>
        <v>1097</v>
      </c>
      <c r="V77" s="112">
        <f>V76-V75/2</f>
        <v>1088.5</v>
      </c>
      <c r="W77" s="112">
        <f>W76-W75/2</f>
        <v>1078</v>
      </c>
      <c r="X77" s="112">
        <f>X76-X75/2</f>
        <v>1066.5</v>
      </c>
      <c r="Y77" s="113">
        <f>(U77+V77+W77+X77)/4</f>
        <v>1082.5</v>
      </c>
      <c r="AA77" s="111">
        <f>AA76-AA75/2</f>
        <v>1056</v>
      </c>
      <c r="AB77" s="112">
        <f>AB76-AB75/2</f>
        <v>1045</v>
      </c>
      <c r="AC77" s="112">
        <f>AC76-AC75/2</f>
        <v>1034</v>
      </c>
      <c r="AD77" s="115">
        <f>AD76-AD75/2</f>
        <v>1025</v>
      </c>
      <c r="AE77" s="113">
        <f>(AA77+AB77+AC77+AD77)/4</f>
        <v>1040</v>
      </c>
      <c r="AG77" s="111">
        <f>AG76-AG75/2</f>
        <v>1015</v>
      </c>
      <c r="AH77" s="112">
        <f>AH76-AH75/2</f>
        <v>1001</v>
      </c>
      <c r="AI77" s="112">
        <f>AI76-AI75/2</f>
        <v>985</v>
      </c>
      <c r="AJ77" s="115">
        <f>AJ76-AJ75/2</f>
        <v>968.5</v>
      </c>
      <c r="AK77" s="113">
        <f>(AG77+AH77+AI77+AJ77)/4</f>
        <v>992.375</v>
      </c>
      <c r="AM77" s="111">
        <f>AM76-AM75/2</f>
        <v>952.5</v>
      </c>
      <c r="AN77" s="112">
        <f>AN76-AN75/2</f>
        <v>938.5</v>
      </c>
      <c r="AO77" s="112">
        <f>AO76-AO75/2</f>
        <v>925.5</v>
      </c>
      <c r="AP77" s="115">
        <f>AP76-AP75/2</f>
        <v>920.5</v>
      </c>
      <c r="AQ77" s="113">
        <f>(AM77+AN77+AO77+AP77)/4</f>
        <v>934.25</v>
      </c>
      <c r="AS77" s="111">
        <f>AS76-AS75/2</f>
        <v>918</v>
      </c>
      <c r="AT77" s="112">
        <f>AT76-AT75/2</f>
        <v>911</v>
      </c>
      <c r="AU77" s="112">
        <f>AU76-AU75/2</f>
        <v>903</v>
      </c>
      <c r="AV77" s="115">
        <f>AV76-AV75/2</f>
        <v>896</v>
      </c>
      <c r="AW77" s="113">
        <f>(AS77+AT77+AU77+AV77)/4</f>
        <v>907</v>
      </c>
      <c r="AY77" s="111">
        <f>AY76-AY75/2</f>
        <v>884.5</v>
      </c>
      <c r="AZ77" s="112">
        <f>AZ76-AZ75/2</f>
        <v>869</v>
      </c>
      <c r="BA77" s="112">
        <f>BA76-BA75/2</f>
        <v>860.5</v>
      </c>
      <c r="BB77" s="115">
        <f>BB76-BB75/2</f>
        <v>856.5</v>
      </c>
      <c r="BC77" s="113">
        <f>(AY77+AZ77+BA77+BB77)/4</f>
        <v>867.625</v>
      </c>
      <c r="BE77" s="111">
        <f>BE76-BE75/2</f>
        <v>853</v>
      </c>
      <c r="BF77" s="112">
        <f>BF76-BF75/2</f>
        <v>849.5</v>
      </c>
      <c r="BG77" s="112">
        <f>BG76-BG75/2</f>
        <v>847.5</v>
      </c>
      <c r="BH77" s="115">
        <f>BH76-BH75/2</f>
        <v>848.5</v>
      </c>
      <c r="BI77" s="113">
        <f>(BE77+BF77+BG77+BH77)/4</f>
        <v>849.625</v>
      </c>
      <c r="BK77" s="111">
        <f>BK76-BK75/2</f>
        <v>852</v>
      </c>
      <c r="BL77" s="112">
        <f>BL76-BL75/2</f>
        <v>854.5</v>
      </c>
      <c r="BM77" s="112">
        <f>BM76-BM75/2</f>
        <v>855</v>
      </c>
      <c r="BN77" s="115">
        <f>BN76-BN75/2</f>
        <v>856.5</v>
      </c>
      <c r="BO77" s="113">
        <f>(BK77+BL77+BM77+BN77)/4</f>
        <v>854.5</v>
      </c>
      <c r="BQ77" s="111">
        <f>BQ76-BQ75/2</f>
        <v>858.5</v>
      </c>
      <c r="BR77" s="112">
        <f>BR76-BR75/2</f>
        <v>859.5</v>
      </c>
      <c r="BS77" s="112">
        <f>BS76-BS75/2</f>
        <v>860.5</v>
      </c>
      <c r="BT77" s="115">
        <f>BT76-BT75/2</f>
        <v>861.5</v>
      </c>
      <c r="BU77" s="113">
        <f>(BQ77+BR77+BS77+BT77)/4</f>
        <v>860</v>
      </c>
      <c r="BW77" s="111">
        <f>BW76-BW75/2</f>
        <v>862</v>
      </c>
      <c r="BX77" s="112">
        <f>BX76-BX75/2</f>
        <v>862</v>
      </c>
      <c r="BY77" s="112">
        <f>BY76-BY75/2</f>
        <v>862</v>
      </c>
      <c r="BZ77" s="115">
        <f>BZ76-BZ75/2</f>
        <v>862</v>
      </c>
      <c r="CA77" s="113">
        <f>(BW77+BX77+BY77+BZ77)/4</f>
        <v>862</v>
      </c>
      <c r="CC77" s="111">
        <f>CC76-CC75/2</f>
        <v>861.5</v>
      </c>
      <c r="CD77" s="112">
        <f>CD76-CD75/2</f>
        <v>860.5</v>
      </c>
      <c r="CE77" s="112">
        <f>CE76-CE75/2</f>
        <v>859.5</v>
      </c>
      <c r="CF77" s="115">
        <f>CF76-CF75/2</f>
        <v>858.5</v>
      </c>
      <c r="CG77" s="113">
        <f>(CC77+CD77+CE77+CF77)/4</f>
        <v>860</v>
      </c>
      <c r="CI77" s="111">
        <f>CI76-CI75/2</f>
        <v>857</v>
      </c>
      <c r="CJ77" s="112">
        <f>CJ76-CJ75/2</f>
        <v>855</v>
      </c>
      <c r="CK77" s="112">
        <f>CK76-CK75/2</f>
        <v>853</v>
      </c>
      <c r="CL77" s="115">
        <f>CL76-CL75/2</f>
        <v>851</v>
      </c>
      <c r="CM77" s="113">
        <f>(CI77+CJ77+CK77+CL77)/4</f>
        <v>854</v>
      </c>
      <c r="CO77" s="111">
        <f>CO76-CO75/2</f>
        <v>849</v>
      </c>
      <c r="CP77" s="112">
        <f>CP76-CP75/2</f>
        <v>847</v>
      </c>
      <c r="CQ77" s="112">
        <f>CQ76-CQ75/2</f>
        <v>845</v>
      </c>
      <c r="CR77" s="115">
        <f>CR76-CR75/2</f>
        <v>843</v>
      </c>
      <c r="CS77" s="113">
        <f>(CO77+CP77+CQ77+CR77)/4</f>
        <v>846</v>
      </c>
      <c r="CU77" s="111">
        <f>CU76-CU75/2</f>
        <v>841</v>
      </c>
      <c r="CV77" s="112">
        <f>CV76-CV75/2</f>
        <v>839</v>
      </c>
      <c r="CW77" s="112">
        <f>CW76-CW75/2</f>
        <v>837</v>
      </c>
      <c r="CX77" s="115">
        <f>CX76-CX75/2</f>
        <v>835</v>
      </c>
      <c r="CY77" s="113">
        <f>(CU77+CV77+CW77+CX77)/4</f>
        <v>838</v>
      </c>
      <c r="DA77" s="111">
        <f>DA76-DA75/2</f>
        <v>833</v>
      </c>
      <c r="DB77" s="112">
        <f>DB76-DB75/2</f>
        <v>831</v>
      </c>
      <c r="DC77" s="112">
        <f>DC76-DC75/2</f>
        <v>829</v>
      </c>
      <c r="DD77" s="115">
        <f>DD76-DD75/2</f>
        <v>827</v>
      </c>
      <c r="DE77" s="113">
        <f>(DA77+DB77+DC77+DD77)/4</f>
        <v>830</v>
      </c>
      <c r="DG77" s="111">
        <f>DG76-DG75/2</f>
        <v>825</v>
      </c>
      <c r="DH77" s="112">
        <f>DH76-DH75/2</f>
        <v>823</v>
      </c>
      <c r="DI77" s="112">
        <f>DI76-DI75/2</f>
        <v>821</v>
      </c>
      <c r="DJ77" s="115">
        <f>DJ76-DJ75/2</f>
        <v>819</v>
      </c>
      <c r="DK77" s="113">
        <f>(DG77+DH77+DI77+DJ77)/4</f>
        <v>822</v>
      </c>
    </row>
    <row r="78" spans="1:115" ht="15.75" thickBot="1" x14ac:dyDescent="0.35">
      <c r="B78" s="41" t="s">
        <v>56</v>
      </c>
      <c r="C78" s="106"/>
      <c r="D78" s="106"/>
      <c r="E78" s="106"/>
      <c r="F78" s="106"/>
      <c r="G78" s="122"/>
      <c r="H78" s="2"/>
      <c r="I78" s="155"/>
      <c r="J78" s="106"/>
      <c r="K78" s="106"/>
      <c r="L78" s="106"/>
      <c r="M78" s="122"/>
      <c r="N78" s="1"/>
      <c r="O78" s="155" t="s">
        <v>35</v>
      </c>
      <c r="P78" s="106" t="s">
        <v>35</v>
      </c>
      <c r="Q78" s="110" t="s">
        <v>35</v>
      </c>
      <c r="R78" s="120" t="s">
        <v>35</v>
      </c>
      <c r="S78" s="122" t="s">
        <v>35</v>
      </c>
      <c r="U78" s="109">
        <f>U77/O77-1</f>
        <v>-2.4455313472654505E-2</v>
      </c>
      <c r="V78" s="110">
        <f>V77/P77-1</f>
        <v>-2.682163611980326E-2</v>
      </c>
      <c r="W78" s="110">
        <f>W77/Q77-1</f>
        <v>-2.7953110910730383E-2</v>
      </c>
      <c r="X78" s="110">
        <f>X77/R77-1</f>
        <v>-3.2653061224489743E-2</v>
      </c>
      <c r="Y78" s="122">
        <f>Y77/S77-1</f>
        <v>-2.7949264788416195E-2</v>
      </c>
      <c r="AA78" s="109">
        <f>AA77/U77-1</f>
        <v>-3.7374658158614404E-2</v>
      </c>
      <c r="AB78" s="110">
        <f>AB77/V77-1</f>
        <v>-3.9963252181901665E-2</v>
      </c>
      <c r="AC78" s="110">
        <f>AC77/W77-1</f>
        <v>-4.081632653061229E-2</v>
      </c>
      <c r="AD78" s="110">
        <f>AD77/X77-1</f>
        <v>-3.8912330051570576E-2</v>
      </c>
      <c r="AE78" s="122">
        <f>AE77/Y77-1</f>
        <v>-3.9260969976905313E-2</v>
      </c>
      <c r="AG78" s="109">
        <f>AG77/AA77-1</f>
        <v>-3.8825757575757569E-2</v>
      </c>
      <c r="AH78" s="110">
        <f>AH77/AB77-1</f>
        <v>-4.2105263157894757E-2</v>
      </c>
      <c r="AI78" s="110">
        <f>AI77/AC77-1</f>
        <v>-4.7388781431334626E-2</v>
      </c>
      <c r="AJ78" s="110">
        <f>AJ77/AD77-1</f>
        <v>-5.5121951219512244E-2</v>
      </c>
      <c r="AK78" s="122">
        <f>AK77/AE77-1</f>
        <v>-4.5793269230769207E-2</v>
      </c>
      <c r="AM78" s="109">
        <f>AM77/AG77-1</f>
        <v>-6.1576354679802936E-2</v>
      </c>
      <c r="AN78" s="110">
        <f>AN77/AH77-1</f>
        <v>-6.2437562437562488E-2</v>
      </c>
      <c r="AO78" s="110">
        <f>AO77/AI77-1</f>
        <v>-6.0406091370558412E-2</v>
      </c>
      <c r="AP78" s="110">
        <f>AP77/AJ77-1</f>
        <v>-4.9561177077955598E-2</v>
      </c>
      <c r="AQ78" s="122">
        <f>AQ77/AK77-1</f>
        <v>-5.8571608514926266E-2</v>
      </c>
      <c r="AS78" s="109">
        <f>AS77/AM77-1</f>
        <v>-3.622047244094484E-2</v>
      </c>
      <c r="AT78" s="110">
        <f>AT77/AN77-1</f>
        <v>-2.9302077783697422E-2</v>
      </c>
      <c r="AU78" s="110">
        <f>AU77/AO77-1</f>
        <v>-2.4311183144246407E-2</v>
      </c>
      <c r="AV78" s="110">
        <f>AV77/AP77-1</f>
        <v>-2.6615969581749055E-2</v>
      </c>
      <c r="AW78" s="122">
        <f>AW77/AQ77-1</f>
        <v>-2.9167781643029134E-2</v>
      </c>
      <c r="AY78" s="109">
        <f>AY77/AS77-1</f>
        <v>-3.6492374727668864E-2</v>
      </c>
      <c r="AZ78" s="110">
        <f>AZ77/AT77-1</f>
        <v>-4.6103183315038376E-2</v>
      </c>
      <c r="BA78" s="110">
        <f>BA77/AU77-1</f>
        <v>-4.7065337763012138E-2</v>
      </c>
      <c r="BB78" s="110">
        <f>BB77/AV77-1</f>
        <v>-4.4084821428571397E-2</v>
      </c>
      <c r="BC78" s="122">
        <f>BC77/AW77-1</f>
        <v>-4.341234840132302E-2</v>
      </c>
      <c r="BE78" s="109">
        <f>BE77/AY77-1</f>
        <v>-3.5613340870548349E-2</v>
      </c>
      <c r="BF78" s="110">
        <f>BF77/AZ77-1</f>
        <v>-2.243958573072502E-2</v>
      </c>
      <c r="BG78" s="110">
        <f>BG77/BA77-1</f>
        <v>-1.5107495642068591E-2</v>
      </c>
      <c r="BH78" s="110">
        <f>BH77/BB77-1</f>
        <v>-9.3403385872737887E-3</v>
      </c>
      <c r="BI78" s="122">
        <f>BI77/BC77-1</f>
        <v>-2.0746290159919356E-2</v>
      </c>
      <c r="BK78" s="109">
        <f>BK77/BE77-1</f>
        <v>-1.1723329425556983E-3</v>
      </c>
      <c r="BL78" s="110">
        <f>BL77/BF77-1</f>
        <v>5.8858151854030982E-3</v>
      </c>
      <c r="BM78" s="110">
        <f>BM77/BG77-1</f>
        <v>8.8495575221239076E-3</v>
      </c>
      <c r="BN78" s="110">
        <f>BN77/BH77-1</f>
        <v>9.4284030642310945E-3</v>
      </c>
      <c r="BO78" s="122">
        <f>BO77/BI77-1</f>
        <v>5.7378255112550125E-3</v>
      </c>
      <c r="BQ78" s="109">
        <f>BQ77/BK77-1</f>
        <v>7.6291079812207396E-3</v>
      </c>
      <c r="BR78" s="110">
        <f>BR77/BL77-1</f>
        <v>5.851375073142151E-3</v>
      </c>
      <c r="BS78" s="110">
        <f>BS77/BM77-1</f>
        <v>6.4327485380117899E-3</v>
      </c>
      <c r="BT78" s="110">
        <f>BT77/BN77-1</f>
        <v>5.8377116170460486E-3</v>
      </c>
      <c r="BU78" s="122">
        <f>BU77/BO77-1</f>
        <v>6.4365125804564105E-3</v>
      </c>
      <c r="BW78" s="109">
        <f>BW77/BQ77-1</f>
        <v>4.0768782760629563E-3</v>
      </c>
      <c r="BX78" s="110">
        <f>BX77/BR77-1</f>
        <v>2.9086678301337709E-3</v>
      </c>
      <c r="BY78" s="110">
        <f>BY77/BS77-1</f>
        <v>1.7431725740848503E-3</v>
      </c>
      <c r="BZ78" s="110">
        <f>BZ77/BT77-1</f>
        <v>5.8038305281482572E-4</v>
      </c>
      <c r="CA78" s="122">
        <f>CA77/BU77-1</f>
        <v>2.3255813953488857E-3</v>
      </c>
      <c r="CC78" s="109">
        <f>CC77/BW77-1</f>
        <v>-5.8004640371234206E-4</v>
      </c>
      <c r="CD78" s="110">
        <f>CD77/BX77-1</f>
        <v>-1.7401392111369152E-3</v>
      </c>
      <c r="CE78" s="110">
        <f>CE77/BY77-1</f>
        <v>-2.9002320185614883E-3</v>
      </c>
      <c r="CF78" s="110">
        <f>CF77/BZ77-1</f>
        <v>-4.0603248259860614E-3</v>
      </c>
      <c r="CG78" s="122">
        <f>CG77/CA77-1</f>
        <v>-2.3201856148491462E-3</v>
      </c>
      <c r="CI78" s="109">
        <f>CI77/CC77-1</f>
        <v>-5.2234474753337645E-3</v>
      </c>
      <c r="CJ78" s="110">
        <f>CJ77/CD77-1</f>
        <v>-6.39163277164434E-3</v>
      </c>
      <c r="CK78" s="110">
        <f>CK77/CE77-1</f>
        <v>-7.5625363583479155E-3</v>
      </c>
      <c r="CL78" s="110">
        <f>CL77/CF77-1</f>
        <v>-8.7361677344205413E-3</v>
      </c>
      <c r="CM78" s="122">
        <f>CM77/CG77-1</f>
        <v>-6.9767441860465462E-3</v>
      </c>
      <c r="CO78" s="109">
        <f>CO77/CI77-1</f>
        <v>-9.334889148191361E-3</v>
      </c>
      <c r="CP78" s="110">
        <f>CP77/CJ77-1</f>
        <v>-9.3567251461987855E-3</v>
      </c>
      <c r="CQ78" s="110">
        <f>CQ77/CK77-1</f>
        <v>-9.3786635404454755E-3</v>
      </c>
      <c r="CR78" s="110">
        <f>CR77/CL77-1</f>
        <v>-9.4007050528789327E-3</v>
      </c>
      <c r="CS78" s="122">
        <f>CS77/CM77-1</f>
        <v>-9.3676814988290502E-3</v>
      </c>
      <c r="CU78" s="109">
        <f>CU77/CO77-1</f>
        <v>-9.4228504122496615E-3</v>
      </c>
      <c r="CV78" s="110">
        <f>CV77/CP77-1</f>
        <v>-9.445100354191216E-3</v>
      </c>
      <c r="CW78" s="110">
        <f>CW77/CQ77-1</f>
        <v>-9.4674556213018013E-3</v>
      </c>
      <c r="CX78" s="110">
        <f>CX77/CR77-1</f>
        <v>-9.4899169632265412E-3</v>
      </c>
      <c r="CY78" s="122">
        <f>CY77/CS77-1</f>
        <v>-9.4562647754137252E-3</v>
      </c>
      <c r="DA78" s="109">
        <f>DA77/CU77-1</f>
        <v>-9.5124851367419661E-3</v>
      </c>
      <c r="DB78" s="110">
        <f>DB77/CV77-1</f>
        <v>-9.5351609058402786E-3</v>
      </c>
      <c r="DC78" s="110">
        <f>DC77/CW77-1</f>
        <v>-9.5579450418160627E-3</v>
      </c>
      <c r="DD78" s="110">
        <f>DD77/CX77-1</f>
        <v>-9.5808383233533245E-3</v>
      </c>
      <c r="DE78" s="122">
        <f>DE77/CY77-1</f>
        <v>-9.5465393794749165E-3</v>
      </c>
      <c r="DG78" s="109">
        <f>DG77/DA77-1</f>
        <v>-9.6038415366146435E-3</v>
      </c>
      <c r="DH78" s="110">
        <f>DH77/DB77-1</f>
        <v>-9.6269554753308784E-3</v>
      </c>
      <c r="DI78" s="110">
        <f>DI77/DC77-1</f>
        <v>-9.6501809408926498E-3</v>
      </c>
      <c r="DJ78" s="110">
        <f>DJ77/DD77-1</f>
        <v>-9.6735187424425995E-3</v>
      </c>
      <c r="DK78" s="122">
        <f>DK77/DE77-1</f>
        <v>-9.6385542168674343E-3</v>
      </c>
    </row>
    <row r="79" spans="1:115" ht="13.5" thickBot="1" x14ac:dyDescent="0.25">
      <c r="AA79" s="103"/>
      <c r="AB79" s="103"/>
      <c r="AC79" s="103"/>
      <c r="AD79" s="103"/>
      <c r="AE79" s="103"/>
      <c r="AG79" s="103"/>
      <c r="AH79" s="103"/>
      <c r="AI79" s="103"/>
      <c r="AJ79" s="103"/>
      <c r="AK79" s="103"/>
      <c r="AM79" s="103"/>
      <c r="AN79" s="103"/>
      <c r="AO79" s="103"/>
      <c r="AP79" s="103"/>
      <c r="AQ79" s="103"/>
      <c r="AS79" s="103"/>
      <c r="AT79" s="103"/>
      <c r="AU79" s="103"/>
      <c r="AV79" s="103"/>
      <c r="AW79" s="103"/>
      <c r="AY79" s="103"/>
      <c r="AZ79" s="103"/>
      <c r="BA79" s="103"/>
      <c r="BB79" s="103"/>
      <c r="BC79" s="103"/>
      <c r="BE79" s="103"/>
      <c r="BF79" s="103"/>
      <c r="BG79" s="103"/>
      <c r="BH79" s="103"/>
      <c r="BI79" s="103"/>
      <c r="BK79" s="103"/>
      <c r="BL79" s="103"/>
      <c r="BM79" s="103"/>
      <c r="BN79" s="103"/>
      <c r="BO79" s="103"/>
      <c r="BQ79" s="103"/>
      <c r="BR79" s="103"/>
      <c r="BS79" s="103"/>
      <c r="BT79" s="103"/>
      <c r="BU79" s="103"/>
      <c r="BW79" s="103"/>
      <c r="BX79" s="103"/>
      <c r="BY79" s="103"/>
      <c r="BZ79" s="103"/>
      <c r="CA79" s="103"/>
      <c r="CC79" s="103"/>
      <c r="CD79" s="103"/>
      <c r="CE79" s="103"/>
      <c r="CF79" s="103"/>
      <c r="CG79" s="103"/>
      <c r="CI79" s="103"/>
      <c r="CJ79" s="103"/>
      <c r="CK79" s="103"/>
      <c r="CL79" s="103"/>
      <c r="CM79" s="103"/>
      <c r="CO79" s="103"/>
      <c r="CP79" s="103"/>
      <c r="CQ79" s="103"/>
      <c r="CR79" s="103"/>
      <c r="CS79" s="103"/>
      <c r="CU79" s="103"/>
      <c r="CV79" s="103"/>
      <c r="CW79" s="103"/>
      <c r="CX79" s="103"/>
      <c r="CY79" s="103"/>
      <c r="DA79" s="103"/>
      <c r="DB79" s="103"/>
      <c r="DC79" s="103"/>
      <c r="DD79" s="103"/>
      <c r="DE79" s="103"/>
      <c r="DG79" s="103"/>
      <c r="DH79" s="103"/>
      <c r="DI79" s="103"/>
      <c r="DJ79" s="103"/>
      <c r="DK79" s="103"/>
    </row>
    <row r="80" spans="1:115" ht="15" x14ac:dyDescent="0.3">
      <c r="B80" s="335" t="s">
        <v>96</v>
      </c>
      <c r="C80" s="221"/>
      <c r="D80" s="222"/>
      <c r="E80" s="222"/>
      <c r="F80" s="222"/>
      <c r="G80" s="224"/>
      <c r="I80" s="221"/>
      <c r="J80" s="222"/>
      <c r="K80" s="222"/>
      <c r="L80" s="222"/>
      <c r="M80" s="224"/>
      <c r="O80" s="336">
        <f>O83*1000/(O77*3)</f>
        <v>33.496368756484365</v>
      </c>
      <c r="P80" s="337">
        <f>P83*1000/(P77*3)</f>
        <v>33.080017881090747</v>
      </c>
      <c r="Q80" s="337">
        <f>Q83*1000/(Q77*3)</f>
        <v>33.663961526901112</v>
      </c>
      <c r="R80" s="337">
        <f>R83*1000/(R77*3)</f>
        <v>34.164777021919882</v>
      </c>
      <c r="S80" s="338">
        <f>S83*1000/(S77*12)</f>
        <v>33.598982302540499</v>
      </c>
      <c r="U80" s="336">
        <f>U83*1000/(U77*3)</f>
        <v>34.336068064418107</v>
      </c>
      <c r="V80" s="337">
        <f>V83*1000/(V77*3)</f>
        <v>35.522890828357063</v>
      </c>
      <c r="W80" s="337">
        <f>W83*1000/(W77*3)</f>
        <v>36.796536796536799</v>
      </c>
      <c r="X80" s="337">
        <f>X83*1000/(X77*3)</f>
        <v>36.255664947648071</v>
      </c>
      <c r="Y80" s="338">
        <f>Y83*1000/(Y77*12)</f>
        <v>35.719784449576601</v>
      </c>
      <c r="AA80" s="336">
        <f>AA83*1000/(AA77*3)</f>
        <v>32.196969696969695</v>
      </c>
      <c r="AB80" s="337">
        <f>AB83*1000/(AB77*3)</f>
        <v>36.682615629984049</v>
      </c>
      <c r="AC80" s="337">
        <f>AC83*1000/(AC77*3)</f>
        <v>33.849129593810446</v>
      </c>
      <c r="AD80" s="337">
        <f>AD83*1000/(AD77*3)</f>
        <v>37.073170731707314</v>
      </c>
      <c r="AE80" s="338">
        <f>AE83*1000/(AE77*12)</f>
        <v>34.935897435897438</v>
      </c>
      <c r="AG80" s="336">
        <f>AG83*1000/(AG77*3)</f>
        <v>32.512315270935957</v>
      </c>
      <c r="AH80" s="337">
        <f>AH83*1000/(AH77*3)</f>
        <v>31.302031302031303</v>
      </c>
      <c r="AI80" s="337">
        <f>AI83*1000/(AI77*3)</f>
        <v>32.825719120135361</v>
      </c>
      <c r="AJ80" s="337">
        <f>AJ83*1000/(AJ77*3)</f>
        <v>37.859232490104972</v>
      </c>
      <c r="AK80" s="338">
        <f>AK83*1000/(AK77*12)</f>
        <v>33.589452911785699</v>
      </c>
      <c r="AM80" s="336">
        <f>AM83*1000/(AM77*3)</f>
        <v>31.84601924759405</v>
      </c>
      <c r="AN80" s="337">
        <f>AN83*1000/(AN77*3)</f>
        <v>33.741786538803055</v>
      </c>
      <c r="AO80" s="337">
        <f>AO83*1000/(AO77*3)</f>
        <v>35.296236268683593</v>
      </c>
      <c r="AP80" s="337">
        <f>AP83*1000/(AP77*3)</f>
        <v>46.713742531233024</v>
      </c>
      <c r="AQ80" s="338">
        <f>AQ83*1000/(AQ77*12)</f>
        <v>36.83881901703684</v>
      </c>
      <c r="AS80" s="336">
        <f>AS83*1000/(AS77*3)</f>
        <v>37.400145243282495</v>
      </c>
      <c r="AT80" s="337">
        <f>AT83*1000/(AT77*3)</f>
        <v>36.589828027808267</v>
      </c>
      <c r="AU80" s="337">
        <f>AU83*1000/(AU77*3)</f>
        <v>37.28313030638612</v>
      </c>
      <c r="AV80" s="337">
        <f>AV83*1000/(AV77*3)</f>
        <v>33.482142857142854</v>
      </c>
      <c r="AW80" s="338">
        <f>AW83*1000/(AW77*12)</f>
        <v>36.199926497611173</v>
      </c>
      <c r="AY80" s="336">
        <f>AY83*1000/(AY77*3)</f>
        <v>36.178631995477673</v>
      </c>
      <c r="AZ80" s="337">
        <f>AZ83*1000/(AZ77*3)</f>
        <v>37.207518220176446</v>
      </c>
      <c r="BA80" s="337">
        <f>BA83*1000/(BA77*3)</f>
        <v>41.44877009490606</v>
      </c>
      <c r="BB80" s="337">
        <f>BB83*1000/(BB77*3)</f>
        <v>47.480054485308429</v>
      </c>
      <c r="BC80" s="338">
        <f>BC83*1000/(BC77*12)</f>
        <v>40.532103923546082</v>
      </c>
      <c r="BE80" s="336">
        <f>BE83*1000/(BE77*3)</f>
        <v>37.514654161781948</v>
      </c>
      <c r="BF80" s="337">
        <f>BF83*1000/(BF77*3)</f>
        <v>37.66921718658034</v>
      </c>
      <c r="BG80" s="337">
        <f>BG83*1000/(BG77*3)</f>
        <v>38.151425762045228</v>
      </c>
      <c r="BH80" s="337">
        <f>BH83*1000/(BH77*3)</f>
        <v>42.820663916715773</v>
      </c>
      <c r="BI80" s="338">
        <f>BI83*1000/(BI77*12)</f>
        <v>39.036829974008143</v>
      </c>
      <c r="BK80" s="336">
        <f>BK83*1000/(BK77*3)</f>
        <v>35.2112676056338</v>
      </c>
      <c r="BL80" s="337">
        <f>BL83*1000/(BL77*3)</f>
        <v>36.668617125024383</v>
      </c>
      <c r="BM80" s="337">
        <f>BM83*1000/(BM77*3)</f>
        <v>36.257309941520468</v>
      </c>
      <c r="BN80" s="337">
        <f>BN83*1000/(BN77*3)</f>
        <v>39.30725822144386</v>
      </c>
      <c r="BO80" s="338">
        <f>BO83*1000/(BO77*12)</f>
        <v>36.863662960795786</v>
      </c>
      <c r="BQ80" s="336">
        <f>BK80*(1+BQ81)</f>
        <v>31.69014084507042</v>
      </c>
      <c r="BR80" s="337">
        <f>BL80*(1+BR81)</f>
        <v>33.001755412521945</v>
      </c>
      <c r="BS80" s="337">
        <f>BM80*(1+BS81)</f>
        <v>33.538011695906434</v>
      </c>
      <c r="BT80" s="337">
        <f>BN80*(1+BT81)</f>
        <v>38.324576765907764</v>
      </c>
      <c r="BU80" s="338">
        <f>BU83*1000/(BU77*12)</f>
        <v>34.141592046718777</v>
      </c>
      <c r="BW80" s="336">
        <f>BQ80*(1+BW81)</f>
        <v>31.214788732394364</v>
      </c>
      <c r="BX80" s="337">
        <f>BR80*(1+BX81)</f>
        <v>32.671737858396725</v>
      </c>
      <c r="BY80" s="337">
        <f>BS80*(1+BY81)</f>
        <v>33.202631578947368</v>
      </c>
      <c r="BZ80" s="337">
        <f>BT80*(1+BZ81)</f>
        <v>37.941330998248688</v>
      </c>
      <c r="CA80" s="338">
        <f>CA83*1000/(CA77*12)</f>
        <v>33.757622291996789</v>
      </c>
      <c r="CC80" s="336">
        <f>BW80*(1+CC81)</f>
        <v>31.058714788732392</v>
      </c>
      <c r="CD80" s="337">
        <f>BX80*(1+CD81)</f>
        <v>32.508379169104742</v>
      </c>
      <c r="CE80" s="337">
        <f>BY80*(1+CE81)</f>
        <v>33.03661842105263</v>
      </c>
      <c r="CF80" s="337">
        <f>BZ80*(1+CF81)</f>
        <v>37.751624343257447</v>
      </c>
      <c r="CG80" s="338">
        <f>CG83*1000/(CG77*12)</f>
        <v>33.585838981711866</v>
      </c>
      <c r="CI80" s="336">
        <f>CC80*(1+CI81)</f>
        <v>31.058714788732392</v>
      </c>
      <c r="CJ80" s="337">
        <f>CD80*(1+CJ81)</f>
        <v>32.508379169104742</v>
      </c>
      <c r="CK80" s="337">
        <f>CE80*(1+CK81)</f>
        <v>33.03661842105263</v>
      </c>
      <c r="CL80" s="337">
        <f>CF80*(1+CL81)</f>
        <v>37.751624343257447</v>
      </c>
      <c r="CM80" s="338">
        <f>CM83*1000/(CM77*12)</f>
        <v>33.582801695784021</v>
      </c>
      <c r="CO80" s="336">
        <f>CI80*(1+CO81)</f>
        <v>31.214008362676051</v>
      </c>
      <c r="CP80" s="337">
        <f>CJ80*(1+CP81)</f>
        <v>32.670921064950264</v>
      </c>
      <c r="CQ80" s="337">
        <f>CK80*(1+CQ81)</f>
        <v>33.201801513157889</v>
      </c>
      <c r="CR80" s="337">
        <f>CL80*(1+CR81)</f>
        <v>37.94038246497373</v>
      </c>
      <c r="CS80" s="338">
        <f>CS83*1000/(CS77*12)</f>
        <v>33.750658374265988</v>
      </c>
      <c r="CU80" s="336">
        <f>CO80*(1+CU81)</f>
        <v>31.526148446302813</v>
      </c>
      <c r="CV80" s="337">
        <f>CP80*(1+CV81)</f>
        <v>32.997630275599768</v>
      </c>
      <c r="CW80" s="337">
        <f>CQ80*(1+CW81)</f>
        <v>33.53381952828947</v>
      </c>
      <c r="CX80" s="337">
        <f>CR80*(1+CX81)</f>
        <v>38.319786289623465</v>
      </c>
      <c r="CY80" s="338">
        <f>CY83*1000/(CY77*12)</f>
        <v>34.088105949159534</v>
      </c>
      <c r="DA80" s="336">
        <f>CU80*(1+DA81)</f>
        <v>31.841409930765842</v>
      </c>
      <c r="DB80" s="337">
        <f>CV80*(1+DB81)</f>
        <v>33.327606578355763</v>
      </c>
      <c r="DC80" s="337">
        <f>CW80*(1+DC81)</f>
        <v>33.869157723572364</v>
      </c>
      <c r="DD80" s="337">
        <f>CX80*(1+DD81)</f>
        <v>38.702984152519697</v>
      </c>
      <c r="DE80" s="338">
        <f>DE83*1000/(DE77*12)</f>
        <v>34.428926260818329</v>
      </c>
      <c r="DG80" s="336">
        <f>DA80*(1+DG81)</f>
        <v>32.159824030073501</v>
      </c>
      <c r="DH80" s="337">
        <f>DB80*(1+DH81)</f>
        <v>33.660882644139321</v>
      </c>
      <c r="DI80" s="337">
        <f>DC80*(1+DI81)</f>
        <v>34.207849300808086</v>
      </c>
      <c r="DJ80" s="337">
        <f>DD80*(1+DJ81)</f>
        <v>39.090013994044895</v>
      </c>
      <c r="DK80" s="338">
        <f>DK83*1000/(DK77*12)</f>
        <v>34.773152973851431</v>
      </c>
    </row>
    <row r="81" spans="1:115" ht="15.75" thickBot="1" x14ac:dyDescent="0.35">
      <c r="B81" s="41" t="s">
        <v>56</v>
      </c>
      <c r="C81" s="155"/>
      <c r="D81" s="106"/>
      <c r="E81" s="106"/>
      <c r="F81" s="106"/>
      <c r="G81" s="108"/>
      <c r="I81" s="155"/>
      <c r="J81" s="106"/>
      <c r="K81" s="106"/>
      <c r="L81" s="106"/>
      <c r="M81" s="108"/>
      <c r="O81" s="155" t="s">
        <v>35</v>
      </c>
      <c r="P81" s="106" t="s">
        <v>35</v>
      </c>
      <c r="Q81" s="106" t="s">
        <v>35</v>
      </c>
      <c r="R81" s="106" t="s">
        <v>35</v>
      </c>
      <c r="S81" s="122" t="s">
        <v>35</v>
      </c>
      <c r="U81" s="109">
        <f>U80/O80-1</f>
        <v>2.5068368277119335E-2</v>
      </c>
      <c r="V81" s="110">
        <f>V80/P80-1</f>
        <v>7.384738895992915E-2</v>
      </c>
      <c r="W81" s="110">
        <f>W80/Q80-1</f>
        <v>9.3054267161410076E-2</v>
      </c>
      <c r="X81" s="110">
        <f>X80/R80-1</f>
        <v>6.1200104551734302E-2</v>
      </c>
      <c r="Y81" s="122">
        <f>Y80/S80-1</f>
        <v>6.3121023367298301E-2</v>
      </c>
      <c r="AA81" s="109">
        <f>AA80/U80-1</f>
        <v>-6.2298873692678947E-2</v>
      </c>
      <c r="AB81" s="110">
        <f>AB80/V80-1</f>
        <v>3.2647252928559745E-2</v>
      </c>
      <c r="AC81" s="110">
        <f>AC80/W80-1</f>
        <v>-8.0100125156445601E-2</v>
      </c>
      <c r="AD81" s="110">
        <f>AD80/X80-1</f>
        <v>2.2548359966358067E-2</v>
      </c>
      <c r="AE81" s="122">
        <f>AE80/Y80-1</f>
        <v>-2.1945457559681691E-2</v>
      </c>
      <c r="AG81" s="109">
        <f>AG80/AA80-1</f>
        <v>9.794262532599296E-3</v>
      </c>
      <c r="AH81" s="110">
        <f>AH80/AB80-1</f>
        <v>-0.14667940754897268</v>
      </c>
      <c r="AI81" s="110">
        <f>AI80/AC80-1</f>
        <v>-3.0234469422286803E-2</v>
      </c>
      <c r="AJ81" s="110">
        <f>AJ80/AD80-1</f>
        <v>2.1202981640989549E-2</v>
      </c>
      <c r="AK81" s="122">
        <f>AK80/AE80-1</f>
        <v>-3.8540430414941484E-2</v>
      </c>
      <c r="AM81" s="109">
        <f>AM80/AG80-1</f>
        <v>-2.0493650414910136E-2</v>
      </c>
      <c r="AN81" s="110">
        <f>AN80/AH80-1</f>
        <v>7.7942393361974061E-2</v>
      </c>
      <c r="AO81" s="110">
        <f>AO80/AI80-1</f>
        <v>7.5261630659381629E-2</v>
      </c>
      <c r="AP81" s="110">
        <f>AP80/AJ80-1</f>
        <v>0.23387980840452327</v>
      </c>
      <c r="AQ81" s="122">
        <f>AQ80/AK80-1</f>
        <v>9.6737690660958053E-2</v>
      </c>
      <c r="AS81" s="109">
        <f>AS80/AM80-1</f>
        <v>0.17440565969977717</v>
      </c>
      <c r="AT81" s="110">
        <f>AT80/AN80-1</f>
        <v>8.4406955918886029E-2</v>
      </c>
      <c r="AU81" s="110">
        <f>AU80/AO80-1</f>
        <v>5.6291951996745526E-2</v>
      </c>
      <c r="AV81" s="110">
        <f>AV80/AP80-1</f>
        <v>-0.2832485465116279</v>
      </c>
      <c r="AW81" s="122">
        <f>AW80/AQ80-1</f>
        <v>-1.7342915339663811E-2</v>
      </c>
      <c r="AY81" s="109">
        <f>AY80/AS80-1</f>
        <v>-3.2660655188878396E-2</v>
      </c>
      <c r="AZ81" s="110">
        <f>AZ80/AT80-1</f>
        <v>1.6881472957422261E-2</v>
      </c>
      <c r="BA81" s="110">
        <f>BA80/AU80-1</f>
        <v>0.11172988304059928</v>
      </c>
      <c r="BB81" s="110">
        <f>BB80/AV80-1</f>
        <v>0.41807096062787852</v>
      </c>
      <c r="BC81" s="122">
        <f>BC80/AW80-1</f>
        <v>0.11967365254790741</v>
      </c>
      <c r="BE81" s="109">
        <f>BE80/AY80-1</f>
        <v>3.6928487690504053E-2</v>
      </c>
      <c r="BF81" s="110">
        <f>BF80/AZ80-1</f>
        <v>1.240875469499958E-2</v>
      </c>
      <c r="BG81" s="110">
        <f>BG80/BA80-1</f>
        <v>-7.9552284068039603E-2</v>
      </c>
      <c r="BH81" s="110">
        <f>BH80/BB80-1</f>
        <v>-9.8133639885236268E-2</v>
      </c>
      <c r="BI81" s="122">
        <f>BI80/BC80-1</f>
        <v>-3.689110124553141E-2</v>
      </c>
      <c r="BK81" s="109">
        <f>BK80/BE80-1</f>
        <v>-6.1399647887324105E-2</v>
      </c>
      <c r="BL81" s="110">
        <f>BL80/BF80-1</f>
        <v>-2.6562804759118319E-2</v>
      </c>
      <c r="BM81" s="110">
        <f>BM80/BG80-1</f>
        <v>-4.9647314161692768E-2</v>
      </c>
      <c r="BN81" s="110">
        <f>BN80/BH80-1</f>
        <v>-8.2049304562519798E-2</v>
      </c>
      <c r="BO81" s="122">
        <f>BO80/BI80-1</f>
        <v>-5.5669659003031668E-2</v>
      </c>
      <c r="BQ81" s="109">
        <v>-0.1</v>
      </c>
      <c r="BR81" s="110">
        <v>-0.1</v>
      </c>
      <c r="BS81" s="110">
        <v>-7.4999999999999997E-2</v>
      </c>
      <c r="BT81" s="110">
        <v>-2.5000000000000001E-2</v>
      </c>
      <c r="BU81" s="122">
        <f>BU80/BO80-1</f>
        <v>-7.3841574478692218E-2</v>
      </c>
      <c r="BW81" s="109">
        <v>-1.4999999999999999E-2</v>
      </c>
      <c r="BX81" s="110">
        <v>-0.01</v>
      </c>
      <c r="BY81" s="110">
        <v>-0.01</v>
      </c>
      <c r="BZ81" s="110">
        <v>-0.01</v>
      </c>
      <c r="CA81" s="122">
        <f>CA80/BU80-1</f>
        <v>-1.1246392792596538E-2</v>
      </c>
      <c r="CC81" s="109">
        <v>-5.0000000000000001E-3</v>
      </c>
      <c r="CD81" s="110">
        <v>-5.0000000000000001E-3</v>
      </c>
      <c r="CE81" s="110">
        <v>-5.0000000000000001E-3</v>
      </c>
      <c r="CF81" s="110">
        <v>-5.0000000000000001E-3</v>
      </c>
      <c r="CG81" s="122">
        <f>CG80/CA80-1</f>
        <v>-5.0887265933314829E-3</v>
      </c>
      <c r="CI81" s="109">
        <v>0</v>
      </c>
      <c r="CJ81" s="110">
        <v>0</v>
      </c>
      <c r="CK81" s="110">
        <v>0</v>
      </c>
      <c r="CL81" s="110">
        <v>0</v>
      </c>
      <c r="CM81" s="122">
        <f>CM80/CG80-1</f>
        <v>-9.0433528532662955E-5</v>
      </c>
      <c r="CO81" s="109">
        <v>5.0000000000000001E-3</v>
      </c>
      <c r="CP81" s="110">
        <v>5.0000000000000001E-3</v>
      </c>
      <c r="CQ81" s="110">
        <v>5.0000000000000001E-3</v>
      </c>
      <c r="CR81" s="110">
        <v>5.0000000000000001E-3</v>
      </c>
      <c r="CS81" s="122">
        <f>CS80/CM80-1</f>
        <v>4.9982928762921652E-3</v>
      </c>
      <c r="CU81" s="109">
        <v>0.01</v>
      </c>
      <c r="CV81" s="110">
        <v>0.01</v>
      </c>
      <c r="CW81" s="110">
        <v>0.01</v>
      </c>
      <c r="CX81" s="110">
        <v>0.01</v>
      </c>
      <c r="CY81" s="122">
        <f>CY80/CS80-1</f>
        <v>9.9982516237622221E-3</v>
      </c>
      <c r="DA81" s="109">
        <v>0.01</v>
      </c>
      <c r="DB81" s="110">
        <v>0.01</v>
      </c>
      <c r="DC81" s="110">
        <v>0.01</v>
      </c>
      <c r="DD81" s="110">
        <v>0.01</v>
      </c>
      <c r="DE81" s="122">
        <f>DE80/CY80-1</f>
        <v>9.9982179170385876E-3</v>
      </c>
      <c r="DG81" s="109">
        <v>0.01</v>
      </c>
      <c r="DH81" s="110">
        <v>0.01</v>
      </c>
      <c r="DI81" s="110">
        <v>0.01</v>
      </c>
      <c r="DJ81" s="110">
        <v>0.01</v>
      </c>
      <c r="DK81" s="122">
        <f>DK80/DE80-1</f>
        <v>9.9981832260871428E-3</v>
      </c>
    </row>
    <row r="82" spans="1:115" ht="13.5" thickBot="1" x14ac:dyDescent="0.25">
      <c r="AA82" s="103"/>
      <c r="AB82" s="103"/>
      <c r="AC82" s="103"/>
      <c r="AD82" s="103"/>
      <c r="AE82" s="103"/>
      <c r="AG82" s="103"/>
      <c r="AH82" s="103"/>
      <c r="AI82" s="103"/>
      <c r="AJ82" s="103"/>
      <c r="AK82" s="103"/>
      <c r="AM82" s="103"/>
      <c r="AN82" s="103"/>
      <c r="AO82" s="103"/>
      <c r="AP82" s="103"/>
      <c r="AQ82" s="103"/>
      <c r="AS82" s="103"/>
      <c r="AT82" s="103"/>
      <c r="AU82" s="103"/>
      <c r="AV82" s="103"/>
      <c r="AW82" s="103"/>
      <c r="AY82" s="103"/>
      <c r="AZ82" s="103"/>
      <c r="BA82" s="103"/>
      <c r="BB82" s="103"/>
      <c r="BC82" s="103"/>
      <c r="BE82" s="103"/>
      <c r="BF82" s="103"/>
      <c r="BG82" s="103"/>
      <c r="BH82" s="103"/>
      <c r="BI82" s="103"/>
      <c r="BK82" s="103"/>
      <c r="BL82" s="103"/>
      <c r="BM82" s="103"/>
      <c r="BN82" s="103"/>
      <c r="BO82" s="103"/>
      <c r="BQ82" s="103"/>
      <c r="BR82" s="103"/>
      <c r="BS82" s="103"/>
      <c r="BT82" s="103"/>
      <c r="BU82" s="103"/>
      <c r="BW82" s="103"/>
      <c r="BX82" s="103"/>
      <c r="BY82" s="103"/>
      <c r="BZ82" s="103"/>
      <c r="CA82" s="103"/>
      <c r="CC82" s="103"/>
      <c r="CD82" s="103"/>
      <c r="CE82" s="103"/>
      <c r="CF82" s="103"/>
      <c r="CG82" s="103"/>
      <c r="CI82" s="103"/>
      <c r="CJ82" s="103"/>
      <c r="CK82" s="103"/>
      <c r="CL82" s="103"/>
      <c r="CM82" s="103"/>
      <c r="CO82" s="103"/>
      <c r="CP82" s="103"/>
      <c r="CQ82" s="103"/>
      <c r="CR82" s="103"/>
      <c r="CS82" s="103"/>
      <c r="CU82" s="103"/>
      <c r="CV82" s="103"/>
      <c r="CW82" s="103"/>
      <c r="CX82" s="103"/>
      <c r="CY82" s="103"/>
      <c r="DA82" s="103"/>
      <c r="DB82" s="103"/>
      <c r="DC82" s="103"/>
      <c r="DD82" s="103"/>
      <c r="DE82" s="103"/>
      <c r="DG82" s="103"/>
      <c r="DH82" s="103"/>
      <c r="DI82" s="103"/>
      <c r="DJ82" s="103"/>
      <c r="DK82" s="103"/>
    </row>
    <row r="83" spans="1:115" x14ac:dyDescent="0.2">
      <c r="B83" s="244" t="s">
        <v>106</v>
      </c>
      <c r="C83" s="126"/>
      <c r="D83" s="127"/>
      <c r="E83" s="127"/>
      <c r="F83" s="127"/>
      <c r="G83" s="167"/>
      <c r="H83" s="129"/>
      <c r="I83" s="126"/>
      <c r="J83" s="127"/>
      <c r="K83" s="127"/>
      <c r="L83" s="127"/>
      <c r="M83" s="167">
        <v>460</v>
      </c>
      <c r="N83" s="129"/>
      <c r="O83" s="126">
        <v>113</v>
      </c>
      <c r="P83" s="127">
        <v>111</v>
      </c>
      <c r="Q83" s="127">
        <v>112</v>
      </c>
      <c r="R83" s="127">
        <v>113</v>
      </c>
      <c r="S83" s="167">
        <f>O83+P83+Q83+R83</f>
        <v>449</v>
      </c>
      <c r="T83" s="129"/>
      <c r="U83" s="126">
        <v>113</v>
      </c>
      <c r="V83" s="127">
        <v>116</v>
      </c>
      <c r="W83" s="252">
        <v>119</v>
      </c>
      <c r="X83" s="252">
        <v>116</v>
      </c>
      <c r="Y83" s="253">
        <f>U83+V83+W83+X83</f>
        <v>464</v>
      </c>
      <c r="Z83" s="226"/>
      <c r="AA83" s="251">
        <v>102</v>
      </c>
      <c r="AB83" s="252">
        <v>115</v>
      </c>
      <c r="AC83" s="252">
        <v>105</v>
      </c>
      <c r="AD83" s="252">
        <v>114</v>
      </c>
      <c r="AE83" s="253">
        <f>AA83+AB83+AC83+AD83</f>
        <v>436</v>
      </c>
      <c r="AF83" s="226"/>
      <c r="AG83" s="251">
        <v>99</v>
      </c>
      <c r="AH83" s="252">
        <v>94</v>
      </c>
      <c r="AI83" s="252">
        <v>97</v>
      </c>
      <c r="AJ83" s="252">
        <v>110</v>
      </c>
      <c r="AK83" s="253">
        <f>AG83+AH83+AI83+AJ83</f>
        <v>400</v>
      </c>
      <c r="AL83" s="226"/>
      <c r="AM83" s="251">
        <v>91</v>
      </c>
      <c r="AN83" s="252">
        <v>95</v>
      </c>
      <c r="AO83" s="252">
        <v>98</v>
      </c>
      <c r="AP83" s="252">
        <v>129</v>
      </c>
      <c r="AQ83" s="253">
        <f>AM83+AN83+AO83+AP83</f>
        <v>413</v>
      </c>
      <c r="AR83" s="226"/>
      <c r="AS83" s="251">
        <v>103</v>
      </c>
      <c r="AT83" s="252">
        <v>100</v>
      </c>
      <c r="AU83" s="252">
        <v>101</v>
      </c>
      <c r="AV83" s="252">
        <v>90</v>
      </c>
      <c r="AW83" s="253">
        <f>AS83+AT83+AU83+AV83</f>
        <v>394</v>
      </c>
      <c r="AX83" s="226"/>
      <c r="AY83" s="251">
        <v>96</v>
      </c>
      <c r="AZ83" s="252">
        <v>97</v>
      </c>
      <c r="BA83" s="252">
        <v>107</v>
      </c>
      <c r="BB83" s="252">
        <v>122</v>
      </c>
      <c r="BC83" s="253">
        <f>AY83+AZ83+BA83+BB83</f>
        <v>422</v>
      </c>
      <c r="BD83" s="226"/>
      <c r="BE83" s="251">
        <v>96</v>
      </c>
      <c r="BF83" s="252">
        <v>96</v>
      </c>
      <c r="BG83" s="252">
        <v>97</v>
      </c>
      <c r="BH83" s="252">
        <v>109</v>
      </c>
      <c r="BI83" s="253">
        <f>BE83+BF83+BG83+BH83</f>
        <v>398</v>
      </c>
      <c r="BJ83" s="226"/>
      <c r="BK83" s="251">
        <v>90</v>
      </c>
      <c r="BL83" s="252">
        <v>94</v>
      </c>
      <c r="BM83" s="252">
        <v>93</v>
      </c>
      <c r="BN83" s="252">
        <v>101</v>
      </c>
      <c r="BO83" s="253">
        <f>BK83+BL83+BM83+BN83</f>
        <v>378</v>
      </c>
      <c r="BP83" s="226"/>
      <c r="BQ83" s="251">
        <f>BQ80*BQ77*3/1000</f>
        <v>81.617957746478865</v>
      </c>
      <c r="BR83" s="252">
        <f>BR80*BR77*3/1000</f>
        <v>85.095026331187839</v>
      </c>
      <c r="BS83" s="252">
        <f>BS80*BS77*3/1000</f>
        <v>86.578377192982458</v>
      </c>
      <c r="BT83" s="252">
        <f>BT80*BT77*3/1000</f>
        <v>99.049868651488609</v>
      </c>
      <c r="BU83" s="253">
        <f>BQ83+BR83+BS83+BT83</f>
        <v>352.34122992213776</v>
      </c>
      <c r="BV83" s="226"/>
      <c r="BW83" s="251">
        <f>BW80*BW77*3/1000</f>
        <v>80.721443661971833</v>
      </c>
      <c r="BX83" s="252">
        <f>BX80*BX77*3/1000</f>
        <v>84.489114101813925</v>
      </c>
      <c r="BY83" s="252">
        <f>BY80*BY77*3/1000</f>
        <v>85.862005263157897</v>
      </c>
      <c r="BZ83" s="252">
        <f>BZ80*BZ77*3/1000</f>
        <v>98.116281961471103</v>
      </c>
      <c r="CA83" s="253">
        <f>BW83+BX83+BY83+BZ83</f>
        <v>349.18884498841476</v>
      </c>
      <c r="CB83" s="226"/>
      <c r="CC83" s="251">
        <f>CC80*CC77*3/1000</f>
        <v>80.271248371478862</v>
      </c>
      <c r="CD83" s="252">
        <f>CD80*CD77*3/1000</f>
        <v>83.920380825043893</v>
      </c>
      <c r="CE83" s="252">
        <f>CE80*CE77*3/1000</f>
        <v>85.184920598684201</v>
      </c>
      <c r="CF83" s="252">
        <f>CF80*CF77*3/1000</f>
        <v>97.229308496059559</v>
      </c>
      <c r="CG83" s="253">
        <f>CC83+CD83+CE83+CF83</f>
        <v>346.60585829126649</v>
      </c>
      <c r="CH83" s="226"/>
      <c r="CI83" s="251">
        <f>CI80*CI77*3/1000</f>
        <v>79.851955721830976</v>
      </c>
      <c r="CJ83" s="252">
        <f>CJ80*CJ77*3/1000</f>
        <v>83.383992568753655</v>
      </c>
      <c r="CK83" s="252">
        <f>CK80*CK77*3/1000</f>
        <v>84.540706539473675</v>
      </c>
      <c r="CL83" s="252">
        <f>CL80*CL77*3/1000</f>
        <v>96.379896948336281</v>
      </c>
      <c r="CM83" s="253">
        <f>CI83+CJ83+CK83+CL83</f>
        <v>344.1565517783946</v>
      </c>
      <c r="CN83" s="226"/>
      <c r="CO83" s="251">
        <f>CO80*CO77*3/1000</f>
        <v>79.502079299735911</v>
      </c>
      <c r="CP83" s="252">
        <f>CP80*CP77*3/1000</f>
        <v>83.016810426038617</v>
      </c>
      <c r="CQ83" s="252">
        <f>CQ80*CQ77*3/1000</f>
        <v>84.166566835855249</v>
      </c>
      <c r="CR83" s="252">
        <f>CR80*CR77*3/1000</f>
        <v>95.95122725391856</v>
      </c>
      <c r="CS83" s="253">
        <f>CO83+CP83+CQ83+CR83</f>
        <v>342.63668381554834</v>
      </c>
      <c r="CT83" s="226"/>
      <c r="CU83" s="251">
        <f>CU80*CU77*3/1000</f>
        <v>79.540472530021987</v>
      </c>
      <c r="CV83" s="252">
        <f>CV80*CV77*3/1000</f>
        <v>83.055035403684613</v>
      </c>
      <c r="CW83" s="252">
        <f>CW80*CW77*3/1000</f>
        <v>84.203420835534871</v>
      </c>
      <c r="CX83" s="252">
        <f>CX80*CX77*3/1000</f>
        <v>95.991064655506776</v>
      </c>
      <c r="CY83" s="253">
        <f>CU83+CV83+CW83+CX83</f>
        <v>342.78999342474822</v>
      </c>
      <c r="CZ83" s="226"/>
      <c r="DA83" s="251">
        <f>DA80*DA77*3/1000</f>
        <v>79.571683416983845</v>
      </c>
      <c r="DB83" s="252">
        <f>DB80*DB77*3/1000</f>
        <v>83.085723199840913</v>
      </c>
      <c r="DC83" s="252">
        <f>DC80*DC77*3/1000</f>
        <v>84.232595258524469</v>
      </c>
      <c r="DD83" s="252">
        <f>DD80*DD77*3/1000</f>
        <v>96.022103682401365</v>
      </c>
      <c r="DE83" s="253">
        <f>DA83+DB83+DC83+DD83</f>
        <v>342.91210555775058</v>
      </c>
      <c r="DF83" s="226"/>
      <c r="DG83" s="251">
        <f>DG80*DG77*3/1000</f>
        <v>79.59556447443191</v>
      </c>
      <c r="DH83" s="252">
        <f>DH80*DH77*3/1000</f>
        <v>83.108719248379984</v>
      </c>
      <c r="DI83" s="252">
        <f>DI80*DI77*3/1000</f>
        <v>84.25393282789031</v>
      </c>
      <c r="DJ83" s="252">
        <f>DJ80*DJ77*3/1000</f>
        <v>96.044164383368312</v>
      </c>
      <c r="DK83" s="253">
        <f>DG83+DH83+DI83+DJ83</f>
        <v>343.00238093407052</v>
      </c>
    </row>
    <row r="84" spans="1:115" ht="15.75" thickBot="1" x14ac:dyDescent="0.35">
      <c r="B84" s="41" t="s">
        <v>56</v>
      </c>
      <c r="C84" s="155"/>
      <c r="D84" s="106"/>
      <c r="E84" s="106"/>
      <c r="F84" s="106"/>
      <c r="G84" s="108"/>
      <c r="I84" s="155"/>
      <c r="J84" s="106"/>
      <c r="K84" s="106"/>
      <c r="L84" s="106"/>
      <c r="M84" s="108"/>
      <c r="O84" s="155" t="s">
        <v>35</v>
      </c>
      <c r="P84" s="106" t="s">
        <v>35</v>
      </c>
      <c r="Q84" s="106" t="s">
        <v>35</v>
      </c>
      <c r="R84" s="106" t="s">
        <v>35</v>
      </c>
      <c r="S84" s="122">
        <f>S83/M83-1</f>
        <v>-2.3913043478260843E-2</v>
      </c>
      <c r="U84" s="109">
        <f>U83/O83-1</f>
        <v>0</v>
      </c>
      <c r="V84" s="110">
        <f>V83/P83-1</f>
        <v>4.5045045045045029E-2</v>
      </c>
      <c r="W84" s="110">
        <f>W83/Q83-1</f>
        <v>6.25E-2</v>
      </c>
      <c r="X84" s="110">
        <f>X83/R83-1</f>
        <v>2.6548672566371723E-2</v>
      </c>
      <c r="Y84" s="122">
        <f>Y83/S83-1</f>
        <v>3.3407572383073569E-2</v>
      </c>
      <c r="AA84" s="109">
        <f>AA83/U83-1</f>
        <v>-9.7345132743362872E-2</v>
      </c>
      <c r="AB84" s="110">
        <f>AB83/V83-1</f>
        <v>-8.6206896551723755E-3</v>
      </c>
      <c r="AC84" s="110">
        <f>AC83/W83-1</f>
        <v>-0.11764705882352944</v>
      </c>
      <c r="AD84" s="110">
        <f>AD83/X83-1</f>
        <v>-1.7241379310344862E-2</v>
      </c>
      <c r="AE84" s="122">
        <f>AE83/Y83-1</f>
        <v>-6.0344827586206851E-2</v>
      </c>
      <c r="AG84" s="109">
        <f>AG83/AA83-1</f>
        <v>-2.9411764705882359E-2</v>
      </c>
      <c r="AH84" s="110">
        <f>AH83/AB83-1</f>
        <v>-0.18260869565217386</v>
      </c>
      <c r="AI84" s="110">
        <f>AI83/AC83-1</f>
        <v>-7.6190476190476142E-2</v>
      </c>
      <c r="AJ84" s="110">
        <f>AJ83/AD83-1</f>
        <v>-3.5087719298245612E-2</v>
      </c>
      <c r="AK84" s="122">
        <f>AK83/AE83-1</f>
        <v>-8.256880733944949E-2</v>
      </c>
      <c r="AM84" s="109">
        <f>AM83/AG83-1</f>
        <v>-8.0808080808080773E-2</v>
      </c>
      <c r="AN84" s="110">
        <f>AN83/AH83-1</f>
        <v>1.0638297872340496E-2</v>
      </c>
      <c r="AO84" s="110">
        <f>AO83/AI83-1</f>
        <v>1.0309278350515427E-2</v>
      </c>
      <c r="AP84" s="110">
        <f>AP83/AJ83-1</f>
        <v>0.17272727272727262</v>
      </c>
      <c r="AQ84" s="122">
        <f>AQ83/AK83-1</f>
        <v>3.2499999999999973E-2</v>
      </c>
      <c r="AS84" s="109">
        <f>AS83/AM83-1</f>
        <v>0.13186813186813184</v>
      </c>
      <c r="AT84" s="110">
        <f>AT83/AN83-1</f>
        <v>5.2631578947368363E-2</v>
      </c>
      <c r="AU84" s="110">
        <f>AU83/AO83-1</f>
        <v>3.0612244897959107E-2</v>
      </c>
      <c r="AV84" s="110">
        <f>AV83/AP83-1</f>
        <v>-0.30232558139534882</v>
      </c>
      <c r="AW84" s="122">
        <f>AW83/AQ83-1</f>
        <v>-4.6004842615012143E-2</v>
      </c>
      <c r="AY84" s="109">
        <f>AY83/AS83-1</f>
        <v>-6.7961165048543659E-2</v>
      </c>
      <c r="AZ84" s="110">
        <f>AZ83/AT83-1</f>
        <v>-3.0000000000000027E-2</v>
      </c>
      <c r="BA84" s="110">
        <f>BA83/AU83-1</f>
        <v>5.9405940594059459E-2</v>
      </c>
      <c r="BB84" s="110">
        <f>BB83/AV83-1</f>
        <v>0.35555555555555562</v>
      </c>
      <c r="BC84" s="122">
        <f>BC83/AW83-1</f>
        <v>7.1065989847715727E-2</v>
      </c>
      <c r="BE84" s="109">
        <f>BE83/AY83-1</f>
        <v>0</v>
      </c>
      <c r="BF84" s="110">
        <f>BF83/AZ83-1</f>
        <v>-1.0309278350515427E-2</v>
      </c>
      <c r="BG84" s="110">
        <f>BG83/BA83-1</f>
        <v>-9.3457943925233655E-2</v>
      </c>
      <c r="BH84" s="110">
        <f>BH83/BB83-1</f>
        <v>-0.10655737704918034</v>
      </c>
      <c r="BI84" s="122">
        <f>BI83/BC83-1</f>
        <v>-5.6872037914691975E-2</v>
      </c>
      <c r="BK84" s="109">
        <f>BK83/BE83-1</f>
        <v>-6.25E-2</v>
      </c>
      <c r="BL84" s="110">
        <f>BL83/BF83-1</f>
        <v>-2.083333333333337E-2</v>
      </c>
      <c r="BM84" s="110">
        <f>BM83/BG83-1</f>
        <v>-4.123711340206182E-2</v>
      </c>
      <c r="BN84" s="110">
        <f>BN83/BH83-1</f>
        <v>-7.3394495412844041E-2</v>
      </c>
      <c r="BO84" s="122">
        <f>BO83/BI83-1</f>
        <v>-5.0251256281407031E-2</v>
      </c>
      <c r="BQ84" s="109">
        <f>BQ83/BK83-1</f>
        <v>-9.3133802816901534E-2</v>
      </c>
      <c r="BR84" s="110">
        <f>BR83/BL83-1</f>
        <v>-9.4733762434171975E-2</v>
      </c>
      <c r="BS84" s="110">
        <f>BS83/BM83-1</f>
        <v>-6.9049707602339194E-2</v>
      </c>
      <c r="BT84" s="110">
        <f>BT83/BN83-1</f>
        <v>-1.9308231173380097E-2</v>
      </c>
      <c r="BU84" s="122">
        <f>BU83/BO83-1</f>
        <v>-6.7880344121328706E-2</v>
      </c>
      <c r="BW84" s="109">
        <f>BW83/BQ83-1</f>
        <v>-1.0984274898077961E-2</v>
      </c>
      <c r="BX84" s="110">
        <f>BX83/BR83-1</f>
        <v>-7.12041884816772E-3</v>
      </c>
      <c r="BY84" s="110">
        <f>BY83/BS83-1</f>
        <v>-8.2742591516560271E-3</v>
      </c>
      <c r="BZ84" s="110">
        <f>BZ83/BT83-1</f>
        <v>-9.4254207777132448E-3</v>
      </c>
      <c r="CA84" s="122">
        <f>CA83/BU83-1</f>
        <v>-8.9469657990909335E-3</v>
      </c>
      <c r="CC84" s="109">
        <f>CC83/BW83-1</f>
        <v>-5.5771461716939141E-3</v>
      </c>
      <c r="CD84" s="110">
        <f>CD83/BX83-1</f>
        <v>-6.7314385150810674E-3</v>
      </c>
      <c r="CE84" s="110">
        <f>CE83/BY83-1</f>
        <v>-7.8857308584687758E-3</v>
      </c>
      <c r="CF84" s="110">
        <f>CF83/BZ83-1</f>
        <v>-9.04002320185604E-3</v>
      </c>
      <c r="CG84" s="122">
        <f>CG83/CA83-1</f>
        <v>-7.397105417940697E-3</v>
      </c>
      <c r="CI84" s="109">
        <f>CI83/CC83-1</f>
        <v>-5.2234474753336535E-3</v>
      </c>
      <c r="CJ84" s="110">
        <f>CJ83/CD83-1</f>
        <v>-6.391632771644451E-3</v>
      </c>
      <c r="CK84" s="110">
        <f>CK83/CE83-1</f>
        <v>-7.5625363583479155E-3</v>
      </c>
      <c r="CL84" s="110">
        <f>CL83/CF83-1</f>
        <v>-8.7361677344203192E-3</v>
      </c>
      <c r="CM84" s="122">
        <f>CM83/CG83-1</f>
        <v>-7.066546782984906E-3</v>
      </c>
      <c r="CO84" s="109">
        <f>CO83/CI83-1</f>
        <v>-4.3815635939322695E-3</v>
      </c>
      <c r="CP84" s="110">
        <f>CP83/CJ83-1</f>
        <v>-4.4035087719298538E-3</v>
      </c>
      <c r="CQ84" s="110">
        <f>CQ83/CK83-1</f>
        <v>-4.4255568581477167E-3</v>
      </c>
      <c r="CR84" s="110">
        <f>CR83/CL83-1</f>
        <v>-4.4477085781436942E-3</v>
      </c>
      <c r="CS84" s="122">
        <f>CS83/CM83-1</f>
        <v>-4.4162110382397479E-3</v>
      </c>
      <c r="CU84" s="109">
        <f>CU83/CO83-1</f>
        <v>4.8292108362768538E-4</v>
      </c>
      <c r="CV84" s="110">
        <f>CV83/CP83-1</f>
        <v>4.6044864226679749E-4</v>
      </c>
      <c r="CW84" s="110">
        <f>CW83/CQ83-1</f>
        <v>4.3786982248539275E-4</v>
      </c>
      <c r="CX84" s="110">
        <f>CX83/CR83-1</f>
        <v>4.1518386714112232E-4</v>
      </c>
      <c r="CY84" s="122">
        <f>CY83/CS83-1</f>
        <v>4.4744073370273085E-4</v>
      </c>
      <c r="DA84" s="109">
        <f>DA83/CU83-1</f>
        <v>3.9239001189073086E-4</v>
      </c>
      <c r="DB84" s="110">
        <f>DB83/CV83-1</f>
        <v>3.6948748510123863E-4</v>
      </c>
      <c r="DC84" s="110">
        <f>DC83/CW83-1</f>
        <v>3.4647550776556457E-4</v>
      </c>
      <c r="DD84" s="110">
        <f>DD83/CX83-1</f>
        <v>3.2335329341304231E-4</v>
      </c>
      <c r="DE84" s="122">
        <f>DE83/CY83-1</f>
        <v>3.5623015649433043E-4</v>
      </c>
      <c r="DG84" s="109">
        <f>DG83/DA83-1</f>
        <v>3.0012004801904801E-4</v>
      </c>
      <c r="DH84" s="110">
        <f>DH83/DB83-1</f>
        <v>2.7677496991573847E-4</v>
      </c>
      <c r="DI84" s="110">
        <f>DI83/DC83-1</f>
        <v>2.5331724969834823E-4</v>
      </c>
      <c r="DJ84" s="110">
        <f>DJ83/DD83-1</f>
        <v>2.2974607013304116E-4</v>
      </c>
      <c r="DK84" s="122">
        <f>DK83/DE83-1</f>
        <v>2.6326097812479077E-4</v>
      </c>
    </row>
    <row r="85" spans="1:115" ht="13.5" thickBot="1" x14ac:dyDescent="0.25">
      <c r="AA85" s="103"/>
      <c r="AB85" s="103"/>
      <c r="AC85" s="103"/>
      <c r="AD85" s="103"/>
      <c r="AE85" s="103"/>
      <c r="AG85" s="103"/>
      <c r="AH85" s="103"/>
      <c r="AI85" s="103"/>
      <c r="AJ85" s="103"/>
      <c r="AK85" s="103"/>
      <c r="AM85" s="103"/>
      <c r="AN85" s="103"/>
      <c r="AO85" s="103"/>
      <c r="AP85" s="103"/>
      <c r="AQ85" s="103"/>
      <c r="AS85" s="103"/>
      <c r="AT85" s="103"/>
      <c r="AU85" s="103"/>
      <c r="AV85" s="103"/>
      <c r="AW85" s="103"/>
      <c r="AY85" s="103"/>
      <c r="AZ85" s="103"/>
      <c r="BA85" s="103"/>
      <c r="BB85" s="103"/>
      <c r="BC85" s="103"/>
      <c r="BE85" s="103"/>
      <c r="BF85" s="103"/>
      <c r="BG85" s="103"/>
      <c r="BH85" s="103"/>
      <c r="BI85" s="103"/>
      <c r="BK85" s="103"/>
      <c r="BL85" s="103"/>
      <c r="BM85" s="103"/>
      <c r="BN85" s="103"/>
      <c r="BO85" s="103"/>
      <c r="BQ85" s="103"/>
      <c r="BR85" s="103"/>
      <c r="BS85" s="103"/>
      <c r="BT85" s="103"/>
      <c r="BU85" s="103"/>
      <c r="BW85" s="103"/>
      <c r="BX85" s="103"/>
      <c r="BY85" s="103"/>
      <c r="BZ85" s="103"/>
      <c r="CA85" s="103"/>
      <c r="CC85" s="103"/>
      <c r="CD85" s="103"/>
      <c r="CE85" s="103"/>
      <c r="CF85" s="103"/>
      <c r="CG85" s="103"/>
      <c r="CI85" s="103"/>
      <c r="CJ85" s="103"/>
      <c r="CK85" s="103"/>
      <c r="CL85" s="103"/>
      <c r="CM85" s="103"/>
      <c r="CO85" s="103"/>
      <c r="CP85" s="103"/>
      <c r="CQ85" s="103"/>
      <c r="CR85" s="103"/>
      <c r="CS85" s="103"/>
      <c r="CU85" s="103"/>
      <c r="CV85" s="103"/>
      <c r="CW85" s="103"/>
      <c r="CX85" s="103"/>
      <c r="CY85" s="103"/>
      <c r="DA85" s="103"/>
      <c r="DB85" s="103"/>
      <c r="DC85" s="103"/>
      <c r="DD85" s="103"/>
      <c r="DE85" s="103"/>
      <c r="DG85" s="103"/>
      <c r="DH85" s="103"/>
      <c r="DI85" s="103"/>
      <c r="DJ85" s="103"/>
      <c r="DK85" s="103"/>
    </row>
    <row r="86" spans="1:115" ht="15" x14ac:dyDescent="0.3">
      <c r="B86" s="42" t="s">
        <v>61</v>
      </c>
      <c r="C86" s="126"/>
      <c r="D86" s="127"/>
      <c r="E86" s="127"/>
      <c r="F86" s="127"/>
      <c r="G86" s="167"/>
      <c r="H86" s="129"/>
      <c r="I86" s="126"/>
      <c r="J86" s="127"/>
      <c r="K86" s="127"/>
      <c r="L86" s="127"/>
      <c r="M86" s="167">
        <v>196</v>
      </c>
      <c r="N86" s="129"/>
      <c r="O86" s="126">
        <v>44</v>
      </c>
      <c r="P86" s="127">
        <v>51</v>
      </c>
      <c r="Q86" s="127">
        <v>47</v>
      </c>
      <c r="R86" s="127">
        <v>40</v>
      </c>
      <c r="S86" s="167">
        <f>O86+P86+Q86+R86</f>
        <v>182</v>
      </c>
      <c r="T86" s="129"/>
      <c r="U86" s="126">
        <v>48</v>
      </c>
      <c r="V86" s="127">
        <v>45</v>
      </c>
      <c r="W86" s="252">
        <v>44</v>
      </c>
      <c r="X86" s="252">
        <v>36</v>
      </c>
      <c r="Y86" s="253">
        <f>U86+V86+W86+X86</f>
        <v>173</v>
      </c>
      <c r="Z86" s="226"/>
      <c r="AA86" s="251">
        <v>41</v>
      </c>
      <c r="AB86" s="252">
        <v>44</v>
      </c>
      <c r="AC86" s="252">
        <v>42</v>
      </c>
      <c r="AD86" s="252">
        <v>42</v>
      </c>
      <c r="AE86" s="253">
        <f>AA86+AB86+AC86+AD86</f>
        <v>169</v>
      </c>
      <c r="AF86" s="226"/>
      <c r="AG86" s="251">
        <v>37</v>
      </c>
      <c r="AH86" s="252">
        <v>37</v>
      </c>
      <c r="AI86" s="252">
        <f>AC86-6</f>
        <v>36</v>
      </c>
      <c r="AJ86" s="252">
        <v>43</v>
      </c>
      <c r="AK86" s="253">
        <f>AG86+AH86+AI86+AJ86</f>
        <v>153</v>
      </c>
      <c r="AL86" s="226"/>
      <c r="AM86" s="251">
        <v>36</v>
      </c>
      <c r="AN86" s="252">
        <v>35</v>
      </c>
      <c r="AO86" s="252">
        <v>35</v>
      </c>
      <c r="AP86" s="252">
        <v>40</v>
      </c>
      <c r="AQ86" s="253">
        <f>AM86+AN86+AO86+AP86</f>
        <v>146</v>
      </c>
      <c r="AR86" s="226"/>
      <c r="AS86" s="251">
        <v>34</v>
      </c>
      <c r="AT86" s="252">
        <f>AN86*0.97</f>
        <v>33.949999999999996</v>
      </c>
      <c r="AU86" s="199">
        <f>AO86*0.92</f>
        <v>32.200000000000003</v>
      </c>
      <c r="AV86" s="252">
        <v>35</v>
      </c>
      <c r="AW86" s="253">
        <f>AS86+AT86+AU86+AV86</f>
        <v>135.14999999999998</v>
      </c>
      <c r="AX86" s="226"/>
      <c r="AY86" s="251">
        <v>32</v>
      </c>
      <c r="AZ86" s="252">
        <v>34</v>
      </c>
      <c r="BA86" s="252">
        <f>AU86*1.08</f>
        <v>34.776000000000003</v>
      </c>
      <c r="BB86" s="199">
        <f>AV86*(1-15.8%)</f>
        <v>29.47</v>
      </c>
      <c r="BC86" s="253">
        <f>AY86+AZ86+BA86+BB86</f>
        <v>130.24600000000001</v>
      </c>
      <c r="BD86" s="226"/>
      <c r="BE86" s="198">
        <f>AY86*1.068</f>
        <v>34.176000000000002</v>
      </c>
      <c r="BF86" s="199">
        <f>AZ86*1.039</f>
        <v>35.326000000000001</v>
      </c>
      <c r="BG86" s="252">
        <f>BA86</f>
        <v>34.776000000000003</v>
      </c>
      <c r="BH86" s="199">
        <f>BB86*0.969</f>
        <v>28.556429999999999</v>
      </c>
      <c r="BI86" s="253">
        <f>BE86+BF86+BG86+BH86</f>
        <v>132.83443000000003</v>
      </c>
      <c r="BJ86" s="226"/>
      <c r="BK86" s="198">
        <f>BE86*0.987</f>
        <v>33.731712000000002</v>
      </c>
      <c r="BL86" s="199">
        <f>BF86*1.025</f>
        <v>36.209149999999994</v>
      </c>
      <c r="BM86" s="199">
        <f>BG86*1.036</f>
        <v>36.027936000000004</v>
      </c>
      <c r="BN86" s="199">
        <f>BH86*1.145</f>
        <v>32.697112349999998</v>
      </c>
      <c r="BO86" s="253">
        <f>BK86+BL86+BM86+BN86</f>
        <v>138.66591034999999</v>
      </c>
      <c r="BP86" s="226"/>
      <c r="BQ86" s="251">
        <f>BQ83*BQ89</f>
        <v>32.630598329577467</v>
      </c>
      <c r="BR86" s="252">
        <f>BR83*BR89</f>
        <v>34.480821512580455</v>
      </c>
      <c r="BS86" s="252">
        <f>BS83*BS89</f>
        <v>34.406001325614042</v>
      </c>
      <c r="BT86" s="252">
        <f>BT83*BT89</f>
        <v>32.065788946044215</v>
      </c>
      <c r="BU86" s="253">
        <f>BQ86+BR86+BS86+BT86</f>
        <v>133.58321011381616</v>
      </c>
      <c r="BV86" s="226"/>
      <c r="BW86" s="251">
        <f>BW83*BW89</f>
        <v>32.070371258281696</v>
      </c>
      <c r="BX86" s="252">
        <f>BX83*BX89</f>
        <v>34.024080835927435</v>
      </c>
      <c r="BY86" s="252">
        <f>BY83*BY89</f>
        <v>33.906662141115795</v>
      </c>
      <c r="BZ86" s="252">
        <f>BZ83*BZ89</f>
        <v>31.518264687754723</v>
      </c>
      <c r="CA86" s="253">
        <f>BW86+BX86+BY86+BZ86</f>
        <v>131.51937892307967</v>
      </c>
      <c r="CB86" s="226"/>
      <c r="CC86" s="251">
        <f>CC83*CC89</f>
        <v>31.690831989065071</v>
      </c>
      <c r="CD86" s="252">
        <f>CD83*CD89</f>
        <v>33.585248875685629</v>
      </c>
      <c r="CE86" s="252">
        <f>CE83*CE89</f>
        <v>33.42632102766521</v>
      </c>
      <c r="CF86" s="252">
        <f>CF83*CF89</f>
        <v>30.990265572455034</v>
      </c>
      <c r="CG86" s="253">
        <f>CC86+CD86+CE86+CF86</f>
        <v>129.69266746487094</v>
      </c>
      <c r="CH86" s="226"/>
      <c r="CI86" s="251">
        <f>CI83*CI89</f>
        <v>31.325666703415987</v>
      </c>
      <c r="CJ86" s="252">
        <f>CJ83*CJ89</f>
        <v>33.16212431690608</v>
      </c>
      <c r="CK86" s="252">
        <f>CK83*CK89</f>
        <v>32.962181493218999</v>
      </c>
      <c r="CL86" s="252">
        <f>CL83*CL89</f>
        <v>30.478579671908992</v>
      </c>
      <c r="CM86" s="253">
        <f>CI86+CJ86+CK86+CL86</f>
        <v>127.92855218545006</v>
      </c>
      <c r="CN86" s="226"/>
      <c r="CO86" s="251">
        <f>CO83*CO89</f>
        <v>30.989656104383304</v>
      </c>
      <c r="CP86" s="252">
        <f>CP83*CP89</f>
        <v>32.808552585515656</v>
      </c>
      <c r="CQ86" s="252">
        <f>CQ83*CQ89</f>
        <v>32.60588906776254</v>
      </c>
      <c r="CR86" s="252">
        <f>CR83*CR89</f>
        <v>30.103141763517812</v>
      </c>
      <c r="CS86" s="253">
        <f>CO86+CP86+CQ86+CR86</f>
        <v>126.50723952117932</v>
      </c>
      <c r="CT86" s="226"/>
      <c r="CU86" s="251">
        <f>CU83*CU89</f>
        <v>30.805770481365425</v>
      </c>
      <c r="CV86" s="252">
        <f>CV83*CV89</f>
        <v>32.616021650499192</v>
      </c>
      <c r="CW86" s="252">
        <f>CW83*CW89</f>
        <v>32.409657650531777</v>
      </c>
      <c r="CX86" s="252">
        <f>CX83*CX89</f>
        <v>29.875662440689517</v>
      </c>
      <c r="CY86" s="253">
        <f>CU86+CV86+CW86+CX86</f>
        <v>125.70711222308591</v>
      </c>
      <c r="CZ86" s="226"/>
      <c r="DA86" s="251">
        <f>DA83*DA89</f>
        <v>30.618929149468453</v>
      </c>
      <c r="DB86" s="252">
        <f>DB83*DB89</f>
        <v>32.420358554313239</v>
      </c>
      <c r="DC86" s="252">
        <f>DC83*DC89</f>
        <v>32.210305314976445</v>
      </c>
      <c r="DD86" s="252">
        <f>DD83*DD89</f>
        <v>29.64526757532661</v>
      </c>
      <c r="DE86" s="253">
        <f>DA86+DB86+DC86+DD86</f>
        <v>124.89486059408475</v>
      </c>
      <c r="DF86" s="226"/>
      <c r="DG86" s="251">
        <f>DG83*DG89</f>
        <v>30.429129592769005</v>
      </c>
      <c r="DH86" s="252">
        <f>DH83*DH89</f>
        <v>32.221559899955814</v>
      </c>
      <c r="DI86" s="252">
        <f>DI83*DI89</f>
        <v>32.007829908861055</v>
      </c>
      <c r="DJ86" s="252">
        <f>DJ83*DJ89</f>
        <v>29.411968048091666</v>
      </c>
      <c r="DK86" s="253">
        <f>DG86+DH86+DI86+DJ86</f>
        <v>124.07048744967754</v>
      </c>
    </row>
    <row r="87" spans="1:115" ht="15.75" thickBot="1" x14ac:dyDescent="0.35">
      <c r="B87" s="41" t="s">
        <v>23</v>
      </c>
      <c r="C87" s="155"/>
      <c r="D87" s="106"/>
      <c r="E87" s="106"/>
      <c r="F87" s="106"/>
      <c r="G87" s="108"/>
      <c r="I87" s="155"/>
      <c r="J87" s="106"/>
      <c r="K87" s="106"/>
      <c r="L87" s="106"/>
      <c r="M87" s="108"/>
      <c r="O87" s="155" t="s">
        <v>35</v>
      </c>
      <c r="P87" s="106" t="s">
        <v>35</v>
      </c>
      <c r="Q87" s="106" t="s">
        <v>35</v>
      </c>
      <c r="R87" s="106" t="s">
        <v>35</v>
      </c>
      <c r="S87" s="122">
        <f>S86/M86-1</f>
        <v>-7.1428571428571397E-2</v>
      </c>
      <c r="U87" s="109">
        <f>U86/O86-1</f>
        <v>9.0909090909090828E-2</v>
      </c>
      <c r="V87" s="110">
        <f>V86/P86-1</f>
        <v>-0.11764705882352944</v>
      </c>
      <c r="W87" s="110">
        <f>W86/Q86-1</f>
        <v>-6.3829787234042534E-2</v>
      </c>
      <c r="X87" s="110">
        <f>X86/R86-1</f>
        <v>-9.9999999999999978E-2</v>
      </c>
      <c r="Y87" s="122">
        <f>Y86/S86-1</f>
        <v>-4.9450549450549497E-2</v>
      </c>
      <c r="AA87" s="109">
        <f>AA86/U86-1</f>
        <v>-0.14583333333333337</v>
      </c>
      <c r="AB87" s="110">
        <f>AB86/V86-1</f>
        <v>-2.2222222222222254E-2</v>
      </c>
      <c r="AC87" s="110">
        <f>AC86/W86-1</f>
        <v>-4.5454545454545414E-2</v>
      </c>
      <c r="AD87" s="110">
        <f>AD86/X86-1</f>
        <v>0.16666666666666674</v>
      </c>
      <c r="AE87" s="122">
        <f>AE86/Y86-1</f>
        <v>-2.3121387283236983E-2</v>
      </c>
      <c r="AG87" s="109">
        <f>AG86/AA86-1</f>
        <v>-9.7560975609756073E-2</v>
      </c>
      <c r="AH87" s="110">
        <f>AH86/AB86-1</f>
        <v>-0.15909090909090906</v>
      </c>
      <c r="AI87" s="110">
        <f>AI86/AC86-1</f>
        <v>-0.1428571428571429</v>
      </c>
      <c r="AJ87" s="110">
        <f>AJ86/AD86-1</f>
        <v>2.3809523809523725E-2</v>
      </c>
      <c r="AK87" s="122">
        <f>AK86/AE86-1</f>
        <v>-9.4674556213017791E-2</v>
      </c>
      <c r="AM87" s="109">
        <f>AM86/AG86-1</f>
        <v>-2.7027027027026973E-2</v>
      </c>
      <c r="AN87" s="110">
        <f>AN86/AH86-1</f>
        <v>-5.4054054054054057E-2</v>
      </c>
      <c r="AO87" s="110">
        <f>AO86/AI86-1</f>
        <v>-2.777777777777779E-2</v>
      </c>
      <c r="AP87" s="110">
        <f>AP86/AJ86-1</f>
        <v>-6.9767441860465129E-2</v>
      </c>
      <c r="AQ87" s="122">
        <f>AQ86/AK86-1</f>
        <v>-4.5751633986928053E-2</v>
      </c>
      <c r="AS87" s="109">
        <f>AS86/AM86-1</f>
        <v>-5.555555555555558E-2</v>
      </c>
      <c r="AT87" s="110">
        <f>AT86/AN86-1</f>
        <v>-3.0000000000000138E-2</v>
      </c>
      <c r="AU87" s="110">
        <f>AU86/AO86-1</f>
        <v>-7.999999999999996E-2</v>
      </c>
      <c r="AV87" s="110">
        <f>AV86/AP86-1</f>
        <v>-0.125</v>
      </c>
      <c r="AW87" s="122">
        <f>AW86/AQ86-1</f>
        <v>-7.4315068493150838E-2</v>
      </c>
      <c r="AY87" s="109">
        <f>AY86/AS86-1</f>
        <v>-5.8823529411764719E-2</v>
      </c>
      <c r="AZ87" s="110">
        <f>AZ86/AT86-1</f>
        <v>1.4727540500738545E-3</v>
      </c>
      <c r="BA87" s="110">
        <f>BA86/AU86-1</f>
        <v>8.0000000000000071E-2</v>
      </c>
      <c r="BB87" s="110">
        <f>BB86/AV86-1</f>
        <v>-0.15800000000000003</v>
      </c>
      <c r="BC87" s="122">
        <f>BC86/AW86-1</f>
        <v>-3.6285608583055629E-2</v>
      </c>
      <c r="BE87" s="109">
        <f>BE86/AY86-1</f>
        <v>6.800000000000006E-2</v>
      </c>
      <c r="BF87" s="110">
        <f>BF86/AZ86-1</f>
        <v>3.8999999999999924E-2</v>
      </c>
      <c r="BG87" s="110">
        <f>BG86/BA86-1</f>
        <v>0</v>
      </c>
      <c r="BH87" s="110">
        <f>BH86/BB86-1</f>
        <v>-3.1000000000000028E-2</v>
      </c>
      <c r="BI87" s="122">
        <f>BI86/BC86-1</f>
        <v>1.9873393424750141E-2</v>
      </c>
      <c r="BK87" s="109">
        <f>BK86/BE86-1</f>
        <v>-1.3000000000000012E-2</v>
      </c>
      <c r="BL87" s="110">
        <f>BL86/BF86-1</f>
        <v>2.4999999999999911E-2</v>
      </c>
      <c r="BM87" s="110">
        <f>BM86/BG86-1</f>
        <v>3.6000000000000032E-2</v>
      </c>
      <c r="BN87" s="110">
        <f>BN86/BH86-1</f>
        <v>0.14500000000000002</v>
      </c>
      <c r="BO87" s="122">
        <f>BO86/BI86-1</f>
        <v>4.3900367924189165E-2</v>
      </c>
      <c r="BQ87" s="109">
        <f>BQ86/BK86-1</f>
        <v>-3.2643278539272957E-2</v>
      </c>
      <c r="BR87" s="110">
        <f>BR86/BL86-1</f>
        <v>-4.7731816058083076E-2</v>
      </c>
      <c r="BS87" s="110">
        <f>BS86/BM86-1</f>
        <v>-4.5018806361429076E-2</v>
      </c>
      <c r="BT87" s="110">
        <f>BT86/BN86-1</f>
        <v>-1.9308231173380097E-2</v>
      </c>
      <c r="BU87" s="122">
        <f>BU86/BO86-1</f>
        <v>-3.6654288161775517E-2</v>
      </c>
      <c r="BW87" s="109">
        <f>BW86/BQ86-1</f>
        <v>-1.7168764900886369E-2</v>
      </c>
      <c r="BX87" s="110">
        <f>BX86/BR86-1</f>
        <v>-1.3246223744593055E-2</v>
      </c>
      <c r="BY87" s="110">
        <f>BY86/BS86-1</f>
        <v>-1.4513142046719274E-2</v>
      </c>
      <c r="BZ87" s="110">
        <f>BZ86/BT86-1</f>
        <v>-1.707502844264297E-2</v>
      </c>
      <c r="CA87" s="122">
        <f>CA86/BU86-1</f>
        <v>-1.5449779871123503E-2</v>
      </c>
      <c r="CC87" s="109">
        <f>CC86/BW86-1</f>
        <v>-1.1834576723791845E-2</v>
      </c>
      <c r="CD87" s="110">
        <f>CD86/BX86-1</f>
        <v>-1.2897687445487915E-2</v>
      </c>
      <c r="CE87" s="110">
        <f>CE86/BY86-1</f>
        <v>-1.4166570317404203E-2</v>
      </c>
      <c r="CF87" s="110">
        <f>CF86/BZ86-1</f>
        <v>-1.675216324662776E-2</v>
      </c>
      <c r="CG87" s="122">
        <f>CG86/CA86-1</f>
        <v>-1.3889295046603745E-2</v>
      </c>
      <c r="CI87" s="109">
        <f>CI86/CC86-1</f>
        <v>-1.1522742153790233E-2</v>
      </c>
      <c r="CJ87" s="110">
        <f>CJ86/CD86-1</f>
        <v>-1.2598523844373655E-2</v>
      </c>
      <c r="CK87" s="110">
        <f>CK86/CE86-1</f>
        <v>-1.3885450751881079E-2</v>
      </c>
      <c r="CL87" s="110">
        <f>CL86/CF86-1</f>
        <v>-1.6511181530526886E-2</v>
      </c>
      <c r="CM87" s="122">
        <f>CM86/CG86-1</f>
        <v>-1.3602274622801724E-2</v>
      </c>
      <c r="CO87" s="109">
        <f>CO86/CI86-1</f>
        <v>-1.0726367046356988E-2</v>
      </c>
      <c r="CP87" s="110">
        <f>CP86/CJ86-1</f>
        <v>-1.0661914418135576E-2</v>
      </c>
      <c r="CQ87" s="110">
        <f>CQ86/CK86-1</f>
        <v>-1.0809127591562939E-2</v>
      </c>
      <c r="CR87" s="110">
        <f>CR86/CL86-1</f>
        <v>-1.2318090686397998E-2</v>
      </c>
      <c r="CS87" s="122">
        <f>CS86/CM86-1</f>
        <v>-1.1110206752049767E-2</v>
      </c>
      <c r="CU87" s="109">
        <f>CU86/CO86-1</f>
        <v>-5.9337742373937186E-3</v>
      </c>
      <c r="CV87" s="110">
        <f>CV86/CP86-1</f>
        <v>-5.8683154191161435E-3</v>
      </c>
      <c r="CW87" s="110">
        <f>CW86/CQ86-1</f>
        <v>-6.0182814467334422E-3</v>
      </c>
      <c r="CX87" s="110">
        <f>CX86/CR86-1</f>
        <v>-7.5566638397849273E-3</v>
      </c>
      <c r="CY87" s="122">
        <f>CY86/CS86-1</f>
        <v>-6.3247550189367008E-3</v>
      </c>
      <c r="DA87" s="109">
        <f>DA86/CU86-1</f>
        <v>-6.0651406855736223E-3</v>
      </c>
      <c r="DB87" s="110">
        <f>DB86/CV86-1</f>
        <v>-5.9989871935518524E-3</v>
      </c>
      <c r="DC87" s="110">
        <f>DC86/CW86-1</f>
        <v>-6.1510163947091634E-3</v>
      </c>
      <c r="DD87" s="110">
        <f>DD86/CX86-1</f>
        <v>-7.7117910212132212E-3</v>
      </c>
      <c r="DE87" s="122">
        <f>DE86/CY86-1</f>
        <v>-6.4614612064248789E-3</v>
      </c>
      <c r="DG87" s="109">
        <f>DG86/DA86-1</f>
        <v>-6.1987653380340957E-3</v>
      </c>
      <c r="DH87" s="110">
        <f>DH86/DB86-1</f>
        <v>-6.1319079498883822E-3</v>
      </c>
      <c r="DI87" s="110">
        <f>DI86/DC86-1</f>
        <v>-6.2860442996560684E-3</v>
      </c>
      <c r="DJ87" s="110">
        <f>DJ86/DD86-1</f>
        <v>-7.8697055657246384E-3</v>
      </c>
      <c r="DK87" s="122">
        <f>DK86/DE86-1</f>
        <v>-6.6005369675415926E-3</v>
      </c>
    </row>
    <row r="88" spans="1:115" ht="15.75" thickBot="1" x14ac:dyDescent="0.35">
      <c r="B88" s="1"/>
      <c r="AA88" s="103"/>
      <c r="AB88" s="103"/>
      <c r="AC88" s="103"/>
      <c r="AD88" s="103"/>
      <c r="AE88" s="103"/>
      <c r="AG88" s="103"/>
      <c r="AH88" s="103"/>
      <c r="AI88" s="103"/>
      <c r="AJ88" s="103"/>
      <c r="AK88" s="103"/>
      <c r="AM88" s="103"/>
      <c r="AN88" s="103"/>
      <c r="AO88" s="103"/>
      <c r="AP88" s="103"/>
      <c r="AQ88" s="103"/>
      <c r="AS88" s="103"/>
      <c r="AT88" s="103"/>
      <c r="AU88" s="103"/>
      <c r="AV88" s="103"/>
      <c r="AW88" s="103"/>
      <c r="AY88" s="103"/>
      <c r="AZ88" s="103"/>
      <c r="BA88" s="103"/>
      <c r="BB88" s="103"/>
      <c r="BC88" s="103"/>
      <c r="BE88" s="103"/>
      <c r="BF88" s="103"/>
      <c r="BG88" s="103"/>
      <c r="BH88" s="103"/>
      <c r="BI88" s="103"/>
      <c r="BK88" s="103"/>
      <c r="BL88" s="103"/>
      <c r="BM88" s="103"/>
      <c r="BN88" s="103"/>
      <c r="BO88" s="103"/>
      <c r="BQ88" s="103"/>
      <c r="BR88" s="103"/>
      <c r="BS88" s="103"/>
      <c r="BT88" s="103"/>
      <c r="BU88" s="103"/>
      <c r="BW88" s="103"/>
      <c r="BX88" s="103"/>
      <c r="BY88" s="103"/>
      <c r="BZ88" s="103"/>
      <c r="CA88" s="103"/>
      <c r="CC88" s="103"/>
      <c r="CD88" s="103"/>
      <c r="CE88" s="103"/>
      <c r="CF88" s="103"/>
      <c r="CG88" s="103"/>
      <c r="CI88" s="103"/>
      <c r="CJ88" s="103"/>
      <c r="CK88" s="103"/>
      <c r="CL88" s="103"/>
      <c r="CM88" s="103"/>
      <c r="CO88" s="103"/>
      <c r="CP88" s="103"/>
      <c r="CQ88" s="103"/>
      <c r="CR88" s="103"/>
      <c r="CS88" s="103"/>
      <c r="CU88" s="103"/>
      <c r="CV88" s="103"/>
      <c r="CW88" s="103"/>
      <c r="CX88" s="103"/>
      <c r="CY88" s="103"/>
      <c r="DA88" s="103"/>
      <c r="DB88" s="103"/>
      <c r="DC88" s="103"/>
      <c r="DD88" s="103"/>
      <c r="DE88" s="103"/>
      <c r="DG88" s="103"/>
      <c r="DH88" s="103"/>
      <c r="DI88" s="103"/>
      <c r="DJ88" s="103"/>
      <c r="DK88" s="103"/>
    </row>
    <row r="89" spans="1:115" ht="15" x14ac:dyDescent="0.3">
      <c r="A89" s="135"/>
      <c r="B89" s="42" t="s">
        <v>36</v>
      </c>
      <c r="C89" s="178"/>
      <c r="D89" s="179"/>
      <c r="E89" s="179"/>
      <c r="F89" s="179"/>
      <c r="G89" s="180"/>
      <c r="H89" s="134"/>
      <c r="I89" s="178"/>
      <c r="J89" s="179"/>
      <c r="K89" s="179"/>
      <c r="L89" s="179"/>
      <c r="M89" s="302">
        <f>M86/M83</f>
        <v>0.42608695652173911</v>
      </c>
      <c r="N89" s="134"/>
      <c r="O89" s="300">
        <f>O86/O83</f>
        <v>0.38938053097345132</v>
      </c>
      <c r="P89" s="301">
        <f>P86/P83</f>
        <v>0.45945945945945948</v>
      </c>
      <c r="Q89" s="301">
        <f>Q86/Q83</f>
        <v>0.41964285714285715</v>
      </c>
      <c r="R89" s="301">
        <f>R86/R83</f>
        <v>0.35398230088495575</v>
      </c>
      <c r="S89" s="302">
        <f>S86/S83</f>
        <v>0.40534521158129178</v>
      </c>
      <c r="T89" s="134"/>
      <c r="U89" s="300">
        <f>U86/U83</f>
        <v>0.4247787610619469</v>
      </c>
      <c r="V89" s="301">
        <f>V86/V83</f>
        <v>0.38793103448275862</v>
      </c>
      <c r="W89" s="301">
        <f>W86/W83</f>
        <v>0.36974789915966388</v>
      </c>
      <c r="X89" s="301">
        <f>X86/X83</f>
        <v>0.31034482758620691</v>
      </c>
      <c r="Y89" s="302">
        <f>Y86/Y83</f>
        <v>0.37284482758620691</v>
      </c>
      <c r="Z89" s="135"/>
      <c r="AA89" s="300">
        <f>AA86/AA83</f>
        <v>0.40196078431372551</v>
      </c>
      <c r="AB89" s="301">
        <f>AB86/AB83</f>
        <v>0.38260869565217392</v>
      </c>
      <c r="AC89" s="301">
        <f>AC86/AC83</f>
        <v>0.4</v>
      </c>
      <c r="AD89" s="301">
        <f>AD86/AD83</f>
        <v>0.36842105263157893</v>
      </c>
      <c r="AE89" s="302">
        <f>AE86/AE83</f>
        <v>0.38761467889908258</v>
      </c>
      <c r="AF89" s="135"/>
      <c r="AG89" s="300">
        <f>AG86/AG83</f>
        <v>0.37373737373737376</v>
      </c>
      <c r="AH89" s="301">
        <f>AH86/AH83</f>
        <v>0.39361702127659576</v>
      </c>
      <c r="AI89" s="301">
        <f>AI86/AI83</f>
        <v>0.37113402061855671</v>
      </c>
      <c r="AJ89" s="301">
        <f>AJ86/AJ83</f>
        <v>0.39090909090909093</v>
      </c>
      <c r="AK89" s="302">
        <f>AK86/AK83</f>
        <v>0.38250000000000001</v>
      </c>
      <c r="AL89" s="135"/>
      <c r="AM89" s="300">
        <f>AM86/AM83</f>
        <v>0.39560439560439559</v>
      </c>
      <c r="AN89" s="301">
        <f>AN86/AN83</f>
        <v>0.36842105263157893</v>
      </c>
      <c r="AO89" s="301">
        <f>AO86/AO83</f>
        <v>0.35714285714285715</v>
      </c>
      <c r="AP89" s="301">
        <f>AP86/AP83</f>
        <v>0.31007751937984496</v>
      </c>
      <c r="AQ89" s="302">
        <f>AQ86/AQ83</f>
        <v>0.35351089588377727</v>
      </c>
      <c r="AR89" s="135"/>
      <c r="AS89" s="300">
        <f>AS86/AS83</f>
        <v>0.3300970873786408</v>
      </c>
      <c r="AT89" s="301">
        <f>AT86/AT83</f>
        <v>0.33949999999999997</v>
      </c>
      <c r="AU89" s="301">
        <f>AU86/AU83</f>
        <v>0.31881188118811882</v>
      </c>
      <c r="AV89" s="301">
        <f>AV86/AV83</f>
        <v>0.3888888888888889</v>
      </c>
      <c r="AW89" s="302">
        <f>AW86/AW83</f>
        <v>0.34302030456852783</v>
      </c>
      <c r="AX89" s="135"/>
      <c r="AY89" s="300">
        <f>AY86/AY83</f>
        <v>0.33333333333333331</v>
      </c>
      <c r="AZ89" s="301">
        <f>AZ86/AZ83</f>
        <v>0.35051546391752575</v>
      </c>
      <c r="BA89" s="301">
        <f>BA86/BA83</f>
        <v>0.32500934579439256</v>
      </c>
      <c r="BB89" s="301">
        <f>BB86/BB83</f>
        <v>0.24155737704918032</v>
      </c>
      <c r="BC89" s="302">
        <f>BC86/BC83</f>
        <v>0.30863981042654032</v>
      </c>
      <c r="BD89" s="135"/>
      <c r="BE89" s="300">
        <f>BE86/BE83</f>
        <v>0.35600000000000004</v>
      </c>
      <c r="BF89" s="301">
        <f>BF86/BF83</f>
        <v>0.36797916666666669</v>
      </c>
      <c r="BG89" s="301">
        <f>BG86/BG83</f>
        <v>0.35851546391752581</v>
      </c>
      <c r="BH89" s="301">
        <f>BH86/BH83</f>
        <v>0.26198559633027524</v>
      </c>
      <c r="BI89" s="302">
        <f>BI86/BI83</f>
        <v>0.33375484924623122</v>
      </c>
      <c r="BJ89" s="135"/>
      <c r="BK89" s="300">
        <f>BK86/BK83</f>
        <v>0.37479680000000004</v>
      </c>
      <c r="BL89" s="301">
        <f>BL86/BL83</f>
        <v>0.38520372340425524</v>
      </c>
      <c r="BM89" s="301">
        <f>BM86/BM83</f>
        <v>0.38739716129032264</v>
      </c>
      <c r="BN89" s="301">
        <f>BN86/BN83</f>
        <v>0.32373378564356431</v>
      </c>
      <c r="BO89" s="302">
        <f>BO86/BO83</f>
        <v>0.36684103267195767</v>
      </c>
      <c r="BP89" s="135"/>
      <c r="BQ89" s="306">
        <f>BK89+BQ90</f>
        <v>0.39979680000000006</v>
      </c>
      <c r="BR89" s="304">
        <f>BL89+BR90</f>
        <v>0.40520372340425526</v>
      </c>
      <c r="BS89" s="304">
        <f>BM89+BS90</f>
        <v>0.39739716129032265</v>
      </c>
      <c r="BT89" s="304">
        <f>BN89+BT90</f>
        <v>0.32373378564356431</v>
      </c>
      <c r="BU89" s="302">
        <f>BU86/BU83</f>
        <v>0.37913022595549234</v>
      </c>
      <c r="BV89" s="135"/>
      <c r="BW89" s="306">
        <f>BQ89+BW90</f>
        <v>0.39729680000000006</v>
      </c>
      <c r="BX89" s="304">
        <f>BR89+BX90</f>
        <v>0.40270372340425525</v>
      </c>
      <c r="BY89" s="304">
        <f>BS89+BY90</f>
        <v>0.39489716129032265</v>
      </c>
      <c r="BZ89" s="304">
        <f>BT89+BZ90</f>
        <v>0.32123378564356431</v>
      </c>
      <c r="CA89" s="302">
        <f>CA86/CA83</f>
        <v>0.37664255548439174</v>
      </c>
      <c r="CB89" s="135"/>
      <c r="CC89" s="306">
        <f>BW89+CC90</f>
        <v>0.39479680000000006</v>
      </c>
      <c r="CD89" s="304">
        <f>BX89+CD90</f>
        <v>0.40020372340425525</v>
      </c>
      <c r="CE89" s="304">
        <f>BY89+CE90</f>
        <v>0.39239716129032265</v>
      </c>
      <c r="CF89" s="304">
        <f>BZ89+CF90</f>
        <v>0.3187337856435643</v>
      </c>
      <c r="CG89" s="302">
        <f>CG86/CG83</f>
        <v>0.37417909813828104</v>
      </c>
      <c r="CH89" s="135"/>
      <c r="CI89" s="306">
        <f>CC89+CI90</f>
        <v>0.39229680000000006</v>
      </c>
      <c r="CJ89" s="304">
        <f>CD89+CJ90</f>
        <v>0.39770372340425525</v>
      </c>
      <c r="CK89" s="304">
        <f>CE89+CK90</f>
        <v>0.38989716129032265</v>
      </c>
      <c r="CL89" s="304">
        <f>CF89+CL90</f>
        <v>0.3162337856435643</v>
      </c>
      <c r="CM89" s="302">
        <f>CM86/CM83</f>
        <v>0.37171616092848458</v>
      </c>
      <c r="CN89" s="135"/>
      <c r="CO89" s="306">
        <f>CI89+CO90</f>
        <v>0.38979680000000005</v>
      </c>
      <c r="CP89" s="304">
        <f>CJ89+CP90</f>
        <v>0.39520372340425525</v>
      </c>
      <c r="CQ89" s="304">
        <f>CK89+CQ90</f>
        <v>0.38739716129032264</v>
      </c>
      <c r="CR89" s="304">
        <f>CL89+CR90</f>
        <v>0.3137337856435643</v>
      </c>
      <c r="CS89" s="302">
        <f>CS86/CS83</f>
        <v>0.36921685708726382</v>
      </c>
      <c r="CT89" s="135"/>
      <c r="CU89" s="306">
        <f>CO89+CU90</f>
        <v>0.38729680000000005</v>
      </c>
      <c r="CV89" s="304">
        <f>CP89+CV90</f>
        <v>0.39270372340425524</v>
      </c>
      <c r="CW89" s="304">
        <f>CQ89+CW90</f>
        <v>0.38489716129032264</v>
      </c>
      <c r="CX89" s="304">
        <f>CR89+CX90</f>
        <v>0.3112337856435643</v>
      </c>
      <c r="CY89" s="302">
        <f>CY86/CY83</f>
        <v>0.3667175665402907</v>
      </c>
      <c r="CZ89" s="135"/>
      <c r="DA89" s="306">
        <f>CU89+DA90</f>
        <v>0.38479680000000005</v>
      </c>
      <c r="DB89" s="304">
        <f>CV89+DB90</f>
        <v>0.39020372340425524</v>
      </c>
      <c r="DC89" s="304">
        <f>CW89+DC90</f>
        <v>0.38239716129032264</v>
      </c>
      <c r="DD89" s="304">
        <f>CX89+DD90</f>
        <v>0.3087337856435643</v>
      </c>
      <c r="DE89" s="302">
        <f>DE86/DE83</f>
        <v>0.36421828967204811</v>
      </c>
      <c r="DF89" s="135"/>
      <c r="DG89" s="306">
        <f>DA89+DG90</f>
        <v>0.38229680000000005</v>
      </c>
      <c r="DH89" s="304">
        <f>DB89+DH90</f>
        <v>0.38770372340425524</v>
      </c>
      <c r="DI89" s="304">
        <f>DC89+DI90</f>
        <v>0.37989716129032264</v>
      </c>
      <c r="DJ89" s="304">
        <f>DD89+DJ90</f>
        <v>0.30623378564356429</v>
      </c>
      <c r="DK89" s="302">
        <f>DK86/DK83</f>
        <v>0.36171902688198976</v>
      </c>
    </row>
    <row r="90" spans="1:115" ht="15.75" thickBot="1" x14ac:dyDescent="0.35">
      <c r="B90" s="41" t="s">
        <v>37</v>
      </c>
      <c r="C90" s="155"/>
      <c r="D90" s="106"/>
      <c r="E90" s="106"/>
      <c r="F90" s="106"/>
      <c r="G90" s="154"/>
      <c r="I90" s="155"/>
      <c r="J90" s="106"/>
      <c r="K90" s="106"/>
      <c r="L90" s="106"/>
      <c r="M90" s="108" t="s">
        <v>35</v>
      </c>
      <c r="O90" s="155" t="s">
        <v>35</v>
      </c>
      <c r="P90" s="106" t="s">
        <v>35</v>
      </c>
      <c r="Q90" s="106" t="s">
        <v>35</v>
      </c>
      <c r="R90" s="106" t="s">
        <v>35</v>
      </c>
      <c r="S90" s="177">
        <f>S89-M89</f>
        <v>-2.0741744940447338E-2</v>
      </c>
      <c r="U90" s="174">
        <f>U89-O89</f>
        <v>3.5398230088495575E-2</v>
      </c>
      <c r="V90" s="175">
        <f>V89-P89</f>
        <v>-7.1528424976700866E-2</v>
      </c>
      <c r="W90" s="175">
        <f>W89-Q89</f>
        <v>-4.9894957983193267E-2</v>
      </c>
      <c r="X90" s="175">
        <f>X89-R89</f>
        <v>-4.3637473298748841E-2</v>
      </c>
      <c r="Y90" s="177">
        <f>Y89-S89</f>
        <v>-3.2500383995084869E-2</v>
      </c>
      <c r="AA90" s="174">
        <f>AA89-U89</f>
        <v>-2.2817976748221391E-2</v>
      </c>
      <c r="AB90" s="175">
        <f>AB89-V89</f>
        <v>-5.3223388305846941E-3</v>
      </c>
      <c r="AC90" s="175">
        <f>AC89-W89</f>
        <v>3.0252100840336138E-2</v>
      </c>
      <c r="AD90" s="175">
        <f>AD89-X89</f>
        <v>5.8076225045372021E-2</v>
      </c>
      <c r="AE90" s="177">
        <f>AE89-Y89</f>
        <v>1.476985131287567E-2</v>
      </c>
      <c r="AG90" s="174">
        <f>AG89-AA89</f>
        <v>-2.8223410576351748E-2</v>
      </c>
      <c r="AH90" s="175">
        <f>AH89-AB89</f>
        <v>1.1008325624421833E-2</v>
      </c>
      <c r="AI90" s="175">
        <f>AI89-AC89</f>
        <v>-2.8865979381443307E-2</v>
      </c>
      <c r="AJ90" s="175">
        <f>AJ89-AD89</f>
        <v>2.2488038277512001E-2</v>
      </c>
      <c r="AK90" s="177">
        <f>AK89-AE89</f>
        <v>-5.1146788990825698E-3</v>
      </c>
      <c r="AM90" s="174">
        <f>AM89-AG89</f>
        <v>2.186702186702183E-2</v>
      </c>
      <c r="AN90" s="175">
        <f>AN89-AH89</f>
        <v>-2.5195968645016831E-2</v>
      </c>
      <c r="AO90" s="175">
        <f>AO89-AI89</f>
        <v>-1.3991163475699564E-2</v>
      </c>
      <c r="AP90" s="175">
        <f>AP89-AJ89</f>
        <v>-8.0831571529245971E-2</v>
      </c>
      <c r="AQ90" s="177">
        <f>AQ89-AK89</f>
        <v>-2.8989104116222741E-2</v>
      </c>
      <c r="AS90" s="174">
        <f>AS89-AM89</f>
        <v>-6.550730822575479E-2</v>
      </c>
      <c r="AT90" s="175">
        <f>AT89-AN89</f>
        <v>-2.8921052631578958E-2</v>
      </c>
      <c r="AU90" s="175">
        <f>AU89-AO89</f>
        <v>-3.8330975954738333E-2</v>
      </c>
      <c r="AV90" s="175">
        <f>AV89-AP89</f>
        <v>7.8811369509043938E-2</v>
      </c>
      <c r="AW90" s="177">
        <f>AW89-AQ89</f>
        <v>-1.0490591315249431E-2</v>
      </c>
      <c r="AY90" s="174">
        <f>AY89-AS89</f>
        <v>3.2362459546925182E-3</v>
      </c>
      <c r="AZ90" s="175">
        <f>AZ89-AT89</f>
        <v>1.1015463917525781E-2</v>
      </c>
      <c r="BA90" s="175">
        <f>BA89-AU89</f>
        <v>6.1974646062737393E-3</v>
      </c>
      <c r="BB90" s="175">
        <f>BB89-AV89</f>
        <v>-0.14733151183970858</v>
      </c>
      <c r="BC90" s="177">
        <f>BC89-AW89</f>
        <v>-3.4380494141987517E-2</v>
      </c>
      <c r="BE90" s="174">
        <f>BE89-AY89</f>
        <v>2.2666666666666724E-2</v>
      </c>
      <c r="BF90" s="175">
        <f>BF89-AZ89</f>
        <v>1.7463702749140941E-2</v>
      </c>
      <c r="BG90" s="175">
        <f>BG89-BA89</f>
        <v>3.3506118123133255E-2</v>
      </c>
      <c r="BH90" s="175">
        <f>BH89-BB89</f>
        <v>2.0428219281094923E-2</v>
      </c>
      <c r="BI90" s="177">
        <f>BI89-BC89</f>
        <v>2.5115038819690905E-2</v>
      </c>
      <c r="BK90" s="174">
        <f>BK89-BE89</f>
        <v>1.8796800000000002E-2</v>
      </c>
      <c r="BL90" s="175">
        <f>BL89-BF89</f>
        <v>1.7224556737588548E-2</v>
      </c>
      <c r="BM90" s="175">
        <f>BM89-BG89</f>
        <v>2.8881697372796833E-2</v>
      </c>
      <c r="BN90" s="175">
        <f>BN89-BH89</f>
        <v>6.174818931328907E-2</v>
      </c>
      <c r="BO90" s="177">
        <f>BO89-BI89</f>
        <v>3.3086183425726445E-2</v>
      </c>
      <c r="BQ90" s="174">
        <v>2.5000000000000001E-2</v>
      </c>
      <c r="BR90" s="175">
        <v>0.02</v>
      </c>
      <c r="BS90" s="175">
        <v>0.01</v>
      </c>
      <c r="BT90" s="175">
        <v>0</v>
      </c>
      <c r="BU90" s="177">
        <f>BU89-BO89</f>
        <v>1.2289193283534672E-2</v>
      </c>
      <c r="BW90" s="174">
        <v>-2.5000000000000001E-3</v>
      </c>
      <c r="BX90" s="175">
        <v>-2.5000000000000001E-3</v>
      </c>
      <c r="BY90" s="175">
        <v>-2.5000000000000001E-3</v>
      </c>
      <c r="BZ90" s="175">
        <v>-2.5000000000000001E-3</v>
      </c>
      <c r="CA90" s="177">
        <f>CA89-BU89</f>
        <v>-2.4876704711006004E-3</v>
      </c>
      <c r="CC90" s="174">
        <v>-2.5000000000000001E-3</v>
      </c>
      <c r="CD90" s="175">
        <v>-2.5000000000000001E-3</v>
      </c>
      <c r="CE90" s="175">
        <v>-2.5000000000000001E-3</v>
      </c>
      <c r="CF90" s="175">
        <v>-2.5000000000000001E-3</v>
      </c>
      <c r="CG90" s="177">
        <f>CG89-CA89</f>
        <v>-2.4634573461106979E-3</v>
      </c>
      <c r="CI90" s="174">
        <v>-2.5000000000000001E-3</v>
      </c>
      <c r="CJ90" s="175">
        <v>-2.5000000000000001E-3</v>
      </c>
      <c r="CK90" s="175">
        <v>-2.5000000000000001E-3</v>
      </c>
      <c r="CL90" s="175">
        <v>-2.5000000000000001E-3</v>
      </c>
      <c r="CM90" s="177">
        <f>CM89-CG89</f>
        <v>-2.4629372097964564E-3</v>
      </c>
      <c r="CO90" s="174">
        <v>-2.5000000000000001E-3</v>
      </c>
      <c r="CP90" s="175">
        <v>-2.5000000000000001E-3</v>
      </c>
      <c r="CQ90" s="175">
        <v>-2.5000000000000001E-3</v>
      </c>
      <c r="CR90" s="175">
        <v>-2.5000000000000001E-3</v>
      </c>
      <c r="CS90" s="177">
        <f>CS89-CM89</f>
        <v>-2.499303841220768E-3</v>
      </c>
      <c r="CU90" s="174">
        <v>-2.5000000000000001E-3</v>
      </c>
      <c r="CV90" s="175">
        <v>-2.5000000000000001E-3</v>
      </c>
      <c r="CW90" s="175">
        <v>-2.5000000000000001E-3</v>
      </c>
      <c r="CX90" s="175">
        <v>-2.5000000000000001E-3</v>
      </c>
      <c r="CY90" s="177">
        <f>CY89-CS89</f>
        <v>-2.4992905469731208E-3</v>
      </c>
      <c r="DA90" s="174">
        <v>-2.5000000000000001E-3</v>
      </c>
      <c r="DB90" s="175">
        <v>-2.5000000000000001E-3</v>
      </c>
      <c r="DC90" s="175">
        <v>-2.5000000000000001E-3</v>
      </c>
      <c r="DD90" s="175">
        <v>-2.5000000000000001E-3</v>
      </c>
      <c r="DE90" s="177">
        <f>DE89-CY89</f>
        <v>-2.4992768682425837E-3</v>
      </c>
      <c r="DG90" s="174">
        <v>-2.5000000000000001E-3</v>
      </c>
      <c r="DH90" s="175">
        <v>-2.5000000000000001E-3</v>
      </c>
      <c r="DI90" s="175">
        <v>-2.5000000000000001E-3</v>
      </c>
      <c r="DJ90" s="175">
        <v>-2.5000000000000001E-3</v>
      </c>
      <c r="DK90" s="177">
        <f>DK89-DE89</f>
        <v>-2.4992627900583542E-3</v>
      </c>
    </row>
    <row r="91" spans="1:115" ht="15.75" thickBot="1" x14ac:dyDescent="0.35">
      <c r="B91" s="1"/>
      <c r="AA91" s="103"/>
      <c r="AB91" s="103"/>
      <c r="AC91" s="103"/>
      <c r="AD91" s="103"/>
      <c r="AE91" s="103"/>
      <c r="AG91" s="103"/>
      <c r="AH91" s="103"/>
      <c r="AI91" s="103"/>
      <c r="AJ91" s="103"/>
      <c r="AK91" s="103"/>
      <c r="AM91" s="103"/>
      <c r="AN91" s="103"/>
      <c r="AO91" s="103"/>
      <c r="AP91" s="103"/>
      <c r="AQ91" s="103"/>
      <c r="AS91" s="103"/>
      <c r="AT91" s="103"/>
      <c r="AU91" s="103"/>
      <c r="AV91" s="103"/>
      <c r="AW91" s="103"/>
      <c r="AY91" s="103"/>
      <c r="AZ91" s="103"/>
      <c r="BA91" s="103"/>
      <c r="BB91" s="103"/>
      <c r="BC91" s="103"/>
      <c r="BE91" s="103"/>
      <c r="BF91" s="103"/>
      <c r="BG91" s="103"/>
      <c r="BH91" s="103"/>
      <c r="BI91" s="103"/>
      <c r="BK91" s="103"/>
      <c r="BL91" s="103"/>
      <c r="BM91" s="103"/>
      <c r="BN91" s="103"/>
      <c r="BO91" s="103"/>
      <c r="BQ91" s="103"/>
      <c r="BR91" s="103"/>
      <c r="BS91" s="103"/>
      <c r="BT91" s="103"/>
      <c r="BU91" s="103"/>
      <c r="BW91" s="103"/>
      <c r="BX91" s="103"/>
      <c r="BY91" s="103"/>
      <c r="BZ91" s="103"/>
      <c r="CA91" s="103"/>
      <c r="CC91" s="103"/>
      <c r="CD91" s="103"/>
      <c r="CE91" s="103"/>
      <c r="CF91" s="103"/>
      <c r="CG91" s="103"/>
      <c r="CI91" s="103"/>
      <c r="CJ91" s="103"/>
      <c r="CK91" s="103"/>
      <c r="CL91" s="103"/>
      <c r="CM91" s="103"/>
      <c r="CO91" s="103"/>
      <c r="CP91" s="103"/>
      <c r="CQ91" s="103"/>
      <c r="CR91" s="103"/>
      <c r="CS91" s="103"/>
      <c r="CU91" s="103"/>
      <c r="CV91" s="103"/>
      <c r="CW91" s="103"/>
      <c r="CX91" s="103"/>
      <c r="CY91" s="103"/>
      <c r="DA91" s="103"/>
      <c r="DB91" s="103"/>
      <c r="DC91" s="103"/>
      <c r="DD91" s="103"/>
      <c r="DE91" s="103"/>
      <c r="DG91" s="103"/>
      <c r="DH91" s="103"/>
      <c r="DI91" s="103"/>
      <c r="DJ91" s="103"/>
      <c r="DK91" s="103"/>
    </row>
    <row r="92" spans="1:115" ht="15" x14ac:dyDescent="0.3">
      <c r="B92" s="139" t="s">
        <v>62</v>
      </c>
      <c r="C92" s="126"/>
      <c r="D92" s="127"/>
      <c r="E92" s="127"/>
      <c r="F92" s="127"/>
      <c r="G92" s="167"/>
      <c r="H92" s="129"/>
      <c r="I92" s="126"/>
      <c r="J92" s="127"/>
      <c r="K92" s="127"/>
      <c r="L92" s="127"/>
      <c r="M92" s="167">
        <v>95</v>
      </c>
      <c r="N92" s="129"/>
      <c r="O92" s="126">
        <v>33</v>
      </c>
      <c r="P92" s="127">
        <v>20</v>
      </c>
      <c r="Q92" s="127">
        <v>21</v>
      </c>
      <c r="R92" s="127">
        <v>21</v>
      </c>
      <c r="S92" s="167">
        <f>O92+P92+Q92+R92</f>
        <v>95</v>
      </c>
      <c r="T92" s="129"/>
      <c r="U92" s="126">
        <v>26</v>
      </c>
      <c r="V92" s="127">
        <v>16</v>
      </c>
      <c r="W92" s="252">
        <v>11</v>
      </c>
      <c r="X92" s="252">
        <v>29</v>
      </c>
      <c r="Y92" s="253">
        <f>U92+V92+W92+X92</f>
        <v>82</v>
      </c>
      <c r="Z92" s="226"/>
      <c r="AA92" s="251">
        <v>29</v>
      </c>
      <c r="AB92" s="252">
        <v>12</v>
      </c>
      <c r="AC92" s="252">
        <v>20</v>
      </c>
      <c r="AD92" s="252">
        <v>17</v>
      </c>
      <c r="AE92" s="253">
        <f>AA92+AB92+AC92+AD92</f>
        <v>78</v>
      </c>
      <c r="AF92" s="226"/>
      <c r="AG92" s="251">
        <v>26</v>
      </c>
      <c r="AH92" s="252">
        <v>11</v>
      </c>
      <c r="AI92" s="252">
        <v>8</v>
      </c>
      <c r="AJ92" s="252">
        <v>12.4</v>
      </c>
      <c r="AK92" s="253">
        <f>AG92+AH92+AI92+AJ92</f>
        <v>57.4</v>
      </c>
      <c r="AL92" s="226"/>
      <c r="AM92" s="251">
        <v>23</v>
      </c>
      <c r="AN92" s="252">
        <v>11</v>
      </c>
      <c r="AO92" s="252">
        <v>10</v>
      </c>
      <c r="AP92" s="252">
        <v>16</v>
      </c>
      <c r="AQ92" s="253">
        <f>AM92+AN92+AO92+AP92</f>
        <v>60</v>
      </c>
      <c r="AR92" s="226"/>
      <c r="AS92" s="251">
        <v>35</v>
      </c>
      <c r="AT92" s="252">
        <f>AN92*5/2</f>
        <v>27.5</v>
      </c>
      <c r="AU92" s="252">
        <f>AO92*1.19</f>
        <v>11.899999999999999</v>
      </c>
      <c r="AV92" s="252">
        <v>12</v>
      </c>
      <c r="AW92" s="253">
        <f>AS92+AT92+AU92+AV92</f>
        <v>86.4</v>
      </c>
      <c r="AX92" s="226"/>
      <c r="AY92" s="251">
        <v>16</v>
      </c>
      <c r="AZ92" s="252">
        <v>12</v>
      </c>
      <c r="BA92" s="252">
        <f>AU92*0.96</f>
        <v>11.423999999999998</v>
      </c>
      <c r="BB92" s="252">
        <f>AV92*(1.08)</f>
        <v>12.96</v>
      </c>
      <c r="BC92" s="253">
        <f>AY92+AZ92+BA92+BB92</f>
        <v>52.384</v>
      </c>
      <c r="BD92" s="226"/>
      <c r="BE92" s="251">
        <f>AY92*1.53</f>
        <v>24.48</v>
      </c>
      <c r="BF92" s="252">
        <v>10</v>
      </c>
      <c r="BG92" s="252">
        <f>BA92*1.25</f>
        <v>14.279999999999998</v>
      </c>
      <c r="BH92" s="252">
        <v>14</v>
      </c>
      <c r="BI92" s="253">
        <f>BE92+BF92+BG92+BH92</f>
        <v>62.760000000000005</v>
      </c>
      <c r="BJ92" s="226"/>
      <c r="BK92" s="198">
        <f>BE92*0.86</f>
        <v>21.052800000000001</v>
      </c>
      <c r="BL92" s="252">
        <v>16</v>
      </c>
      <c r="BM92" s="252">
        <v>15</v>
      </c>
      <c r="BN92" s="252">
        <v>17</v>
      </c>
      <c r="BO92" s="253">
        <f>BK92+BL92+BM92+BN92</f>
        <v>69.052800000000005</v>
      </c>
      <c r="BP92" s="226"/>
      <c r="BQ92" s="251">
        <f>BQ95*BQ83</f>
        <v>18.683982887323943</v>
      </c>
      <c r="BR92" s="252">
        <f>BR95*BR83</f>
        <v>14.058784669397308</v>
      </c>
      <c r="BS92" s="252">
        <f>BS95*BS83</f>
        <v>13.5313625</v>
      </c>
      <c r="BT92" s="252">
        <f>BT95*BT83</f>
        <v>16.176510726795097</v>
      </c>
      <c r="BU92" s="253">
        <f>BQ92+BR92+BS92+BT92</f>
        <v>62.450640783516349</v>
      </c>
      <c r="BV92" s="226"/>
      <c r="BW92" s="251">
        <f>BW95*BW83</f>
        <v>18.075145664788735</v>
      </c>
      <c r="BX92" s="252">
        <f>BX95*BX83</f>
        <v>13.536234663545931</v>
      </c>
      <c r="BY92" s="252">
        <f>BY95*BY83</f>
        <v>12.99009047368421</v>
      </c>
      <c r="BZ92" s="252">
        <f>BZ95*BZ83</f>
        <v>15.533458896672505</v>
      </c>
      <c r="CA92" s="253">
        <f>BW92+BX92+BY92+BZ92</f>
        <v>60.134929698691387</v>
      </c>
      <c r="CB92" s="226"/>
      <c r="CC92" s="251">
        <f>CC95*CC83</f>
        <v>17.572981693484152</v>
      </c>
      <c r="CD92" s="252">
        <f>CD95*CD83</f>
        <v>13.025514428057344</v>
      </c>
      <c r="CE92" s="252">
        <f>CE95*CE83</f>
        <v>12.461729513388155</v>
      </c>
      <c r="CF92" s="252">
        <f>CF95*CF83</f>
        <v>14.90688952536121</v>
      </c>
      <c r="CG92" s="253">
        <f>CC92+CD92+CE92+CF92</f>
        <v>57.967115160290859</v>
      </c>
      <c r="CH92" s="226"/>
      <c r="CI92" s="251">
        <f>CI95*CI83</f>
        <v>17.481190146623238</v>
      </c>
      <c r="CJ92" s="252">
        <f>CJ95*CJ83</f>
        <v>12.942260123171444</v>
      </c>
      <c r="CK92" s="252">
        <f>CK95*CK83</f>
        <v>12.367487230855261</v>
      </c>
      <c r="CL92" s="252">
        <f>CL95*CL83</f>
        <v>14.776660438069181</v>
      </c>
      <c r="CM92" s="253">
        <f>CI92+CJ92+CK92+CL92</f>
        <v>57.567597938719125</v>
      </c>
      <c r="CN92" s="226"/>
      <c r="CO92" s="251">
        <f>CO95*CO83</f>
        <v>17.404595200298186</v>
      </c>
      <c r="CP92" s="252">
        <f>CP95*CP83</f>
        <v>12.88526876719046</v>
      </c>
      <c r="CQ92" s="252">
        <f>CQ95*CQ83</f>
        <v>12.312754212922695</v>
      </c>
      <c r="CR92" s="252">
        <f>CR95*CR83</f>
        <v>14.710938158682465</v>
      </c>
      <c r="CS92" s="253">
        <f>CO92+CP92+CQ92+CR92</f>
        <v>57.313556339093807</v>
      </c>
      <c r="CT92" s="226"/>
      <c r="CU92" s="251">
        <f>CU95*CU83</f>
        <v>17.413000246272414</v>
      </c>
      <c r="CV92" s="252">
        <f>CV95*CV83</f>
        <v>12.891201771699556</v>
      </c>
      <c r="CW92" s="252">
        <f>CW95*CW83</f>
        <v>12.318145596424213</v>
      </c>
      <c r="CX92" s="252">
        <f>CX95*CX83</f>
        <v>14.717045902876459</v>
      </c>
      <c r="CY92" s="253">
        <f>CU92+CV92+CW92+CX92</f>
        <v>57.33939351727264</v>
      </c>
      <c r="CZ92" s="226"/>
      <c r="DA92" s="251">
        <f>DA95*DA83</f>
        <v>17.419832933646102</v>
      </c>
      <c r="DB92" s="252">
        <f>DB95*DB83</f>
        <v>12.895964909422116</v>
      </c>
      <c r="DC92" s="252">
        <f>DC95*DC83</f>
        <v>12.322413532174465</v>
      </c>
      <c r="DD92" s="252">
        <f>DD95*DD83</f>
        <v>14.721804708138466</v>
      </c>
      <c r="DE92" s="253">
        <f>DA92+DB92+DC92+DD92</f>
        <v>57.360016083381147</v>
      </c>
      <c r="DF92" s="226"/>
      <c r="DG92" s="251">
        <f>DG95*DG83</f>
        <v>17.425060974742635</v>
      </c>
      <c r="DH92" s="252">
        <f>DH95*DH83</f>
        <v>12.899534189721956</v>
      </c>
      <c r="DI92" s="252">
        <f>DI95*DI83</f>
        <v>12.325535012080081</v>
      </c>
      <c r="DJ92" s="252">
        <f>DJ95*DJ83</f>
        <v>14.725186984915428</v>
      </c>
      <c r="DK92" s="253">
        <f>DG92+DH92+DI92+DJ92</f>
        <v>57.375317161460103</v>
      </c>
    </row>
    <row r="93" spans="1:115" ht="15" x14ac:dyDescent="0.3">
      <c r="B93" s="5" t="s">
        <v>40</v>
      </c>
      <c r="C93" s="144"/>
      <c r="D93" s="107"/>
      <c r="E93" s="107"/>
      <c r="F93" s="107"/>
      <c r="G93" s="138"/>
      <c r="I93" s="144"/>
      <c r="J93" s="107"/>
      <c r="K93" s="107"/>
      <c r="L93" s="107"/>
      <c r="M93" s="138" t="s">
        <v>35</v>
      </c>
      <c r="O93" s="144" t="s">
        <v>35</v>
      </c>
      <c r="P93" s="107" t="s">
        <v>35</v>
      </c>
      <c r="Q93" s="107" t="s">
        <v>35</v>
      </c>
      <c r="R93" s="107" t="s">
        <v>35</v>
      </c>
      <c r="S93" s="138" t="s">
        <v>35</v>
      </c>
      <c r="U93" s="151">
        <f>U92/O92-1</f>
        <v>-0.21212121212121215</v>
      </c>
      <c r="V93" s="133">
        <f>V92/P92-1</f>
        <v>-0.19999999999999996</v>
      </c>
      <c r="W93" s="133">
        <f>W92/Q92-1</f>
        <v>-0.47619047619047616</v>
      </c>
      <c r="X93" s="133">
        <f>X92/R92-1</f>
        <v>0.38095238095238093</v>
      </c>
      <c r="Y93" s="153">
        <f>Y92/S92-1</f>
        <v>-0.13684210526315788</v>
      </c>
      <c r="AA93" s="151">
        <f>AA92/U92-1</f>
        <v>0.11538461538461542</v>
      </c>
      <c r="AB93" s="133">
        <f>AB92/V92-1</f>
        <v>-0.25</v>
      </c>
      <c r="AC93" s="133">
        <f>AC92/W92-1</f>
        <v>0.81818181818181812</v>
      </c>
      <c r="AD93" s="133">
        <f>AD92/X92-1</f>
        <v>-0.41379310344827591</v>
      </c>
      <c r="AE93" s="153">
        <f>AE92/Y92-1</f>
        <v>-4.8780487804878092E-2</v>
      </c>
      <c r="AG93" s="151">
        <f>AG92/AA92-1</f>
        <v>-0.10344827586206895</v>
      </c>
      <c r="AH93" s="133">
        <f>AH92/AB92-1</f>
        <v>-8.333333333333337E-2</v>
      </c>
      <c r="AI93" s="133">
        <f>AI92/AC92-1</f>
        <v>-0.6</v>
      </c>
      <c r="AJ93" s="133">
        <f>AJ92/AD92-1</f>
        <v>-0.27058823529411757</v>
      </c>
      <c r="AK93" s="153">
        <f>AK92/AE92-1</f>
        <v>-0.26410256410256416</v>
      </c>
      <c r="AM93" s="151">
        <f>AM92/AG92-1</f>
        <v>-0.11538461538461542</v>
      </c>
      <c r="AN93" s="133">
        <f>AN92/AH92-1</f>
        <v>0</v>
      </c>
      <c r="AO93" s="133">
        <f>AO92/AI92-1</f>
        <v>0.25</v>
      </c>
      <c r="AP93" s="133">
        <f>AP92/AJ92-1</f>
        <v>0.29032258064516125</v>
      </c>
      <c r="AQ93" s="153">
        <f>AQ92/AK92-1</f>
        <v>4.5296167247386832E-2</v>
      </c>
      <c r="AS93" s="151">
        <f>AS92/AM92-1</f>
        <v>0.52173913043478271</v>
      </c>
      <c r="AT93" s="133">
        <f>AT92/AN92-1</f>
        <v>1.5</v>
      </c>
      <c r="AU93" s="133">
        <f>AU92/AO92-1</f>
        <v>0.18999999999999995</v>
      </c>
      <c r="AV93" s="133">
        <f>AV92/AP92-1</f>
        <v>-0.25</v>
      </c>
      <c r="AW93" s="153">
        <f>AW92/AQ92-1</f>
        <v>0.44000000000000017</v>
      </c>
      <c r="AY93" s="151">
        <f>AY92/AS92-1</f>
        <v>-0.54285714285714293</v>
      </c>
      <c r="AZ93" s="133">
        <f>AZ92/AT92-1</f>
        <v>-0.56363636363636371</v>
      </c>
      <c r="BA93" s="133">
        <f>BA92/AU92-1</f>
        <v>-4.0000000000000036E-2</v>
      </c>
      <c r="BB93" s="133">
        <f>BB92/AV92-1</f>
        <v>8.0000000000000071E-2</v>
      </c>
      <c r="BC93" s="153">
        <f>BC92/AW92-1</f>
        <v>-0.39370370370370378</v>
      </c>
      <c r="BE93" s="151">
        <f>BE92/AY92-1</f>
        <v>0.53</v>
      </c>
      <c r="BF93" s="133">
        <f>BF92/AZ92-1</f>
        <v>-0.16666666666666663</v>
      </c>
      <c r="BG93" s="133">
        <f>BG92/BA92-1</f>
        <v>0.25</v>
      </c>
      <c r="BH93" s="133">
        <f>BH92/BB92-1</f>
        <v>8.0246913580246826E-2</v>
      </c>
      <c r="BI93" s="153">
        <f>BI92/BC92-1</f>
        <v>0.19807574832009789</v>
      </c>
      <c r="BK93" s="151">
        <f>BK92/BE92-1</f>
        <v>-0.14000000000000001</v>
      </c>
      <c r="BL93" s="133">
        <f>BL92/BF92-1</f>
        <v>0.60000000000000009</v>
      </c>
      <c r="BM93" s="133">
        <f>BM92/BG92-1</f>
        <v>5.0420168067227156E-2</v>
      </c>
      <c r="BN93" s="133">
        <f>BN92/BH92-1</f>
        <v>0.21428571428571419</v>
      </c>
      <c r="BO93" s="153">
        <f>BO92/BI92-1</f>
        <v>0.10026768642447426</v>
      </c>
      <c r="BQ93" s="151">
        <f>BQ92/BK92-1</f>
        <v>-0.11251791270881106</v>
      </c>
      <c r="BR93" s="133">
        <f>BR92/BL92-1</f>
        <v>-0.12132595816266822</v>
      </c>
      <c r="BS93" s="133">
        <f>BS92/BM92-1</f>
        <v>-9.7909166666666603E-2</v>
      </c>
      <c r="BT93" s="133">
        <f>BT92/BN92-1</f>
        <v>-4.8440545482641317E-2</v>
      </c>
      <c r="BU93" s="153">
        <f>BU92/BO92-1</f>
        <v>-9.5610304237969457E-2</v>
      </c>
      <c r="BW93" s="151">
        <f>BW92/BQ92-1</f>
        <v>-3.2586051175858777E-2</v>
      </c>
      <c r="BX93" s="133">
        <f>BX92/BR92-1</f>
        <v>-3.7168931606787248E-2</v>
      </c>
      <c r="BY93" s="133">
        <f>BY92/BS92-1</f>
        <v>-4.0001295236587575E-2</v>
      </c>
      <c r="BZ93" s="133">
        <f>BZ92/BT92-1</f>
        <v>-3.9752196316194977E-2</v>
      </c>
      <c r="CA93" s="153">
        <f>CA92/BU92-1</f>
        <v>-3.7080661715743091E-2</v>
      </c>
      <c r="CC93" s="151">
        <f>CC92/BW92-1</f>
        <v>-2.7782015183580144E-2</v>
      </c>
      <c r="CD93" s="133">
        <f>CD92/BX92-1</f>
        <v>-3.7729859756642226E-2</v>
      </c>
      <c r="CE93" s="133">
        <f>CE92/BY92-1</f>
        <v>-4.0674155531589817E-2</v>
      </c>
      <c r="CF93" s="133">
        <f>CF92/BZ92-1</f>
        <v>-4.0336757928751799E-2</v>
      </c>
      <c r="CG93" s="153">
        <f>CG92/CA92-1</f>
        <v>-3.6049173903793585E-2</v>
      </c>
      <c r="CI93" s="151">
        <f>CI92/CC92-1</f>
        <v>-5.2234474753336535E-3</v>
      </c>
      <c r="CJ93" s="133">
        <f>CJ92/CD92-1</f>
        <v>-6.391632771644562E-3</v>
      </c>
      <c r="CK93" s="133">
        <f>CK92/CE92-1</f>
        <v>-7.5625363583478045E-3</v>
      </c>
      <c r="CL93" s="133">
        <f>CL92/CF92-1</f>
        <v>-8.7361677344203192E-3</v>
      </c>
      <c r="CM93" s="153">
        <f>CM92/CG92-1</f>
        <v>-6.8921356611759688E-3</v>
      </c>
      <c r="CO93" s="151">
        <f>CO92/CI92-1</f>
        <v>-4.3815635939322695E-3</v>
      </c>
      <c r="CP93" s="133">
        <f>CP92/CJ92-1</f>
        <v>-4.4035087719298538E-3</v>
      </c>
      <c r="CQ93" s="133">
        <f>CQ92/CK92-1</f>
        <v>-4.4255568581477167E-3</v>
      </c>
      <c r="CR93" s="133">
        <f>CR92/CL92-1</f>
        <v>-4.4477085781435832E-3</v>
      </c>
      <c r="CS93" s="153">
        <f>CS92/CM92-1</f>
        <v>-4.412926867223943E-3</v>
      </c>
      <c r="CU93" s="151">
        <f>CU92/CO92-1</f>
        <v>4.8292108362768538E-4</v>
      </c>
      <c r="CV93" s="133">
        <f>CV92/CP92-1</f>
        <v>4.6044864226679749E-4</v>
      </c>
      <c r="CW93" s="133">
        <f>CW92/CQ92-1</f>
        <v>4.3786982248539275E-4</v>
      </c>
      <c r="CX93" s="133">
        <f>CX92/CR92-1</f>
        <v>4.1518386714090028E-4</v>
      </c>
      <c r="CY93" s="153">
        <f>CY92/CS92-1</f>
        <v>4.5080396033991832E-4</v>
      </c>
      <c r="DA93" s="151">
        <f>DA92/CU92-1</f>
        <v>3.9239001189073086E-4</v>
      </c>
      <c r="DB93" s="133">
        <f>DB92/CV92-1</f>
        <v>3.6948748510123863E-4</v>
      </c>
      <c r="DC93" s="133">
        <f>DC92/CW92-1</f>
        <v>3.4647550776578662E-4</v>
      </c>
      <c r="DD93" s="133">
        <f>DD92/CX92-1</f>
        <v>3.2335329341304231E-4</v>
      </c>
      <c r="DE93" s="153">
        <f>DE92/CY92-1</f>
        <v>3.5965790433922784E-4</v>
      </c>
      <c r="DG93" s="151">
        <f>DG92/DA92-1</f>
        <v>3.0012004801927006E-4</v>
      </c>
      <c r="DH93" s="133">
        <f>DH92/DB92-1</f>
        <v>2.7677496991573847E-4</v>
      </c>
      <c r="DI93" s="133">
        <f>DI92/DC92-1</f>
        <v>2.5331724969834823E-4</v>
      </c>
      <c r="DJ93" s="133">
        <f>DJ92/DD92-1</f>
        <v>2.2974607013304116E-4</v>
      </c>
      <c r="DK93" s="153">
        <f>DK92/DE92-1</f>
        <v>2.6675512183804706E-4</v>
      </c>
    </row>
    <row r="94" spans="1:115" ht="15" x14ac:dyDescent="0.3">
      <c r="B94" s="105"/>
      <c r="C94" s="144"/>
      <c r="D94" s="107"/>
      <c r="E94" s="107"/>
      <c r="F94" s="107"/>
      <c r="G94" s="138"/>
      <c r="I94" s="144"/>
      <c r="J94" s="107"/>
      <c r="K94" s="107"/>
      <c r="L94" s="107"/>
      <c r="M94" s="138"/>
      <c r="O94" s="144"/>
      <c r="P94" s="107"/>
      <c r="Q94" s="107"/>
      <c r="R94" s="107"/>
      <c r="S94" s="138"/>
      <c r="U94" s="144"/>
      <c r="V94" s="107"/>
      <c r="W94" s="107"/>
      <c r="X94" s="107"/>
      <c r="Y94" s="138"/>
      <c r="AA94" s="144"/>
      <c r="AB94" s="107"/>
      <c r="AC94" s="107"/>
      <c r="AD94" s="107"/>
      <c r="AE94" s="138"/>
      <c r="AG94" s="144"/>
      <c r="AH94" s="107"/>
      <c r="AI94" s="107"/>
      <c r="AJ94" s="107"/>
      <c r="AK94" s="138"/>
      <c r="AM94" s="144"/>
      <c r="AN94" s="107"/>
      <c r="AO94" s="107"/>
      <c r="AP94" s="107"/>
      <c r="AQ94" s="138"/>
      <c r="AS94" s="144"/>
      <c r="AT94" s="107"/>
      <c r="AU94" s="107"/>
      <c r="AV94" s="107"/>
      <c r="AW94" s="138"/>
      <c r="AY94" s="144"/>
      <c r="AZ94" s="107"/>
      <c r="BA94" s="107"/>
      <c r="BB94" s="107"/>
      <c r="BC94" s="138"/>
      <c r="BE94" s="144"/>
      <c r="BF94" s="107"/>
      <c r="BG94" s="107"/>
      <c r="BH94" s="107"/>
      <c r="BI94" s="138"/>
      <c r="BK94" s="144"/>
      <c r="BL94" s="107"/>
      <c r="BM94" s="107"/>
      <c r="BN94" s="107"/>
      <c r="BO94" s="138"/>
      <c r="BQ94" s="144"/>
      <c r="BR94" s="107"/>
      <c r="BS94" s="107"/>
      <c r="BT94" s="107"/>
      <c r="BU94" s="138"/>
      <c r="BW94" s="144"/>
      <c r="BX94" s="107"/>
      <c r="BY94" s="107"/>
      <c r="BZ94" s="107"/>
      <c r="CA94" s="138"/>
      <c r="CC94" s="144"/>
      <c r="CD94" s="107"/>
      <c r="CE94" s="107"/>
      <c r="CF94" s="107"/>
      <c r="CG94" s="138"/>
      <c r="CI94" s="144"/>
      <c r="CJ94" s="107"/>
      <c r="CK94" s="107"/>
      <c r="CL94" s="107"/>
      <c r="CM94" s="138"/>
      <c r="CO94" s="144"/>
      <c r="CP94" s="107"/>
      <c r="CQ94" s="107"/>
      <c r="CR94" s="107"/>
      <c r="CS94" s="138"/>
      <c r="CU94" s="144"/>
      <c r="CV94" s="107"/>
      <c r="CW94" s="107"/>
      <c r="CX94" s="107"/>
      <c r="CY94" s="138"/>
      <c r="DA94" s="144"/>
      <c r="DB94" s="107"/>
      <c r="DC94" s="107"/>
      <c r="DD94" s="107"/>
      <c r="DE94" s="138"/>
      <c r="DG94" s="144"/>
      <c r="DH94" s="107"/>
      <c r="DI94" s="107"/>
      <c r="DJ94" s="107"/>
      <c r="DK94" s="138"/>
    </row>
    <row r="95" spans="1:115" ht="15" x14ac:dyDescent="0.3">
      <c r="B95" s="105" t="s">
        <v>24</v>
      </c>
      <c r="C95" s="144"/>
      <c r="D95" s="107"/>
      <c r="E95" s="107"/>
      <c r="F95" s="107"/>
      <c r="G95" s="138"/>
      <c r="I95" s="144"/>
      <c r="J95" s="107"/>
      <c r="K95" s="107"/>
      <c r="L95" s="107"/>
      <c r="M95" s="173">
        <f>M92/M83</f>
        <v>0.20652173913043478</v>
      </c>
      <c r="N95" s="129"/>
      <c r="O95" s="171">
        <f>O92/O83</f>
        <v>0.29203539823008851</v>
      </c>
      <c r="P95" s="165">
        <f>P92/P83</f>
        <v>0.18018018018018017</v>
      </c>
      <c r="Q95" s="165">
        <f>Q92/Q83</f>
        <v>0.1875</v>
      </c>
      <c r="R95" s="165">
        <f>R92/R83</f>
        <v>0.18584070796460178</v>
      </c>
      <c r="S95" s="173">
        <f>S92/S83</f>
        <v>0.21158129175946547</v>
      </c>
      <c r="T95" s="129"/>
      <c r="U95" s="171">
        <f>U92/U83</f>
        <v>0.23008849557522124</v>
      </c>
      <c r="V95" s="165">
        <f>V92/V83</f>
        <v>0.13793103448275862</v>
      </c>
      <c r="W95" s="165">
        <f>W92/W83</f>
        <v>9.2436974789915971E-2</v>
      </c>
      <c r="X95" s="165">
        <f>X92/X83</f>
        <v>0.25</v>
      </c>
      <c r="Y95" s="173">
        <f>Y92/Y83</f>
        <v>0.17672413793103448</v>
      </c>
      <c r="Z95" s="226"/>
      <c r="AA95" s="171">
        <f>AA92/AA83</f>
        <v>0.28431372549019607</v>
      </c>
      <c r="AB95" s="165">
        <f>AB92/AB83</f>
        <v>0.10434782608695652</v>
      </c>
      <c r="AC95" s="165">
        <f>AC92/AC83</f>
        <v>0.19047619047619047</v>
      </c>
      <c r="AD95" s="165">
        <f>AD92/AD83</f>
        <v>0.14912280701754385</v>
      </c>
      <c r="AE95" s="173">
        <f>AE92/AE83</f>
        <v>0.17889908256880735</v>
      </c>
      <c r="AF95" s="226"/>
      <c r="AG95" s="171">
        <f>AG92/AG83</f>
        <v>0.26262626262626265</v>
      </c>
      <c r="AH95" s="165">
        <f>AH92/AH83</f>
        <v>0.11702127659574468</v>
      </c>
      <c r="AI95" s="165">
        <f>AI92/AI83</f>
        <v>8.247422680412371E-2</v>
      </c>
      <c r="AJ95" s="165">
        <f>AJ92/AJ83</f>
        <v>0.11272727272727273</v>
      </c>
      <c r="AK95" s="173">
        <f>AK92/AK83</f>
        <v>0.14349999999999999</v>
      </c>
      <c r="AL95" s="226"/>
      <c r="AM95" s="171">
        <f>AM92/AM83</f>
        <v>0.25274725274725274</v>
      </c>
      <c r="AN95" s="165">
        <f>AN92/AN83</f>
        <v>0.11578947368421053</v>
      </c>
      <c r="AO95" s="165">
        <f>AO92/AO83</f>
        <v>0.10204081632653061</v>
      </c>
      <c r="AP95" s="165">
        <f>AP92/AP83</f>
        <v>0.12403100775193798</v>
      </c>
      <c r="AQ95" s="173">
        <f>AQ92/AQ83</f>
        <v>0.14527845036319612</v>
      </c>
      <c r="AR95" s="226"/>
      <c r="AS95" s="171">
        <f>AS92/AS83</f>
        <v>0.33980582524271846</v>
      </c>
      <c r="AT95" s="165">
        <f>AT92/AT83</f>
        <v>0.27500000000000002</v>
      </c>
      <c r="AU95" s="165">
        <f>AU92/AU83</f>
        <v>0.1178217821782178</v>
      </c>
      <c r="AV95" s="165">
        <f>AV92/AV83</f>
        <v>0.13333333333333333</v>
      </c>
      <c r="AW95" s="173">
        <f>AW92/AW83</f>
        <v>0.21928934010152284</v>
      </c>
      <c r="AX95" s="226"/>
      <c r="AY95" s="171">
        <f>AY92/AY83</f>
        <v>0.16666666666666666</v>
      </c>
      <c r="AZ95" s="165">
        <f>AZ92/AZ83</f>
        <v>0.12371134020618557</v>
      </c>
      <c r="BA95" s="165">
        <f>BA92/BA83</f>
        <v>0.1067663551401869</v>
      </c>
      <c r="BB95" s="165">
        <f>BB92/BB83</f>
        <v>0.10622950819672132</v>
      </c>
      <c r="BC95" s="173">
        <f>BC92/BC83</f>
        <v>0.12413270142180095</v>
      </c>
      <c r="BD95" s="226"/>
      <c r="BE95" s="171">
        <f>BE92/BE83</f>
        <v>0.255</v>
      </c>
      <c r="BF95" s="165">
        <f>BF92/BF83</f>
        <v>0.10416666666666667</v>
      </c>
      <c r="BG95" s="165">
        <f>BG92/BG83</f>
        <v>0.14721649484536081</v>
      </c>
      <c r="BH95" s="165">
        <f>BH92/BH83</f>
        <v>0.12844036697247707</v>
      </c>
      <c r="BI95" s="173">
        <f>BI92/BI83</f>
        <v>0.1576884422110553</v>
      </c>
      <c r="BJ95" s="226"/>
      <c r="BK95" s="171">
        <f>BK92/BK83</f>
        <v>0.23392000000000002</v>
      </c>
      <c r="BL95" s="165">
        <f>BL92/BL83</f>
        <v>0.1702127659574468</v>
      </c>
      <c r="BM95" s="165">
        <f>BM92/BM83</f>
        <v>0.16129032258064516</v>
      </c>
      <c r="BN95" s="165">
        <f>BN92/BN83</f>
        <v>0.16831683168316833</v>
      </c>
      <c r="BO95" s="173">
        <f>BO92/BO83</f>
        <v>0.18267936507936508</v>
      </c>
      <c r="BP95" s="226"/>
      <c r="BQ95" s="350">
        <f>BK95+BQ96</f>
        <v>0.22892000000000001</v>
      </c>
      <c r="BR95" s="349">
        <f>BL95+BR96</f>
        <v>0.1652127659574468</v>
      </c>
      <c r="BS95" s="349">
        <f>BM95+BS96</f>
        <v>0.15629032258064515</v>
      </c>
      <c r="BT95" s="349">
        <f>BN95+BT96</f>
        <v>0.16331683168316832</v>
      </c>
      <c r="BU95" s="173">
        <f>BU92/BU83</f>
        <v>0.17724477148847162</v>
      </c>
      <c r="BV95" s="226"/>
      <c r="BW95" s="350">
        <f>BQ95+BW96</f>
        <v>0.22392000000000001</v>
      </c>
      <c r="BX95" s="349">
        <f>BR95+BX96</f>
        <v>0.1602127659574468</v>
      </c>
      <c r="BY95" s="349">
        <f>BS95+BY96</f>
        <v>0.15129032258064515</v>
      </c>
      <c r="BZ95" s="349">
        <f>BT95+BZ96</f>
        <v>0.15831683168316832</v>
      </c>
      <c r="CA95" s="173">
        <f>CA92/CA83</f>
        <v>0.17221320371985685</v>
      </c>
      <c r="CB95" s="226"/>
      <c r="CC95" s="350">
        <f>BW95+CC96</f>
        <v>0.21892</v>
      </c>
      <c r="CD95" s="349">
        <f>BX95+CD96</f>
        <v>0.15521276595744679</v>
      </c>
      <c r="CE95" s="349">
        <f>BY95+CE96</f>
        <v>0.14629032258064514</v>
      </c>
      <c r="CF95" s="349">
        <f>BZ95+CF96</f>
        <v>0.15331683168316831</v>
      </c>
      <c r="CG95" s="173">
        <f>CG92/CG83</f>
        <v>0.16724216793698513</v>
      </c>
      <c r="CH95" s="226"/>
      <c r="CI95" s="350">
        <f>CC95+CI96</f>
        <v>0.21892</v>
      </c>
      <c r="CJ95" s="349">
        <f>CD95+CJ96</f>
        <v>0.15521276595744679</v>
      </c>
      <c r="CK95" s="349">
        <f>CE95+CK96</f>
        <v>0.14629032258064514</v>
      </c>
      <c r="CL95" s="349">
        <f>CF95+CL96</f>
        <v>0.15331683168316831</v>
      </c>
      <c r="CM95" s="173">
        <f>CM92/CM83</f>
        <v>0.16727154442141029</v>
      </c>
      <c r="CN95" s="226"/>
      <c r="CO95" s="350">
        <f>CI95+CO96</f>
        <v>0.21892</v>
      </c>
      <c r="CP95" s="349">
        <f>CJ95+CP96</f>
        <v>0.15521276595744679</v>
      </c>
      <c r="CQ95" s="349">
        <f>CK95+CQ96</f>
        <v>0.14629032258064514</v>
      </c>
      <c r="CR95" s="349">
        <f>CL95+CR96</f>
        <v>0.15331683168316831</v>
      </c>
      <c r="CS95" s="173">
        <f>CS92/CS83</f>
        <v>0.16727209620656797</v>
      </c>
      <c r="CT95" s="226"/>
      <c r="CU95" s="350">
        <f>CO95+CU96</f>
        <v>0.21892</v>
      </c>
      <c r="CV95" s="349">
        <f>CP95+CV96</f>
        <v>0.15521276595744679</v>
      </c>
      <c r="CW95" s="349">
        <f>CQ95+CW96</f>
        <v>0.14629032258064514</v>
      </c>
      <c r="CX95" s="349">
        <f>CR95+CX96</f>
        <v>0.15331683168316831</v>
      </c>
      <c r="CY95" s="173">
        <f>CY92/CY83</f>
        <v>0.16727265852893167</v>
      </c>
      <c r="CZ95" s="226"/>
      <c r="DA95" s="350">
        <f>CU95+DA96</f>
        <v>0.21892</v>
      </c>
      <c r="DB95" s="349">
        <f>CV95+DB96</f>
        <v>0.15521276595744679</v>
      </c>
      <c r="DC95" s="349">
        <f>CW95+DC96</f>
        <v>0.14629032258064514</v>
      </c>
      <c r="DD95" s="349">
        <f>CX95+DD96</f>
        <v>0.15331683168316831</v>
      </c>
      <c r="DE95" s="173">
        <f>DE92/DE83</f>
        <v>0.16727323169324806</v>
      </c>
      <c r="DF95" s="226"/>
      <c r="DG95" s="350">
        <f>DA95+DG96</f>
        <v>0.21892</v>
      </c>
      <c r="DH95" s="349">
        <f>DB95+DH96</f>
        <v>0.15521276595744679</v>
      </c>
      <c r="DI95" s="349">
        <f>DC95+DI96</f>
        <v>0.14629032258064514</v>
      </c>
      <c r="DJ95" s="349">
        <f>DD95+DJ96</f>
        <v>0.15331683168316831</v>
      </c>
      <c r="DK95" s="173">
        <f>DK92/DK83</f>
        <v>0.16727381601612959</v>
      </c>
    </row>
    <row r="96" spans="1:115" ht="15.75" thickBot="1" x14ac:dyDescent="0.35">
      <c r="B96" s="140" t="s">
        <v>40</v>
      </c>
      <c r="C96" s="155"/>
      <c r="D96" s="106"/>
      <c r="E96" s="106"/>
      <c r="F96" s="106"/>
      <c r="G96" s="108"/>
      <c r="I96" s="155"/>
      <c r="J96" s="106"/>
      <c r="K96" s="106"/>
      <c r="L96" s="106"/>
      <c r="M96" s="108" t="s">
        <v>35</v>
      </c>
      <c r="O96" s="155" t="s">
        <v>35</v>
      </c>
      <c r="P96" s="106" t="s">
        <v>35</v>
      </c>
      <c r="Q96" s="106" t="s">
        <v>35</v>
      </c>
      <c r="R96" s="106" t="s">
        <v>35</v>
      </c>
      <c r="S96" s="177">
        <f>S95-M95</f>
        <v>5.0595526290306836E-3</v>
      </c>
      <c r="U96" s="174">
        <f>U95-O95</f>
        <v>-6.194690265486727E-2</v>
      </c>
      <c r="V96" s="175">
        <f>V95-P95</f>
        <v>-4.2249145697421553E-2</v>
      </c>
      <c r="W96" s="175">
        <f>W95-Q95</f>
        <v>-9.5063025210084029E-2</v>
      </c>
      <c r="X96" s="175">
        <f>X95-R95</f>
        <v>6.4159292035398219E-2</v>
      </c>
      <c r="Y96" s="177">
        <f>Y95-S95</f>
        <v>-3.4857153828430992E-2</v>
      </c>
      <c r="AA96" s="174">
        <f>AA95-U95</f>
        <v>5.4225229914974832E-2</v>
      </c>
      <c r="AB96" s="175">
        <f>AB95-V95</f>
        <v>-3.3583208395802103E-2</v>
      </c>
      <c r="AC96" s="175">
        <f>AC95-W95</f>
        <v>9.8039215686274495E-2</v>
      </c>
      <c r="AD96" s="175">
        <f>AD95-X95</f>
        <v>-0.10087719298245615</v>
      </c>
      <c r="AE96" s="177">
        <f>AE95-Y95</f>
        <v>2.1749446377728743E-3</v>
      </c>
      <c r="AG96" s="174">
        <f>AG95-AA95</f>
        <v>-2.1687462863933415E-2</v>
      </c>
      <c r="AH96" s="175">
        <f>AH95-AB95</f>
        <v>1.2673450508788167E-2</v>
      </c>
      <c r="AI96" s="175">
        <f>AI95-AC95</f>
        <v>-0.10800196367206676</v>
      </c>
      <c r="AJ96" s="175">
        <f>AJ95-AD95</f>
        <v>-3.639553429027112E-2</v>
      </c>
      <c r="AK96" s="177">
        <f>AK95-AE95</f>
        <v>-3.5399082568807361E-2</v>
      </c>
      <c r="AM96" s="174">
        <f>AM95-AG95</f>
        <v>-9.8790098790099146E-3</v>
      </c>
      <c r="AN96" s="175">
        <f>AN95-AH95</f>
        <v>-1.2318029115341578E-3</v>
      </c>
      <c r="AO96" s="175">
        <f>AO95-AI95</f>
        <v>1.9566589522406905E-2</v>
      </c>
      <c r="AP96" s="175">
        <f>AP95-AJ95</f>
        <v>1.1303735024665251E-2</v>
      </c>
      <c r="AQ96" s="177">
        <f>AQ95-AK95</f>
        <v>1.7784503631961268E-3</v>
      </c>
      <c r="AS96" s="174">
        <f>AS95-AM95</f>
        <v>8.7058572495465725E-2</v>
      </c>
      <c r="AT96" s="175">
        <f>AT95-AN95</f>
        <v>0.1592105263157895</v>
      </c>
      <c r="AU96" s="175">
        <f>AU95-AO95</f>
        <v>1.5780965851687187E-2</v>
      </c>
      <c r="AV96" s="175">
        <f>AV95-AP95</f>
        <v>9.3023255813953487E-3</v>
      </c>
      <c r="AW96" s="177">
        <f>AW95-AQ95</f>
        <v>7.4010889738326729E-2</v>
      </c>
      <c r="AY96" s="174">
        <f>AY95-AS95</f>
        <v>-0.1731391585760518</v>
      </c>
      <c r="AZ96" s="175">
        <f>AZ95-AT95</f>
        <v>-0.15128865979381445</v>
      </c>
      <c r="BA96" s="175">
        <f>BA95-AU95</f>
        <v>-1.1055427038030904E-2</v>
      </c>
      <c r="BB96" s="175">
        <f>BB95-AV95</f>
        <v>-2.7103825136612011E-2</v>
      </c>
      <c r="BC96" s="177">
        <f>BC95-AW95</f>
        <v>-9.5156638679721892E-2</v>
      </c>
      <c r="BE96" s="174">
        <f>BE95-AY95</f>
        <v>8.8333333333333347E-2</v>
      </c>
      <c r="BF96" s="175">
        <f>BF95-AZ95</f>
        <v>-1.95446735395189E-2</v>
      </c>
      <c r="BG96" s="175">
        <f>BG95-BA95</f>
        <v>4.0450139705173915E-2</v>
      </c>
      <c r="BH96" s="175">
        <f>BH95-BB95</f>
        <v>2.2210858775755751E-2</v>
      </c>
      <c r="BI96" s="177">
        <f>BI95-BC95</f>
        <v>3.3555740789254343E-2</v>
      </c>
      <c r="BK96" s="174">
        <f>BK95-BE95</f>
        <v>-2.1079999999999988E-2</v>
      </c>
      <c r="BL96" s="175">
        <f>BL95-BF95</f>
        <v>6.6046099290780133E-2</v>
      </c>
      <c r="BM96" s="175">
        <f>BM95-BG95</f>
        <v>1.4073827735284344E-2</v>
      </c>
      <c r="BN96" s="175">
        <f>BN95-BH95</f>
        <v>3.9876464710691256E-2</v>
      </c>
      <c r="BO96" s="177">
        <f>BO95-BI95</f>
        <v>2.4990922868309784E-2</v>
      </c>
      <c r="BQ96" s="174">
        <v>-5.0000000000000001E-3</v>
      </c>
      <c r="BR96" s="175">
        <v>-5.0000000000000001E-3</v>
      </c>
      <c r="BS96" s="175">
        <v>-5.0000000000000001E-3</v>
      </c>
      <c r="BT96" s="175">
        <v>-5.0000000000000001E-3</v>
      </c>
      <c r="BU96" s="177">
        <f>BU95-BO95</f>
        <v>-5.4345935908934606E-3</v>
      </c>
      <c r="BW96" s="174">
        <v>-5.0000000000000001E-3</v>
      </c>
      <c r="BX96" s="175">
        <v>-5.0000000000000001E-3</v>
      </c>
      <c r="BY96" s="175">
        <v>-5.0000000000000001E-3</v>
      </c>
      <c r="BZ96" s="175">
        <v>-5.0000000000000001E-3</v>
      </c>
      <c r="CA96" s="177">
        <f>CA95-BU95</f>
        <v>-5.0315677686147697E-3</v>
      </c>
      <c r="CC96" s="174">
        <v>-5.0000000000000001E-3</v>
      </c>
      <c r="CD96" s="175">
        <v>-5.0000000000000001E-3</v>
      </c>
      <c r="CE96" s="175">
        <v>-5.0000000000000001E-3</v>
      </c>
      <c r="CF96" s="175">
        <v>-5.0000000000000001E-3</v>
      </c>
      <c r="CG96" s="177">
        <f>CG95-CA95</f>
        <v>-4.9710357828717244E-3</v>
      </c>
      <c r="CI96" s="174">
        <v>0</v>
      </c>
      <c r="CJ96" s="175">
        <v>0</v>
      </c>
      <c r="CK96" s="175">
        <v>0</v>
      </c>
      <c r="CL96" s="175">
        <v>0</v>
      </c>
      <c r="CM96" s="177">
        <f>CM95-CG95</f>
        <v>2.9376484425164273E-5</v>
      </c>
      <c r="CO96" s="174">
        <v>0</v>
      </c>
      <c r="CP96" s="175">
        <v>0</v>
      </c>
      <c r="CQ96" s="175">
        <v>0</v>
      </c>
      <c r="CR96" s="175">
        <v>0</v>
      </c>
      <c r="CS96" s="177">
        <f>CS95-CM95</f>
        <v>5.517851576763988E-7</v>
      </c>
      <c r="CU96" s="174">
        <v>0</v>
      </c>
      <c r="CV96" s="175">
        <v>0</v>
      </c>
      <c r="CW96" s="175">
        <v>0</v>
      </c>
      <c r="CX96" s="175">
        <v>0</v>
      </c>
      <c r="CY96" s="177">
        <f>CY95-CS95</f>
        <v>5.6232236370079569E-7</v>
      </c>
      <c r="DA96" s="174">
        <v>0</v>
      </c>
      <c r="DB96" s="175">
        <v>0</v>
      </c>
      <c r="DC96" s="175">
        <v>0</v>
      </c>
      <c r="DD96" s="175">
        <v>0</v>
      </c>
      <c r="DE96" s="177">
        <f>DE95-CY95</f>
        <v>5.7316431639753418E-7</v>
      </c>
      <c r="DG96" s="174">
        <v>0</v>
      </c>
      <c r="DH96" s="175">
        <v>0</v>
      </c>
      <c r="DI96" s="175">
        <v>0</v>
      </c>
      <c r="DJ96" s="175">
        <v>0</v>
      </c>
      <c r="DK96" s="177">
        <f>DK95-DE95</f>
        <v>5.8432288152499012E-7</v>
      </c>
    </row>
    <row r="97" spans="2:115" ht="15.75" thickBot="1" x14ac:dyDescent="0.35">
      <c r="B97" s="1"/>
      <c r="AA97" s="103"/>
      <c r="AB97" s="103"/>
      <c r="AC97" s="103"/>
      <c r="AD97" s="103"/>
      <c r="AE97" s="103"/>
      <c r="AG97" s="103"/>
      <c r="AH97" s="103"/>
      <c r="AI97" s="103"/>
      <c r="AJ97" s="103"/>
      <c r="AK97" s="103"/>
      <c r="AM97" s="103"/>
      <c r="AN97" s="103"/>
      <c r="AO97" s="103"/>
      <c r="AP97" s="103"/>
      <c r="AQ97" s="103"/>
      <c r="AS97" s="103"/>
      <c r="AT97" s="103"/>
      <c r="AU97" s="103"/>
      <c r="AV97" s="103"/>
      <c r="AW97" s="103"/>
      <c r="AY97" s="103"/>
      <c r="AZ97" s="103"/>
      <c r="BA97" s="103"/>
      <c r="BB97" s="103"/>
      <c r="BC97" s="103"/>
      <c r="BE97" s="103"/>
      <c r="BF97" s="103"/>
      <c r="BG97" s="103"/>
      <c r="BH97" s="103"/>
      <c r="BI97" s="103"/>
      <c r="BK97" s="103"/>
      <c r="BL97" s="103"/>
      <c r="BM97" s="103"/>
      <c r="BN97" s="103"/>
      <c r="BO97" s="103"/>
      <c r="BQ97" s="103"/>
      <c r="BR97" s="103"/>
      <c r="BS97" s="103"/>
      <c r="BT97" s="103"/>
      <c r="BU97" s="103"/>
      <c r="BW97" s="103"/>
      <c r="BX97" s="103"/>
      <c r="BY97" s="103"/>
      <c r="BZ97" s="103"/>
      <c r="CA97" s="103"/>
      <c r="CC97" s="103"/>
      <c r="CD97" s="103"/>
      <c r="CE97" s="103"/>
      <c r="CF97" s="103"/>
      <c r="CG97" s="103"/>
      <c r="CI97" s="103"/>
      <c r="CJ97" s="103"/>
      <c r="CK97" s="103"/>
      <c r="CL97" s="103"/>
      <c r="CM97" s="103"/>
      <c r="CO97" s="103"/>
      <c r="CP97" s="103"/>
      <c r="CQ97" s="103"/>
      <c r="CR97" s="103"/>
      <c r="CS97" s="103"/>
      <c r="CU97" s="103"/>
      <c r="CV97" s="103"/>
      <c r="CW97" s="103"/>
      <c r="CX97" s="103"/>
      <c r="CY97" s="103"/>
      <c r="DA97" s="103"/>
      <c r="DB97" s="103"/>
      <c r="DC97" s="103"/>
      <c r="DD97" s="103"/>
      <c r="DE97" s="103"/>
      <c r="DG97" s="103"/>
      <c r="DH97" s="103"/>
      <c r="DI97" s="103"/>
      <c r="DJ97" s="103"/>
      <c r="DK97" s="103"/>
    </row>
    <row r="98" spans="2:115" ht="15" x14ac:dyDescent="0.3">
      <c r="B98" s="42" t="s">
        <v>38</v>
      </c>
      <c r="C98" s="221"/>
      <c r="D98" s="222"/>
      <c r="E98" s="222"/>
      <c r="F98" s="222"/>
      <c r="G98" s="224"/>
      <c r="I98" s="221"/>
      <c r="J98" s="222"/>
      <c r="K98" s="222"/>
      <c r="L98" s="222"/>
      <c r="M98" s="224">
        <f>M86-M92</f>
        <v>101</v>
      </c>
      <c r="O98" s="339">
        <f>O86-O92</f>
        <v>11</v>
      </c>
      <c r="P98" s="340">
        <f>P86-P92</f>
        <v>31</v>
      </c>
      <c r="Q98" s="340">
        <f>Q86-Q92</f>
        <v>26</v>
      </c>
      <c r="R98" s="340">
        <f>R86-R92</f>
        <v>19</v>
      </c>
      <c r="S98" s="341">
        <f>O98+P98+Q98+R98</f>
        <v>87</v>
      </c>
      <c r="T98" s="246"/>
      <c r="U98" s="339">
        <f>U86-U92</f>
        <v>22</v>
      </c>
      <c r="V98" s="340">
        <f>V86-V92</f>
        <v>29</v>
      </c>
      <c r="W98" s="340">
        <f>W86-W92</f>
        <v>33</v>
      </c>
      <c r="X98" s="340">
        <f>X86-X92</f>
        <v>7</v>
      </c>
      <c r="Y98" s="341">
        <f>U98+V98+W98+X98</f>
        <v>91</v>
      </c>
      <c r="Z98" s="254"/>
      <c r="AA98" s="339">
        <f>AA86-AA92</f>
        <v>12</v>
      </c>
      <c r="AB98" s="340">
        <f>AB86-AB92</f>
        <v>32</v>
      </c>
      <c r="AC98" s="340">
        <f>AC86-AC92</f>
        <v>22</v>
      </c>
      <c r="AD98" s="340">
        <f>AD86-AD92</f>
        <v>25</v>
      </c>
      <c r="AE98" s="341">
        <f>AA98+AB98+AC98+AD98</f>
        <v>91</v>
      </c>
      <c r="AF98" s="254"/>
      <c r="AG98" s="339">
        <f>AG86-AG92</f>
        <v>11</v>
      </c>
      <c r="AH98" s="340">
        <f>AH86-AH92</f>
        <v>26</v>
      </c>
      <c r="AI98" s="340">
        <f>AI86-AI92</f>
        <v>28</v>
      </c>
      <c r="AJ98" s="340">
        <f>AJ86-AJ92</f>
        <v>30.6</v>
      </c>
      <c r="AK98" s="341">
        <f>AG98+AH98+AI98+AJ98</f>
        <v>95.6</v>
      </c>
      <c r="AL98" s="254"/>
      <c r="AM98" s="339">
        <f>AM86-AM92</f>
        <v>13</v>
      </c>
      <c r="AN98" s="340">
        <f>AN86-AN92</f>
        <v>24</v>
      </c>
      <c r="AO98" s="340">
        <f>AO86-AO92</f>
        <v>25</v>
      </c>
      <c r="AP98" s="340">
        <f>AP86-AP92</f>
        <v>24</v>
      </c>
      <c r="AQ98" s="341">
        <f>AM98+AN98+AO98+AP98</f>
        <v>86</v>
      </c>
      <c r="AR98" s="254"/>
      <c r="AS98" s="339">
        <f>AS86-AS92</f>
        <v>-1</v>
      </c>
      <c r="AT98" s="340">
        <f>AT86-AT92</f>
        <v>6.4499999999999957</v>
      </c>
      <c r="AU98" s="340">
        <f>AU86-AU92</f>
        <v>20.300000000000004</v>
      </c>
      <c r="AV98" s="340">
        <f>AV86-AV92</f>
        <v>23</v>
      </c>
      <c r="AW98" s="341">
        <f>AS98+AT98+AU98+AV98</f>
        <v>48.75</v>
      </c>
      <c r="AX98" s="254"/>
      <c r="AY98" s="339">
        <f>AY86-AY92</f>
        <v>16</v>
      </c>
      <c r="AZ98" s="340">
        <f>AZ86-AZ92</f>
        <v>22</v>
      </c>
      <c r="BA98" s="340">
        <f>BA86-BA92</f>
        <v>23.352000000000004</v>
      </c>
      <c r="BB98" s="340">
        <f>BB86-BB92</f>
        <v>16.509999999999998</v>
      </c>
      <c r="BC98" s="341">
        <f>AY98+AZ98+BA98+BB98</f>
        <v>77.861999999999995</v>
      </c>
      <c r="BD98" s="254"/>
      <c r="BE98" s="339">
        <f>BE86-BE92</f>
        <v>9.6960000000000015</v>
      </c>
      <c r="BF98" s="340">
        <f>BF86-BF92</f>
        <v>25.326000000000001</v>
      </c>
      <c r="BG98" s="340">
        <f>BG86-BG92</f>
        <v>20.496000000000006</v>
      </c>
      <c r="BH98" s="340">
        <f>BH86-BH92</f>
        <v>14.556429999999999</v>
      </c>
      <c r="BI98" s="341">
        <f>BE98+BF98+BG98+BH98</f>
        <v>70.074430000000007</v>
      </c>
      <c r="BJ98" s="254"/>
      <c r="BK98" s="339">
        <f>BK86-BK92</f>
        <v>12.678912</v>
      </c>
      <c r="BL98" s="340">
        <f>BL86-BL92</f>
        <v>20.209149999999994</v>
      </c>
      <c r="BM98" s="340">
        <f>BM86-BM92</f>
        <v>21.027936000000004</v>
      </c>
      <c r="BN98" s="340">
        <f>BN86-BN92</f>
        <v>15.697112349999998</v>
      </c>
      <c r="BO98" s="341">
        <f>BK98+BL98+BM98+BN98</f>
        <v>69.613110349999999</v>
      </c>
      <c r="BP98" s="254"/>
      <c r="BQ98" s="339">
        <f>BQ86-BQ92</f>
        <v>13.946615442253524</v>
      </c>
      <c r="BR98" s="340">
        <f>BR86-BR92</f>
        <v>20.422036843183147</v>
      </c>
      <c r="BS98" s="340">
        <f>BS86-BS92</f>
        <v>20.874638825614042</v>
      </c>
      <c r="BT98" s="340">
        <f>BT86-BT92</f>
        <v>15.889278219249118</v>
      </c>
      <c r="BU98" s="341">
        <f>BQ98+BR98+BS98+BT98</f>
        <v>71.13256933029983</v>
      </c>
      <c r="BV98" s="254"/>
      <c r="BW98" s="339">
        <f>BW86-BW92</f>
        <v>13.995225593492961</v>
      </c>
      <c r="BX98" s="340">
        <f>BX86-BX92</f>
        <v>20.487846172381502</v>
      </c>
      <c r="BY98" s="340">
        <f>BY86-BY92</f>
        <v>20.916571667431583</v>
      </c>
      <c r="BZ98" s="340">
        <f>BZ86-BZ92</f>
        <v>15.984805791082218</v>
      </c>
      <c r="CA98" s="341">
        <f>BW98+BX98+BY98+BZ98</f>
        <v>71.384449224388263</v>
      </c>
      <c r="CB98" s="254"/>
      <c r="CC98" s="339">
        <f>CC86-CC92</f>
        <v>14.117850295580919</v>
      </c>
      <c r="CD98" s="340">
        <f>CD86-CD92</f>
        <v>20.559734447628287</v>
      </c>
      <c r="CE98" s="340">
        <f>CE86-CE92</f>
        <v>20.964591514277053</v>
      </c>
      <c r="CF98" s="340">
        <f>CF86-CF92</f>
        <v>16.083376047093822</v>
      </c>
      <c r="CG98" s="341">
        <f>CC98+CD98+CE98+CF98</f>
        <v>71.725552304580077</v>
      </c>
      <c r="CH98" s="254"/>
      <c r="CI98" s="339">
        <f>CI86-CI92</f>
        <v>13.844476556792749</v>
      </c>
      <c r="CJ98" s="340">
        <f>CJ86-CJ92</f>
        <v>20.219864193734637</v>
      </c>
      <c r="CK98" s="340">
        <f>CK86-CK92</f>
        <v>20.594694262363738</v>
      </c>
      <c r="CL98" s="340">
        <f>CL86-CL92</f>
        <v>15.701919233839812</v>
      </c>
      <c r="CM98" s="341">
        <f>CI98+CJ98+CK98+CL98</f>
        <v>70.360954246730941</v>
      </c>
      <c r="CN98" s="254"/>
      <c r="CO98" s="339">
        <f>CO86-CO92</f>
        <v>13.585060904085118</v>
      </c>
      <c r="CP98" s="340">
        <f>CP86-CP92</f>
        <v>19.923283818325196</v>
      </c>
      <c r="CQ98" s="340">
        <f>CQ86-CQ92</f>
        <v>20.293134854839845</v>
      </c>
      <c r="CR98" s="340">
        <f>CR86-CR92</f>
        <v>15.392203604835347</v>
      </c>
      <c r="CS98" s="341">
        <f>CO98+CP98+CQ98+CR98</f>
        <v>69.193683182085508</v>
      </c>
      <c r="CT98" s="254"/>
      <c r="CU98" s="339">
        <f>CU86-CU92</f>
        <v>13.39277023509301</v>
      </c>
      <c r="CV98" s="340">
        <f>CV86-CV92</f>
        <v>19.724819878799636</v>
      </c>
      <c r="CW98" s="340">
        <f>CW86-CW92</f>
        <v>20.091512054107564</v>
      </c>
      <c r="CX98" s="340">
        <f>CX86-CX92</f>
        <v>15.158616537813058</v>
      </c>
      <c r="CY98" s="341">
        <f>CU98+CV98+CW98+CX98</f>
        <v>68.367718705813274</v>
      </c>
      <c r="CZ98" s="254"/>
      <c r="DA98" s="339">
        <f>DA86-DA92</f>
        <v>13.199096215822351</v>
      </c>
      <c r="DB98" s="340">
        <f>DB86-DB92</f>
        <v>19.524393644891124</v>
      </c>
      <c r="DC98" s="340">
        <f>DC86-DC92</f>
        <v>19.887891782801979</v>
      </c>
      <c r="DD98" s="340">
        <f>DD86-DD92</f>
        <v>14.923462867188144</v>
      </c>
      <c r="DE98" s="341">
        <f>DA98+DB98+DC98+DD98</f>
        <v>67.534844510703593</v>
      </c>
      <c r="DF98" s="254"/>
      <c r="DG98" s="339">
        <f>DG86-DG92</f>
        <v>13.00406861802637</v>
      </c>
      <c r="DH98" s="340">
        <f>DH86-DH92</f>
        <v>19.322025710233859</v>
      </c>
      <c r="DI98" s="340">
        <f>DI86-DI92</f>
        <v>19.682294896780974</v>
      </c>
      <c r="DJ98" s="340">
        <f>DJ86-DJ92</f>
        <v>14.686781063176237</v>
      </c>
      <c r="DK98" s="341">
        <f>DG98+DH98+DI98+DJ98</f>
        <v>66.69517028821744</v>
      </c>
    </row>
    <row r="99" spans="2:115" ht="15.75" thickBot="1" x14ac:dyDescent="0.35">
      <c r="B99" s="41" t="s">
        <v>23</v>
      </c>
      <c r="C99" s="155"/>
      <c r="D99" s="106"/>
      <c r="E99" s="106"/>
      <c r="F99" s="106"/>
      <c r="G99" s="108"/>
      <c r="I99" s="155"/>
      <c r="J99" s="106"/>
      <c r="K99" s="106"/>
      <c r="L99" s="106"/>
      <c r="M99" s="108" t="s">
        <v>35</v>
      </c>
      <c r="O99" s="155" t="s">
        <v>35</v>
      </c>
      <c r="P99" s="106" t="s">
        <v>35</v>
      </c>
      <c r="Q99" s="106" t="s">
        <v>35</v>
      </c>
      <c r="R99" s="154" t="s">
        <v>35</v>
      </c>
      <c r="S99" s="108" t="s">
        <v>35</v>
      </c>
      <c r="U99" s="109">
        <f>U98/O98-1</f>
        <v>1</v>
      </c>
      <c r="V99" s="110">
        <f>V98/P98-1</f>
        <v>-6.4516129032258118E-2</v>
      </c>
      <c r="W99" s="110">
        <f>W98/Q98-1</f>
        <v>0.26923076923076916</v>
      </c>
      <c r="X99" s="110">
        <f>X98/R98-1</f>
        <v>-0.63157894736842102</v>
      </c>
      <c r="Y99" s="122">
        <f>Y98/S98-1</f>
        <v>4.5977011494252817E-2</v>
      </c>
      <c r="AA99" s="109">
        <f>AA98/U98-1</f>
        <v>-0.45454545454545459</v>
      </c>
      <c r="AB99" s="110">
        <f>AB98/V98-1</f>
        <v>0.10344827586206895</v>
      </c>
      <c r="AC99" s="110">
        <f>AC98/W98-1</f>
        <v>-0.33333333333333337</v>
      </c>
      <c r="AD99" s="110">
        <f>AD98/X98-1</f>
        <v>2.5714285714285716</v>
      </c>
      <c r="AE99" s="122">
        <f>AE98/Y98-1</f>
        <v>0</v>
      </c>
      <c r="AG99" s="109">
        <f>AG98/AA98-1</f>
        <v>-8.333333333333337E-2</v>
      </c>
      <c r="AH99" s="110">
        <f>AH98/AB98-1</f>
        <v>-0.1875</v>
      </c>
      <c r="AI99" s="110">
        <f>AI98/AC98-1</f>
        <v>0.27272727272727271</v>
      </c>
      <c r="AJ99" s="110">
        <f>AJ98/AD98-1</f>
        <v>0.22399999999999998</v>
      </c>
      <c r="AK99" s="122">
        <f>AK98/AE98-1</f>
        <v>5.0549450549450592E-2</v>
      </c>
      <c r="AM99" s="109">
        <f>AM98/AG98-1</f>
        <v>0.18181818181818188</v>
      </c>
      <c r="AN99" s="110">
        <f>AN98/AH98-1</f>
        <v>-7.6923076923076872E-2</v>
      </c>
      <c r="AO99" s="110">
        <f>AO98/AI98-1</f>
        <v>-0.1071428571428571</v>
      </c>
      <c r="AP99" s="110">
        <f>AP98/AJ98-1</f>
        <v>-0.21568627450980393</v>
      </c>
      <c r="AQ99" s="122">
        <f>AQ98/AK98-1</f>
        <v>-0.10041841004184093</v>
      </c>
      <c r="AS99" s="109">
        <f>AS98/AM98-1</f>
        <v>-1.0769230769230769</v>
      </c>
      <c r="AT99" s="110">
        <f>AT98/AN98-1</f>
        <v>-0.73125000000000018</v>
      </c>
      <c r="AU99" s="110">
        <f>AU98/AO98-1</f>
        <v>-0.18799999999999983</v>
      </c>
      <c r="AV99" s="110">
        <f>AV98/AP98-1</f>
        <v>-4.166666666666663E-2</v>
      </c>
      <c r="AW99" s="122">
        <f>AW98/AQ98-1</f>
        <v>-0.43313953488372092</v>
      </c>
      <c r="AY99" s="109">
        <f>AY98/AS98-1</f>
        <v>-17</v>
      </c>
      <c r="AZ99" s="110">
        <f>AZ98/AT98-1</f>
        <v>2.4108527131782966</v>
      </c>
      <c r="BA99" s="110">
        <f>BA98/AU98-1</f>
        <v>0.15034482758620693</v>
      </c>
      <c r="BB99" s="110">
        <f>BB98/AV98-1</f>
        <v>-0.28217391304347839</v>
      </c>
      <c r="BC99" s="122">
        <f>BC98/AW98-1</f>
        <v>0.59716923076923067</v>
      </c>
      <c r="BE99" s="109">
        <f>BE98/AY98-1</f>
        <v>-0.39399999999999991</v>
      </c>
      <c r="BF99" s="110">
        <f>BF98/AZ98-1</f>
        <v>0.15118181818181831</v>
      </c>
      <c r="BG99" s="110">
        <f>BG98/BA98-1</f>
        <v>-0.1223021582733812</v>
      </c>
      <c r="BH99" s="110">
        <f>BH98/BB98-1</f>
        <v>-0.11832646880678377</v>
      </c>
      <c r="BI99" s="122">
        <f>BI98/BC98-1</f>
        <v>-0.10001759523259079</v>
      </c>
      <c r="BK99" s="109">
        <f>BK98/BE98-1</f>
        <v>0.30764356435643547</v>
      </c>
      <c r="BL99" s="110">
        <f>BL98/BF98-1</f>
        <v>-0.20203940614388405</v>
      </c>
      <c r="BM99" s="110">
        <f>BM98/BG98-1</f>
        <v>2.5953161592505714E-2</v>
      </c>
      <c r="BN99" s="110">
        <f>BN98/BH98-1</f>
        <v>7.8362781945847892E-2</v>
      </c>
      <c r="BO99" s="122">
        <f>BO98/BI98-1</f>
        <v>-6.5832808058517989E-3</v>
      </c>
      <c r="BQ99" s="109">
        <f>BQ98/BK98-1</f>
        <v>9.9985191336096069E-2</v>
      </c>
      <c r="BR99" s="110">
        <f>BR98/BL98-1</f>
        <v>1.0534180961750073E-2</v>
      </c>
      <c r="BS99" s="110">
        <f>BS98/BM98-1</f>
        <v>-7.2901674413485829E-3</v>
      </c>
      <c r="BT99" s="110">
        <f>BT98/BN98-1</f>
        <v>1.224211593600022E-2</v>
      </c>
      <c r="BU99" s="122">
        <f>BU98/BO98-1</f>
        <v>2.1827195662718069E-2</v>
      </c>
      <c r="BW99" s="109">
        <f>BW98/BQ98-1</f>
        <v>3.4854442958371923E-3</v>
      </c>
      <c r="BX99" s="110">
        <f>BX98/BR98-1</f>
        <v>3.2224664808750969E-3</v>
      </c>
      <c r="BY99" s="110">
        <f>BY98/BS98-1</f>
        <v>2.0087936451427257E-3</v>
      </c>
      <c r="BZ99" s="110">
        <f>BZ98/BT98-1</f>
        <v>6.0120774848899661E-3</v>
      </c>
      <c r="CA99" s="122">
        <f>CA98/BU98-1</f>
        <v>3.5409924941534054E-3</v>
      </c>
      <c r="CC99" s="109">
        <f>CC98/BW98-1</f>
        <v>8.7618953527246468E-3</v>
      </c>
      <c r="CD99" s="110">
        <f>CD98/BX98-1</f>
        <v>3.508825410046823E-3</v>
      </c>
      <c r="CE99" s="110">
        <f>CE98/BY98-1</f>
        <v>2.2957799972660453E-3</v>
      </c>
      <c r="CF99" s="110">
        <f>CF98/BZ98-1</f>
        <v>6.1664969409009895E-3</v>
      </c>
      <c r="CG99" s="122">
        <f>CG98/CA98-1</f>
        <v>4.7783947890331913E-3</v>
      </c>
      <c r="CI99" s="109">
        <f>CI98/CC98-1</f>
        <v>-1.9363694405637566E-2</v>
      </c>
      <c r="CJ99" s="110">
        <f>CJ98/CD98-1</f>
        <v>-1.6530867884475886E-2</v>
      </c>
      <c r="CK99" s="110">
        <f>CK98/CE98-1</f>
        <v>-1.7643904564580315E-2</v>
      </c>
      <c r="CL99" s="110">
        <f>CL98/CF98-1</f>
        <v>-2.3717459079304226E-2</v>
      </c>
      <c r="CM99" s="122">
        <f>CM98/CG98-1</f>
        <v>-1.9025270827534579E-2</v>
      </c>
      <c r="CO99" s="109">
        <f>CO98/CI98-1</f>
        <v>-1.8737844774662116E-2</v>
      </c>
      <c r="CP99" s="110">
        <f>CP98/CJ98-1</f>
        <v>-1.4667772867700046E-2</v>
      </c>
      <c r="CQ99" s="110">
        <f>CQ98/CK98-1</f>
        <v>-1.4642577533912959E-2</v>
      </c>
      <c r="CR99" s="110">
        <f>CR98/CL98-1</f>
        <v>-1.972469889776185E-2</v>
      </c>
      <c r="CS99" s="122">
        <f>CS98/CM98-1</f>
        <v>-1.6589756025084945E-2</v>
      </c>
      <c r="CU99" s="109">
        <f>CU98/CO98-1</f>
        <v>-1.4154568047191063E-2</v>
      </c>
      <c r="CV99" s="110">
        <f>CV98/CP98-1</f>
        <v>-9.9614070318576609E-3</v>
      </c>
      <c r="CW99" s="110">
        <f>CW98/CQ98-1</f>
        <v>-9.935517709536823E-3</v>
      </c>
      <c r="CX99" s="110">
        <f>CX98/CR98-1</f>
        <v>-1.51756741931941E-2</v>
      </c>
      <c r="CY99" s="122">
        <f>CY98/CS98-1</f>
        <v>-1.193699248670832E-2</v>
      </c>
      <c r="DA99" s="109">
        <f>DA98/CU98-1</f>
        <v>-1.4461087278506146E-2</v>
      </c>
      <c r="DB99" s="110">
        <f>DB98/CV98-1</f>
        <v>-1.0161118587649676E-2</v>
      </c>
      <c r="DC99" s="110">
        <f>DC98/CW98-1</f>
        <v>-1.0134641472340333E-2</v>
      </c>
      <c r="DD99" s="110">
        <f>DD98/CX98-1</f>
        <v>-1.5512871510294124E-2</v>
      </c>
      <c r="DE99" s="122">
        <f>DE98/CY98-1</f>
        <v>-1.2182272728647581E-2</v>
      </c>
      <c r="DG99" s="109">
        <f>DG98/DA98-1</f>
        <v>-1.4775829693717379E-2</v>
      </c>
      <c r="DH99" s="110">
        <f>DH98/DB98-1</f>
        <v>-1.0364876796581934E-2</v>
      </c>
      <c r="DI99" s="110">
        <f>DI98/DC98-1</f>
        <v>-1.0337791871876334E-2</v>
      </c>
      <c r="DJ99" s="110">
        <f>DJ98/DD98-1</f>
        <v>-1.5859710719841935E-2</v>
      </c>
      <c r="DK99" s="122">
        <f>DK98/DE98-1</f>
        <v>-1.2433199906946912E-2</v>
      </c>
    </row>
    <row r="102" spans="2:115" x14ac:dyDescent="0.2">
      <c r="B102" s="278"/>
      <c r="C102" s="278"/>
      <c r="D102" s="279"/>
      <c r="E102" s="279"/>
      <c r="F102" s="279"/>
      <c r="G102" s="279"/>
      <c r="H102" s="279"/>
      <c r="I102" s="279"/>
      <c r="J102" s="279"/>
      <c r="K102" s="279"/>
      <c r="L102" s="279"/>
      <c r="M102" s="279"/>
      <c r="N102" s="279"/>
      <c r="O102" s="279"/>
      <c r="P102" s="279"/>
      <c r="Q102" s="279"/>
      <c r="R102" s="279"/>
      <c r="S102" s="279"/>
      <c r="T102" s="279"/>
      <c r="U102" s="279"/>
      <c r="V102" s="279"/>
      <c r="W102" s="279"/>
      <c r="X102" s="279"/>
      <c r="Y102" s="279"/>
      <c r="Z102" s="279"/>
      <c r="AA102" s="278"/>
      <c r="AB102" s="278"/>
      <c r="AC102" s="278"/>
      <c r="AD102" s="278"/>
      <c r="AE102" s="278"/>
      <c r="AF102" s="278"/>
      <c r="AG102" s="278"/>
      <c r="AH102" s="278"/>
      <c r="AI102" s="278"/>
      <c r="AJ102" s="278"/>
      <c r="AK102" s="278"/>
      <c r="AL102" s="278"/>
      <c r="AM102" s="278"/>
      <c r="AN102" s="278"/>
      <c r="AO102" s="278"/>
      <c r="AP102" s="278"/>
      <c r="AQ102" s="278"/>
      <c r="AR102" s="278"/>
      <c r="AS102" s="278"/>
      <c r="AT102" s="278"/>
      <c r="AU102" s="278"/>
      <c r="AV102" s="278"/>
      <c r="AW102" s="278"/>
      <c r="AX102" s="278"/>
      <c r="AY102" s="278"/>
      <c r="AZ102" s="278"/>
      <c r="BA102" s="278"/>
      <c r="BB102" s="278"/>
      <c r="BC102" s="278"/>
      <c r="BD102" s="278"/>
      <c r="BE102" s="278"/>
      <c r="BF102" s="278"/>
      <c r="BG102" s="278"/>
      <c r="BH102" s="278"/>
      <c r="BI102" s="278"/>
      <c r="BJ102" s="278"/>
      <c r="BK102" s="278"/>
      <c r="BL102" s="278"/>
      <c r="BM102" s="278"/>
      <c r="BN102" s="278"/>
      <c r="BO102" s="278"/>
      <c r="BP102" s="278"/>
      <c r="BQ102" s="278"/>
      <c r="BR102" s="278"/>
      <c r="BS102" s="278"/>
      <c r="BT102" s="278"/>
      <c r="BU102" s="278"/>
      <c r="BV102" s="278"/>
      <c r="BW102" s="278"/>
      <c r="BX102" s="278"/>
      <c r="BY102" s="278"/>
      <c r="BZ102" s="278"/>
      <c r="CA102" s="278"/>
      <c r="CB102" s="278"/>
      <c r="CC102" s="278"/>
      <c r="CD102" s="278"/>
      <c r="CE102" s="278"/>
      <c r="CF102" s="278"/>
      <c r="CG102" s="278"/>
      <c r="CH102" s="278"/>
      <c r="CI102" s="278"/>
      <c r="CJ102" s="278"/>
      <c r="CK102" s="278"/>
      <c r="CL102" s="278"/>
      <c r="CM102" s="278"/>
      <c r="CN102" s="278"/>
      <c r="CO102" s="278"/>
      <c r="CP102" s="278"/>
      <c r="CQ102" s="278"/>
      <c r="CR102" s="278"/>
      <c r="CS102" s="278"/>
      <c r="CT102" s="278"/>
      <c r="CU102" s="278"/>
      <c r="CV102" s="278"/>
      <c r="CW102" s="278"/>
      <c r="CX102" s="278"/>
      <c r="CY102" s="278"/>
      <c r="CZ102" s="278"/>
      <c r="DA102" s="278"/>
      <c r="DB102" s="278"/>
      <c r="DC102" s="278"/>
      <c r="DD102" s="278"/>
      <c r="DE102" s="278"/>
      <c r="DF102" s="278"/>
      <c r="DG102" s="278"/>
      <c r="DH102" s="278"/>
      <c r="DI102" s="278"/>
      <c r="DJ102" s="278"/>
      <c r="DK102" s="278"/>
    </row>
    <row r="104" spans="2:115" ht="13.5" thickBot="1" x14ac:dyDescent="0.25"/>
    <row r="105" spans="2:115" ht="15" x14ac:dyDescent="0.3">
      <c r="B105" s="42" t="s">
        <v>355</v>
      </c>
      <c r="C105" s="126"/>
      <c r="D105" s="127"/>
      <c r="E105" s="127"/>
      <c r="F105" s="127"/>
      <c r="G105" s="167"/>
      <c r="H105" s="129"/>
      <c r="I105" s="126"/>
      <c r="J105" s="127"/>
      <c r="K105" s="127"/>
      <c r="L105" s="127"/>
      <c r="M105" s="201">
        <f>M46+M86</f>
        <v>426</v>
      </c>
      <c r="N105" s="129"/>
      <c r="O105" s="198">
        <f>O46+O86</f>
        <v>112</v>
      </c>
      <c r="P105" s="199">
        <f>P46+P86</f>
        <v>120</v>
      </c>
      <c r="Q105" s="199">
        <f>Q46+Q86</f>
        <v>118</v>
      </c>
      <c r="R105" s="199">
        <f>R46+R86</f>
        <v>89</v>
      </c>
      <c r="S105" s="201">
        <f>O105+P105+Q105+R105</f>
        <v>439</v>
      </c>
      <c r="T105" s="129"/>
      <c r="U105" s="198">
        <f>U46+U86</f>
        <v>107</v>
      </c>
      <c r="V105" s="199">
        <f>V46+V86</f>
        <v>106</v>
      </c>
      <c r="W105" s="199">
        <f>W46+W86</f>
        <v>107</v>
      </c>
      <c r="X105" s="199">
        <f>X46+X86</f>
        <v>82</v>
      </c>
      <c r="Y105" s="201">
        <f>U105+V105+W105+X105</f>
        <v>402</v>
      </c>
      <c r="Z105" s="226"/>
      <c r="AA105" s="198">
        <f>AA46+AA86</f>
        <v>95</v>
      </c>
      <c r="AB105" s="199">
        <f>AB46+AB86</f>
        <v>100</v>
      </c>
      <c r="AC105" s="199">
        <f>AC46+AC86</f>
        <v>103</v>
      </c>
      <c r="AD105" s="199">
        <f>AD46+AD86</f>
        <v>91</v>
      </c>
      <c r="AE105" s="201">
        <f>AA105+AB105+AC105+AD105</f>
        <v>389</v>
      </c>
      <c r="AF105" s="226"/>
      <c r="AG105" s="198">
        <f>AG46+AG86</f>
        <v>86</v>
      </c>
      <c r="AH105" s="199">
        <f>AH46+AH86</f>
        <v>84</v>
      </c>
      <c r="AI105" s="199">
        <f>AI46+AI86</f>
        <v>89</v>
      </c>
      <c r="AJ105" s="199">
        <f>AJ46+AJ86</f>
        <v>93</v>
      </c>
      <c r="AK105" s="201">
        <f>AG105+AH105+AI105+AJ105</f>
        <v>352</v>
      </c>
      <c r="AL105" s="226"/>
      <c r="AM105" s="198">
        <f>AM46+AM86</f>
        <v>84</v>
      </c>
      <c r="AN105" s="199">
        <f>AN46+AN86</f>
        <v>78</v>
      </c>
      <c r="AO105" s="199">
        <f>AO46+AO86</f>
        <v>87</v>
      </c>
      <c r="AP105" s="199">
        <f>AP46+AP86</f>
        <v>88</v>
      </c>
      <c r="AQ105" s="201">
        <f>AM105+AN105+AO105+AP105</f>
        <v>337</v>
      </c>
      <c r="AR105" s="226"/>
      <c r="AS105" s="198">
        <f>AS46+AS86</f>
        <v>78</v>
      </c>
      <c r="AT105" s="199">
        <f>AT46+AT86</f>
        <v>75.66</v>
      </c>
      <c r="AU105" s="199">
        <f>AU46+AU86</f>
        <v>80.040000000000006</v>
      </c>
      <c r="AV105" s="199">
        <f ca="1">AV46+AV86</f>
        <v>76.050403046728974</v>
      </c>
      <c r="AW105" s="201">
        <f ca="1">AS105+AT105+AU105+AV105</f>
        <v>309.75040304672893</v>
      </c>
      <c r="AX105" s="226"/>
      <c r="AY105" s="198">
        <f>AY46+AY86</f>
        <v>73</v>
      </c>
      <c r="AZ105" s="199">
        <f>AZ46+AZ86</f>
        <v>76</v>
      </c>
      <c r="BA105" s="199">
        <f>BA46+BA86</f>
        <v>82.616000000000014</v>
      </c>
      <c r="BB105" s="199">
        <f ca="1">BB46+BB86</f>
        <v>64.03443936534579</v>
      </c>
      <c r="BC105" s="201">
        <f ca="1">AY105+AZ105+BA105+BB105</f>
        <v>295.65043936534579</v>
      </c>
      <c r="BD105" s="226"/>
      <c r="BE105" s="198">
        <f>BE46+BE86</f>
        <v>77.963999999999999</v>
      </c>
      <c r="BF105" s="199">
        <f>BF46+BF86</f>
        <v>78.963999999999999</v>
      </c>
      <c r="BG105" s="199">
        <f>BG46+BG86</f>
        <v>82.616000000000014</v>
      </c>
      <c r="BH105" s="199">
        <f ca="1">BH46+BH86</f>
        <v>62.049371745020068</v>
      </c>
      <c r="BI105" s="201">
        <f ca="1">BE105+BF105+BG105+BH105</f>
        <v>301.59337174502008</v>
      </c>
      <c r="BJ105" s="226"/>
      <c r="BK105" s="198">
        <f>BK46+BK86</f>
        <v>76.950468000000001</v>
      </c>
      <c r="BL105" s="199">
        <f>BL46+BL86</f>
        <v>80.938099999999991</v>
      </c>
      <c r="BM105" s="199">
        <f>BM46+BM86</f>
        <v>85.590176000000014</v>
      </c>
      <c r="BN105" s="199">
        <f ca="1">BN46+BN86</f>
        <v>71.046530648047977</v>
      </c>
      <c r="BO105" s="201">
        <f ca="1">BK105+BL105+BM105+BN105</f>
        <v>314.52527464804797</v>
      </c>
      <c r="BP105" s="226"/>
      <c r="BQ105" s="198">
        <f>BQ46+BQ86</f>
        <v>79.135301275973589</v>
      </c>
      <c r="BR105" s="199">
        <f>BR46+BR86</f>
        <v>81.991381984028834</v>
      </c>
      <c r="BS105" s="199">
        <f>BS46+BS86</f>
        <v>86.4136509734318</v>
      </c>
      <c r="BT105" s="199">
        <f ca="1">BT46+BT86</f>
        <v>70.637458498676139</v>
      </c>
      <c r="BU105" s="201">
        <f ca="1">BQ105+BR105+BS105+BT105</f>
        <v>318.17779273211039</v>
      </c>
      <c r="BV105" s="226"/>
      <c r="BW105" s="198">
        <f>BW46+BW86</f>
        <v>79.141501947467475</v>
      </c>
      <c r="BX105" s="199">
        <f>BX46+BX86</f>
        <v>81.966702818887754</v>
      </c>
      <c r="BY105" s="199">
        <f>BY46+BY86</f>
        <v>86.316879088131685</v>
      </c>
      <c r="BZ105" s="199">
        <f ca="1">BZ46+BZ86</f>
        <v>70.22833550129269</v>
      </c>
      <c r="CA105" s="201">
        <f ca="1">BW105+BX105+BY105+BZ105</f>
        <v>317.65341935577965</v>
      </c>
      <c r="CB105" s="226"/>
      <c r="CC105" s="198">
        <f>CC46+CC86</f>
        <v>79.046460976630328</v>
      </c>
      <c r="CD105" s="199">
        <f>CD46+CD86</f>
        <v>81.816580598883675</v>
      </c>
      <c r="CE105" s="199">
        <f>CE46+CE86</f>
        <v>86.22234896929109</v>
      </c>
      <c r="CF105" s="199">
        <f ca="1">CF46+CF86</f>
        <v>69.920534568606541</v>
      </c>
      <c r="CG105" s="201">
        <f ca="1">CC105+CD105+CE105+CF105</f>
        <v>317.00592511341165</v>
      </c>
      <c r="CH105" s="226"/>
      <c r="CI105" s="198">
        <f>CI46+CI86</f>
        <v>78.832664575898306</v>
      </c>
      <c r="CJ105" s="199">
        <f>CJ46+CJ86</f>
        <v>81.563549848160164</v>
      </c>
      <c r="CK105" s="199">
        <f>CK46+CK86</f>
        <v>86.014677674014123</v>
      </c>
      <c r="CL105" s="199">
        <f ca="1">CL46+CL86</f>
        <v>69.465645248685632</v>
      </c>
      <c r="CM105" s="201">
        <f ca="1">CI105+CJ105+CK105+CL105</f>
        <v>315.87653734675825</v>
      </c>
      <c r="CN105" s="226"/>
      <c r="CO105" s="198">
        <f>CO46+CO86</f>
        <v>78.57876511959752</v>
      </c>
      <c r="CP105" s="199">
        <f>CP46+CP86</f>
        <v>81.315013249643187</v>
      </c>
      <c r="CQ105" s="199">
        <f>CQ46+CQ86</f>
        <v>85.839148072333685</v>
      </c>
      <c r="CR105" s="199">
        <f ca="1">CR46+CR86</f>
        <v>69.080037995129061</v>
      </c>
      <c r="CS105" s="201">
        <f ca="1">CO105+CP105+CQ105+CR105</f>
        <v>314.8129644367034</v>
      </c>
      <c r="CT105" s="226"/>
      <c r="CU105" s="198">
        <f>CU46+CU86</f>
        <v>78.525446269102389</v>
      </c>
      <c r="CV105" s="199">
        <f>CV46+CV86</f>
        <v>81.276461817614347</v>
      </c>
      <c r="CW105" s="199">
        <f>CW46+CW86</f>
        <v>85.878841095919341</v>
      </c>
      <c r="CX105" s="199">
        <f ca="1">CX46+CX86</f>
        <v>68.881631506797476</v>
      </c>
      <c r="CY105" s="201">
        <f ca="1">CU105+CV105+CW105+CX105</f>
        <v>314.56238068943355</v>
      </c>
      <c r="CZ105" s="226"/>
      <c r="DA105" s="198">
        <f>DA46+DA86</f>
        <v>78.517779949156377</v>
      </c>
      <c r="DB105" s="199">
        <f>DB46+DB86</f>
        <v>81.283891112575901</v>
      </c>
      <c r="DC105" s="199">
        <f>DC46+DC86</f>
        <v>85.970884023469722</v>
      </c>
      <c r="DD105" s="199">
        <f ca="1">DD46+DD86</f>
        <v>68.719530487752365</v>
      </c>
      <c r="DE105" s="201">
        <f ca="1">DA105+DB105+DC105+DD105</f>
        <v>314.49208557295435</v>
      </c>
      <c r="DF105" s="226"/>
      <c r="DG105" s="198">
        <f>DG46+DG86</f>
        <v>78.555937858272401</v>
      </c>
      <c r="DH105" s="199">
        <f>DH46+DH86</f>
        <v>81.337488574726493</v>
      </c>
      <c r="DI105" s="199">
        <f>DI46+DI86</f>
        <v>86.115611767435325</v>
      </c>
      <c r="DJ105" s="199">
        <f ca="1">DJ46+DJ86</f>
        <v>68.593739457761629</v>
      </c>
      <c r="DK105" s="201">
        <f ca="1">DG105+DH105+DI105+DJ105</f>
        <v>314.60277765819586</v>
      </c>
    </row>
    <row r="106" spans="2:115" ht="15.75" thickBot="1" x14ac:dyDescent="0.35">
      <c r="B106" s="41" t="s">
        <v>23</v>
      </c>
      <c r="C106" s="155"/>
      <c r="D106" s="106"/>
      <c r="E106" s="106"/>
      <c r="F106" s="106"/>
      <c r="G106" s="108"/>
      <c r="I106" s="155"/>
      <c r="J106" s="106"/>
      <c r="K106" s="106"/>
      <c r="L106" s="106"/>
      <c r="M106" s="108" t="s">
        <v>35</v>
      </c>
      <c r="O106" s="155" t="s">
        <v>35</v>
      </c>
      <c r="P106" s="106" t="s">
        <v>35</v>
      </c>
      <c r="Q106" s="106" t="s">
        <v>35</v>
      </c>
      <c r="R106" s="106" t="s">
        <v>35</v>
      </c>
      <c r="S106" s="122">
        <f>S105/M105-1</f>
        <v>3.0516431924882736E-2</v>
      </c>
      <c r="U106" s="109">
        <f>U105/O105-1</f>
        <v>-4.4642857142857095E-2</v>
      </c>
      <c r="V106" s="110">
        <f>V105/P105-1</f>
        <v>-0.1166666666666667</v>
      </c>
      <c r="W106" s="110">
        <f>W105/Q105-1</f>
        <v>-9.3220338983050821E-2</v>
      </c>
      <c r="X106" s="110">
        <f>X105/R105-1</f>
        <v>-7.8651685393258397E-2</v>
      </c>
      <c r="Y106" s="122">
        <f>Y105/S105-1</f>
        <v>-8.4282460136674286E-2</v>
      </c>
      <c r="AA106" s="109">
        <f>AA105/U105-1</f>
        <v>-0.11214953271028039</v>
      </c>
      <c r="AB106" s="110">
        <f>AB105/V105-1</f>
        <v>-5.6603773584905648E-2</v>
      </c>
      <c r="AC106" s="110">
        <f>AC105/W105-1</f>
        <v>-3.7383177570093462E-2</v>
      </c>
      <c r="AD106" s="110">
        <f>AD105/X105-1</f>
        <v>0.10975609756097571</v>
      </c>
      <c r="AE106" s="122">
        <f>AE105/Y105-1</f>
        <v>-3.2338308457711462E-2</v>
      </c>
      <c r="AG106" s="109">
        <f>AG105/AA105-1</f>
        <v>-9.4736842105263119E-2</v>
      </c>
      <c r="AH106" s="110">
        <f>AH105/AB105-1</f>
        <v>-0.16000000000000003</v>
      </c>
      <c r="AI106" s="110">
        <f>AI105/AC105-1</f>
        <v>-0.13592233009708743</v>
      </c>
      <c r="AJ106" s="110">
        <f>AJ105/AD105-1</f>
        <v>2.19780219780219E-2</v>
      </c>
      <c r="AK106" s="122">
        <f>AK105/AE105-1</f>
        <v>-9.5115681233933214E-2</v>
      </c>
      <c r="AM106" s="109">
        <f>AM105/AG105-1</f>
        <v>-2.3255813953488413E-2</v>
      </c>
      <c r="AN106" s="110">
        <f>AN105/AH105-1</f>
        <v>-7.1428571428571397E-2</v>
      </c>
      <c r="AO106" s="110">
        <f>AO105/AI105-1</f>
        <v>-2.2471910112359605E-2</v>
      </c>
      <c r="AP106" s="110">
        <f>AP105/AJ105-1</f>
        <v>-5.3763440860215006E-2</v>
      </c>
      <c r="AQ106" s="122">
        <f>AQ105/AK105-1</f>
        <v>-4.2613636363636354E-2</v>
      </c>
      <c r="AS106" s="109">
        <f>AS105/AM105-1</f>
        <v>-7.1428571428571397E-2</v>
      </c>
      <c r="AT106" s="110">
        <f>AT105/AN105-1</f>
        <v>-3.0000000000000027E-2</v>
      </c>
      <c r="AU106" s="110">
        <f>AU105/AO105-1</f>
        <v>-7.999999999999996E-2</v>
      </c>
      <c r="AV106" s="110">
        <f ca="1">AV105/AP105-1</f>
        <v>-0.13579087446898896</v>
      </c>
      <c r="AW106" s="122">
        <f ca="1">AW105/AQ105-1</f>
        <v>-8.0859338140270243E-2</v>
      </c>
      <c r="AY106" s="109">
        <f>AY105/AS105-1</f>
        <v>-6.4102564102564097E-2</v>
      </c>
      <c r="AZ106" s="110">
        <f>AZ105/AT105-1</f>
        <v>4.4937879989426222E-3</v>
      </c>
      <c r="BA106" s="110">
        <f>BA105/AU105-1</f>
        <v>3.218390804597715E-2</v>
      </c>
      <c r="BB106" s="110">
        <f ca="1">BB105/AV105-1</f>
        <v>-0.15800000000000003</v>
      </c>
      <c r="BC106" s="122">
        <f ca="1">BC105/AW105-1</f>
        <v>-4.5520404631260614E-2</v>
      </c>
      <c r="BE106" s="109">
        <f>BE105/AY105-1</f>
        <v>6.800000000000006E-2</v>
      </c>
      <c r="BF106" s="110">
        <f>BF105/AZ105-1</f>
        <v>3.8999999999999924E-2</v>
      </c>
      <c r="BG106" s="110">
        <f>BG105/BA105-1</f>
        <v>0</v>
      </c>
      <c r="BH106" s="110">
        <f ca="1">BH105/BB105-1</f>
        <v>-3.1000000000000028E-2</v>
      </c>
      <c r="BI106" s="122">
        <f ca="1">BI105/BC105-1</f>
        <v>2.0101212744454644E-2</v>
      </c>
      <c r="BK106" s="109">
        <f>BK105/BE105-1</f>
        <v>-1.3000000000000012E-2</v>
      </c>
      <c r="BL106" s="110">
        <f>BL105/BF105-1</f>
        <v>2.4999999999999911E-2</v>
      </c>
      <c r="BM106" s="110">
        <f>BM105/BG105-1</f>
        <v>3.6000000000000032E-2</v>
      </c>
      <c r="BN106" s="110">
        <f ca="1">BN105/BH105-1</f>
        <v>0.14500000000000002</v>
      </c>
      <c r="BO106" s="122">
        <f ca="1">BO105/BI105-1</f>
        <v>4.2878604487240013E-2</v>
      </c>
      <c r="BQ106" s="109">
        <f>BQ105/BK105-1</f>
        <v>2.8392722393495884E-2</v>
      </c>
      <c r="BR106" s="110">
        <f>BR105/BL105-1</f>
        <v>1.3013426112409965E-2</v>
      </c>
      <c r="BS106" s="110">
        <f>BS105/BM105-1</f>
        <v>9.6211389193987529E-3</v>
      </c>
      <c r="BT106" s="110">
        <f ca="1">BT105/BN105-1</f>
        <v>-5.7578061256545743E-3</v>
      </c>
      <c r="BU106" s="122">
        <f ca="1">BU105/BO105-1</f>
        <v>1.1612796739942643E-2</v>
      </c>
      <c r="BW106" s="109">
        <f>BW105/BQ105-1</f>
        <v>7.8355315439537776E-5</v>
      </c>
      <c r="BX106" s="110">
        <f>BX105/BR105-1</f>
        <v>-3.0099706266550896E-4</v>
      </c>
      <c r="BY106" s="110">
        <f>BY105/BS105-1</f>
        <v>-1.1198680325388288E-3</v>
      </c>
      <c r="BZ106" s="110">
        <f ca="1">BZ105/BT105-1</f>
        <v>-5.7918702920365384E-3</v>
      </c>
      <c r="CA106" s="122">
        <f ca="1">CA105/BU105-1</f>
        <v>-1.6480514615054842E-3</v>
      </c>
      <c r="CC106" s="109">
        <f>CC105/BW105-1</f>
        <v>-1.2008992563754539E-3</v>
      </c>
      <c r="CD106" s="110">
        <f>CD105/BX105-1</f>
        <v>-1.8315024862691764E-3</v>
      </c>
      <c r="CE106" s="110">
        <f>CE105/BY105-1</f>
        <v>-1.0951521862146985E-3</v>
      </c>
      <c r="CF106" s="110">
        <f ca="1">CF105/BZ105-1</f>
        <v>-4.3828595749714205E-3</v>
      </c>
      <c r="CG106" s="122">
        <f ca="1">CG105/CA105-1</f>
        <v>-2.0383669839951768E-3</v>
      </c>
      <c r="CI106" s="109">
        <f>CI105/CC105-1</f>
        <v>-2.7046928868229569E-3</v>
      </c>
      <c r="CJ106" s="110">
        <f>CJ105/CD105-1</f>
        <v>-3.0926585891437597E-3</v>
      </c>
      <c r="CK106" s="110">
        <f>CK105/CE105-1</f>
        <v>-2.4085552963876156E-3</v>
      </c>
      <c r="CL106" s="110">
        <f ca="1">CL105/CF105-1</f>
        <v>-6.5058043781769381E-3</v>
      </c>
      <c r="CM106" s="122">
        <f ca="1">CM105/CG105-1</f>
        <v>-3.5626708436107268E-3</v>
      </c>
      <c r="CO106" s="109">
        <f>CO105/CI105-1</f>
        <v>-3.2207392413627911E-3</v>
      </c>
      <c r="CP106" s="110">
        <f>CP105/CJ105-1</f>
        <v>-3.0471527904273321E-3</v>
      </c>
      <c r="CQ106" s="110">
        <f>CQ105/CK105-1</f>
        <v>-2.0406935935477488E-3</v>
      </c>
      <c r="CR106" s="110">
        <f ca="1">CR105/CL105-1</f>
        <v>-5.5510497624560173E-3</v>
      </c>
      <c r="CS106" s="122">
        <f ca="1">CS105/CM105-1</f>
        <v>-3.3670525800633122E-3</v>
      </c>
      <c r="CU106" s="109">
        <f>CU105/CO105-1</f>
        <v>-6.7854019357493911E-4</v>
      </c>
      <c r="CV106" s="110">
        <f>CV105/CP105-1</f>
        <v>-4.7409980627421966E-4</v>
      </c>
      <c r="CW106" s="110">
        <f>CW105/CQ105-1</f>
        <v>4.6241166736882278E-4</v>
      </c>
      <c r="CX106" s="110">
        <f ca="1">CX105/CR105-1</f>
        <v>-2.8721247713496822E-3</v>
      </c>
      <c r="CY106" s="122">
        <f ca="1">CY105/CS105-1</f>
        <v>-7.9597658158148121E-4</v>
      </c>
      <c r="DA106" s="109">
        <f>DA105/CU105-1</f>
        <v>-9.7628479814537705E-5</v>
      </c>
      <c r="DB106" s="110">
        <f>DB105/CV105-1</f>
        <v>9.1407706430679525E-5</v>
      </c>
      <c r="DC106" s="110">
        <f>DC105/CW105-1</f>
        <v>1.0717765444410166E-3</v>
      </c>
      <c r="DD106" s="110">
        <f ca="1">DD105/CX105-1</f>
        <v>-2.3533272296129004E-3</v>
      </c>
      <c r="DE106" s="122">
        <f ca="1">DE105/CY105-1</f>
        <v>-2.2346955896357379E-4</v>
      </c>
      <c r="DG106" s="109">
        <f>DG105/DA105-1</f>
        <v>4.8597794207538847E-4</v>
      </c>
      <c r="DH106" s="110">
        <f>DH105/DB105-1</f>
        <v>6.5938602860882156E-4</v>
      </c>
      <c r="DI106" s="110">
        <f>DI105/DC105-1</f>
        <v>1.6834506892600132E-3</v>
      </c>
      <c r="DJ106" s="110">
        <f ca="1">DJ105/DD105-1</f>
        <v>-1.8304989731143806E-3</v>
      </c>
      <c r="DK106" s="122">
        <f ca="1">DK105/DE105-1</f>
        <v>3.5197097262340549E-4</v>
      </c>
    </row>
    <row r="107" spans="2:115" ht="15.75" thickBot="1" x14ac:dyDescent="0.35">
      <c r="B107" s="1"/>
      <c r="AA107" s="103"/>
      <c r="AB107" s="103"/>
      <c r="AC107" s="103"/>
      <c r="AD107" s="103"/>
      <c r="AE107" s="103"/>
      <c r="AG107" s="103"/>
      <c r="AH107" s="103"/>
      <c r="AI107" s="103"/>
      <c r="AJ107" s="103"/>
      <c r="AK107" s="103"/>
      <c r="AM107" s="103"/>
      <c r="AN107" s="103"/>
      <c r="AO107" s="103"/>
      <c r="AP107" s="103"/>
      <c r="AQ107" s="103"/>
      <c r="AS107" s="103"/>
      <c r="AT107" s="103"/>
      <c r="AU107" s="103"/>
      <c r="AV107" s="103"/>
      <c r="AW107" s="103"/>
      <c r="AY107" s="103"/>
      <c r="AZ107" s="103"/>
      <c r="BA107" s="103"/>
      <c r="BB107" s="103"/>
      <c r="BC107" s="103"/>
      <c r="BE107" s="103"/>
      <c r="BF107" s="103"/>
      <c r="BG107" s="103"/>
      <c r="BH107" s="103"/>
      <c r="BI107" s="103"/>
      <c r="BK107" s="103"/>
      <c r="BL107" s="103"/>
      <c r="BM107" s="103"/>
      <c r="BN107" s="103"/>
      <c r="BO107" s="103"/>
      <c r="BQ107" s="103"/>
      <c r="BR107" s="103"/>
      <c r="BS107" s="103"/>
      <c r="BT107" s="103"/>
      <c r="BU107" s="103"/>
      <c r="BW107" s="103"/>
      <c r="BX107" s="103"/>
      <c r="BY107" s="103"/>
      <c r="BZ107" s="103"/>
      <c r="CA107" s="103"/>
      <c r="CC107" s="103"/>
      <c r="CD107" s="103"/>
      <c r="CE107" s="103"/>
      <c r="CF107" s="103"/>
      <c r="CG107" s="103"/>
      <c r="CI107" s="103"/>
      <c r="CJ107" s="103"/>
      <c r="CK107" s="103"/>
      <c r="CL107" s="103"/>
      <c r="CM107" s="103"/>
      <c r="CO107" s="103"/>
      <c r="CP107" s="103"/>
      <c r="CQ107" s="103"/>
      <c r="CR107" s="103"/>
      <c r="CS107" s="103"/>
      <c r="CU107" s="103"/>
      <c r="CV107" s="103"/>
      <c r="CW107" s="103"/>
      <c r="CX107" s="103"/>
      <c r="CY107" s="103"/>
      <c r="DA107" s="103"/>
      <c r="DB107" s="103"/>
      <c r="DC107" s="103"/>
      <c r="DD107" s="103"/>
      <c r="DE107" s="103"/>
      <c r="DG107" s="103"/>
      <c r="DH107" s="103"/>
      <c r="DI107" s="103"/>
      <c r="DJ107" s="103"/>
      <c r="DK107" s="103"/>
    </row>
    <row r="108" spans="2:115" ht="15" x14ac:dyDescent="0.3">
      <c r="B108" s="42" t="s">
        <v>36</v>
      </c>
      <c r="C108" s="221"/>
      <c r="D108" s="222"/>
      <c r="E108" s="222"/>
      <c r="F108" s="222"/>
      <c r="G108" s="223"/>
      <c r="I108" s="221"/>
      <c r="J108" s="222"/>
      <c r="K108" s="222"/>
      <c r="L108" s="222"/>
      <c r="M108" s="208">
        <f>M105/(M32+M83)</f>
        <v>0.41319107662463628</v>
      </c>
      <c r="O108" s="209">
        <f>O105/(O32+O83)</f>
        <v>0.44268774703557312</v>
      </c>
      <c r="P108" s="206">
        <f>P105/(P32+P83)</f>
        <v>0.47619047619047616</v>
      </c>
      <c r="Q108" s="206">
        <f>Q105/(Q32+Q83)</f>
        <v>0.46825396825396826</v>
      </c>
      <c r="R108" s="206">
        <f>R105/(R32+R83)</f>
        <v>0.3588709677419355</v>
      </c>
      <c r="S108" s="208">
        <f>S105/(S32+S83)</f>
        <v>0.43681592039800993</v>
      </c>
      <c r="U108" s="209">
        <f>U105/(U32+U83)</f>
        <v>0.45147679324894513</v>
      </c>
      <c r="V108" s="206">
        <f>V105/(V32+V83)</f>
        <v>0.43983402489626555</v>
      </c>
      <c r="W108" s="206">
        <f>W105/(W32+W83)</f>
        <v>0.43673469387755104</v>
      </c>
      <c r="X108" s="206">
        <f>X105/(X32+X83)</f>
        <v>0.34166666666666667</v>
      </c>
      <c r="Y108" s="208">
        <f>Y105/(Y32+Y83)</f>
        <v>0.4174454828660436</v>
      </c>
      <c r="AA108" s="209">
        <f>AA105/(AA32+AA83)</f>
        <v>0.44392523364485981</v>
      </c>
      <c r="AB108" s="206">
        <f>AB105/(AB32+AB83)</f>
        <v>0.43478260869565216</v>
      </c>
      <c r="AC108" s="206">
        <f>AC105/(AC32+AC83)</f>
        <v>0.46188340807174888</v>
      </c>
      <c r="AD108" s="206">
        <f>AD105/(AD32+AD83)</f>
        <v>0.39393939393939392</v>
      </c>
      <c r="AE108" s="208">
        <f>AE105/(AE32+AE83)</f>
        <v>0.43318485523385303</v>
      </c>
      <c r="AG108" s="209">
        <f>AG105/(AG32+AG83)</f>
        <v>0.41747572815533979</v>
      </c>
      <c r="AH108" s="206">
        <f>AH105/(AH32+AH83)</f>
        <v>0.41584158415841582</v>
      </c>
      <c r="AI108" s="206">
        <f>AI105/(AI32+AI83)</f>
        <v>0.43203883495145629</v>
      </c>
      <c r="AJ108" s="206">
        <f>AJ105/(AJ32+AJ83)</f>
        <v>0.4170403587443946</v>
      </c>
      <c r="AK108" s="208">
        <f>AK105/(AK32+AK83)</f>
        <v>0.42054958183990443</v>
      </c>
      <c r="AM108" s="209">
        <f>AM105/(AM32+AM83)</f>
        <v>0.43979057591623039</v>
      </c>
      <c r="AN108" s="206">
        <f>AN105/(AN32+AN83)</f>
        <v>0.38805970149253732</v>
      </c>
      <c r="AO108" s="206">
        <f>AO105/(AO32+AO83)</f>
        <v>0.43718592964824121</v>
      </c>
      <c r="AP108" s="206">
        <f>AP105/(AP32+AP83)</f>
        <v>0.3728813559322034</v>
      </c>
      <c r="AQ108" s="208">
        <f>AQ105/(AQ32+AQ83)</f>
        <v>0.407496977025393</v>
      </c>
      <c r="AS108" s="209">
        <f>AS105/(AS32+AS83)</f>
        <v>0.39593908629441626</v>
      </c>
      <c r="AT108" s="206">
        <f>AT105/(AT32+AT83)</f>
        <v>0.39406249999999998</v>
      </c>
      <c r="AU108" s="206">
        <f>AU105/(AU32+AU83)</f>
        <v>0.41046153846153849</v>
      </c>
      <c r="AV108" s="206">
        <f ca="1">AV105/(AV32+AV83)</f>
        <v>0.41557597293294524</v>
      </c>
      <c r="AW108" s="208">
        <f ca="1">AW105/(AW32+AW83)</f>
        <v>0.40384667933080698</v>
      </c>
      <c r="AY108" s="209">
        <f>AY105/(AY32+AY83)</f>
        <v>0.39037433155080214</v>
      </c>
      <c r="AZ108" s="206">
        <f>AZ105/(AZ32+AZ83)</f>
        <v>0.41081081081081083</v>
      </c>
      <c r="BA108" s="206">
        <f>BA105/(BA32+BA83)</f>
        <v>0.41515577889447242</v>
      </c>
      <c r="BB108" s="206">
        <f ca="1">BB105/(BB32+BB83)</f>
        <v>0.30204924228936691</v>
      </c>
      <c r="BC108" s="208">
        <f ca="1">BC105/(BC32+BC83)</f>
        <v>0.37758676802726154</v>
      </c>
      <c r="BE108" s="209">
        <f>BE105/(BE32+BE83)</f>
        <v>0.41691978609625668</v>
      </c>
      <c r="BF108" s="206">
        <f>BF105/(BF32+BF83)</f>
        <v>0.42453763440860215</v>
      </c>
      <c r="BG108" s="206">
        <f>BG105/(BG32+BG83)</f>
        <v>0.43254450261780114</v>
      </c>
      <c r="BH108" s="206">
        <f ca="1">BH105/(BH32+BH83)</f>
        <v>0.30717510764861422</v>
      </c>
      <c r="BI108" s="208">
        <f ca="1">BI105/(BI32+BI83)</f>
        <v>0.39372502838775469</v>
      </c>
      <c r="BK108" s="209">
        <f>BK105/(BK32+BK83)</f>
        <v>0.4204943606557377</v>
      </c>
      <c r="BL108" s="206">
        <f>BL105/(BL32+BL83)</f>
        <v>0.43515107526881713</v>
      </c>
      <c r="BM108" s="206">
        <f>BM105/(BM32+BM83)</f>
        <v>0.46016223655913985</v>
      </c>
      <c r="BN108" s="206">
        <f ca="1">BN105/(BN32+BN83)</f>
        <v>0.3681167391090569</v>
      </c>
      <c r="BO108" s="208">
        <f ca="1">BO105/(BO32+BO83)</f>
        <v>0.42048833509097322</v>
      </c>
      <c r="BQ108" s="209">
        <f>BQ105/(BQ32+BQ83)</f>
        <v>0.45066303569195243</v>
      </c>
      <c r="BR108" s="206">
        <f>BR105/(BR32+BR83)</f>
        <v>0.46025879006532394</v>
      </c>
      <c r="BS108" s="206">
        <f>BS105/(BS32+BS83)</f>
        <v>0.47817432616527444</v>
      </c>
      <c r="BT108" s="206">
        <f ca="1">BT105/(BT32+BT83)</f>
        <v>0.36758129794394789</v>
      </c>
      <c r="BU108" s="208">
        <f ca="1">BU105/(BU32+BU83)</f>
        <v>0.43788538282827338</v>
      </c>
      <c r="BW108" s="209">
        <f>BW105/(BW32+BW83)</f>
        <v>0.4485228703943806</v>
      </c>
      <c r="BX108" s="206">
        <f>BX105/(BX32+BX83)</f>
        <v>0.45799584816043087</v>
      </c>
      <c r="BY108" s="206">
        <f>BY105/(BY32+BY83)</f>
        <v>0.4762826674352148</v>
      </c>
      <c r="BZ108" s="206">
        <f ca="1">BZ105/(BZ32+BZ83)</f>
        <v>0.36522336648280929</v>
      </c>
      <c r="CA108" s="208">
        <f ca="1">CA105/(CA32+CA83)</f>
        <v>0.43577652648793247</v>
      </c>
      <c r="CC108" s="209">
        <f>CC105/(CC32+CC83)</f>
        <v>0.44617167847133227</v>
      </c>
      <c r="CD108" s="206">
        <f>CD105/(CD32+CD83)</f>
        <v>0.45576230956399783</v>
      </c>
      <c r="CE108" s="206">
        <f>CE105/(CE32+CE83)</f>
        <v>0.47437468179193953</v>
      </c>
      <c r="CF108" s="206">
        <f ca="1">CF105/(CF32+CF83)</f>
        <v>0.36298577001038734</v>
      </c>
      <c r="CG108" s="208">
        <f ca="1">CG105/(CG32+CG83)</f>
        <v>0.43362027708904916</v>
      </c>
      <c r="CI108" s="209">
        <f>CI105/(CI32+CI83)</f>
        <v>0.443387195064676</v>
      </c>
      <c r="CJ108" s="206">
        <f>CJ105/(CJ32+CJ83)</f>
        <v>0.45317615825114266</v>
      </c>
      <c r="CK108" s="206">
        <f>CK105/(CK32+CK83)</f>
        <v>0.47208991437241443</v>
      </c>
      <c r="CL108" s="206">
        <f ca="1">CL105/(CL32+CL83)</f>
        <v>0.36013772369535546</v>
      </c>
      <c r="CM108" s="208">
        <f ca="1">CM105/(CM32+CM83)</f>
        <v>0.43101626086301603</v>
      </c>
      <c r="CO108" s="209">
        <f>CO105/(CO32+CO83)</f>
        <v>0.44049781058866067</v>
      </c>
      <c r="CP108" s="206">
        <f>CP105/(CP32+CP83)</f>
        <v>0.45046400187724783</v>
      </c>
      <c r="CQ108" s="206">
        <f>CQ105/(CQ32+CQ83)</f>
        <v>0.46958957888477398</v>
      </c>
      <c r="CR108" s="206">
        <f ca="1">CR105/(CR32+CR83)</f>
        <v>0.35708933689537042</v>
      </c>
      <c r="CS108" s="208">
        <f ca="1">CS105/(CS32+CS83)</f>
        <v>0.42822992379410324</v>
      </c>
      <c r="CU108" s="209">
        <f>CU105/(CU32+CU83)</f>
        <v>0.43752789498272393</v>
      </c>
      <c r="CV108" s="206">
        <f>CV105/(CV32+CV83)</f>
        <v>0.44765824040188051</v>
      </c>
      <c r="CW108" s="206">
        <f>CW105/(CW32+CW83)</f>
        <v>0.46694861107020569</v>
      </c>
      <c r="CX108" s="206">
        <f ca="1">CX105/(CX32+CX83)</f>
        <v>0.35396743461456992</v>
      </c>
      <c r="CY108" s="208">
        <f ca="1">CY105/(CY32+CY83)</f>
        <v>0.42534397495589976</v>
      </c>
      <c r="DA108" s="209">
        <f>DA105/(DA32+DA83)</f>
        <v>0.4345917147736082</v>
      </c>
      <c r="DB108" s="206">
        <f>DB105/(DB32+DB83)</f>
        <v>0.44488662853172123</v>
      </c>
      <c r="DC108" s="206">
        <f>DC105/(DC32+DC83)</f>
        <v>0.4643562674034804</v>
      </c>
      <c r="DD108" s="206">
        <f ca="1">DD105/(DD32+DD83)</f>
        <v>0.35088140516531197</v>
      </c>
      <c r="DE108" s="208">
        <f ca="1">DE105/(DE32+DE83)</f>
        <v>0.42249689845933913</v>
      </c>
      <c r="DG108" s="209">
        <f>DG105/(DG32+DG83)</f>
        <v>0.43168960268137618</v>
      </c>
      <c r="DH108" s="206">
        <f>DH105/(DH32+DH83)</f>
        <v>0.4421493155297811</v>
      </c>
      <c r="DI108" s="206">
        <f>DI105/(DI32+DI83)</f>
        <v>0.46181244480448913</v>
      </c>
      <c r="DJ108" s="206">
        <f ca="1">DJ105/(DJ32+DJ83)</f>
        <v>0.34783168663785446</v>
      </c>
      <c r="DK108" s="208">
        <f ca="1">DK105/(DK32+DK83)</f>
        <v>0.41968890118663854</v>
      </c>
    </row>
    <row r="109" spans="2:115" ht="15.75" thickBot="1" x14ac:dyDescent="0.35">
      <c r="B109" s="41" t="s">
        <v>37</v>
      </c>
      <c r="C109" s="155"/>
      <c r="D109" s="106"/>
      <c r="E109" s="106"/>
      <c r="F109" s="106"/>
      <c r="G109" s="154"/>
      <c r="I109" s="155"/>
      <c r="J109" s="106"/>
      <c r="K109" s="106"/>
      <c r="L109" s="106"/>
      <c r="M109" s="108" t="s">
        <v>35</v>
      </c>
      <c r="O109" s="155" t="s">
        <v>35</v>
      </c>
      <c r="P109" s="106" t="s">
        <v>35</v>
      </c>
      <c r="Q109" s="106" t="s">
        <v>35</v>
      </c>
      <c r="R109" s="106" t="s">
        <v>35</v>
      </c>
      <c r="S109" s="177">
        <f>S108-M108</f>
        <v>2.3624843773373649E-2</v>
      </c>
      <c r="U109" s="174">
        <f>U108-O108</f>
        <v>8.7890462133720093E-3</v>
      </c>
      <c r="V109" s="175">
        <f>V108-P108</f>
        <v>-3.6356451294210612E-2</v>
      </c>
      <c r="W109" s="175">
        <f>W108-Q108</f>
        <v>-3.1519274376417217E-2</v>
      </c>
      <c r="X109" s="175">
        <f>X108-R108</f>
        <v>-1.7204301075268824E-2</v>
      </c>
      <c r="Y109" s="177">
        <f>Y108-S108</f>
        <v>-1.9370437531966322E-2</v>
      </c>
      <c r="AA109" s="174">
        <f>AA108-U108</f>
        <v>-7.5515596040853228E-3</v>
      </c>
      <c r="AB109" s="175">
        <f>AB108-V108</f>
        <v>-5.05141620061339E-3</v>
      </c>
      <c r="AC109" s="175">
        <f>AC108-W108</f>
        <v>2.5148714194197841E-2</v>
      </c>
      <c r="AD109" s="175">
        <f>AD108-X108</f>
        <v>5.2272727272727249E-2</v>
      </c>
      <c r="AE109" s="177">
        <f>AE108-Y108</f>
        <v>1.5739372367809423E-2</v>
      </c>
      <c r="AG109" s="174">
        <f>AG108-AA108</f>
        <v>-2.644950548952002E-2</v>
      </c>
      <c r="AH109" s="175">
        <f>AH108-AB108</f>
        <v>-1.8941024537236339E-2</v>
      </c>
      <c r="AI109" s="175">
        <f>AI108-AC108</f>
        <v>-2.9844573120292595E-2</v>
      </c>
      <c r="AJ109" s="175">
        <f>AJ108-AD108</f>
        <v>2.3100964805000679E-2</v>
      </c>
      <c r="AK109" s="177">
        <f>AK108-AE108</f>
        <v>-1.2635273393948598E-2</v>
      </c>
      <c r="AM109" s="174">
        <f>AM108-AG108</f>
        <v>2.2314847760890599E-2</v>
      </c>
      <c r="AN109" s="175">
        <f>AN108-AH108</f>
        <v>-2.7781882665878499E-2</v>
      </c>
      <c r="AO109" s="175">
        <f>AO108-AI108</f>
        <v>5.1470946967849263E-3</v>
      </c>
      <c r="AP109" s="175">
        <f>AP108-AJ108</f>
        <v>-4.4159002812191206E-2</v>
      </c>
      <c r="AQ109" s="177">
        <f>AQ108-AK108</f>
        <v>-1.3052604814511426E-2</v>
      </c>
      <c r="AS109" s="174">
        <f>AS108-AM108</f>
        <v>-4.3851489621814121E-2</v>
      </c>
      <c r="AT109" s="175">
        <f>AT108-AN108</f>
        <v>6.0027985074626589E-3</v>
      </c>
      <c r="AU109" s="175">
        <f>AU108-AO108</f>
        <v>-2.6724391186702723E-2</v>
      </c>
      <c r="AV109" s="175">
        <f ca="1">AV108-AP108</f>
        <v>4.2694617000741841E-2</v>
      </c>
      <c r="AW109" s="177">
        <f ca="1">AW108-AQ108</f>
        <v>-3.6502976945860244E-3</v>
      </c>
      <c r="AY109" s="174">
        <f>AY108-AS108</f>
        <v>-5.5647547436141198E-3</v>
      </c>
      <c r="AZ109" s="175">
        <f>AZ108-AT108</f>
        <v>1.6748310810810851E-2</v>
      </c>
      <c r="BA109" s="175">
        <f>BA108-AU108</f>
        <v>4.6942404329339271E-3</v>
      </c>
      <c r="BB109" s="175">
        <f ca="1">BB108-AV108</f>
        <v>-0.11352673064357832</v>
      </c>
      <c r="BC109" s="177">
        <f ca="1">BC108-AW108</f>
        <v>-2.6259911303545436E-2</v>
      </c>
      <c r="BE109" s="174">
        <f>BE108-AY108</f>
        <v>2.6545454545454539E-2</v>
      </c>
      <c r="BF109" s="175">
        <f>BF108-AZ108</f>
        <v>1.3726823597791316E-2</v>
      </c>
      <c r="BG109" s="175">
        <f>BG108-BA108</f>
        <v>1.7388723723328725E-2</v>
      </c>
      <c r="BH109" s="175">
        <f ca="1">BH108-BB108</f>
        <v>5.1258653592473058E-3</v>
      </c>
      <c r="BI109" s="177">
        <f ca="1">BI108-BC108</f>
        <v>1.6138260360493151E-2</v>
      </c>
      <c r="BK109" s="174">
        <f>BK108-BE108</f>
        <v>3.5745745594810141E-3</v>
      </c>
      <c r="BL109" s="175">
        <f>BL108-BF108</f>
        <v>1.0613440860214984E-2</v>
      </c>
      <c r="BM109" s="175">
        <f>BM108-BG108</f>
        <v>2.7617733941338707E-2</v>
      </c>
      <c r="BN109" s="175">
        <f ca="1">BN108-BH108</f>
        <v>6.094163146044268E-2</v>
      </c>
      <c r="BO109" s="177">
        <f ca="1">BO108-BI108</f>
        <v>2.6763306703218526E-2</v>
      </c>
      <c r="BQ109" s="174">
        <f>BQ108-BK108</f>
        <v>3.0168675036214732E-2</v>
      </c>
      <c r="BR109" s="175">
        <f>BR108-BL108</f>
        <v>2.5107714796506808E-2</v>
      </c>
      <c r="BS109" s="175">
        <f>BS108-BM108</f>
        <v>1.8012089606134596E-2</v>
      </c>
      <c r="BT109" s="175">
        <f ca="1">BT108-BN108</f>
        <v>-5.3544116510900741E-4</v>
      </c>
      <c r="BU109" s="177">
        <f ca="1">BU108-BO108</f>
        <v>1.7397047737300164E-2</v>
      </c>
      <c r="BW109" s="174">
        <f>BW108-BQ108</f>
        <v>-2.1401652975718277E-3</v>
      </c>
      <c r="BX109" s="175">
        <f>BX108-BR108</f>
        <v>-2.2629419048930677E-3</v>
      </c>
      <c r="BY109" s="175">
        <f>BY108-BS108</f>
        <v>-1.8916587300596421E-3</v>
      </c>
      <c r="BZ109" s="175">
        <f ca="1">BZ108-BT108</f>
        <v>-2.3579314611386071E-3</v>
      </c>
      <c r="CA109" s="177">
        <f ca="1">CA108-BU108</f>
        <v>-2.1088563403409144E-3</v>
      </c>
      <c r="CC109" s="174">
        <f>CC108-BW108</f>
        <v>-2.3511919230483347E-3</v>
      </c>
      <c r="CD109" s="175">
        <f>CD108-BX108</f>
        <v>-2.233538596433049E-3</v>
      </c>
      <c r="CE109" s="175">
        <f>CE108-BY108</f>
        <v>-1.9079856432752673E-3</v>
      </c>
      <c r="CF109" s="175">
        <f ca="1">CF108-BZ108</f>
        <v>-2.2375964724219433E-3</v>
      </c>
      <c r="CG109" s="177">
        <f ca="1">CG108-CA108</f>
        <v>-2.1562493988833142E-3</v>
      </c>
      <c r="CI109" s="174">
        <f>CI108-CC108</f>
        <v>-2.7844834066562685E-3</v>
      </c>
      <c r="CJ109" s="175">
        <f>CJ108-CD108</f>
        <v>-2.5861513128551672E-3</v>
      </c>
      <c r="CK109" s="175">
        <f>CK108-CE108</f>
        <v>-2.2847674195251022E-3</v>
      </c>
      <c r="CL109" s="175">
        <f ca="1">CL108-CF108</f>
        <v>-2.8480463150318824E-3</v>
      </c>
      <c r="CM109" s="177">
        <f ca="1">CM108-CG108</f>
        <v>-2.6040162260331234E-3</v>
      </c>
      <c r="CO109" s="174">
        <f>CO108-CI108</f>
        <v>-2.8893844760153331E-3</v>
      </c>
      <c r="CP109" s="175">
        <f>CP108-CJ108</f>
        <v>-2.7121563738948251E-3</v>
      </c>
      <c r="CQ109" s="175">
        <f>CQ108-CK108</f>
        <v>-2.5003354876404482E-3</v>
      </c>
      <c r="CR109" s="175">
        <f ca="1">CR108-CL108</f>
        <v>-3.0483867999850367E-3</v>
      </c>
      <c r="CS109" s="177">
        <f ca="1">CS108-CM108</f>
        <v>-2.786337068912792E-3</v>
      </c>
      <c r="CU109" s="174">
        <f>CU108-CO108</f>
        <v>-2.9699156059367349E-3</v>
      </c>
      <c r="CV109" s="175">
        <f>CV108-CP108</f>
        <v>-2.8057614753673188E-3</v>
      </c>
      <c r="CW109" s="175">
        <f>CW108-CQ108</f>
        <v>-2.6409678145682958E-3</v>
      </c>
      <c r="CX109" s="175">
        <f ca="1">CX108-CR108</f>
        <v>-3.1219022808005037E-3</v>
      </c>
      <c r="CY109" s="177">
        <f ca="1">CY108-CS108</f>
        <v>-2.8859488382034781E-3</v>
      </c>
      <c r="DA109" s="174">
        <f>DA108-CU108</f>
        <v>-2.9361802091157352E-3</v>
      </c>
      <c r="DB109" s="175">
        <f>DB108-CV108</f>
        <v>-2.7716118701592851E-3</v>
      </c>
      <c r="DC109" s="175">
        <f>DC108-CW108</f>
        <v>-2.592343666725283E-3</v>
      </c>
      <c r="DD109" s="175">
        <f ca="1">DD108-CX108</f>
        <v>-3.0860294492579543E-3</v>
      </c>
      <c r="DE109" s="177">
        <f ca="1">DE108-CY108</f>
        <v>-2.8470764965606299E-3</v>
      </c>
      <c r="DG109" s="174">
        <f>DG108-DA108</f>
        <v>-2.9021120922320121E-3</v>
      </c>
      <c r="DH109" s="175">
        <f>DH108-DB108</f>
        <v>-2.7373130019401337E-3</v>
      </c>
      <c r="DI109" s="175">
        <f>DI108-DC108</f>
        <v>-2.5438225989912744E-3</v>
      </c>
      <c r="DJ109" s="175">
        <f ca="1">DJ108-DD108</f>
        <v>-3.0497185274575012E-3</v>
      </c>
      <c r="DK109" s="177">
        <f ca="1">DK108-DE108</f>
        <v>-2.8079972727005909E-3</v>
      </c>
    </row>
    <row r="111" spans="2:115" x14ac:dyDescent="0.2">
      <c r="BE111" s="481"/>
    </row>
    <row r="112" spans="2:115" ht="13.5" thickBot="1" x14ac:dyDescent="0.25"/>
    <row r="113" spans="2:115" ht="15" x14ac:dyDescent="0.3">
      <c r="B113" s="42" t="s">
        <v>356</v>
      </c>
      <c r="C113" s="126"/>
      <c r="D113" s="127"/>
      <c r="E113" s="127"/>
      <c r="F113" s="127"/>
      <c r="G113" s="167"/>
      <c r="H113" s="129"/>
      <c r="I113" s="126"/>
      <c r="J113" s="127"/>
      <c r="K113" s="127"/>
      <c r="L113" s="127"/>
      <c r="M113" s="201">
        <f>M105-M52-M92</f>
        <v>267</v>
      </c>
      <c r="N113" s="129"/>
      <c r="O113" s="198">
        <f>O105-O52-O92</f>
        <v>47</v>
      </c>
      <c r="P113" s="199">
        <f>P105-P52-P92</f>
        <v>94</v>
      </c>
      <c r="Q113" s="199">
        <f>Q105-Q52-Q92</f>
        <v>76</v>
      </c>
      <c r="R113" s="199">
        <f>R105-R52-R92</f>
        <v>52</v>
      </c>
      <c r="S113" s="201">
        <f>O113+P113+Q113+R113</f>
        <v>269</v>
      </c>
      <c r="T113" s="129"/>
      <c r="U113" s="198">
        <f>U105-U52-U92</f>
        <v>53</v>
      </c>
      <c r="V113" s="199">
        <f>V105-V52-V92</f>
        <v>80</v>
      </c>
      <c r="W113" s="199">
        <f>W105-W52-W92</f>
        <v>92</v>
      </c>
      <c r="X113" s="199">
        <f>X105-X52-X92</f>
        <v>33</v>
      </c>
      <c r="Y113" s="201">
        <f>U113+V113+W113+X113</f>
        <v>258</v>
      </c>
      <c r="Z113" s="226"/>
      <c r="AA113" s="198">
        <f>AA105-AA52-AA92</f>
        <v>46</v>
      </c>
      <c r="AB113" s="199">
        <f>AB105-AB52-AB92</f>
        <v>75</v>
      </c>
      <c r="AC113" s="199">
        <f>AC105-AC52-AC92</f>
        <v>27</v>
      </c>
      <c r="AD113" s="199">
        <f>AD105-AD52-AD92</f>
        <v>59</v>
      </c>
      <c r="AE113" s="201">
        <f>AA113+AB113+AC113+AD113</f>
        <v>207</v>
      </c>
      <c r="AF113" s="226"/>
      <c r="AG113" s="198">
        <f>AG105-AG52-AG92</f>
        <v>43</v>
      </c>
      <c r="AH113" s="199">
        <f>AH105-AH52-AH92</f>
        <v>62</v>
      </c>
      <c r="AI113" s="199">
        <f>AI105-AI52-AI92</f>
        <v>73</v>
      </c>
      <c r="AJ113" s="199">
        <f>AJ105-AJ52-AJ92</f>
        <v>70.199999999999989</v>
      </c>
      <c r="AK113" s="201">
        <f>AG113+AH113+AI113+AJ113</f>
        <v>248.2</v>
      </c>
      <c r="AL113" s="226"/>
      <c r="AM113" s="198">
        <f>AM105-AM52-AM92</f>
        <v>48</v>
      </c>
      <c r="AN113" s="199">
        <f>AN105-AN52-AN92</f>
        <v>56</v>
      </c>
      <c r="AO113" s="199">
        <f>AO105-AO52-AO92</f>
        <v>66</v>
      </c>
      <c r="AP113" s="199">
        <f>AP105-AP52-AP92</f>
        <v>52</v>
      </c>
      <c r="AQ113" s="201">
        <f>AM113+AN113+AO113+AP113</f>
        <v>222</v>
      </c>
      <c r="AR113" s="226"/>
      <c r="AS113" s="198">
        <f>AS105-AS52-AS92</f>
        <v>4</v>
      </c>
      <c r="AT113" s="199">
        <f>AT105-AT52-AT92</f>
        <v>20.659999999999997</v>
      </c>
      <c r="AU113" s="199">
        <f>AU105-AU52-AU92</f>
        <v>55.050000000000004</v>
      </c>
      <c r="AV113" s="199">
        <f ca="1">AV105-AV52-AV92</f>
        <v>52.050403046728974</v>
      </c>
      <c r="AW113" s="201">
        <f ca="1">AS113+AT113+AU113+AV113</f>
        <v>131.76040304672898</v>
      </c>
      <c r="AX113" s="226"/>
      <c r="AY113" s="198">
        <f>AY105-AY52-AY92</f>
        <v>45</v>
      </c>
      <c r="AZ113" s="199">
        <f>AZ105-AZ52-AZ92</f>
        <v>54</v>
      </c>
      <c r="BA113" s="199">
        <f>BA105-BA52-BA92</f>
        <v>58.625600000000013</v>
      </c>
      <c r="BB113" s="199">
        <f ca="1">BB105-BB52-BB92</f>
        <v>38.114439365345788</v>
      </c>
      <c r="BC113" s="201">
        <f ca="1">AY113+AZ113+BA113+BB113</f>
        <v>195.74003936534581</v>
      </c>
      <c r="BD113" s="226"/>
      <c r="BE113" s="198">
        <f>BE105-BE52-BE92</f>
        <v>35.123999999999995</v>
      </c>
      <c r="BF113" s="199">
        <f>BF105-BF52-BF92</f>
        <v>58.963999999999999</v>
      </c>
      <c r="BG113" s="199">
        <f>BG105-BG52-BG92</f>
        <v>52.628000000000014</v>
      </c>
      <c r="BH113" s="199">
        <f ca="1">BH105-BH52-BH92</f>
        <v>36.049371745020068</v>
      </c>
      <c r="BI113" s="201">
        <f ca="1">BE113+BF113+BG113+BH113</f>
        <v>182.76537174502008</v>
      </c>
      <c r="BJ113" s="226"/>
      <c r="BK113" s="198">
        <f>BK105-BK52-BK92</f>
        <v>40.108068000000003</v>
      </c>
      <c r="BL113" s="199">
        <f>BL105-BL52-BL92</f>
        <v>48.938099999999991</v>
      </c>
      <c r="BM113" s="199">
        <f>BM105-BM52-BM92</f>
        <v>60.36017600000001</v>
      </c>
      <c r="BN113" s="199">
        <f ca="1">BN105-BN52-BN92</f>
        <v>39.046530648047977</v>
      </c>
      <c r="BO113" s="201">
        <f ca="1">BK113+BL113+BM113+BN113</f>
        <v>188.45287464804795</v>
      </c>
      <c r="BP113" s="226"/>
      <c r="BQ113" s="198">
        <f>BQ105-BQ52-BQ92</f>
        <v>45.414592030673184</v>
      </c>
      <c r="BR113" s="199">
        <f>BR105-BR52-BR92</f>
        <v>53.045095222799659</v>
      </c>
      <c r="BS113" s="199">
        <f>BS105-BS52-BS92</f>
        <v>61.585798971031551</v>
      </c>
      <c r="BT113" s="199">
        <f ca="1">BT105-BT52-BT92</f>
        <v>39.562005128154311</v>
      </c>
      <c r="BU113" s="201">
        <f ca="1">BQ113+BR113+BS113+BT113</f>
        <v>199.60749135265871</v>
      </c>
      <c r="BV113" s="226"/>
      <c r="BW113" s="198">
        <f>BW105-BW52-BW92</f>
        <v>46.707192736770224</v>
      </c>
      <c r="BX113" s="199">
        <f>BX105-BX52-BX92</f>
        <v>54.258601908309807</v>
      </c>
      <c r="BY113" s="199">
        <f>BY105-BY52-BY92</f>
        <v>59.975219007994902</v>
      </c>
      <c r="BZ113" s="199">
        <f ca="1">BZ105-BZ52-BZ92</f>
        <v>40.569010140583345</v>
      </c>
      <c r="CA113" s="201">
        <f ca="1">BW113+BX113+BY113+BZ113</f>
        <v>201.51002379365826</v>
      </c>
      <c r="CB113" s="226"/>
      <c r="CC113" s="198">
        <f>CC105-CC52-CC92</f>
        <v>47.908211109199854</v>
      </c>
      <c r="CD113" s="199">
        <f>CD105-CD52-CD92</f>
        <v>55.40769366712987</v>
      </c>
      <c r="CE113" s="199">
        <f>CE105-CE52-CE92</f>
        <v>61.205857268365754</v>
      </c>
      <c r="CF113" s="199">
        <f ca="1">CF105-CF52-CF92</f>
        <v>41.65809371740842</v>
      </c>
      <c r="CG113" s="201">
        <f ca="1">CC113+CD113+CE113+CF113</f>
        <v>206.1798557621039</v>
      </c>
      <c r="CH113" s="226"/>
      <c r="CI113" s="198">
        <f>CI105-CI52-CI92</f>
        <v>48.618691545880793</v>
      </c>
      <c r="CJ113" s="199">
        <f>CJ105-CJ52-CJ92</f>
        <v>56.063549179526071</v>
      </c>
      <c r="CK113" s="199">
        <f>CK105-CK52-CK92</f>
        <v>61.928101847733132</v>
      </c>
      <c r="CL113" s="199">
        <f ca="1">CL105-CL52-CL92</f>
        <v>42.143147997515825</v>
      </c>
      <c r="CM113" s="201">
        <f ca="1">CI113+CJ113+CK113+CL113</f>
        <v>208.75349057065583</v>
      </c>
      <c r="CN113" s="226"/>
      <c r="CO113" s="198">
        <f>CO105-CO52-CO92</f>
        <v>48.319224022884754</v>
      </c>
      <c r="CP113" s="199">
        <f>CP105-CP52-CP92</f>
        <v>56.730093877116325</v>
      </c>
      <c r="CQ113" s="199">
        <f>CQ105-CQ52-CQ92</f>
        <v>62.677144168591269</v>
      </c>
      <c r="CR113" s="199">
        <f ca="1">CR105-CR52-CR92</f>
        <v>42.668875511596973</v>
      </c>
      <c r="CS113" s="201">
        <f ca="1">CO113+CP113+CQ113+CR113</f>
        <v>210.39533758018933</v>
      </c>
      <c r="CT113" s="226"/>
      <c r="CU113" s="198">
        <f>CU105-CU52-CU92</f>
        <v>48.120919622784484</v>
      </c>
      <c r="CV113" s="199">
        <f>CV105-CV52-CV92</f>
        <v>57.549804442558113</v>
      </c>
      <c r="CW113" s="199">
        <f>CW105-CW52-CW92</f>
        <v>63.589540304773706</v>
      </c>
      <c r="CX113" s="199">
        <f ca="1">CX105-CX52-CX92</f>
        <v>42.331659568980157</v>
      </c>
      <c r="CY113" s="201">
        <f ca="1">CU113+CV113+CW113+CX113</f>
        <v>211.59192393909649</v>
      </c>
      <c r="CZ113" s="226"/>
      <c r="DA113" s="198">
        <f>DA105-DA52-DA92</f>
        <v>47.95513748980062</v>
      </c>
      <c r="DB113" s="199">
        <f>DB105-DB52-DB92</f>
        <v>57.42958825897108</v>
      </c>
      <c r="DC113" s="199">
        <f>DC105-DC52-DC92</f>
        <v>63.557737624154029</v>
      </c>
      <c r="DD113" s="199">
        <f ca="1">DD105-DD52-DD92</f>
        <v>42.018580927213542</v>
      </c>
      <c r="DE113" s="201">
        <f ca="1">DA113+DB113+DC113+DD113</f>
        <v>210.96104430013926</v>
      </c>
      <c r="DF113" s="226"/>
      <c r="DG113" s="198">
        <f>DG105-DG52-DG92</f>
        <v>47.821784430348188</v>
      </c>
      <c r="DH113" s="199">
        <f>DH105-DH52-DH92</f>
        <v>57.344388015874962</v>
      </c>
      <c r="DI113" s="199">
        <f>DI105-DI52-DI92</f>
        <v>63.568157100552725</v>
      </c>
      <c r="DJ113" s="199">
        <f ca="1">DJ105-DJ52-DJ92</f>
        <v>41.729393062034106</v>
      </c>
      <c r="DK113" s="201">
        <f ca="1">DG113+DH113+DI113+DJ113</f>
        <v>210.46372260880997</v>
      </c>
    </row>
    <row r="114" spans="2:115" ht="15.75" thickBot="1" x14ac:dyDescent="0.35">
      <c r="B114" s="41" t="s">
        <v>23</v>
      </c>
      <c r="C114" s="155"/>
      <c r="D114" s="106"/>
      <c r="E114" s="106"/>
      <c r="F114" s="106"/>
      <c r="G114" s="108"/>
      <c r="I114" s="155"/>
      <c r="J114" s="106"/>
      <c r="K114" s="106"/>
      <c r="L114" s="106"/>
      <c r="M114" s="108" t="s">
        <v>35</v>
      </c>
      <c r="O114" s="155" t="s">
        <v>35</v>
      </c>
      <c r="P114" s="106" t="s">
        <v>35</v>
      </c>
      <c r="Q114" s="106" t="s">
        <v>35</v>
      </c>
      <c r="R114" s="106" t="s">
        <v>35</v>
      </c>
      <c r="S114" s="122">
        <f>S113/M113-1</f>
        <v>7.4906367041198685E-3</v>
      </c>
      <c r="U114" s="109">
        <f>U113/O113-1</f>
        <v>0.12765957446808507</v>
      </c>
      <c r="V114" s="110">
        <f>V113/P113-1</f>
        <v>-0.14893617021276595</v>
      </c>
      <c r="W114" s="110">
        <f>W113/Q113-1</f>
        <v>0.21052631578947367</v>
      </c>
      <c r="X114" s="110">
        <f>X113/R113-1</f>
        <v>-0.36538461538461542</v>
      </c>
      <c r="Y114" s="122">
        <f>Y113/S113-1</f>
        <v>-4.0892193308550207E-2</v>
      </c>
      <c r="AA114" s="109">
        <f>AA113/U113-1</f>
        <v>-0.13207547169811318</v>
      </c>
      <c r="AB114" s="110">
        <f>AB113/V113-1</f>
        <v>-6.25E-2</v>
      </c>
      <c r="AC114" s="110">
        <f>AC113/W113-1</f>
        <v>-0.70652173913043481</v>
      </c>
      <c r="AD114" s="110">
        <f>AD113/X113-1</f>
        <v>0.78787878787878785</v>
      </c>
      <c r="AE114" s="122">
        <f>AE113/Y113-1</f>
        <v>-0.19767441860465118</v>
      </c>
      <c r="AG114" s="109">
        <f>AG113/AA113-1</f>
        <v>-6.5217391304347783E-2</v>
      </c>
      <c r="AH114" s="110">
        <f>AH113/AB113-1</f>
        <v>-0.17333333333333334</v>
      </c>
      <c r="AI114" s="110">
        <f>AI113/AC113-1</f>
        <v>1.7037037037037037</v>
      </c>
      <c r="AJ114" s="110">
        <f>AJ113/AD113-1</f>
        <v>0.18983050847457617</v>
      </c>
      <c r="AK114" s="122">
        <f>AK113/AE113-1</f>
        <v>0.19903381642512064</v>
      </c>
      <c r="AM114" s="109">
        <f>AM113/AG113-1</f>
        <v>0.11627906976744184</v>
      </c>
      <c r="AN114" s="110">
        <f>AN113/AH113-1</f>
        <v>-9.6774193548387122E-2</v>
      </c>
      <c r="AO114" s="110">
        <f>AO113/AI113-1</f>
        <v>-9.589041095890416E-2</v>
      </c>
      <c r="AP114" s="110">
        <f>AP113/AJ113-1</f>
        <v>-0.25925925925925919</v>
      </c>
      <c r="AQ114" s="122">
        <f>AQ113/AK113-1</f>
        <v>-0.10556003223207089</v>
      </c>
      <c r="AS114" s="109">
        <f>AS113/AM113-1</f>
        <v>-0.91666666666666663</v>
      </c>
      <c r="AT114" s="110">
        <f>AT113/AN113-1</f>
        <v>-0.63107142857142862</v>
      </c>
      <c r="AU114" s="110">
        <f>AU113/AO113-1</f>
        <v>-0.16590909090909089</v>
      </c>
      <c r="AV114" s="110">
        <f ca="1">AV113/AP113-1</f>
        <v>9.6928936017248724E-4</v>
      </c>
      <c r="AW114" s="122">
        <f ca="1">AW113/AQ113-1</f>
        <v>-0.40648467096068031</v>
      </c>
      <c r="AY114" s="109">
        <f>AY113/AS113-1</f>
        <v>10.25</v>
      </c>
      <c r="AZ114" s="110">
        <f>AZ113/AT113-1</f>
        <v>1.6137463697967092</v>
      </c>
      <c r="BA114" s="110">
        <f>BA113/AU113-1</f>
        <v>6.4951861943687739E-2</v>
      </c>
      <c r="BB114" s="110">
        <f ca="1">BB113/AV113-1</f>
        <v>-0.26773978424090161</v>
      </c>
      <c r="BC114" s="122">
        <f ca="1">BC113/AW113-1</f>
        <v>0.48557559660717176</v>
      </c>
      <c r="BE114" s="109">
        <f>BE113/AY113-1</f>
        <v>-0.21946666666666681</v>
      </c>
      <c r="BF114" s="110">
        <f>BF113/AZ113-1</f>
        <v>9.1925925925925966E-2</v>
      </c>
      <c r="BG114" s="110">
        <f>BG113/BA113-1</f>
        <v>-0.10230343058322644</v>
      </c>
      <c r="BH114" s="110">
        <f ca="1">BH113/BB113-1</f>
        <v>-5.4180716146209673E-2</v>
      </c>
      <c r="BI114" s="122">
        <f ca="1">BI113/BC113-1</f>
        <v>-6.6285199810901863E-2</v>
      </c>
      <c r="BK114" s="109">
        <f>BK113/BE113-1</f>
        <v>0.1418992142125044</v>
      </c>
      <c r="BL114" s="110">
        <f>BL113/BF113-1</f>
        <v>-0.17003425819143891</v>
      </c>
      <c r="BM114" s="110">
        <f>BM113/BG113-1</f>
        <v>0.14692133465075607</v>
      </c>
      <c r="BN114" s="110">
        <f ca="1">BN113/BH113-1</f>
        <v>8.3140392132962537E-2</v>
      </c>
      <c r="BO114" s="122">
        <f ca="1">BO113/BI113-1</f>
        <v>3.1119149370169685E-2</v>
      </c>
      <c r="BQ114" s="109">
        <f>BQ113/BK113-1</f>
        <v>0.13230565059062882</v>
      </c>
      <c r="BR114" s="110">
        <f>BR113/BL113-1</f>
        <v>8.392224509737134E-2</v>
      </c>
      <c r="BS114" s="110">
        <f>BS113/BM113-1</f>
        <v>2.0305159001384299E-2</v>
      </c>
      <c r="BT114" s="110">
        <f ca="1">BT113/BN113-1</f>
        <v>1.3201543685216199E-2</v>
      </c>
      <c r="BU114" s="122">
        <f ca="1">BU113/BO113-1</f>
        <v>5.9190483166908336E-2</v>
      </c>
      <c r="BW114" s="109">
        <f>BW113/BQ113-1</f>
        <v>2.8462233134760151E-2</v>
      </c>
      <c r="BX114" s="110">
        <f>BX113/BR113-1</f>
        <v>2.2876887682323543E-2</v>
      </c>
      <c r="BY114" s="110">
        <f>BY113/BS113-1</f>
        <v>-2.6151807558658535E-2</v>
      </c>
      <c r="BZ114" s="110">
        <f ca="1">BZ113/BT113-1</f>
        <v>2.5453841613108708E-2</v>
      </c>
      <c r="CA114" s="122">
        <f ca="1">CA113/BU113-1</f>
        <v>9.5313679266588736E-3</v>
      </c>
      <c r="CC114" s="109">
        <f>CC113/BW113-1</f>
        <v>2.5713777730086651E-2</v>
      </c>
      <c r="CD114" s="110">
        <f>CD113/BX113-1</f>
        <v>2.1178056905371223E-2</v>
      </c>
      <c r="CE114" s="110">
        <f>CE113/BY113-1</f>
        <v>2.0519112405522177E-2</v>
      </c>
      <c r="CF114" s="110">
        <f ca="1">CF113/BZ113-1</f>
        <v>2.6845209509699375E-2</v>
      </c>
      <c r="CG114" s="122">
        <f ca="1">CG113/CA113-1</f>
        <v>2.3174191936116584E-2</v>
      </c>
      <c r="CI114" s="109">
        <f>CI113/CC113-1</f>
        <v>1.4830034773402501E-2</v>
      </c>
      <c r="CJ114" s="110">
        <f>CJ113/CD113-1</f>
        <v>1.1836903306900792E-2</v>
      </c>
      <c r="CK114" s="110">
        <f>CK113/CE113-1</f>
        <v>1.1800252649033061E-2</v>
      </c>
      <c r="CL114" s="110">
        <f ca="1">CL113/CF113-1</f>
        <v>1.1643698422635795E-2</v>
      </c>
      <c r="CM114" s="122">
        <f ca="1">CM113/CG113-1</f>
        <v>1.248247458045304E-2</v>
      </c>
      <c r="CO114" s="109">
        <f>CO113/CI113-1</f>
        <v>-6.1595142418309212E-3</v>
      </c>
      <c r="CP114" s="110">
        <f>CP113/CJ113-1</f>
        <v>1.1889092063291473E-2</v>
      </c>
      <c r="CQ114" s="110">
        <f>CQ113/CK113-1</f>
        <v>1.2095354104342704E-2</v>
      </c>
      <c r="CR114" s="110">
        <f ca="1">CR113/CL113-1</f>
        <v>1.247480406808088E-2</v>
      </c>
      <c r="CS114" s="122">
        <f ca="1">CS113/CM113-1</f>
        <v>7.8650038619487717E-3</v>
      </c>
      <c r="CU114" s="109">
        <f>CU113/CO113-1</f>
        <v>-4.1040476975860996E-3</v>
      </c>
      <c r="CV114" s="110">
        <f>CV113/CP113-1</f>
        <v>1.4449307403181288E-2</v>
      </c>
      <c r="CW114" s="110">
        <f>CW113/CQ113-1</f>
        <v>1.455707895254843E-2</v>
      </c>
      <c r="CX114" s="110">
        <f ca="1">CX113/CR113-1</f>
        <v>-7.903089513694006E-3</v>
      </c>
      <c r="CY114" s="122">
        <f ca="1">CY113/CS113-1</f>
        <v>5.6873235532184374E-3</v>
      </c>
      <c r="DA114" s="109">
        <f>DA113/CU113-1</f>
        <v>-3.4451156437452779E-3</v>
      </c>
      <c r="DB114" s="110">
        <f>DB113/CV113-1</f>
        <v>-2.0889068998839466E-3</v>
      </c>
      <c r="DC114" s="110">
        <f>DC113/CW113-1</f>
        <v>-5.0012439887525684E-4</v>
      </c>
      <c r="DD114" s="110">
        <f ca="1">DD113/CX113-1</f>
        <v>-7.3958508821617697E-3</v>
      </c>
      <c r="DE114" s="122">
        <f ca="1">DE113/CY113-1</f>
        <v>-2.9815865710395295E-3</v>
      </c>
      <c r="DG114" s="109">
        <f>DG113/DA113-1</f>
        <v>-2.7807877619117072E-3</v>
      </c>
      <c r="DH114" s="110">
        <f>DH113/DB113-1</f>
        <v>-1.483560054652E-3</v>
      </c>
      <c r="DI114" s="110">
        <f>DI113/DC113-1</f>
        <v>1.6393718197327267E-4</v>
      </c>
      <c r="DJ114" s="110">
        <f ca="1">DJ113/DD113-1</f>
        <v>-6.8823805754025802E-3</v>
      </c>
      <c r="DK114" s="122">
        <f ca="1">DK113/DE113-1</f>
        <v>-2.357410075301547E-3</v>
      </c>
    </row>
  </sheetData>
  <mergeCells count="38">
    <mergeCell ref="BK71:BO71"/>
    <mergeCell ref="BQ71:BU71"/>
    <mergeCell ref="AA71:AE71"/>
    <mergeCell ref="AG71:AK71"/>
    <mergeCell ref="AM71:AQ71"/>
    <mergeCell ref="AS71:AW71"/>
    <mergeCell ref="CI2:CM2"/>
    <mergeCell ref="C71:G71"/>
    <mergeCell ref="I71:M71"/>
    <mergeCell ref="O71:S71"/>
    <mergeCell ref="U71:Y71"/>
    <mergeCell ref="AY2:BC2"/>
    <mergeCell ref="C2:G2"/>
    <mergeCell ref="I2:M2"/>
    <mergeCell ref="O2:S2"/>
    <mergeCell ref="U2:Y2"/>
    <mergeCell ref="AY71:BC71"/>
    <mergeCell ref="AA2:AE2"/>
    <mergeCell ref="AG2:AK2"/>
    <mergeCell ref="AM2:AQ2"/>
    <mergeCell ref="AS2:AW2"/>
    <mergeCell ref="BE71:BI71"/>
    <mergeCell ref="CI71:CM71"/>
    <mergeCell ref="BE2:BI2"/>
    <mergeCell ref="DA2:DE2"/>
    <mergeCell ref="DA71:DE71"/>
    <mergeCell ref="DG2:DK2"/>
    <mergeCell ref="DG71:DK71"/>
    <mergeCell ref="BK2:BO2"/>
    <mergeCell ref="BQ2:BU2"/>
    <mergeCell ref="CO2:CS2"/>
    <mergeCell ref="CO71:CS71"/>
    <mergeCell ref="CU2:CY2"/>
    <mergeCell ref="CU71:CY71"/>
    <mergeCell ref="BW2:CA2"/>
    <mergeCell ref="BW71:CA71"/>
    <mergeCell ref="CC2:CG2"/>
    <mergeCell ref="CC71:CG71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K125"/>
  <sheetViews>
    <sheetView topLeftCell="A35" zoomScale="50" workbookViewId="0">
      <pane xSplit="2" topLeftCell="BH1" activePane="topRight" state="frozen"/>
      <selection pane="topRight" activeCell="A35" sqref="A1:XFD1048576"/>
    </sheetView>
  </sheetViews>
  <sheetFormatPr defaultRowHeight="12.75" x14ac:dyDescent="0.2"/>
  <cols>
    <col min="1" max="1" width="4.5703125" customWidth="1"/>
    <col min="2" max="2" width="35.5703125" customWidth="1"/>
    <col min="3" max="3" width="10.140625" style="103" bestFit="1" customWidth="1"/>
    <col min="4" max="4" width="9.85546875" style="103" customWidth="1"/>
    <col min="5" max="5" width="10.42578125" style="103" bestFit="1" customWidth="1"/>
    <col min="6" max="6" width="10.140625" style="103" bestFit="1" customWidth="1"/>
    <col min="7" max="7" width="11" style="103" customWidth="1"/>
    <col min="8" max="8" width="9.140625" style="103"/>
    <col min="9" max="9" width="11.140625" style="103" bestFit="1" customWidth="1"/>
    <col min="10" max="11" width="10.5703125" style="103" bestFit="1" customWidth="1"/>
    <col min="12" max="12" width="9.42578125" style="103" customWidth="1"/>
    <col min="13" max="13" width="11.85546875" style="103" bestFit="1" customWidth="1"/>
    <col min="14" max="14" width="9.140625" style="103"/>
    <col min="15" max="15" width="10.42578125" style="103" bestFit="1" customWidth="1"/>
    <col min="16" max="16" width="10.140625" style="103" customWidth="1"/>
    <col min="17" max="17" width="10.140625" style="103" bestFit="1" customWidth="1"/>
    <col min="18" max="18" width="10.28515625" style="103" bestFit="1" customWidth="1"/>
    <col min="19" max="19" width="11.42578125" style="103" customWidth="1"/>
    <col min="20" max="20" width="9.140625" style="103"/>
    <col min="21" max="21" width="11.28515625" style="103" bestFit="1" customWidth="1"/>
    <col min="22" max="22" width="11.7109375" style="103" bestFit="1" customWidth="1"/>
    <col min="23" max="23" width="10.7109375" style="103" bestFit="1" customWidth="1"/>
    <col min="24" max="24" width="11.140625" style="103" bestFit="1" customWidth="1"/>
    <col min="25" max="25" width="11.85546875" style="103" bestFit="1" customWidth="1"/>
    <col min="27" max="27" width="10.85546875" bestFit="1" customWidth="1"/>
    <col min="28" max="30" width="11.5703125" bestFit="1" customWidth="1"/>
    <col min="31" max="31" width="11.5703125" customWidth="1"/>
    <col min="33" max="34" width="10.7109375" bestFit="1" customWidth="1"/>
    <col min="35" max="35" width="11.28515625" bestFit="1" customWidth="1"/>
    <col min="36" max="36" width="11.42578125" bestFit="1" customWidth="1"/>
    <col min="37" max="37" width="11.85546875" customWidth="1"/>
    <col min="39" max="39" width="11.42578125" bestFit="1" customWidth="1"/>
    <col min="40" max="40" width="11.28515625" bestFit="1" customWidth="1"/>
    <col min="41" max="41" width="11" bestFit="1" customWidth="1"/>
    <col min="42" max="42" width="11.28515625" bestFit="1" customWidth="1"/>
    <col min="43" max="43" width="11" bestFit="1" customWidth="1"/>
    <col min="45" max="45" width="10.5703125" bestFit="1" customWidth="1"/>
    <col min="46" max="46" width="10.7109375" bestFit="1" customWidth="1"/>
    <col min="47" max="47" width="11.28515625" bestFit="1" customWidth="1"/>
    <col min="48" max="48" width="10.28515625" bestFit="1" customWidth="1"/>
    <col min="49" max="49" width="11" bestFit="1" customWidth="1"/>
    <col min="51" max="51" width="11.28515625" bestFit="1" customWidth="1"/>
    <col min="52" max="52" width="10.5703125" bestFit="1" customWidth="1"/>
    <col min="53" max="53" width="11.28515625" bestFit="1" customWidth="1"/>
    <col min="54" max="54" width="11.42578125" bestFit="1" customWidth="1"/>
    <col min="55" max="55" width="11" bestFit="1" customWidth="1"/>
    <col min="57" max="57" width="10.5703125" bestFit="1" customWidth="1"/>
    <col min="58" max="58" width="10.7109375" bestFit="1" customWidth="1"/>
    <col min="59" max="59" width="11" bestFit="1" customWidth="1"/>
    <col min="60" max="60" width="11.42578125" bestFit="1" customWidth="1"/>
    <col min="61" max="61" width="11" bestFit="1" customWidth="1"/>
    <col min="63" max="63" width="11.42578125" bestFit="1" customWidth="1"/>
    <col min="64" max="64" width="10.7109375" bestFit="1" customWidth="1"/>
    <col min="65" max="65" width="10.28515625" bestFit="1" customWidth="1"/>
    <col min="66" max="66" width="11" bestFit="1" customWidth="1"/>
    <col min="67" max="67" width="11.28515625" bestFit="1" customWidth="1"/>
    <col min="69" max="69" width="10.7109375" bestFit="1" customWidth="1"/>
    <col min="70" max="70" width="11.42578125" bestFit="1" customWidth="1"/>
    <col min="71" max="71" width="11" bestFit="1" customWidth="1"/>
    <col min="72" max="72" width="10.7109375" bestFit="1" customWidth="1"/>
    <col min="73" max="73" width="11" bestFit="1" customWidth="1"/>
    <col min="75" max="75" width="10.7109375" bestFit="1" customWidth="1"/>
    <col min="76" max="76" width="11.42578125" bestFit="1" customWidth="1"/>
    <col min="77" max="77" width="11" bestFit="1" customWidth="1"/>
    <col min="78" max="78" width="10.7109375" bestFit="1" customWidth="1"/>
    <col min="79" max="79" width="11" bestFit="1" customWidth="1"/>
    <col min="81" max="81" width="10.7109375" bestFit="1" customWidth="1"/>
    <col min="82" max="82" width="11.42578125" bestFit="1" customWidth="1"/>
    <col min="83" max="83" width="11" bestFit="1" customWidth="1"/>
    <col min="84" max="84" width="10.7109375" bestFit="1" customWidth="1"/>
    <col min="85" max="85" width="11" bestFit="1" customWidth="1"/>
    <col min="87" max="87" width="10.7109375" bestFit="1" customWidth="1"/>
    <col min="88" max="88" width="11.42578125" bestFit="1" customWidth="1"/>
    <col min="89" max="89" width="11" bestFit="1" customWidth="1"/>
    <col min="90" max="90" width="10.7109375" bestFit="1" customWidth="1"/>
    <col min="91" max="91" width="11" bestFit="1" customWidth="1"/>
    <col min="93" max="93" width="10.7109375" bestFit="1" customWidth="1"/>
    <col min="94" max="94" width="11.42578125" bestFit="1" customWidth="1"/>
    <col min="95" max="95" width="11" bestFit="1" customWidth="1"/>
    <col min="96" max="96" width="10.7109375" bestFit="1" customWidth="1"/>
    <col min="97" max="97" width="11" bestFit="1" customWidth="1"/>
    <col min="99" max="99" width="10.7109375" bestFit="1" customWidth="1"/>
    <col min="100" max="100" width="11.42578125" bestFit="1" customWidth="1"/>
    <col min="101" max="101" width="11" bestFit="1" customWidth="1"/>
    <col min="102" max="102" width="10.7109375" bestFit="1" customWidth="1"/>
    <col min="103" max="103" width="11" customWidth="1"/>
    <col min="105" max="115" width="11.140625" customWidth="1"/>
  </cols>
  <sheetData>
    <row r="1" spans="2:115" ht="13.5" thickBot="1" x14ac:dyDescent="0.25"/>
    <row r="2" spans="2:115" x14ac:dyDescent="0.2">
      <c r="B2" s="281" t="s">
        <v>157</v>
      </c>
      <c r="C2" s="712">
        <v>2007</v>
      </c>
      <c r="D2" s="713"/>
      <c r="E2" s="713"/>
      <c r="F2" s="713"/>
      <c r="G2" s="714"/>
      <c r="H2" s="129"/>
      <c r="I2" s="712">
        <v>2008</v>
      </c>
      <c r="J2" s="713"/>
      <c r="K2" s="713"/>
      <c r="L2" s="713"/>
      <c r="M2" s="714"/>
      <c r="N2" s="129"/>
      <c r="O2" s="712">
        <v>2009</v>
      </c>
      <c r="P2" s="713"/>
      <c r="Q2" s="713"/>
      <c r="R2" s="713"/>
      <c r="S2" s="714"/>
      <c r="T2" s="129"/>
      <c r="U2" s="712">
        <v>2010</v>
      </c>
      <c r="V2" s="713"/>
      <c r="W2" s="713"/>
      <c r="X2" s="713"/>
      <c r="Y2" s="714"/>
      <c r="AA2" s="712">
        <v>2011</v>
      </c>
      <c r="AB2" s="713"/>
      <c r="AC2" s="713"/>
      <c r="AD2" s="713"/>
      <c r="AE2" s="714"/>
      <c r="AG2" s="712">
        <v>2012</v>
      </c>
      <c r="AH2" s="713"/>
      <c r="AI2" s="713"/>
      <c r="AJ2" s="713"/>
      <c r="AK2" s="714"/>
      <c r="AM2" s="712">
        <v>2013</v>
      </c>
      <c r="AN2" s="713"/>
      <c r="AO2" s="713"/>
      <c r="AP2" s="713"/>
      <c r="AQ2" s="714"/>
      <c r="AS2" s="712">
        <v>2014</v>
      </c>
      <c r="AT2" s="713"/>
      <c r="AU2" s="713"/>
      <c r="AV2" s="713"/>
      <c r="AW2" s="714"/>
      <c r="AY2" s="712">
        <v>2015</v>
      </c>
      <c r="AZ2" s="713"/>
      <c r="BA2" s="713"/>
      <c r="BB2" s="713"/>
      <c r="BC2" s="714"/>
      <c r="BE2" s="712">
        <v>2016</v>
      </c>
      <c r="BF2" s="713"/>
      <c r="BG2" s="713"/>
      <c r="BH2" s="713"/>
      <c r="BI2" s="714"/>
      <c r="BK2" s="712">
        <v>2017</v>
      </c>
      <c r="BL2" s="713"/>
      <c r="BM2" s="713"/>
      <c r="BN2" s="713"/>
      <c r="BO2" s="714"/>
      <c r="BQ2" s="712">
        <v>2018</v>
      </c>
      <c r="BR2" s="713"/>
      <c r="BS2" s="713"/>
      <c r="BT2" s="713"/>
      <c r="BU2" s="714"/>
      <c r="BW2" s="712">
        <v>2019</v>
      </c>
      <c r="BX2" s="713"/>
      <c r="BY2" s="713"/>
      <c r="BZ2" s="713"/>
      <c r="CA2" s="714"/>
      <c r="CC2" s="712">
        <v>2020</v>
      </c>
      <c r="CD2" s="713"/>
      <c r="CE2" s="713"/>
      <c r="CF2" s="713"/>
      <c r="CG2" s="714"/>
      <c r="CI2" s="712">
        <v>2021</v>
      </c>
      <c r="CJ2" s="713"/>
      <c r="CK2" s="713"/>
      <c r="CL2" s="713"/>
      <c r="CM2" s="714"/>
      <c r="CO2" s="712">
        <v>2022</v>
      </c>
      <c r="CP2" s="713"/>
      <c r="CQ2" s="713"/>
      <c r="CR2" s="713"/>
      <c r="CS2" s="714"/>
      <c r="CU2" s="712">
        <v>2023</v>
      </c>
      <c r="CV2" s="713"/>
      <c r="CW2" s="713"/>
      <c r="CX2" s="713"/>
      <c r="CY2" s="714"/>
      <c r="DA2" s="712">
        <v>2024</v>
      </c>
      <c r="DB2" s="713"/>
      <c r="DC2" s="713"/>
      <c r="DD2" s="713"/>
      <c r="DE2" s="714"/>
      <c r="DG2" s="712">
        <v>2025</v>
      </c>
      <c r="DH2" s="713"/>
      <c r="DI2" s="713"/>
      <c r="DJ2" s="713"/>
      <c r="DK2" s="714"/>
    </row>
    <row r="3" spans="2:115" ht="13.5" thickBot="1" x14ac:dyDescent="0.25">
      <c r="C3" s="130" t="s">
        <v>20</v>
      </c>
      <c r="D3" s="131" t="s">
        <v>19</v>
      </c>
      <c r="E3" s="131" t="s">
        <v>22</v>
      </c>
      <c r="F3" s="131" t="s">
        <v>21</v>
      </c>
      <c r="G3" s="132" t="s">
        <v>39</v>
      </c>
      <c r="H3" s="129"/>
      <c r="I3" s="130" t="s">
        <v>20</v>
      </c>
      <c r="J3" s="131" t="s">
        <v>19</v>
      </c>
      <c r="K3" s="131" t="s">
        <v>22</v>
      </c>
      <c r="L3" s="131" t="s">
        <v>21</v>
      </c>
      <c r="M3" s="132" t="s">
        <v>39</v>
      </c>
      <c r="N3" s="129"/>
      <c r="O3" s="130" t="s">
        <v>20</v>
      </c>
      <c r="P3" s="131" t="s">
        <v>19</v>
      </c>
      <c r="Q3" s="131" t="s">
        <v>22</v>
      </c>
      <c r="R3" s="131" t="s">
        <v>21</v>
      </c>
      <c r="S3" s="132" t="s">
        <v>39</v>
      </c>
      <c r="T3" s="129"/>
      <c r="U3" s="130" t="s">
        <v>20</v>
      </c>
      <c r="V3" s="131" t="s">
        <v>19</v>
      </c>
      <c r="W3" s="131" t="s">
        <v>22</v>
      </c>
      <c r="X3" s="131" t="s">
        <v>21</v>
      </c>
      <c r="Y3" s="132" t="s">
        <v>39</v>
      </c>
      <c r="AA3" s="130" t="s">
        <v>20</v>
      </c>
      <c r="AB3" s="131" t="s">
        <v>19</v>
      </c>
      <c r="AC3" s="131" t="s">
        <v>22</v>
      </c>
      <c r="AD3" s="131" t="s">
        <v>21</v>
      </c>
      <c r="AE3" s="132" t="s">
        <v>39</v>
      </c>
      <c r="AG3" s="130" t="s">
        <v>20</v>
      </c>
      <c r="AH3" s="131" t="s">
        <v>19</v>
      </c>
      <c r="AI3" s="131" t="s">
        <v>22</v>
      </c>
      <c r="AJ3" s="131" t="s">
        <v>21</v>
      </c>
      <c r="AK3" s="132" t="s">
        <v>39</v>
      </c>
      <c r="AM3" s="130" t="s">
        <v>20</v>
      </c>
      <c r="AN3" s="131" t="s">
        <v>19</v>
      </c>
      <c r="AO3" s="131" t="s">
        <v>22</v>
      </c>
      <c r="AP3" s="131" t="s">
        <v>21</v>
      </c>
      <c r="AQ3" s="132" t="s">
        <v>39</v>
      </c>
      <c r="AS3" s="130" t="s">
        <v>20</v>
      </c>
      <c r="AT3" s="131" t="s">
        <v>19</v>
      </c>
      <c r="AU3" s="131" t="s">
        <v>22</v>
      </c>
      <c r="AV3" s="131" t="s">
        <v>21</v>
      </c>
      <c r="AW3" s="132" t="s">
        <v>39</v>
      </c>
      <c r="AY3" s="130" t="s">
        <v>20</v>
      </c>
      <c r="AZ3" s="131" t="s">
        <v>19</v>
      </c>
      <c r="BA3" s="131" t="s">
        <v>22</v>
      </c>
      <c r="BB3" s="131" t="s">
        <v>21</v>
      </c>
      <c r="BC3" s="132" t="s">
        <v>39</v>
      </c>
      <c r="BE3" s="130" t="s">
        <v>20</v>
      </c>
      <c r="BF3" s="131" t="s">
        <v>19</v>
      </c>
      <c r="BG3" s="131" t="s">
        <v>22</v>
      </c>
      <c r="BH3" s="131" t="s">
        <v>21</v>
      </c>
      <c r="BI3" s="132" t="s">
        <v>39</v>
      </c>
      <c r="BK3" s="130" t="s">
        <v>20</v>
      </c>
      <c r="BL3" s="131" t="s">
        <v>19</v>
      </c>
      <c r="BM3" s="131" t="s">
        <v>22</v>
      </c>
      <c r="BN3" s="131" t="s">
        <v>21</v>
      </c>
      <c r="BO3" s="132" t="s">
        <v>39</v>
      </c>
      <c r="BQ3" s="130" t="s">
        <v>20</v>
      </c>
      <c r="BR3" s="131" t="s">
        <v>19</v>
      </c>
      <c r="BS3" s="131" t="s">
        <v>22</v>
      </c>
      <c r="BT3" s="131" t="s">
        <v>21</v>
      </c>
      <c r="BU3" s="132" t="s">
        <v>39</v>
      </c>
      <c r="BW3" s="130" t="s">
        <v>20</v>
      </c>
      <c r="BX3" s="131" t="s">
        <v>19</v>
      </c>
      <c r="BY3" s="131" t="s">
        <v>22</v>
      </c>
      <c r="BZ3" s="131" t="s">
        <v>21</v>
      </c>
      <c r="CA3" s="132" t="s">
        <v>39</v>
      </c>
      <c r="CC3" s="130" t="s">
        <v>20</v>
      </c>
      <c r="CD3" s="131" t="s">
        <v>19</v>
      </c>
      <c r="CE3" s="131" t="s">
        <v>22</v>
      </c>
      <c r="CF3" s="131" t="s">
        <v>21</v>
      </c>
      <c r="CG3" s="132" t="s">
        <v>39</v>
      </c>
      <c r="CI3" s="130" t="s">
        <v>20</v>
      </c>
      <c r="CJ3" s="131" t="s">
        <v>19</v>
      </c>
      <c r="CK3" s="131" t="s">
        <v>22</v>
      </c>
      <c r="CL3" s="131" t="s">
        <v>21</v>
      </c>
      <c r="CM3" s="132" t="s">
        <v>39</v>
      </c>
      <c r="CO3" s="130" t="s">
        <v>20</v>
      </c>
      <c r="CP3" s="131" t="s">
        <v>19</v>
      </c>
      <c r="CQ3" s="131" t="s">
        <v>22</v>
      </c>
      <c r="CR3" s="131" t="s">
        <v>21</v>
      </c>
      <c r="CS3" s="132" t="s">
        <v>39</v>
      </c>
      <c r="CU3" s="130" t="s">
        <v>20</v>
      </c>
      <c r="CV3" s="131" t="s">
        <v>19</v>
      </c>
      <c r="CW3" s="131" t="s">
        <v>22</v>
      </c>
      <c r="CX3" s="131" t="s">
        <v>21</v>
      </c>
      <c r="CY3" s="132" t="s">
        <v>39</v>
      </c>
      <c r="DA3" s="130" t="s">
        <v>20</v>
      </c>
      <c r="DB3" s="131" t="s">
        <v>19</v>
      </c>
      <c r="DC3" s="131" t="s">
        <v>22</v>
      </c>
      <c r="DD3" s="131" t="s">
        <v>21</v>
      </c>
      <c r="DE3" s="132" t="s">
        <v>39</v>
      </c>
      <c r="DG3" s="130" t="s">
        <v>20</v>
      </c>
      <c r="DH3" s="131" t="s">
        <v>19</v>
      </c>
      <c r="DI3" s="131" t="s">
        <v>22</v>
      </c>
      <c r="DJ3" s="131" t="s">
        <v>21</v>
      </c>
      <c r="DK3" s="132" t="s">
        <v>39</v>
      </c>
    </row>
    <row r="4" spans="2:115" ht="15" x14ac:dyDescent="0.3">
      <c r="B4" s="104" t="s">
        <v>25</v>
      </c>
      <c r="C4" s="111">
        <v>4431</v>
      </c>
      <c r="D4" s="112">
        <f>C6</f>
        <v>4478</v>
      </c>
      <c r="E4" s="112">
        <f>D6</f>
        <v>4517</v>
      </c>
      <c r="F4" s="112">
        <f>E6</f>
        <v>4628</v>
      </c>
      <c r="G4" s="113">
        <f>C4</f>
        <v>4431</v>
      </c>
      <c r="H4" s="114"/>
      <c r="I4" s="111">
        <f>G6</f>
        <v>4853</v>
      </c>
      <c r="J4" s="112">
        <f>I6</f>
        <v>4928</v>
      </c>
      <c r="K4" s="112">
        <f>J6</f>
        <v>5082</v>
      </c>
      <c r="L4" s="112">
        <f>K6</f>
        <v>5156</v>
      </c>
      <c r="M4" s="113">
        <f>I4</f>
        <v>4853</v>
      </c>
      <c r="N4" s="114"/>
      <c r="O4" s="111">
        <f>M6</f>
        <v>5362</v>
      </c>
      <c r="P4" s="112">
        <f>O6</f>
        <v>5347</v>
      </c>
      <c r="Q4" s="112">
        <f>P6</f>
        <v>5256</v>
      </c>
      <c r="R4" s="112">
        <f>Q6</f>
        <v>5207</v>
      </c>
      <c r="S4" s="113">
        <f>O4</f>
        <v>5362</v>
      </c>
      <c r="T4" s="114"/>
      <c r="U4" s="111">
        <f>S6</f>
        <v>5120</v>
      </c>
      <c r="V4" s="112">
        <f>U6</f>
        <v>5120</v>
      </c>
      <c r="W4" s="112">
        <f>V6</f>
        <v>5131</v>
      </c>
      <c r="X4" s="112">
        <f>W6</f>
        <v>5147</v>
      </c>
      <c r="Y4" s="113">
        <f>U4</f>
        <v>5120</v>
      </c>
      <c r="AA4" s="111">
        <f>Y6</f>
        <v>5208</v>
      </c>
      <c r="AB4" s="112">
        <f>AA6</f>
        <v>4777</v>
      </c>
      <c r="AC4" s="112">
        <f>AB6</f>
        <v>4773</v>
      </c>
      <c r="AD4" s="112">
        <f>AC6</f>
        <v>4790</v>
      </c>
      <c r="AE4" s="113">
        <f>AA4</f>
        <v>5208</v>
      </c>
      <c r="AG4" s="111">
        <f>AE6</f>
        <v>4817</v>
      </c>
      <c r="AH4" s="112">
        <f>AG6</f>
        <v>4815</v>
      </c>
      <c r="AI4" s="112">
        <f>AH6</f>
        <v>4821</v>
      </c>
      <c r="AJ4" s="112">
        <f>AI6</f>
        <v>4820</v>
      </c>
      <c r="AK4" s="113">
        <f>AG4</f>
        <v>4817</v>
      </c>
      <c r="AM4" s="111">
        <f>AK6</f>
        <v>4837</v>
      </c>
      <c r="AN4" s="112">
        <f>AM6</f>
        <v>4845</v>
      </c>
      <c r="AO4" s="112">
        <f>AN6</f>
        <v>4838</v>
      </c>
      <c r="AP4" s="112">
        <f>AO6</f>
        <v>4853</v>
      </c>
      <c r="AQ4" s="113">
        <f>AM4</f>
        <v>4837</v>
      </c>
      <c r="AS4" s="111">
        <f>AQ6</f>
        <v>4887</v>
      </c>
      <c r="AT4" s="112">
        <f>AS6</f>
        <v>4878</v>
      </c>
      <c r="AU4" s="112">
        <f>AT6</f>
        <v>4898</v>
      </c>
      <c r="AV4" s="112">
        <f>AU6</f>
        <v>4933</v>
      </c>
      <c r="AW4" s="113">
        <f>AS4</f>
        <v>4887</v>
      </c>
      <c r="AY4" s="111">
        <f>AY6+15</f>
        <v>5478</v>
      </c>
      <c r="AZ4" s="112">
        <f>AY6</f>
        <v>5463</v>
      </c>
      <c r="BA4" s="112">
        <f>AZ6</f>
        <v>5476</v>
      </c>
      <c r="BB4" s="112">
        <f>BA6</f>
        <v>5482</v>
      </c>
      <c r="BC4" s="113">
        <f>AY4</f>
        <v>5478</v>
      </c>
      <c r="BE4" s="111">
        <f>BC6</f>
        <v>5504</v>
      </c>
      <c r="BF4" s="112">
        <f>BE6</f>
        <v>5372</v>
      </c>
      <c r="BG4" s="112">
        <f>BF6</f>
        <v>5344</v>
      </c>
      <c r="BH4" s="112">
        <f>BG6</f>
        <v>5301</v>
      </c>
      <c r="BI4" s="113">
        <f>BE4</f>
        <v>5504</v>
      </c>
      <c r="BK4" s="111">
        <f>BI6</f>
        <v>5332</v>
      </c>
      <c r="BL4" s="112">
        <f>BK6</f>
        <v>5304</v>
      </c>
      <c r="BM4" s="112">
        <f>BL6</f>
        <v>5390</v>
      </c>
      <c r="BN4" s="112">
        <f>BM6</f>
        <v>5401</v>
      </c>
      <c r="BO4" s="113">
        <f>BK4</f>
        <v>5332</v>
      </c>
      <c r="BQ4" s="111">
        <f>BO6</f>
        <v>5293</v>
      </c>
      <c r="BR4" s="112">
        <f>BQ6</f>
        <v>5268</v>
      </c>
      <c r="BS4" s="112">
        <f>BR6</f>
        <v>5258</v>
      </c>
      <c r="BT4" s="112">
        <f>BS6</f>
        <v>5263</v>
      </c>
      <c r="BU4" s="113">
        <f>BQ4</f>
        <v>5293</v>
      </c>
      <c r="BW4" s="111">
        <f>BU6</f>
        <v>5268</v>
      </c>
      <c r="BX4" s="112">
        <f>BW6</f>
        <v>5273</v>
      </c>
      <c r="BY4" s="112">
        <f>BX6</f>
        <v>5283</v>
      </c>
      <c r="BZ4" s="112">
        <f>BY6</f>
        <v>5298</v>
      </c>
      <c r="CA4" s="113">
        <f>BW4</f>
        <v>5268</v>
      </c>
      <c r="CC4" s="111">
        <f>CA6</f>
        <v>5318</v>
      </c>
      <c r="CD4" s="112">
        <f>CC6</f>
        <v>5323</v>
      </c>
      <c r="CE4" s="112">
        <f>CD6</f>
        <v>5333</v>
      </c>
      <c r="CF4" s="112">
        <f>CE6</f>
        <v>5348</v>
      </c>
      <c r="CG4" s="113">
        <f>CC4</f>
        <v>5318</v>
      </c>
      <c r="CI4" s="111">
        <f>CG6</f>
        <v>5368</v>
      </c>
      <c r="CJ4" s="112">
        <f>CI6</f>
        <v>5378</v>
      </c>
      <c r="CK4" s="112">
        <f>CJ6</f>
        <v>5398</v>
      </c>
      <c r="CL4" s="112">
        <f>CK6</f>
        <v>5418</v>
      </c>
      <c r="CM4" s="113">
        <f>CI4</f>
        <v>5368</v>
      </c>
      <c r="CO4" s="111">
        <f>CM6</f>
        <v>5438</v>
      </c>
      <c r="CP4" s="112">
        <f>CO6</f>
        <v>5448</v>
      </c>
      <c r="CQ4" s="112">
        <f>CP6</f>
        <v>5468</v>
      </c>
      <c r="CR4" s="112">
        <f>CQ6</f>
        <v>5488</v>
      </c>
      <c r="CS4" s="113">
        <f>CO4</f>
        <v>5438</v>
      </c>
      <c r="CU4" s="111">
        <f>CS6</f>
        <v>5508</v>
      </c>
      <c r="CV4" s="112">
        <f>CU6</f>
        <v>5518</v>
      </c>
      <c r="CW4" s="112">
        <f>CV6</f>
        <v>5538</v>
      </c>
      <c r="CX4" s="112">
        <f>CW6</f>
        <v>5558</v>
      </c>
      <c r="CY4" s="113">
        <f>CU4</f>
        <v>5508</v>
      </c>
      <c r="DA4" s="111">
        <f>CY6</f>
        <v>5578</v>
      </c>
      <c r="DB4" s="112">
        <f>DA6</f>
        <v>5588</v>
      </c>
      <c r="DC4" s="112">
        <f>DB6</f>
        <v>5608</v>
      </c>
      <c r="DD4" s="112">
        <f>DC6</f>
        <v>5628</v>
      </c>
      <c r="DE4" s="113">
        <f>DA4</f>
        <v>5578</v>
      </c>
      <c r="DG4" s="111">
        <f>DE6</f>
        <v>5648</v>
      </c>
      <c r="DH4" s="112">
        <f>DG6</f>
        <v>5658</v>
      </c>
      <c r="DI4" s="112">
        <f>DH6</f>
        <v>5678</v>
      </c>
      <c r="DJ4" s="112">
        <f>DI6</f>
        <v>5698</v>
      </c>
      <c r="DK4" s="113">
        <f>DG4</f>
        <v>5648</v>
      </c>
    </row>
    <row r="5" spans="2:115" ht="15" x14ac:dyDescent="0.3">
      <c r="B5" s="105" t="s">
        <v>26</v>
      </c>
      <c r="C5" s="116">
        <f>C6-C4</f>
        <v>47</v>
      </c>
      <c r="D5" s="117">
        <f>D6-D4</f>
        <v>39</v>
      </c>
      <c r="E5" s="117">
        <f>E6-E4</f>
        <v>111</v>
      </c>
      <c r="F5" s="117">
        <f>F6-F4</f>
        <v>225</v>
      </c>
      <c r="G5" s="118">
        <f>G6-G4</f>
        <v>422</v>
      </c>
      <c r="H5" s="114"/>
      <c r="I5" s="116">
        <f>I6-I4</f>
        <v>75</v>
      </c>
      <c r="J5" s="117">
        <f>J6-J4</f>
        <v>154</v>
      </c>
      <c r="K5" s="117">
        <f>K6-K4</f>
        <v>74</v>
      </c>
      <c r="L5" s="117">
        <f>L6-L4</f>
        <v>206</v>
      </c>
      <c r="M5" s="118">
        <f>M6-M4</f>
        <v>509</v>
      </c>
      <c r="N5" s="114"/>
      <c r="O5" s="116">
        <f>O6-O4</f>
        <v>-15</v>
      </c>
      <c r="P5" s="117">
        <f>P6-P4</f>
        <v>-91</v>
      </c>
      <c r="Q5" s="117">
        <f>Q6-Q4</f>
        <v>-49</v>
      </c>
      <c r="R5" s="117">
        <f>R6-R4</f>
        <v>-87</v>
      </c>
      <c r="S5" s="118">
        <f>S6-S4</f>
        <v>-242</v>
      </c>
      <c r="T5" s="114"/>
      <c r="U5" s="116">
        <f>U6-U4</f>
        <v>0</v>
      </c>
      <c r="V5" s="117">
        <f>V6-V4</f>
        <v>11</v>
      </c>
      <c r="W5" s="117">
        <v>16</v>
      </c>
      <c r="X5" s="117">
        <v>61</v>
      </c>
      <c r="Y5" s="118">
        <f>Y6-Y4</f>
        <v>88</v>
      </c>
      <c r="AA5" s="116">
        <v>-431</v>
      </c>
      <c r="AB5" s="117">
        <v>-4</v>
      </c>
      <c r="AC5" s="117">
        <v>17</v>
      </c>
      <c r="AD5" s="117">
        <v>27</v>
      </c>
      <c r="AE5" s="118">
        <f>AE6-AE4</f>
        <v>-391</v>
      </c>
      <c r="AG5" s="116">
        <v>-2</v>
      </c>
      <c r="AH5" s="117">
        <v>6</v>
      </c>
      <c r="AI5" s="117">
        <v>-1</v>
      </c>
      <c r="AJ5" s="117">
        <v>17</v>
      </c>
      <c r="AK5" s="118">
        <f>AK6-AK4</f>
        <v>20</v>
      </c>
      <c r="AM5" s="116">
        <v>8</v>
      </c>
      <c r="AN5" s="117">
        <v>-7</v>
      </c>
      <c r="AO5" s="117">
        <v>15</v>
      </c>
      <c r="AP5" s="117">
        <v>34</v>
      </c>
      <c r="AQ5" s="118">
        <f>AQ6-AQ4</f>
        <v>50</v>
      </c>
      <c r="AS5" s="116">
        <v>-9</v>
      </c>
      <c r="AT5" s="117">
        <v>20</v>
      </c>
      <c r="AU5" s="117">
        <v>35</v>
      </c>
      <c r="AV5" s="117">
        <v>31</v>
      </c>
      <c r="AW5" s="118">
        <f>AW6-AW4</f>
        <v>77</v>
      </c>
      <c r="AY5" s="116">
        <f>AY6-AY4</f>
        <v>-15</v>
      </c>
      <c r="AZ5" s="117">
        <f>AZ6-AZ4</f>
        <v>13</v>
      </c>
      <c r="BA5" s="117">
        <f>BA6-BA4</f>
        <v>6</v>
      </c>
      <c r="BB5" s="117">
        <f>BB6-BB4</f>
        <v>22</v>
      </c>
      <c r="BC5" s="118">
        <f>BC6-BC4</f>
        <v>26</v>
      </c>
      <c r="BE5" s="116">
        <f>BE6-BE4</f>
        <v>-132</v>
      </c>
      <c r="BF5" s="117">
        <v>-28</v>
      </c>
      <c r="BG5" s="117">
        <v>-43</v>
      </c>
      <c r="BH5" s="117">
        <v>31</v>
      </c>
      <c r="BI5" s="118">
        <f>BI6-BI4</f>
        <v>-172</v>
      </c>
      <c r="BK5" s="116">
        <v>-28</v>
      </c>
      <c r="BL5" s="117">
        <v>86</v>
      </c>
      <c r="BM5" s="117">
        <v>11</v>
      </c>
      <c r="BN5" s="117">
        <v>-108</v>
      </c>
      <c r="BO5" s="118">
        <f>BO6-BO4</f>
        <v>-39</v>
      </c>
      <c r="BQ5" s="116">
        <v>-25</v>
      </c>
      <c r="BR5" s="117">
        <v>-10</v>
      </c>
      <c r="BS5" s="117">
        <v>5</v>
      </c>
      <c r="BT5" s="117">
        <v>5</v>
      </c>
      <c r="BU5" s="118">
        <f>BU6-BU4</f>
        <v>-25</v>
      </c>
      <c r="BW5" s="116">
        <v>5</v>
      </c>
      <c r="BX5" s="117">
        <v>10</v>
      </c>
      <c r="BY5" s="117">
        <v>15</v>
      </c>
      <c r="BZ5" s="117">
        <v>20</v>
      </c>
      <c r="CA5" s="118">
        <f>CA6-CA4</f>
        <v>50</v>
      </c>
      <c r="CC5" s="116">
        <v>5</v>
      </c>
      <c r="CD5" s="117">
        <v>10</v>
      </c>
      <c r="CE5" s="117">
        <v>15</v>
      </c>
      <c r="CF5" s="117">
        <v>20</v>
      </c>
      <c r="CG5" s="118">
        <f>CG6-CG4</f>
        <v>50</v>
      </c>
      <c r="CI5" s="116">
        <v>10</v>
      </c>
      <c r="CJ5" s="117">
        <v>20</v>
      </c>
      <c r="CK5" s="117">
        <v>20</v>
      </c>
      <c r="CL5" s="117">
        <v>20</v>
      </c>
      <c r="CM5" s="118">
        <f>CM6-CM4</f>
        <v>70</v>
      </c>
      <c r="CO5" s="116">
        <v>10</v>
      </c>
      <c r="CP5" s="117">
        <v>20</v>
      </c>
      <c r="CQ5" s="117">
        <v>20</v>
      </c>
      <c r="CR5" s="117">
        <v>20</v>
      </c>
      <c r="CS5" s="118">
        <f>CS6-CS4</f>
        <v>70</v>
      </c>
      <c r="CU5" s="116">
        <v>10</v>
      </c>
      <c r="CV5" s="117">
        <v>20</v>
      </c>
      <c r="CW5" s="117">
        <v>20</v>
      </c>
      <c r="CX5" s="117">
        <v>20</v>
      </c>
      <c r="CY5" s="118">
        <f>CY6-CY4</f>
        <v>70</v>
      </c>
      <c r="DA5" s="116">
        <v>10</v>
      </c>
      <c r="DB5" s="117">
        <v>20</v>
      </c>
      <c r="DC5" s="117">
        <v>20</v>
      </c>
      <c r="DD5" s="117">
        <v>20</v>
      </c>
      <c r="DE5" s="118">
        <f>DE6-DE4</f>
        <v>70</v>
      </c>
      <c r="DG5" s="116">
        <v>10</v>
      </c>
      <c r="DH5" s="117">
        <v>20</v>
      </c>
      <c r="DI5" s="117">
        <v>20</v>
      </c>
      <c r="DJ5" s="117">
        <v>20</v>
      </c>
      <c r="DK5" s="118">
        <f>DK6-DK4</f>
        <v>70</v>
      </c>
    </row>
    <row r="6" spans="2:115" ht="15.75" thickBot="1" x14ac:dyDescent="0.35">
      <c r="B6" s="5" t="s">
        <v>27</v>
      </c>
      <c r="C6" s="116">
        <v>4478</v>
      </c>
      <c r="D6" s="117">
        <v>4517</v>
      </c>
      <c r="E6" s="117">
        <v>4628</v>
      </c>
      <c r="F6" s="117">
        <v>4853</v>
      </c>
      <c r="G6" s="121">
        <f>F6</f>
        <v>4853</v>
      </c>
      <c r="H6" s="114"/>
      <c r="I6" s="123">
        <v>4928</v>
      </c>
      <c r="J6" s="124">
        <v>5082</v>
      </c>
      <c r="K6" s="124">
        <v>5156</v>
      </c>
      <c r="L6" s="125">
        <v>5362</v>
      </c>
      <c r="M6" s="121">
        <f>L6</f>
        <v>5362</v>
      </c>
      <c r="N6" s="114"/>
      <c r="O6" s="123">
        <v>5347</v>
      </c>
      <c r="P6" s="124">
        <v>5256</v>
      </c>
      <c r="Q6" s="124">
        <v>5207</v>
      </c>
      <c r="R6" s="125">
        <v>5120</v>
      </c>
      <c r="S6" s="121">
        <f>R6</f>
        <v>5120</v>
      </c>
      <c r="T6" s="114"/>
      <c r="U6" s="123">
        <v>5120</v>
      </c>
      <c r="V6" s="124">
        <v>5131</v>
      </c>
      <c r="W6" s="124">
        <f>W4+W5</f>
        <v>5147</v>
      </c>
      <c r="X6" s="124">
        <f>X4+X5</f>
        <v>5208</v>
      </c>
      <c r="Y6" s="121">
        <f>X6</f>
        <v>5208</v>
      </c>
      <c r="AA6" s="123">
        <f>AA4+AA5</f>
        <v>4777</v>
      </c>
      <c r="AB6" s="124">
        <f>AB4+AB5</f>
        <v>4773</v>
      </c>
      <c r="AC6" s="124">
        <f>AC4+AC5</f>
        <v>4790</v>
      </c>
      <c r="AD6" s="124">
        <f>AD4+AD5</f>
        <v>4817</v>
      </c>
      <c r="AE6" s="121">
        <f>AD6</f>
        <v>4817</v>
      </c>
      <c r="AG6" s="123">
        <f>AG4+AG5</f>
        <v>4815</v>
      </c>
      <c r="AH6" s="124">
        <f>AH4+AH5</f>
        <v>4821</v>
      </c>
      <c r="AI6" s="124">
        <f>AI4+AI5</f>
        <v>4820</v>
      </c>
      <c r="AJ6" s="124">
        <f>AJ4+AJ5</f>
        <v>4837</v>
      </c>
      <c r="AK6" s="121">
        <f>AJ6</f>
        <v>4837</v>
      </c>
      <c r="AM6" s="123">
        <f>AM4+AM5</f>
        <v>4845</v>
      </c>
      <c r="AN6" s="124">
        <f>AN4+AN5</f>
        <v>4838</v>
      </c>
      <c r="AO6" s="124">
        <f>AO4+AO5</f>
        <v>4853</v>
      </c>
      <c r="AP6" s="124">
        <f>AP4+AP5</f>
        <v>4887</v>
      </c>
      <c r="AQ6" s="121">
        <f>AP6</f>
        <v>4887</v>
      </c>
      <c r="AS6" s="123">
        <f>AS4+AS5</f>
        <v>4878</v>
      </c>
      <c r="AT6" s="124">
        <f>AT4+AT5</f>
        <v>4898</v>
      </c>
      <c r="AU6" s="124">
        <f>AU4+AU5</f>
        <v>4933</v>
      </c>
      <c r="AV6" s="124">
        <f>AV4+AV5</f>
        <v>4964</v>
      </c>
      <c r="AW6" s="121">
        <f>AV6</f>
        <v>4964</v>
      </c>
      <c r="AY6" s="123">
        <v>5463</v>
      </c>
      <c r="AZ6" s="124">
        <v>5476</v>
      </c>
      <c r="BA6" s="124">
        <v>5482</v>
      </c>
      <c r="BB6" s="124">
        <v>5504</v>
      </c>
      <c r="BC6" s="121">
        <f>BB6</f>
        <v>5504</v>
      </c>
      <c r="BE6" s="123">
        <v>5372</v>
      </c>
      <c r="BF6" s="124">
        <f>BF4+BF5</f>
        <v>5344</v>
      </c>
      <c r="BG6" s="124">
        <f>BG4+BG5</f>
        <v>5301</v>
      </c>
      <c r="BH6" s="124">
        <f>BH4+BH5</f>
        <v>5332</v>
      </c>
      <c r="BI6" s="121">
        <f>BH6</f>
        <v>5332</v>
      </c>
      <c r="BK6" s="123">
        <f>BK4+BK5</f>
        <v>5304</v>
      </c>
      <c r="BL6" s="124">
        <f>BL4+BL5</f>
        <v>5390</v>
      </c>
      <c r="BM6" s="124">
        <f>BM4+BM5</f>
        <v>5401</v>
      </c>
      <c r="BN6" s="124">
        <f>BN4+BN5</f>
        <v>5293</v>
      </c>
      <c r="BO6" s="121">
        <f>BN6</f>
        <v>5293</v>
      </c>
      <c r="BQ6" s="123">
        <f>BQ4+BQ5</f>
        <v>5268</v>
      </c>
      <c r="BR6" s="124">
        <f>BR4+BR5</f>
        <v>5258</v>
      </c>
      <c r="BS6" s="124">
        <f>BS4+BS5</f>
        <v>5263</v>
      </c>
      <c r="BT6" s="124">
        <f>BT4+BT5</f>
        <v>5268</v>
      </c>
      <c r="BU6" s="121">
        <f>BT6</f>
        <v>5268</v>
      </c>
      <c r="BW6" s="123">
        <f>BW4+BW5</f>
        <v>5273</v>
      </c>
      <c r="BX6" s="124">
        <f>BX4+BX5</f>
        <v>5283</v>
      </c>
      <c r="BY6" s="124">
        <f>BY4+BY5</f>
        <v>5298</v>
      </c>
      <c r="BZ6" s="124">
        <f>BZ4+BZ5</f>
        <v>5318</v>
      </c>
      <c r="CA6" s="121">
        <f>BZ6</f>
        <v>5318</v>
      </c>
      <c r="CC6" s="123">
        <f>CC4+CC5</f>
        <v>5323</v>
      </c>
      <c r="CD6" s="124">
        <f>CD4+CD5</f>
        <v>5333</v>
      </c>
      <c r="CE6" s="124">
        <f>CE4+CE5</f>
        <v>5348</v>
      </c>
      <c r="CF6" s="124">
        <f>CF4+CF5</f>
        <v>5368</v>
      </c>
      <c r="CG6" s="121">
        <f>CF6</f>
        <v>5368</v>
      </c>
      <c r="CI6" s="123">
        <f>CI4+CI5</f>
        <v>5378</v>
      </c>
      <c r="CJ6" s="124">
        <f>CJ4+CJ5</f>
        <v>5398</v>
      </c>
      <c r="CK6" s="124">
        <f>CK4+CK5</f>
        <v>5418</v>
      </c>
      <c r="CL6" s="124">
        <f>CL4+CL5</f>
        <v>5438</v>
      </c>
      <c r="CM6" s="121">
        <f>CL6</f>
        <v>5438</v>
      </c>
      <c r="CO6" s="123">
        <f>CO4+CO5</f>
        <v>5448</v>
      </c>
      <c r="CP6" s="124">
        <f>CP4+CP5</f>
        <v>5468</v>
      </c>
      <c r="CQ6" s="124">
        <f>CQ4+CQ5</f>
        <v>5488</v>
      </c>
      <c r="CR6" s="124">
        <f>CR4+CR5</f>
        <v>5508</v>
      </c>
      <c r="CS6" s="121">
        <f>CR6</f>
        <v>5508</v>
      </c>
      <c r="CU6" s="123">
        <f>CU4+CU5</f>
        <v>5518</v>
      </c>
      <c r="CV6" s="124">
        <f>CV4+CV5</f>
        <v>5538</v>
      </c>
      <c r="CW6" s="124">
        <f>CW4+CW5</f>
        <v>5558</v>
      </c>
      <c r="CX6" s="124">
        <f>CX4+CX5</f>
        <v>5578</v>
      </c>
      <c r="CY6" s="121">
        <f>CX6</f>
        <v>5578</v>
      </c>
      <c r="DA6" s="123">
        <f>DA4+DA5</f>
        <v>5588</v>
      </c>
      <c r="DB6" s="124">
        <f>DB4+DB5</f>
        <v>5608</v>
      </c>
      <c r="DC6" s="124">
        <f>DC4+DC5</f>
        <v>5628</v>
      </c>
      <c r="DD6" s="124">
        <f>DD4+DD5</f>
        <v>5648</v>
      </c>
      <c r="DE6" s="121">
        <f>DD6</f>
        <v>5648</v>
      </c>
      <c r="DG6" s="123">
        <f>DG4+DG5</f>
        <v>5658</v>
      </c>
      <c r="DH6" s="124">
        <f>DH4+DH5</f>
        <v>5678</v>
      </c>
      <c r="DI6" s="124">
        <f>DI4+DI5</f>
        <v>5698</v>
      </c>
      <c r="DJ6" s="124">
        <f>DJ4+DJ5</f>
        <v>5718</v>
      </c>
      <c r="DK6" s="121">
        <f>DJ6</f>
        <v>5718</v>
      </c>
    </row>
    <row r="7" spans="2:115" ht="15" x14ac:dyDescent="0.3">
      <c r="B7" s="38" t="s">
        <v>28</v>
      </c>
      <c r="C7" s="112">
        <f>C6-C5/2</f>
        <v>4454.5</v>
      </c>
      <c r="D7" s="112">
        <f>D6-D5/2</f>
        <v>4497.5</v>
      </c>
      <c r="E7" s="112">
        <f>E6-E5/2</f>
        <v>4572.5</v>
      </c>
      <c r="F7" s="112">
        <f>F6-F5/2</f>
        <v>4740.5</v>
      </c>
      <c r="G7" s="118">
        <f>(C7+D7+E7+F7)/4</f>
        <v>4566.25</v>
      </c>
      <c r="H7" s="114"/>
      <c r="I7" s="116">
        <f>I6-I5/2</f>
        <v>4890.5</v>
      </c>
      <c r="J7" s="117">
        <f>J6-J5/2</f>
        <v>5005</v>
      </c>
      <c r="K7" s="117">
        <f>K6-K5/2</f>
        <v>5119</v>
      </c>
      <c r="L7" s="119">
        <f>L6-L5/2</f>
        <v>5259</v>
      </c>
      <c r="M7" s="118">
        <f>(I7+J7+K7+L7)/4</f>
        <v>5068.375</v>
      </c>
      <c r="N7" s="114"/>
      <c r="O7" s="116">
        <f>O6-O5/2</f>
        <v>5354.5</v>
      </c>
      <c r="P7" s="117">
        <f>P6-P5/2</f>
        <v>5301.5</v>
      </c>
      <c r="Q7" s="117">
        <f>Q6-Q5/2</f>
        <v>5231.5</v>
      </c>
      <c r="R7" s="119">
        <f>R6-R5/2</f>
        <v>5163.5</v>
      </c>
      <c r="S7" s="118">
        <f>(O7+P7+Q7+R7)/4</f>
        <v>5262.75</v>
      </c>
      <c r="T7" s="114"/>
      <c r="U7" s="116">
        <f>U6-U5/2</f>
        <v>5120</v>
      </c>
      <c r="V7" s="117">
        <f>V6-V5/2</f>
        <v>5125.5</v>
      </c>
      <c r="W7" s="117">
        <f>W6-W5/2</f>
        <v>5139</v>
      </c>
      <c r="X7" s="117">
        <f>X6-X5/2</f>
        <v>5177.5</v>
      </c>
      <c r="Y7" s="118">
        <f>(U7+V7+W7+X7)/4</f>
        <v>5140.5</v>
      </c>
      <c r="AA7" s="116">
        <f>AA6-AA5/2</f>
        <v>4992.5</v>
      </c>
      <c r="AB7" s="117">
        <f>AB6-AB5/2</f>
        <v>4775</v>
      </c>
      <c r="AC7" s="117">
        <f>AC6-AC5/2</f>
        <v>4781.5</v>
      </c>
      <c r="AD7" s="117">
        <f>AD6-AD5/2</f>
        <v>4803.5</v>
      </c>
      <c r="AE7" s="118">
        <f>(AA7+AB7+AC7+AD7)/4</f>
        <v>4838.125</v>
      </c>
      <c r="AG7" s="116">
        <f>AG6-AG5/2</f>
        <v>4816</v>
      </c>
      <c r="AH7" s="117">
        <f>AH6-AH5/2</f>
        <v>4818</v>
      </c>
      <c r="AI7" s="117">
        <f>AI6-AI5/2</f>
        <v>4820.5</v>
      </c>
      <c r="AJ7" s="117">
        <f>AJ6-AJ5/2</f>
        <v>4828.5</v>
      </c>
      <c r="AK7" s="118">
        <f>(AG7+AH7+AI7+AJ7)/4</f>
        <v>4820.75</v>
      </c>
      <c r="AM7" s="116">
        <f>AM6-AM5/2</f>
        <v>4841</v>
      </c>
      <c r="AN7" s="117">
        <f>AN6-AN5/2</f>
        <v>4841.5</v>
      </c>
      <c r="AO7" s="117">
        <f>AO6-AO5/2</f>
        <v>4845.5</v>
      </c>
      <c r="AP7" s="117">
        <f>AP6-AP5/2</f>
        <v>4870</v>
      </c>
      <c r="AQ7" s="118">
        <f>(AM7+AN7+AO7+AP7)/4</f>
        <v>4849.5</v>
      </c>
      <c r="AS7" s="116">
        <f>AS6-AS5/2</f>
        <v>4882.5</v>
      </c>
      <c r="AT7" s="117">
        <f>AT6-AT5/2</f>
        <v>4888</v>
      </c>
      <c r="AU7" s="117">
        <f>AU6-AU5/2</f>
        <v>4915.5</v>
      </c>
      <c r="AV7" s="117">
        <f>AV6-AV5/2</f>
        <v>4948.5</v>
      </c>
      <c r="AW7" s="118">
        <f>(AS7+AT7+AU7+AV7)/4</f>
        <v>4908.625</v>
      </c>
      <c r="AY7" s="116">
        <f>AY6-AY5/2</f>
        <v>5470.5</v>
      </c>
      <c r="AZ7" s="117">
        <f>AZ6-AZ5/2</f>
        <v>5469.5</v>
      </c>
      <c r="BA7" s="117">
        <f>BA6-BA5/2</f>
        <v>5479</v>
      </c>
      <c r="BB7" s="117">
        <f>BB6-BB5/2</f>
        <v>5493</v>
      </c>
      <c r="BC7" s="118">
        <f>(AY7+AZ7+BA7+BB7)/4</f>
        <v>5478</v>
      </c>
      <c r="BE7" s="116">
        <f>BE6-BE5/2</f>
        <v>5438</v>
      </c>
      <c r="BF7" s="117">
        <f>BF6-BF5/2</f>
        <v>5358</v>
      </c>
      <c r="BG7" s="117">
        <f>BG6-BG5/2</f>
        <v>5322.5</v>
      </c>
      <c r="BH7" s="117">
        <f>BH6-BH5/2</f>
        <v>5316.5</v>
      </c>
      <c r="BI7" s="118">
        <f>(BE7+BF7+BG7+BH7)/4</f>
        <v>5358.75</v>
      </c>
      <c r="BK7" s="116">
        <f>BK6-BK5/2</f>
        <v>5318</v>
      </c>
      <c r="BL7" s="117">
        <f>BL6-BL5/2</f>
        <v>5347</v>
      </c>
      <c r="BM7" s="117">
        <f>BM6-BM5/2</f>
        <v>5395.5</v>
      </c>
      <c r="BN7" s="117">
        <f>BN6-BN5/2</f>
        <v>5347</v>
      </c>
      <c r="BO7" s="118">
        <f>(BK7+BL7+BM7+BN7)/4</f>
        <v>5351.875</v>
      </c>
      <c r="BQ7" s="116">
        <f>BQ6-BQ5/2</f>
        <v>5280.5</v>
      </c>
      <c r="BR7" s="117">
        <f>BR6-BR5/2</f>
        <v>5263</v>
      </c>
      <c r="BS7" s="117">
        <f>BS6-BS5/2</f>
        <v>5260.5</v>
      </c>
      <c r="BT7" s="117">
        <f>BT6-BT5/2</f>
        <v>5265.5</v>
      </c>
      <c r="BU7" s="118">
        <f>(BQ7+BR7+BS7+BT7)/4</f>
        <v>5267.375</v>
      </c>
      <c r="BW7" s="116">
        <f>BW6-BW5/2</f>
        <v>5270.5</v>
      </c>
      <c r="BX7" s="117">
        <f>BX6-BX5/2</f>
        <v>5278</v>
      </c>
      <c r="BY7" s="117">
        <f>BY6-BY5/2</f>
        <v>5290.5</v>
      </c>
      <c r="BZ7" s="117">
        <f>BZ6-BZ5/2</f>
        <v>5308</v>
      </c>
      <c r="CA7" s="118">
        <f>(BW7+BX7+BY7+BZ7)/4</f>
        <v>5286.75</v>
      </c>
      <c r="CC7" s="116">
        <f>CC6-CC5/2</f>
        <v>5320.5</v>
      </c>
      <c r="CD7" s="117">
        <f>CD6-CD5/2</f>
        <v>5328</v>
      </c>
      <c r="CE7" s="117">
        <f>CE6-CE5/2</f>
        <v>5340.5</v>
      </c>
      <c r="CF7" s="117">
        <f>CF6-CF5/2</f>
        <v>5358</v>
      </c>
      <c r="CG7" s="118">
        <f>(CC7+CD7+CE7+CF7)/4</f>
        <v>5336.75</v>
      </c>
      <c r="CI7" s="116">
        <f>CI6-CI5/2</f>
        <v>5373</v>
      </c>
      <c r="CJ7" s="117">
        <f>CJ6-CJ5/2</f>
        <v>5388</v>
      </c>
      <c r="CK7" s="117">
        <f>CK6-CK5/2</f>
        <v>5408</v>
      </c>
      <c r="CL7" s="117">
        <f>CL6-CL5/2</f>
        <v>5428</v>
      </c>
      <c r="CM7" s="118">
        <f>(CI7+CJ7+CK7+CL7)/4</f>
        <v>5399.25</v>
      </c>
      <c r="CO7" s="116">
        <f>CO6-CO5/2</f>
        <v>5443</v>
      </c>
      <c r="CP7" s="117">
        <f>CP6-CP5/2</f>
        <v>5458</v>
      </c>
      <c r="CQ7" s="117">
        <f>CQ6-CQ5/2</f>
        <v>5478</v>
      </c>
      <c r="CR7" s="117">
        <f>CR6-CR5/2</f>
        <v>5498</v>
      </c>
      <c r="CS7" s="118">
        <f>(CO7+CP7+CQ7+CR7)/4</f>
        <v>5469.25</v>
      </c>
      <c r="CU7" s="116">
        <f>CU6-CU5/2</f>
        <v>5513</v>
      </c>
      <c r="CV7" s="117">
        <f>CV6-CV5/2</f>
        <v>5528</v>
      </c>
      <c r="CW7" s="117">
        <f>CW6-CW5/2</f>
        <v>5548</v>
      </c>
      <c r="CX7" s="117">
        <f>CX6-CX5/2</f>
        <v>5568</v>
      </c>
      <c r="CY7" s="118">
        <f>(CU7+CV7+CW7+CX7)/4</f>
        <v>5539.25</v>
      </c>
      <c r="DA7" s="116">
        <f>DA6-DA5/2</f>
        <v>5583</v>
      </c>
      <c r="DB7" s="117">
        <f>DB6-DB5/2</f>
        <v>5598</v>
      </c>
      <c r="DC7" s="117">
        <f>DC6-DC5/2</f>
        <v>5618</v>
      </c>
      <c r="DD7" s="117">
        <f>DD6-DD5/2</f>
        <v>5638</v>
      </c>
      <c r="DE7" s="118">
        <f>(DA7+DB7+DC7+DD7)/4</f>
        <v>5609.25</v>
      </c>
      <c r="DG7" s="116">
        <f>DG6-DG5/2</f>
        <v>5653</v>
      </c>
      <c r="DH7" s="117">
        <f>DH6-DH5/2</f>
        <v>5668</v>
      </c>
      <c r="DI7" s="117">
        <f>DI6-DI5/2</f>
        <v>5688</v>
      </c>
      <c r="DJ7" s="117">
        <f>DJ6-DJ5/2</f>
        <v>5708</v>
      </c>
      <c r="DK7" s="118">
        <f>(DG7+DH7+DI7+DJ7)/4</f>
        <v>5679.25</v>
      </c>
    </row>
    <row r="8" spans="2:115" ht="15.75" thickBot="1" x14ac:dyDescent="0.35">
      <c r="B8" s="41" t="s">
        <v>56</v>
      </c>
      <c r="C8" s="106" t="s">
        <v>35</v>
      </c>
      <c r="D8" s="106" t="s">
        <v>35</v>
      </c>
      <c r="E8" s="106" t="s">
        <v>35</v>
      </c>
      <c r="F8" s="106" t="s">
        <v>35</v>
      </c>
      <c r="G8" s="122" t="s">
        <v>35</v>
      </c>
      <c r="I8" s="109">
        <f>I7/C7-1</f>
        <v>9.7878549781120316E-2</v>
      </c>
      <c r="J8" s="110">
        <f>J7/D7-1</f>
        <v>0.11284046692607008</v>
      </c>
      <c r="K8" s="110">
        <f>K7/E7-1</f>
        <v>0.11951886276653911</v>
      </c>
      <c r="L8" s="120">
        <f>L7/F7-1</f>
        <v>0.10937664803290792</v>
      </c>
      <c r="M8" s="122">
        <f>M7/G7-1</f>
        <v>0.10996441281138791</v>
      </c>
      <c r="O8" s="109">
        <f>O7/I7-1</f>
        <v>9.4877824353338136E-2</v>
      </c>
      <c r="P8" s="110">
        <f>P7/J7-1</f>
        <v>5.9240759240759333E-2</v>
      </c>
      <c r="Q8" s="110">
        <f>Q7/K7-1</f>
        <v>2.1976948622777881E-2</v>
      </c>
      <c r="R8" s="120">
        <f>R7/L7-1</f>
        <v>-1.8159345883247746E-2</v>
      </c>
      <c r="S8" s="122">
        <f>S7/M7-1</f>
        <v>3.8350556144721049E-2</v>
      </c>
      <c r="U8" s="109">
        <f>U7/O7-1</f>
        <v>-4.3794938836492658E-2</v>
      </c>
      <c r="V8" s="110">
        <f>V7/P7-1</f>
        <v>-3.3198151466566017E-2</v>
      </c>
      <c r="W8" s="110">
        <f>W7/Q7-1</f>
        <v>-1.7681353340342154E-2</v>
      </c>
      <c r="X8" s="110">
        <f>X7/R7-1</f>
        <v>2.7113392079016752E-3</v>
      </c>
      <c r="Y8" s="122">
        <f>Y7/S7-1</f>
        <v>-2.3229300270770969E-2</v>
      </c>
      <c r="AA8" s="109">
        <f>AA7/U7-1</f>
        <v>-2.490234375E-2</v>
      </c>
      <c r="AB8" s="110">
        <f>AB7/V7-1</f>
        <v>-6.8383572334406395E-2</v>
      </c>
      <c r="AC8" s="110">
        <f>AC7/W7-1</f>
        <v>-6.9566063436466208E-2</v>
      </c>
      <c r="AD8" s="110">
        <f>AD7/X7-1</f>
        <v>-7.2235634958957018E-2</v>
      </c>
      <c r="AE8" s="122">
        <f>AE7/Y7-1</f>
        <v>-5.8822099017605267E-2</v>
      </c>
      <c r="AG8" s="109">
        <f>AG7/AA7-1</f>
        <v>-3.5353029544316517E-2</v>
      </c>
      <c r="AH8" s="110">
        <f>AH7/AB7-1</f>
        <v>9.0052356020942081E-3</v>
      </c>
      <c r="AI8" s="110">
        <f>AI7/AC7-1</f>
        <v>8.1564362647703614E-3</v>
      </c>
      <c r="AJ8" s="110">
        <f>AJ7/AD7-1</f>
        <v>5.2045383574477189E-3</v>
      </c>
      <c r="AK8" s="122">
        <f>AK7/AE7-1</f>
        <v>-3.5912672781294175E-3</v>
      </c>
      <c r="AM8" s="109">
        <f>AM7/AG7-1</f>
        <v>5.1910299003321558E-3</v>
      </c>
      <c r="AN8" s="110">
        <f>AN7/AH7-1</f>
        <v>4.877542548775482E-3</v>
      </c>
      <c r="AO8" s="110">
        <f>AO7/AI7-1</f>
        <v>5.1861840058085029E-3</v>
      </c>
      <c r="AP8" s="110">
        <f>AP7/AJ7-1</f>
        <v>8.5948016982499986E-3</v>
      </c>
      <c r="AQ8" s="122">
        <f>AQ7/AK7-1</f>
        <v>5.9638023129180429E-3</v>
      </c>
      <c r="AS8" s="109">
        <f>AS7/AM7-1</f>
        <v>8.572608965089934E-3</v>
      </c>
      <c r="AT8" s="110">
        <f>AT7/AN7-1</f>
        <v>9.6044614272436934E-3</v>
      </c>
      <c r="AU8" s="110">
        <f>AU7/AO7-1</f>
        <v>1.4446393561035942E-2</v>
      </c>
      <c r="AV8" s="110">
        <f>AV7/AP7-1</f>
        <v>1.6119096509240149E-2</v>
      </c>
      <c r="AW8" s="122">
        <f>AW7/AQ7-1</f>
        <v>1.2191978554490168E-2</v>
      </c>
      <c r="AY8" s="109">
        <f>AY7/AS7-1</f>
        <v>0.12043010752688166</v>
      </c>
      <c r="AZ8" s="110">
        <f>AZ7/AT7-1</f>
        <v>0.11896481178396079</v>
      </c>
      <c r="BA8" s="110">
        <f>BA7/AU7-1</f>
        <v>0.11463737157969689</v>
      </c>
      <c r="BB8" s="110">
        <f>BB7/AV7-1</f>
        <v>0.11003334343740523</v>
      </c>
      <c r="BC8" s="122">
        <f>BC7/AW7-1</f>
        <v>0.11599480506251747</v>
      </c>
      <c r="BE8" s="109">
        <f>BE7/AY7-1</f>
        <v>-5.9409560369253489E-3</v>
      </c>
      <c r="BF8" s="110">
        <f>BF7/AZ7-1</f>
        <v>-2.038577566505162E-2</v>
      </c>
      <c r="BG8" s="110">
        <f>BG7/BA7-1</f>
        <v>-2.8563606497536087E-2</v>
      </c>
      <c r="BH8" s="110">
        <f>BH7/BB7-1</f>
        <v>-3.2131804114327367E-2</v>
      </c>
      <c r="BI8" s="122">
        <f>BI7/BC7-1</f>
        <v>-2.1768893756845542E-2</v>
      </c>
      <c r="BK8" s="109">
        <f>BK7/BE7-1</f>
        <v>-2.2066936373666746E-2</v>
      </c>
      <c r="BL8" s="110">
        <f>BL7/BF7-1</f>
        <v>-2.0530048525568834E-3</v>
      </c>
      <c r="BM8" s="110">
        <f>BM7/BG7-1</f>
        <v>1.3715359323626108E-2</v>
      </c>
      <c r="BN8" s="110">
        <f>BN7/BH7-1</f>
        <v>5.7368569547635584E-3</v>
      </c>
      <c r="BO8" s="122">
        <f>BO7/BI7-1</f>
        <v>-1.2829484487987264E-3</v>
      </c>
      <c r="BQ8" s="109">
        <f>BQ7/BK7-1</f>
        <v>-7.051523128995818E-3</v>
      </c>
      <c r="BR8" s="110">
        <f>BR7/BL7-1</f>
        <v>-1.570974378155976E-2</v>
      </c>
      <c r="BS8" s="110">
        <f>BS7/BM7-1</f>
        <v>-2.5020850708924125E-2</v>
      </c>
      <c r="BT8" s="110">
        <f>BT7/BN7-1</f>
        <v>-1.5242191883299006E-2</v>
      </c>
      <c r="BU8" s="122">
        <f>BU7/BO7-1</f>
        <v>-1.5788859044727266E-2</v>
      </c>
      <c r="BW8" s="109">
        <f>BW7/BQ7-1</f>
        <v>-1.8937600606002691E-3</v>
      </c>
      <c r="BX8" s="110">
        <f>BX7/BR7-1</f>
        <v>2.8500855025650473E-3</v>
      </c>
      <c r="BY8" s="110">
        <f>BY7/BS7-1</f>
        <v>5.7028799543770159E-3</v>
      </c>
      <c r="BZ8" s="110">
        <f>BZ7/BT7-1</f>
        <v>8.0714082233406259E-3</v>
      </c>
      <c r="CA8" s="122">
        <f>CA7/BU7-1</f>
        <v>3.6783027599136542E-3</v>
      </c>
      <c r="CC8" s="109">
        <f>CC7/BW7-1</f>
        <v>9.4867659614836786E-3</v>
      </c>
      <c r="CD8" s="110">
        <f>CD7/BX7-1</f>
        <v>9.4732853353542978E-3</v>
      </c>
      <c r="CE8" s="110">
        <f>CE7/BY7-1</f>
        <v>9.4509025611946296E-3</v>
      </c>
      <c r="CF8" s="110">
        <f>CF7/BZ7-1</f>
        <v>9.4197437829690589E-3</v>
      </c>
      <c r="CG8" s="122">
        <f>CG7/CA7-1</f>
        <v>9.4576062798505944E-3</v>
      </c>
      <c r="CI8" s="109">
        <f>CI7/CC7-1</f>
        <v>9.8674936566112148E-3</v>
      </c>
      <c r="CJ8" s="110">
        <f>CJ7/CD7-1</f>
        <v>1.1261261261261257E-2</v>
      </c>
      <c r="CK8" s="110">
        <f>CK7/CE7-1</f>
        <v>1.2639265986330805E-2</v>
      </c>
      <c r="CL8" s="110">
        <f>CL7/CF7-1</f>
        <v>1.3064576334453237E-2</v>
      </c>
      <c r="CM8" s="122">
        <f>CM7/CG7-1</f>
        <v>1.1711247482081744E-2</v>
      </c>
      <c r="CO8" s="109">
        <f>CO7/CI7-1</f>
        <v>1.3028103480364761E-2</v>
      </c>
      <c r="CP8" s="110">
        <f>CP7/CJ7-1</f>
        <v>1.2991833704528499E-2</v>
      </c>
      <c r="CQ8" s="110">
        <f>CQ7/CK7-1</f>
        <v>1.2943786982248628E-2</v>
      </c>
      <c r="CR8" s="110">
        <f>CR7/CL7-1</f>
        <v>1.2896094325718588E-2</v>
      </c>
      <c r="CS8" s="122">
        <f>CS7/CM7-1</f>
        <v>1.2964763624577547E-2</v>
      </c>
      <c r="CU8" s="109">
        <f>CU7/CO7-1</f>
        <v>1.2860554841080285E-2</v>
      </c>
      <c r="CV8" s="110">
        <f>CV7/CP7-1</f>
        <v>1.2825210699890066E-2</v>
      </c>
      <c r="CW8" s="110">
        <f>CW7/CQ7-1</f>
        <v>1.2778386272362274E-2</v>
      </c>
      <c r="CX8" s="110">
        <f>CX7/CR7-1</f>
        <v>1.2731902510003668E-2</v>
      </c>
      <c r="CY8" s="122">
        <f>CY7/CS7-1</f>
        <v>1.2798829821273561E-2</v>
      </c>
      <c r="DA8" s="109">
        <f>DA7/CU7-1</f>
        <v>1.2697261019408712E-2</v>
      </c>
      <c r="DB8" s="110">
        <f>DB7/CV7-1</f>
        <v>1.266280752532567E-2</v>
      </c>
      <c r="DC8" s="110">
        <f>DC7/CW7-1</f>
        <v>1.2617159336697936E-2</v>
      </c>
      <c r="DD8" s="110">
        <f>DD7/CX7-1</f>
        <v>1.2571839080459668E-2</v>
      </c>
      <c r="DE8" s="122">
        <f>DE7/CY7-1</f>
        <v>1.2637089858735351E-2</v>
      </c>
      <c r="DG8" s="109">
        <f>DG7/DA7-1</f>
        <v>1.2538061973849102E-2</v>
      </c>
      <c r="DH8" s="110">
        <f>DH7/DB7-1</f>
        <v>1.2504465880671667E-2</v>
      </c>
      <c r="DI8" s="110">
        <f>DI7/DC7-1</f>
        <v>1.2459950160199407E-2</v>
      </c>
      <c r="DJ8" s="110">
        <f>DJ7/DD7-1</f>
        <v>1.2415750266051795E-2</v>
      </c>
      <c r="DK8" s="122">
        <f>DK7/DE7-1</f>
        <v>1.2479386727280772E-2</v>
      </c>
    </row>
    <row r="9" spans="2:115" ht="15.75" thickBot="1" x14ac:dyDescent="0.35">
      <c r="B9" s="1"/>
      <c r="AA9" s="103"/>
      <c r="AB9" s="103"/>
      <c r="AC9" s="103"/>
      <c r="AD9" s="103"/>
      <c r="AE9" s="103"/>
      <c r="AG9" s="103"/>
      <c r="AH9" s="103"/>
      <c r="AI9" s="103"/>
      <c r="AJ9" s="103"/>
      <c r="AK9" s="103"/>
      <c r="AM9" s="103"/>
      <c r="AN9" s="103"/>
      <c r="AO9" s="103"/>
      <c r="AP9" s="103"/>
      <c r="AQ9" s="103"/>
      <c r="AS9" s="103"/>
      <c r="AT9" s="103"/>
      <c r="AU9" s="103"/>
      <c r="AV9" s="103"/>
      <c r="AW9" s="103"/>
      <c r="AY9" s="103"/>
      <c r="AZ9" s="103"/>
      <c r="BA9" s="103"/>
      <c r="BB9" s="103"/>
      <c r="BC9" s="103"/>
      <c r="BE9" s="103"/>
      <c r="BF9" s="103"/>
      <c r="BG9" s="103"/>
      <c r="BH9" s="103"/>
      <c r="BI9" s="103"/>
      <c r="BK9" s="103"/>
      <c r="BL9" s="103"/>
      <c r="BM9" s="103"/>
      <c r="BN9" s="103"/>
      <c r="BO9" s="103"/>
      <c r="BQ9" s="103"/>
      <c r="BR9" s="103"/>
      <c r="BS9" s="103"/>
      <c r="BT9" s="103"/>
      <c r="BU9" s="103"/>
      <c r="BW9" s="103"/>
      <c r="BX9" s="103"/>
      <c r="BY9" s="103"/>
      <c r="BZ9" s="103"/>
      <c r="CA9" s="103"/>
      <c r="CC9" s="103"/>
      <c r="CD9" s="103"/>
      <c r="CE9" s="103"/>
      <c r="CF9" s="103"/>
      <c r="CG9" s="103"/>
      <c r="CI9" s="103"/>
      <c r="CJ9" s="103"/>
      <c r="CK9" s="103"/>
      <c r="CL9" s="103"/>
      <c r="CM9" s="103"/>
      <c r="CO9" s="103"/>
      <c r="CP9" s="103"/>
      <c r="CQ9" s="103"/>
      <c r="CR9" s="103"/>
      <c r="CS9" s="103"/>
      <c r="CU9" s="103"/>
      <c r="CV9" s="103"/>
      <c r="CW9" s="103"/>
      <c r="CX9" s="103"/>
      <c r="CY9" s="103"/>
      <c r="DA9" s="103"/>
      <c r="DB9" s="103"/>
      <c r="DC9" s="103"/>
      <c r="DD9" s="103"/>
      <c r="DE9" s="103"/>
      <c r="DG9" s="103"/>
      <c r="DH9" s="103"/>
      <c r="DI9" s="103"/>
      <c r="DJ9" s="103"/>
      <c r="DK9" s="103"/>
    </row>
    <row r="10" spans="2:115" s="135" customFormat="1" ht="15" x14ac:dyDescent="0.3">
      <c r="B10" s="139" t="s">
        <v>142</v>
      </c>
      <c r="C10" s="181">
        <f>C17-C13</f>
        <v>3877.586467169745</v>
      </c>
      <c r="D10" s="182">
        <f>D17-D13</f>
        <v>3896.200416241777</v>
      </c>
      <c r="E10" s="182">
        <f>E17-E13</f>
        <v>4058.4138878104213</v>
      </c>
      <c r="F10" s="183">
        <f>F17-F13</f>
        <v>3778.8871265909838</v>
      </c>
      <c r="G10" s="184">
        <f>G69*1000/(G7*12)</f>
        <v>3901.8221853639607</v>
      </c>
      <c r="H10" s="160"/>
      <c r="I10" s="181">
        <f>I17-I13</f>
        <v>3433.8516658696462</v>
      </c>
      <c r="J10" s="182">
        <f>J17-J13</f>
        <v>3509.8744862573612</v>
      </c>
      <c r="K10" s="182">
        <f>K17-K13</f>
        <v>3509.6292610164764</v>
      </c>
      <c r="L10" s="183">
        <f>L17-L13</f>
        <v>3297.3466968264329</v>
      </c>
      <c r="M10" s="184">
        <f>M69*1000/(M7*12)</f>
        <v>3436.3435934301997</v>
      </c>
      <c r="N10" s="160"/>
      <c r="O10" s="181">
        <f>O17-O13</f>
        <v>2937.0603589835368</v>
      </c>
      <c r="P10" s="182">
        <f>P17-P13</f>
        <v>3124.4075387810799</v>
      </c>
      <c r="Q10" s="182">
        <f>Q17-Q13</f>
        <v>3178.8621090522734</v>
      </c>
      <c r="R10" s="183">
        <f>R17-R13</f>
        <v>3042.0507321300038</v>
      </c>
      <c r="S10" s="183">
        <f>S69*1000/(S7*12)</f>
        <v>3070.0860927217468</v>
      </c>
      <c r="T10" s="160"/>
      <c r="U10" s="181">
        <f>U17-U13</f>
        <v>2881.4503083543486</v>
      </c>
      <c r="V10" s="182">
        <f>V17-V13</f>
        <v>3044.4296418700942</v>
      </c>
      <c r="W10" s="182">
        <f>W17-W13</f>
        <v>3097.5484032668223</v>
      </c>
      <c r="X10" s="182">
        <f ca="1">X17-X13</f>
        <v>2950.7892101661037</v>
      </c>
      <c r="Y10" s="149">
        <f>Y69*1000/(Y7*12)</f>
        <v>2989.7622501806582</v>
      </c>
      <c r="AA10" s="181">
        <f>AA17-AA13</f>
        <v>2543.3505430794835</v>
      </c>
      <c r="AB10" s="182">
        <f>AB17-AB13</f>
        <v>2806.4341944468124</v>
      </c>
      <c r="AC10" s="182">
        <f>AC17-AC13</f>
        <v>2842.7015084721033</v>
      </c>
      <c r="AD10" s="182">
        <f>AD17-AD13</f>
        <v>2742.1973453107698</v>
      </c>
      <c r="AE10" s="149">
        <f>AE69*1000/(AE7*12)</f>
        <v>2731.5810916298929</v>
      </c>
      <c r="AG10" s="181">
        <f>AG17-AG13</f>
        <v>2579.0657260904582</v>
      </c>
      <c r="AH10" s="182">
        <f>AH17-AH13</f>
        <v>2629.0922172472019</v>
      </c>
      <c r="AI10" s="182">
        <f>AI17-AI13</f>
        <v>2726.9882613980535</v>
      </c>
      <c r="AJ10" s="182">
        <f>AJ17-AJ13</f>
        <v>2658.1435587384372</v>
      </c>
      <c r="AK10" s="149">
        <f>AK69*1000/(AK7*12)</f>
        <v>2648.3451707196241</v>
      </c>
      <c r="AM10" s="181">
        <f ca="1">AM17-AM13</f>
        <v>2496.6460400820929</v>
      </c>
      <c r="AN10" s="182">
        <f>AN17-AN13</f>
        <v>2568.8308045972922</v>
      </c>
      <c r="AO10" s="182">
        <f>AO17-AO13</f>
        <v>2613.5042079526997</v>
      </c>
      <c r="AP10" s="182">
        <f>AP17-AP13</f>
        <v>2532.0221523831906</v>
      </c>
      <c r="AQ10" s="149">
        <f ca="1">AQ69*1000/(AQ7*12)</f>
        <v>2552.7343201482699</v>
      </c>
      <c r="AS10" s="181">
        <f>AS17-AS13</f>
        <v>2440.7122261296304</v>
      </c>
      <c r="AT10" s="182">
        <f>AT17-AT13</f>
        <v>2578.815879365739</v>
      </c>
      <c r="AU10" s="182">
        <f>AU17-AU13</f>
        <v>2663.5063118352964</v>
      </c>
      <c r="AV10" s="182">
        <f>AV17-AV13</f>
        <v>2578.2345053930371</v>
      </c>
      <c r="AW10" s="184">
        <f>AW69*1000/(AW7*12)</f>
        <v>2565.5294602959834</v>
      </c>
      <c r="AY10" s="181">
        <f>AY17-AY13</f>
        <v>2598.3047534609495</v>
      </c>
      <c r="AZ10" s="182">
        <f>AZ17-AZ13</f>
        <v>2423.242218362434</v>
      </c>
      <c r="BA10" s="182">
        <f>BA17-BA13</f>
        <v>2474.4465798868405</v>
      </c>
      <c r="BB10" s="182">
        <f>BB17-BB13</f>
        <v>2430.6327549972693</v>
      </c>
      <c r="BC10" s="184">
        <f>BC69*1000/(BC7*12)</f>
        <v>2481.6040526442798</v>
      </c>
      <c r="BD10" s="334"/>
      <c r="BE10" s="181">
        <f>BE17-BE13</f>
        <v>2216.5150856564915</v>
      </c>
      <c r="BF10" s="182">
        <f>BF17-BF13</f>
        <v>2311.3320848450912</v>
      </c>
      <c r="BG10" s="182">
        <f>BG17-BG13</f>
        <v>2300.9815016627526</v>
      </c>
      <c r="BH10" s="182">
        <f>BH17-BH13</f>
        <v>2231.7497030000941</v>
      </c>
      <c r="BI10" s="184">
        <f>BI69*1000/(BI7*12)</f>
        <v>2264.9684014462327</v>
      </c>
      <c r="BJ10" s="334"/>
      <c r="BK10" s="181">
        <f>BK17-BK13</f>
        <v>2169.8937846308136</v>
      </c>
      <c r="BL10" s="182">
        <f>BL17-BL13</f>
        <v>2187.691789788666</v>
      </c>
      <c r="BM10" s="182">
        <f>BM17-BM13</f>
        <v>2169.4287280140861</v>
      </c>
      <c r="BN10" s="182">
        <f>BN17-BN13</f>
        <v>2272.8379446418558</v>
      </c>
      <c r="BO10" s="184">
        <f>BO69*1000/(BO7*12)</f>
        <v>2199.9346181789865</v>
      </c>
      <c r="BP10" s="334"/>
      <c r="BQ10" s="181">
        <f>BK10*(1+BQ11)</f>
        <v>2224.1411292465837</v>
      </c>
      <c r="BR10" s="182">
        <f>BL10*(1+BR11)</f>
        <v>2351.768674022816</v>
      </c>
      <c r="BS10" s="182">
        <f>BM10*(1+BS11)</f>
        <v>2332.1358826151427</v>
      </c>
      <c r="BT10" s="183">
        <f>BN10*(1+BT11)</f>
        <v>2329.658893257902</v>
      </c>
      <c r="BU10" s="184">
        <f>BU69*1000/(BU7*12)</f>
        <v>2309.3550144671253</v>
      </c>
      <c r="BV10" s="334"/>
      <c r="BW10" s="181">
        <f>BQ10*(1+BW11)</f>
        <v>2224.1411292465837</v>
      </c>
      <c r="BX10" s="182">
        <f>BR10*(1+BX11)</f>
        <v>2351.768674022816</v>
      </c>
      <c r="BY10" s="182">
        <f>BS10*(1+BY11)</f>
        <v>2308.8145237889912</v>
      </c>
      <c r="BZ10" s="183">
        <f>BT10*(1+BZ11)</f>
        <v>2283.0657153927441</v>
      </c>
      <c r="CA10" s="184">
        <f>CA69*1000/(CA7*12)</f>
        <v>2291.9689288597388</v>
      </c>
      <c r="CB10" s="334"/>
      <c r="CC10" s="181">
        <f>BW10*(1+CC11)</f>
        <v>2157.416895369186</v>
      </c>
      <c r="CD10" s="182">
        <f>BX10*(1+CD11)</f>
        <v>2281.2156138021314</v>
      </c>
      <c r="CE10" s="182">
        <f>BY10*(1+CE11)</f>
        <v>2239.5500880753216</v>
      </c>
      <c r="CF10" s="183">
        <f>BZ10*(1+CF11)</f>
        <v>2214.5737439309619</v>
      </c>
      <c r="CG10" s="184">
        <f>CG69*1000/(CG7*12)</f>
        <v>2223.2096663464595</v>
      </c>
      <c r="CH10" s="334"/>
      <c r="CI10" s="181">
        <f>CC10*(1+CI11)</f>
        <v>2092.6943885081105</v>
      </c>
      <c r="CJ10" s="182">
        <f>CD10*(1+CJ11)</f>
        <v>2212.7791453880673</v>
      </c>
      <c r="CK10" s="182">
        <f>CE10*(1+CK11)</f>
        <v>2172.3635854330619</v>
      </c>
      <c r="CL10" s="183">
        <f>CF10*(1+CL11)</f>
        <v>2148.1365316130332</v>
      </c>
      <c r="CM10" s="184">
        <f>CM69*1000/(CM7*12)</f>
        <v>2156.5369425578801</v>
      </c>
      <c r="CN10" s="334"/>
      <c r="CO10" s="181">
        <f>CI10*(1+CO11)</f>
        <v>2029.913556852867</v>
      </c>
      <c r="CP10" s="182">
        <f>CJ10*(1+CP11)</f>
        <v>2146.3957710264253</v>
      </c>
      <c r="CQ10" s="182">
        <f>CK10*(1+CQ11)</f>
        <v>2107.1926778700699</v>
      </c>
      <c r="CR10" s="183">
        <f>CL10*(1+CR11)</f>
        <v>2083.6924356646423</v>
      </c>
      <c r="CS10" s="184">
        <f>CS69*1000/(CS7*12)</f>
        <v>2091.8402938642789</v>
      </c>
      <c r="CT10" s="334"/>
      <c r="CU10" s="181">
        <f>CO10*(1+CU11)</f>
        <v>1969.016150147281</v>
      </c>
      <c r="CV10" s="182">
        <f>CP10*(1+CV11)</f>
        <v>2082.0038978956327</v>
      </c>
      <c r="CW10" s="182">
        <f>CQ10*(1+CW11)</f>
        <v>2043.9768975339678</v>
      </c>
      <c r="CX10" s="183">
        <f>CR10*(1+CX11)</f>
        <v>2021.1816625947029</v>
      </c>
      <c r="CY10" s="184">
        <f>CY69*1000/(CY7*12)</f>
        <v>2029.0845740928273</v>
      </c>
      <c r="CZ10" s="334"/>
      <c r="DA10" s="181">
        <f>CU10*(1+DA11)</f>
        <v>1909.9456656428624</v>
      </c>
      <c r="DB10" s="182">
        <f>CV10*(1+DB11)</f>
        <v>2019.5437809587636</v>
      </c>
      <c r="DC10" s="182">
        <f>CW10*(1+DC11)</f>
        <v>1982.6575906079486</v>
      </c>
      <c r="DD10" s="183">
        <f>CX10*(1+DD11)</f>
        <v>1960.5462127168616</v>
      </c>
      <c r="DE10" s="184">
        <f>DE69*1000/(DE7*12)</f>
        <v>1968.2115536134233</v>
      </c>
      <c r="DF10" s="334"/>
      <c r="DG10" s="181">
        <f>DA10*(1+DG11)</f>
        <v>1852.6472956735765</v>
      </c>
      <c r="DH10" s="182">
        <f>DB10*(1+DH11)</f>
        <v>1958.9574675300007</v>
      </c>
      <c r="DI10" s="182">
        <f>DC10*(1+DI11)</f>
        <v>1923.17786288971</v>
      </c>
      <c r="DJ10" s="183">
        <f>DD10*(1+DJ11)</f>
        <v>1901.7298263353557</v>
      </c>
      <c r="DK10" s="184">
        <f>DK69*1000/(DK7*12)</f>
        <v>1909.1647498015434</v>
      </c>
    </row>
    <row r="11" spans="2:115" ht="15" x14ac:dyDescent="0.3">
      <c r="B11" s="5" t="s">
        <v>23</v>
      </c>
      <c r="C11" s="144" t="s">
        <v>35</v>
      </c>
      <c r="D11" s="107" t="s">
        <v>35</v>
      </c>
      <c r="E11" s="107" t="s">
        <v>35</v>
      </c>
      <c r="F11" s="145" t="s">
        <v>35</v>
      </c>
      <c r="G11" s="153" t="s">
        <v>35</v>
      </c>
      <c r="H11" s="107"/>
      <c r="I11" s="151">
        <f>I10/C10-1</f>
        <v>-0.11443582369008554</v>
      </c>
      <c r="J11" s="133">
        <f>J10/D10-1</f>
        <v>-9.9154532290990471E-2</v>
      </c>
      <c r="K11" s="133">
        <f>K10/E10-1</f>
        <v>-0.13522145398778507</v>
      </c>
      <c r="L11" s="152">
        <f>L10/F10-1</f>
        <v>-0.12742916462788323</v>
      </c>
      <c r="M11" s="152">
        <f>M10/G10-1</f>
        <v>-0.11929774598130261</v>
      </c>
      <c r="N11" s="107"/>
      <c r="O11" s="151">
        <f>O10/I10-1</f>
        <v>-0.14467465552571956</v>
      </c>
      <c r="P11" s="133">
        <f>P10/J10-1</f>
        <v>-0.10982357032581846</v>
      </c>
      <c r="Q11" s="133">
        <f>Q10/K10-1</f>
        <v>-9.4245610394872448E-2</v>
      </c>
      <c r="R11" s="152">
        <f>R10/L10-1</f>
        <v>-7.7424665396011116E-2</v>
      </c>
      <c r="S11" s="152">
        <f>S10/M10-1</f>
        <v>-0.10658349223537633</v>
      </c>
      <c r="T11" s="107"/>
      <c r="U11" s="151">
        <f>U10/O10-1</f>
        <v>-1.893391481012463E-2</v>
      </c>
      <c r="V11" s="133">
        <f>V10/P10-1</f>
        <v>-2.5597780032942663E-2</v>
      </c>
      <c r="W11" s="133">
        <f>W10/Q10-1</f>
        <v>-2.5579500776047648E-2</v>
      </c>
      <c r="X11" s="133">
        <f ca="1">X10/R10-1</f>
        <v>-3.0000000000000027E-2</v>
      </c>
      <c r="Y11" s="153">
        <f>Y10/S10-1</f>
        <v>-2.6163384385705757E-2</v>
      </c>
      <c r="AA11" s="151">
        <f>AA10/U10-1</f>
        <v>-0.11733666351787975</v>
      </c>
      <c r="AB11" s="133">
        <f>AB10/V10-1</f>
        <v>-7.8174067204617281E-2</v>
      </c>
      <c r="AC11" s="133">
        <f>AC10/W10-1</f>
        <v>-8.2273740912634397E-2</v>
      </c>
      <c r="AD11" s="133">
        <f ca="1">AD10/X10-1</f>
        <v>-7.0690195062625971E-2</v>
      </c>
      <c r="AE11" s="153">
        <f>AE10/Y10-1</f>
        <v>-8.6355080085436464E-2</v>
      </c>
      <c r="AG11" s="151">
        <f>AG10/AA10-1</f>
        <v>1.4042571956176753E-2</v>
      </c>
      <c r="AH11" s="133">
        <f>AH10/AB10-1</f>
        <v>-6.3191211663014668E-2</v>
      </c>
      <c r="AI11" s="133">
        <f>AI10/AC10-1</f>
        <v>-4.0705380684250447E-2</v>
      </c>
      <c r="AJ11" s="133">
        <f>AJ10/AD10-1</f>
        <v>-3.0651983058792909E-2</v>
      </c>
      <c r="AK11" s="153">
        <f>AK10/AE10-1</f>
        <v>-3.0471700498044929E-2</v>
      </c>
      <c r="AM11" s="151">
        <f ca="1">AM10/AG10-1</f>
        <v>-3.1957187121905317E-2</v>
      </c>
      <c r="AN11" s="133">
        <f>AN10/AH10-1</f>
        <v>-2.2920996172970498E-2</v>
      </c>
      <c r="AO11" s="133">
        <f>AO10/AI10-1</f>
        <v>-4.16151602307131E-2</v>
      </c>
      <c r="AP11" s="133">
        <f>AP10/AJ10-1</f>
        <v>-4.744717641025531E-2</v>
      </c>
      <c r="AQ11" s="153">
        <f ca="1">AQ10/AK10-1</f>
        <v>-3.6102110717453839E-2</v>
      </c>
      <c r="AS11" s="151">
        <f ca="1">AS10/AM10-1</f>
        <v>-2.2403581867225131E-2</v>
      </c>
      <c r="AT11" s="133">
        <f>AT10/AN10-1</f>
        <v>3.887011456954248E-3</v>
      </c>
      <c r="AU11" s="133">
        <f>AU10/AO10-1</f>
        <v>1.9132207145656777E-2</v>
      </c>
      <c r="AV11" s="133">
        <f>AV10/AP10-1</f>
        <v>1.8251164574666356E-2</v>
      </c>
      <c r="AW11" s="153">
        <f ca="1">AW10/AQ10-1</f>
        <v>5.0123273882141106E-3</v>
      </c>
      <c r="AY11" s="151">
        <f>AY10/AS10-1</f>
        <v>6.456825415310119E-2</v>
      </c>
      <c r="AZ11" s="133">
        <f>AZ10/AT10-1</f>
        <v>-6.0327556630979218E-2</v>
      </c>
      <c r="BA11" s="133">
        <f>BA10/AU10-1</f>
        <v>-7.0981522029202049E-2</v>
      </c>
      <c r="BB11" s="133">
        <f>BB10/AV10-1</f>
        <v>-5.7249156384735711E-2</v>
      </c>
      <c r="BC11" s="153">
        <f>BC10/AW10-1</f>
        <v>-3.2712704706973517E-2</v>
      </c>
      <c r="BE11" s="151">
        <f>BE10/AY10-1</f>
        <v>-0.14693798612187936</v>
      </c>
      <c r="BF11" s="133">
        <f>BF10/AZ10-1</f>
        <v>-4.6181984066359205E-2</v>
      </c>
      <c r="BG11" s="133">
        <f>BG10/BA10-1</f>
        <v>-7.0102575514893739E-2</v>
      </c>
      <c r="BH11" s="133">
        <f>BH10/BB10-1</f>
        <v>-8.1823571079703727E-2</v>
      </c>
      <c r="BI11" s="153">
        <f>BI10/BC10-1</f>
        <v>-8.7296622105049515E-2</v>
      </c>
      <c r="BK11" s="151">
        <f>BK10/BE10-1</f>
        <v>-2.1033604204804934E-2</v>
      </c>
      <c r="BL11" s="133">
        <f>BL10/BF10-1</f>
        <v>-5.3493089922953097E-2</v>
      </c>
      <c r="BM11" s="133">
        <f>BM10/BG10-1</f>
        <v>-5.7172460340773168E-2</v>
      </c>
      <c r="BN11" s="133">
        <f>BN10/BH10-1</f>
        <v>1.8410775001572732E-2</v>
      </c>
      <c r="BO11" s="153">
        <f>BO10/BI10-1</f>
        <v>-2.8712887661355824E-2</v>
      </c>
      <c r="BQ11" s="151">
        <v>2.5000000000000001E-2</v>
      </c>
      <c r="BR11" s="133">
        <v>7.4999999999999997E-2</v>
      </c>
      <c r="BS11" s="133">
        <v>7.4999999999999997E-2</v>
      </c>
      <c r="BT11" s="133">
        <v>2.5000000000000001E-2</v>
      </c>
      <c r="BU11" s="153">
        <f>BU10/BO10-1</f>
        <v>4.9738021932084653E-2</v>
      </c>
      <c r="BW11" s="151">
        <v>0</v>
      </c>
      <c r="BX11" s="133">
        <v>0</v>
      </c>
      <c r="BY11" s="133">
        <v>-0.01</v>
      </c>
      <c r="BZ11" s="133">
        <v>-0.02</v>
      </c>
      <c r="CA11" s="153">
        <f>CA10/BU10-1</f>
        <v>-7.528546065230457E-3</v>
      </c>
      <c r="CC11" s="151">
        <v>-0.03</v>
      </c>
      <c r="CD11" s="133">
        <v>-0.03</v>
      </c>
      <c r="CE11" s="133">
        <v>-0.03</v>
      </c>
      <c r="CF11" s="133">
        <v>-0.03</v>
      </c>
      <c r="CG11" s="153">
        <f>CG10/CA10-1</f>
        <v>-3.0000084925883908E-2</v>
      </c>
      <c r="CI11" s="151">
        <v>-0.03</v>
      </c>
      <c r="CJ11" s="133">
        <v>-0.03</v>
      </c>
      <c r="CK11" s="133">
        <v>-0.03</v>
      </c>
      <c r="CL11" s="133">
        <v>-0.03</v>
      </c>
      <c r="CM11" s="153">
        <f>CM10/CG10-1</f>
        <v>-2.9989399919327808E-2</v>
      </c>
      <c r="CO11" s="151">
        <v>-0.03</v>
      </c>
      <c r="CP11" s="133">
        <v>-0.03</v>
      </c>
      <c r="CQ11" s="133">
        <v>-0.03</v>
      </c>
      <c r="CR11" s="133">
        <v>-0.03</v>
      </c>
      <c r="CS11" s="153">
        <f>CS10/CM10-1</f>
        <v>-3.0000250594763411E-2</v>
      </c>
      <c r="CU11" s="151">
        <v>-0.03</v>
      </c>
      <c r="CV11" s="133">
        <v>-0.03</v>
      </c>
      <c r="CW11" s="133">
        <v>-0.03</v>
      </c>
      <c r="CX11" s="133">
        <v>-0.03</v>
      </c>
      <c r="CY11" s="153">
        <f>CY10/CS10-1</f>
        <v>-3.0000244261249143E-2</v>
      </c>
      <c r="DA11" s="151">
        <v>-0.03</v>
      </c>
      <c r="DB11" s="133">
        <v>-0.03</v>
      </c>
      <c r="DC11" s="133">
        <v>-0.03</v>
      </c>
      <c r="DD11" s="133">
        <v>-0.03</v>
      </c>
      <c r="DE11" s="153">
        <f>DE10/CY10-1</f>
        <v>-3.0000238164847981E-2</v>
      </c>
      <c r="DG11" s="151">
        <v>-0.03</v>
      </c>
      <c r="DH11" s="133">
        <v>-0.03</v>
      </c>
      <c r="DI11" s="133">
        <v>-0.03</v>
      </c>
      <c r="DJ11" s="133">
        <v>-0.03</v>
      </c>
      <c r="DK11" s="153">
        <f>DK10/DE10-1</f>
        <v>-3.0000232293869278E-2</v>
      </c>
    </row>
    <row r="12" spans="2:115" ht="15" x14ac:dyDescent="0.3">
      <c r="B12" s="5"/>
      <c r="C12" s="144"/>
      <c r="D12" s="107"/>
      <c r="E12" s="107"/>
      <c r="F12" s="145"/>
      <c r="G12" s="138"/>
      <c r="I12" s="144"/>
      <c r="J12" s="107"/>
      <c r="K12" s="107"/>
      <c r="L12" s="145"/>
      <c r="M12" s="138"/>
      <c r="O12" s="144"/>
      <c r="P12" s="107"/>
      <c r="Q12" s="107"/>
      <c r="R12" s="145"/>
      <c r="S12" s="145"/>
      <c r="U12" s="144"/>
      <c r="V12" s="107"/>
      <c r="W12" s="107"/>
      <c r="X12" s="107"/>
      <c r="Y12" s="138"/>
      <c r="AA12" s="144"/>
      <c r="AB12" s="107"/>
      <c r="AC12" s="107"/>
      <c r="AD12" s="107"/>
      <c r="AE12" s="138"/>
      <c r="AG12" s="144"/>
      <c r="AH12" s="107"/>
      <c r="AI12" s="107"/>
      <c r="AJ12" s="145"/>
      <c r="AK12" s="138"/>
      <c r="AM12" s="144"/>
      <c r="AN12" s="107"/>
      <c r="AO12" s="107"/>
      <c r="AP12" s="107"/>
      <c r="AQ12" s="138"/>
      <c r="AS12" s="144"/>
      <c r="AT12" s="107"/>
      <c r="AU12" s="107"/>
      <c r="AV12" s="107"/>
      <c r="AW12" s="138"/>
      <c r="AY12" s="144"/>
      <c r="AZ12" s="107"/>
      <c r="BA12" s="107"/>
      <c r="BB12" s="107"/>
      <c r="BC12" s="138"/>
      <c r="BE12" s="144"/>
      <c r="BF12" s="107"/>
      <c r="BG12" s="107"/>
      <c r="BH12" s="107"/>
      <c r="BI12" s="138"/>
      <c r="BK12" s="144"/>
      <c r="BL12" s="107"/>
      <c r="BM12" s="107"/>
      <c r="BN12" s="107"/>
      <c r="BO12" s="138"/>
      <c r="BQ12" s="144"/>
      <c r="BR12" s="107"/>
      <c r="BS12" s="107"/>
      <c r="BT12" s="145"/>
      <c r="BU12" s="138"/>
      <c r="BW12" s="144"/>
      <c r="BX12" s="107"/>
      <c r="BY12" s="107"/>
      <c r="BZ12" s="145"/>
      <c r="CA12" s="138"/>
      <c r="CC12" s="144"/>
      <c r="CD12" s="107"/>
      <c r="CE12" s="107"/>
      <c r="CF12" s="145"/>
      <c r="CG12" s="138"/>
      <c r="CI12" s="144"/>
      <c r="CJ12" s="107"/>
      <c r="CK12" s="107"/>
      <c r="CL12" s="145"/>
      <c r="CM12" s="138"/>
      <c r="CO12" s="144"/>
      <c r="CP12" s="107"/>
      <c r="CQ12" s="107"/>
      <c r="CR12" s="145"/>
      <c r="CS12" s="138"/>
      <c r="CU12" s="144"/>
      <c r="CV12" s="107"/>
      <c r="CW12" s="107"/>
      <c r="CX12" s="145"/>
      <c r="CY12" s="138"/>
      <c r="DA12" s="144"/>
      <c r="DB12" s="107"/>
      <c r="DC12" s="107"/>
      <c r="DD12" s="145"/>
      <c r="DE12" s="138"/>
      <c r="DG12" s="144"/>
      <c r="DH12" s="107"/>
      <c r="DI12" s="107"/>
      <c r="DJ12" s="145"/>
      <c r="DK12" s="138"/>
    </row>
    <row r="13" spans="2:115" ht="15" x14ac:dyDescent="0.3">
      <c r="B13" s="105" t="s">
        <v>143</v>
      </c>
      <c r="C13" s="188">
        <f>C15*C17</f>
        <v>579.40947210582397</v>
      </c>
      <c r="D13" s="189">
        <f>D15*D17</f>
        <v>798.01695272421955</v>
      </c>
      <c r="E13" s="189">
        <f>E15*E17</f>
        <v>716.19068608419195</v>
      </c>
      <c r="F13" s="190">
        <f>F15*F17</f>
        <v>719.78802411256845</v>
      </c>
      <c r="G13" s="192">
        <f>G72*1000/(G7*12)</f>
        <v>703.91446913759478</v>
      </c>
      <c r="H13" s="329"/>
      <c r="I13" s="188">
        <f>I15*I17</f>
        <v>703.31901590101188</v>
      </c>
      <c r="J13" s="189">
        <f>J15*J17</f>
        <v>718.88995501656802</v>
      </c>
      <c r="K13" s="189">
        <f>K15*K17</f>
        <v>718.83972816000119</v>
      </c>
      <c r="L13" s="190">
        <f>L15*L17</f>
        <v>723.80781149848531</v>
      </c>
      <c r="M13" s="192">
        <f>M72*1000/(M7*12)</f>
        <v>716.39685901513803</v>
      </c>
      <c r="N13" s="329"/>
      <c r="O13" s="188">
        <f>O15*O17</f>
        <v>688.94008420601483</v>
      </c>
      <c r="P13" s="189">
        <f>P15*P17</f>
        <v>685.84555729340786</v>
      </c>
      <c r="Q13" s="189">
        <f>Q15*Q17</f>
        <v>745.65901323448395</v>
      </c>
      <c r="R13" s="190">
        <f>R15*R17</f>
        <v>858.01430906230871</v>
      </c>
      <c r="S13" s="190">
        <f>S72*1000/(S7*12)</f>
        <v>743.72770488107665</v>
      </c>
      <c r="T13" s="246"/>
      <c r="U13" s="188">
        <f>U15*U17</f>
        <v>720.36257708858727</v>
      </c>
      <c r="V13" s="189">
        <f>V15*V17</f>
        <v>761.10741046752355</v>
      </c>
      <c r="W13" s="189">
        <f>W15*W17</f>
        <v>823.39894264054772</v>
      </c>
      <c r="X13" s="189">
        <f ca="1">X15*X17</f>
        <v>832.27387979043954</v>
      </c>
      <c r="Y13" s="164">
        <f>Y72*1000/(Y7*12)</f>
        <v>783.3830502991932</v>
      </c>
      <c r="Z13" s="260"/>
      <c r="AA13" s="188">
        <f>AA15*AA17</f>
        <v>676.08052410973607</v>
      </c>
      <c r="AB13" s="189">
        <f>AB15*AB17</f>
        <v>746.014152954216</v>
      </c>
      <c r="AC13" s="189">
        <f>AC15*AC17</f>
        <v>801.78760495367021</v>
      </c>
      <c r="AD13" s="189">
        <f>AD15*AD17</f>
        <v>773.44027688252481</v>
      </c>
      <c r="AE13" s="164">
        <f>AE72*1000/(AE7*12)</f>
        <v>748.56051673248521</v>
      </c>
      <c r="AF13" s="260"/>
      <c r="AG13" s="188">
        <f>AG15*AG17</f>
        <v>770.37028181922778</v>
      </c>
      <c r="AH13" s="189">
        <f>AH15*AH17</f>
        <v>785.31325969721627</v>
      </c>
      <c r="AI13" s="189">
        <f>AI15*AI17</f>
        <v>814.55493522279517</v>
      </c>
      <c r="AJ13" s="189">
        <f>AJ15*AJ17</f>
        <v>839.41375539108537</v>
      </c>
      <c r="AK13" s="164">
        <f>AK72*1000/(AK7*12)</f>
        <v>802.4381032831991</v>
      </c>
      <c r="AL13" s="260"/>
      <c r="AM13" s="188">
        <f ca="1">AM15*AM17</f>
        <v>877.19996002884352</v>
      </c>
      <c r="AN13" s="189">
        <f>AN15*AN17</f>
        <v>811.20972776756582</v>
      </c>
      <c r="AO13" s="189">
        <f>AO15*AO17</f>
        <v>871.16806931756662</v>
      </c>
      <c r="AP13" s="189">
        <f>AP15*AP17</f>
        <v>889.62940489139135</v>
      </c>
      <c r="AQ13" s="164">
        <f ca="1">AQ72*1000/(AQ7*12)</f>
        <v>862.34338515236857</v>
      </c>
      <c r="AR13" s="260"/>
      <c r="AS13" s="188">
        <f>AS15*AS17</f>
        <v>857.54753891041071</v>
      </c>
      <c r="AT13" s="189">
        <f>AT15*AT17</f>
        <v>906.07044410147591</v>
      </c>
      <c r="AU13" s="189">
        <f>AU15*AU17</f>
        <v>935.82654199618514</v>
      </c>
      <c r="AV13" s="189">
        <f>AV15*AV17</f>
        <v>953.59358418646582</v>
      </c>
      <c r="AW13" s="159">
        <f>AW72*1000/(AW7*12)</f>
        <v>913.4310223345168</v>
      </c>
      <c r="AX13" s="611"/>
      <c r="AY13" s="156">
        <f>AY15*AY17</f>
        <v>866.10158448698314</v>
      </c>
      <c r="AZ13" s="157">
        <f>AZ15*AZ17</f>
        <v>896.26766980528384</v>
      </c>
      <c r="BA13" s="157">
        <f>BA15*BA17</f>
        <v>962.28478106710475</v>
      </c>
      <c r="BB13" s="157">
        <f>BB15*BB17</f>
        <v>945.24607138782699</v>
      </c>
      <c r="BC13" s="159">
        <f>BC72*1000/(BC7*12)</f>
        <v>917.52189318802664</v>
      </c>
      <c r="BD13" s="611"/>
      <c r="BE13" s="156">
        <f>BE15*BE17</f>
        <v>1091.7163854726002</v>
      </c>
      <c r="BF13" s="157">
        <f>BF15*BF17</f>
        <v>1138.4172955207166</v>
      </c>
      <c r="BG13" s="157">
        <f>BG15*BG17</f>
        <v>1185.3541069171756</v>
      </c>
      <c r="BH13" s="157">
        <f>BH15*BH17</f>
        <v>1201.7113785385122</v>
      </c>
      <c r="BI13" s="159">
        <f>BI72*1000/(BI7*12)</f>
        <v>1153.9229928465907</v>
      </c>
      <c r="BJ13" s="611"/>
      <c r="BK13" s="156">
        <f>BK15*BK17</f>
        <v>1220.5652538548325</v>
      </c>
      <c r="BL13" s="157">
        <f>BL15*BL17</f>
        <v>1284.8348606695342</v>
      </c>
      <c r="BM13" s="157">
        <f>BM15*BM17</f>
        <v>1446.2858186760575</v>
      </c>
      <c r="BN13" s="157">
        <f>BN15*BN17</f>
        <v>1515.2252964279039</v>
      </c>
      <c r="BO13" s="159">
        <f>BO72*1000/(BO7*12)</f>
        <v>1367.1060523025421</v>
      </c>
      <c r="BP13" s="611"/>
      <c r="BQ13" s="156">
        <f>BK13*(1+BQ14)</f>
        <v>1556.2206986649112</v>
      </c>
      <c r="BR13" s="157">
        <f>BL13*(1+BR14)</f>
        <v>1477.5600897699642</v>
      </c>
      <c r="BS13" s="157">
        <f>BM13*(1+BS14)</f>
        <v>1590.9144005436633</v>
      </c>
      <c r="BT13" s="158">
        <f>BN13*(1+BT14)</f>
        <v>1636.4433201421364</v>
      </c>
      <c r="BU13" s="159">
        <f>BU72*1000/(BU7*12)</f>
        <v>1565.2825011522696</v>
      </c>
      <c r="BV13" s="611"/>
      <c r="BW13" s="156">
        <f>BQ13*(1+BW14)</f>
        <v>1665.156147571455</v>
      </c>
      <c r="BX13" s="157">
        <f>BR13*(1+BX14)</f>
        <v>1566.2136951561622</v>
      </c>
      <c r="BY13" s="157">
        <f>BS13*(1+BY14)</f>
        <v>1670.4601205708466</v>
      </c>
      <c r="BZ13" s="158">
        <f>BT13*(1+BZ14)</f>
        <v>1718.2654861492433</v>
      </c>
      <c r="CA13" s="159">
        <f>CA72*1000/(CA7*12)</f>
        <v>1655.119110378296</v>
      </c>
      <c r="CB13" s="611"/>
      <c r="CC13" s="156">
        <f>BW13*(1+CC14)</f>
        <v>1748.4139549500278</v>
      </c>
      <c r="CD13" s="157">
        <f>BX13*(1+CD14)</f>
        <v>1644.5243799139703</v>
      </c>
      <c r="CE13" s="157">
        <f>BY13*(1+CE14)</f>
        <v>1753.9831265993889</v>
      </c>
      <c r="CF13" s="158">
        <f>BZ13*(1+CF14)</f>
        <v>1804.1787604567055</v>
      </c>
      <c r="CG13" s="159">
        <f>CG72*1000/(CG7*12)</f>
        <v>1737.8741288998135</v>
      </c>
      <c r="CH13" s="611"/>
      <c r="CI13" s="156">
        <f>CC13*(1+CI14)</f>
        <v>1818.350513148029</v>
      </c>
      <c r="CJ13" s="157">
        <f>CD13*(1+CJ14)</f>
        <v>1710.305355110529</v>
      </c>
      <c r="CK13" s="157">
        <f>CE13*(1+CK14)</f>
        <v>1824.1424516633645</v>
      </c>
      <c r="CL13" s="158">
        <f>CF13*(1+CL14)</f>
        <v>1876.3459108749737</v>
      </c>
      <c r="CM13" s="159">
        <f>CM72*1000/(CM7*12)</f>
        <v>1807.4218893042885</v>
      </c>
      <c r="CN13" s="611"/>
      <c r="CO13" s="156">
        <f>CI13*(1+CO14)</f>
        <v>1891.0845336739503</v>
      </c>
      <c r="CP13" s="157">
        <f>CJ13*(1+CP14)</f>
        <v>1778.7175693149502</v>
      </c>
      <c r="CQ13" s="157">
        <f>CK13*(1+CQ14)</f>
        <v>1897.1081497298992</v>
      </c>
      <c r="CR13" s="158">
        <f>CL13*(1+CR14)</f>
        <v>1951.3997473099728</v>
      </c>
      <c r="CS13" s="159">
        <f>CS72*1000/(CS7*12)</f>
        <v>1879.7169568514389</v>
      </c>
      <c r="CT13" s="611"/>
      <c r="CU13" s="156">
        <f>CO13*(1+CU14)</f>
        <v>1947.8170696841689</v>
      </c>
      <c r="CV13" s="157">
        <f>CP13*(1+CV14)</f>
        <v>1832.0790963943987</v>
      </c>
      <c r="CW13" s="157">
        <f>CQ13*(1+CW14)</f>
        <v>1954.0213942217963</v>
      </c>
      <c r="CX13" s="158">
        <f>CR13*(1+CX14)</f>
        <v>2009.9417397292721</v>
      </c>
      <c r="CY13" s="159">
        <f>CY72*1000/(CY7*12)</f>
        <v>1936.1066503584498</v>
      </c>
      <c r="CZ13" s="611"/>
      <c r="DA13" s="156">
        <f>CU13*(1+DA14)</f>
        <v>2006.2515817746942</v>
      </c>
      <c r="DB13" s="157">
        <f>CV13*(1+DB14)</f>
        <v>1887.0414692862307</v>
      </c>
      <c r="DC13" s="157">
        <f>CW13*(1+DC14)</f>
        <v>2012.6420360484503</v>
      </c>
      <c r="DD13" s="158">
        <f>CX13*(1+DD14)</f>
        <v>2070.2399919211502</v>
      </c>
      <c r="DE13" s="159">
        <f>DE72*1000/(DE7*12)</f>
        <v>1994.1880268789978</v>
      </c>
      <c r="DF13" s="611"/>
      <c r="DG13" s="156">
        <f>DA13*(1+DG14)</f>
        <v>2066.4391292279352</v>
      </c>
      <c r="DH13" s="157">
        <f>DB13*(1+DH14)</f>
        <v>1943.6527133648176</v>
      </c>
      <c r="DI13" s="157">
        <f>DC13*(1+DI14)</f>
        <v>2073.0212971299038</v>
      </c>
      <c r="DJ13" s="158">
        <f>DD13*(1+DJ14)</f>
        <v>2132.3471916787848</v>
      </c>
      <c r="DK13" s="159">
        <f>DK72*1000/(DK7*12)</f>
        <v>2054.0118362924109</v>
      </c>
    </row>
    <row r="14" spans="2:115" ht="15" x14ac:dyDescent="0.3">
      <c r="B14" s="5" t="s">
        <v>23</v>
      </c>
      <c r="C14" s="144" t="s">
        <v>35</v>
      </c>
      <c r="D14" s="107" t="s">
        <v>35</v>
      </c>
      <c r="E14" s="107" t="s">
        <v>35</v>
      </c>
      <c r="F14" s="145" t="s">
        <v>35</v>
      </c>
      <c r="G14" s="153" t="s">
        <v>35</v>
      </c>
      <c r="H14" s="107"/>
      <c r="I14" s="151">
        <f>I13/C13-1</f>
        <v>0.21385488115140272</v>
      </c>
      <c r="J14" s="133">
        <f>J13/D13-1</f>
        <v>-9.9154532290990582E-2</v>
      </c>
      <c r="K14" s="133">
        <f>K13/E13-1</f>
        <v>3.6987943675907964E-3</v>
      </c>
      <c r="L14" s="152">
        <f>L13/F13-1</f>
        <v>5.5846822276224284E-3</v>
      </c>
      <c r="M14" s="152">
        <f>M13/G13-1</f>
        <v>1.7732821848137403E-2</v>
      </c>
      <c r="N14" s="107"/>
      <c r="O14" s="151">
        <f>O13/I13-1</f>
        <v>-2.0444394890384743E-2</v>
      </c>
      <c r="P14" s="133">
        <f>P13/J13-1</f>
        <v>-4.5965863749478308E-2</v>
      </c>
      <c r="Q14" s="133">
        <f>Q13/K13-1</f>
        <v>3.730913028851579E-2</v>
      </c>
      <c r="R14" s="152">
        <f>R13/L13-1</f>
        <v>0.18541731027464081</v>
      </c>
      <c r="S14" s="152">
        <f>S13/M13-1</f>
        <v>3.8150426711127006E-2</v>
      </c>
      <c r="T14" s="107"/>
      <c r="U14" s="151">
        <f>U13/O13-1</f>
        <v>4.5609906583946369E-2</v>
      </c>
      <c r="V14" s="133">
        <f>V13/P13-1</f>
        <v>0.10973586162914861</v>
      </c>
      <c r="W14" s="133">
        <f>W13/Q13-1</f>
        <v>0.10425667500329294</v>
      </c>
      <c r="X14" s="133">
        <f ca="1">X13/R13-1</f>
        <v>-2.9999999999999916E-2</v>
      </c>
      <c r="Y14" s="153">
        <f>Y13/S13-1</f>
        <v>5.331970983178258E-2</v>
      </c>
      <c r="AA14" s="151">
        <f>AA13/U13-1</f>
        <v>-6.1471895386100206E-2</v>
      </c>
      <c r="AB14" s="133">
        <f>AB13/V13-1</f>
        <v>-1.9830653736555015E-2</v>
      </c>
      <c r="AC14" s="133">
        <f>AC13/W13-1</f>
        <v>-2.6246496768106531E-2</v>
      </c>
      <c r="AD14" s="133">
        <f ca="1">AD13/X13-1</f>
        <v>-7.0690195062625971E-2</v>
      </c>
      <c r="AE14" s="153">
        <f>AE13/Y13-1</f>
        <v>-4.4451476903168086E-2</v>
      </c>
      <c r="AG14" s="151">
        <f>AG13/AA13-1</f>
        <v>0.13946527720740454</v>
      </c>
      <c r="AH14" s="133">
        <f>AH13/AB13-1</f>
        <v>5.2678768341559934E-2</v>
      </c>
      <c r="AI14" s="133">
        <f>AI13/AC13-1</f>
        <v>1.592358149495543E-2</v>
      </c>
      <c r="AJ14" s="133">
        <f>AJ13/AD13-1</f>
        <v>8.5298736671016506E-2</v>
      </c>
      <c r="AK14" s="153">
        <f>AK13/AE13-1</f>
        <v>7.1974924333296331E-2</v>
      </c>
      <c r="AM14" s="151">
        <f ca="1">AM13/AG13-1</f>
        <v>0.13867315592358742</v>
      </c>
      <c r="AN14" s="133">
        <f>AN13/AH13-1</f>
        <v>3.2975972009353427E-2</v>
      </c>
      <c r="AO14" s="133">
        <f>AO13/AI13-1</f>
        <v>6.9501922641088454E-2</v>
      </c>
      <c r="AP14" s="133">
        <f>AP13/AJ13-1</f>
        <v>5.9822285705706912E-2</v>
      </c>
      <c r="AQ14" s="153">
        <f ca="1">AQ13/AK13-1</f>
        <v>7.4654084376184482E-2</v>
      </c>
      <c r="AS14" s="151">
        <f ca="1">AS13/AM13-1</f>
        <v>-2.2403581867225131E-2</v>
      </c>
      <c r="AT14" s="133">
        <f>AT13/AN13-1</f>
        <v>0.11693735058499</v>
      </c>
      <c r="AU14" s="133">
        <f>AU13/AO13-1</f>
        <v>7.4220434558935455E-2</v>
      </c>
      <c r="AV14" s="133">
        <f>AV13/AP13-1</f>
        <v>7.1899803382604377E-2</v>
      </c>
      <c r="AW14" s="153">
        <f ca="1">AW13/AQ13-1</f>
        <v>5.924280056154374E-2</v>
      </c>
      <c r="AY14" s="151">
        <f>AY13/AS13-1</f>
        <v>9.9750103503779552E-3</v>
      </c>
      <c r="AZ14" s="133">
        <f>AZ13/AT13-1</f>
        <v>-1.0818997970862165E-2</v>
      </c>
      <c r="BA14" s="133">
        <f>BA13/AU13-1</f>
        <v>2.8272588865114079E-2</v>
      </c>
      <c r="BB14" s="133">
        <f>BB13/AV13-1</f>
        <v>-8.7537426185184675E-3</v>
      </c>
      <c r="BC14" s="153">
        <f>BC13/AW13-1</f>
        <v>4.4785766560178075E-3</v>
      </c>
      <c r="BE14" s="151">
        <f>BE13/AY13-1</f>
        <v>0.26049461752140224</v>
      </c>
      <c r="BF14" s="133">
        <f>BF13/AZ13-1</f>
        <v>0.27017556682373733</v>
      </c>
      <c r="BG14" s="133">
        <f>BG13/BA13-1</f>
        <v>0.23181217269455612</v>
      </c>
      <c r="BH14" s="133">
        <f>BH13/BB13-1</f>
        <v>0.27132120927425629</v>
      </c>
      <c r="BI14" s="153">
        <f>BI13/BC13-1</f>
        <v>0.25765172625708521</v>
      </c>
      <c r="BK14" s="151">
        <f>BK13/BE13-1</f>
        <v>0.11802412247064886</v>
      </c>
      <c r="BL14" s="133">
        <f>BL13/BF13-1</f>
        <v>0.12861502168398253</v>
      </c>
      <c r="BM14" s="133">
        <f>BM13/BG13-1</f>
        <v>0.22012975720605832</v>
      </c>
      <c r="BN14" s="133">
        <f>BN13/BH13-1</f>
        <v>0.26088953095432821</v>
      </c>
      <c r="BO14" s="153">
        <f>BO13/BI13-1</f>
        <v>0.1847463485670342</v>
      </c>
      <c r="BQ14" s="151">
        <v>0.27500000000000002</v>
      </c>
      <c r="BR14" s="133">
        <v>0.15</v>
      </c>
      <c r="BS14" s="133">
        <v>0.1</v>
      </c>
      <c r="BT14" s="133">
        <v>0.08</v>
      </c>
      <c r="BU14" s="153">
        <f>BU13/BO13-1</f>
        <v>0.14496055263302332</v>
      </c>
      <c r="BW14" s="151">
        <v>7.0000000000000007E-2</v>
      </c>
      <c r="BX14" s="133">
        <v>0.06</v>
      </c>
      <c r="BY14" s="133">
        <v>0.05</v>
      </c>
      <c r="BZ14" s="133">
        <v>0.05</v>
      </c>
      <c r="CA14" s="153">
        <f>CA13/BU13-1</f>
        <v>5.7393224009016919E-2</v>
      </c>
      <c r="CC14" s="151">
        <v>0.05</v>
      </c>
      <c r="CD14" s="133">
        <v>0.05</v>
      </c>
      <c r="CE14" s="133">
        <v>0.05</v>
      </c>
      <c r="CF14" s="133">
        <v>0.05</v>
      </c>
      <c r="CG14" s="153">
        <f>CG13/CA13-1</f>
        <v>4.9999433879174271E-2</v>
      </c>
      <c r="CI14" s="151">
        <v>0.04</v>
      </c>
      <c r="CJ14" s="133">
        <v>0.04</v>
      </c>
      <c r="CK14" s="133">
        <v>0.04</v>
      </c>
      <c r="CL14" s="133">
        <v>0.04</v>
      </c>
      <c r="CM14" s="153">
        <f>CM13/CG13-1</f>
        <v>4.0018870899760195E-2</v>
      </c>
      <c r="CO14" s="151">
        <v>0.04</v>
      </c>
      <c r="CP14" s="133">
        <v>0.04</v>
      </c>
      <c r="CQ14" s="133">
        <v>0.04</v>
      </c>
      <c r="CR14" s="133">
        <v>0.04</v>
      </c>
      <c r="CS14" s="153">
        <f>CS13/CM13-1</f>
        <v>3.9998999666302604E-2</v>
      </c>
      <c r="CU14" s="151">
        <v>0.03</v>
      </c>
      <c r="CV14" s="133">
        <v>0.03</v>
      </c>
      <c r="CW14" s="133">
        <v>0.03</v>
      </c>
      <c r="CX14" s="133">
        <v>0.03</v>
      </c>
      <c r="CY14" s="153">
        <f>CY13/CS13-1</f>
        <v>2.9999034323478391E-2</v>
      </c>
      <c r="DA14" s="151">
        <v>0.03</v>
      </c>
      <c r="DB14" s="133">
        <v>0.03</v>
      </c>
      <c r="DC14" s="133">
        <v>0.03</v>
      </c>
      <c r="DD14" s="133">
        <v>0.03</v>
      </c>
      <c r="DE14" s="153">
        <f>DE13/CY13-1</f>
        <v>2.9999058424697189E-2</v>
      </c>
      <c r="DG14" s="151">
        <v>0.03</v>
      </c>
      <c r="DH14" s="133">
        <v>0.03</v>
      </c>
      <c r="DI14" s="133">
        <v>0.03</v>
      </c>
      <c r="DJ14" s="133">
        <v>0.03</v>
      </c>
      <c r="DK14" s="153">
        <f>DK13/DE13-1</f>
        <v>2.9999081634764613E-2</v>
      </c>
    </row>
    <row r="15" spans="2:115" ht="15.75" thickBot="1" x14ac:dyDescent="0.35">
      <c r="B15" s="140" t="s">
        <v>48</v>
      </c>
      <c r="C15" s="146">
        <v>0.13</v>
      </c>
      <c r="D15" s="147">
        <v>0.17</v>
      </c>
      <c r="E15" s="147">
        <v>0.15</v>
      </c>
      <c r="F15" s="148">
        <v>0.16</v>
      </c>
      <c r="G15" s="268">
        <f>G13/G17</f>
        <v>0.15283428514081518</v>
      </c>
      <c r="I15" s="146">
        <v>0.17</v>
      </c>
      <c r="J15" s="147">
        <v>0.17</v>
      </c>
      <c r="K15" s="147">
        <v>0.17</v>
      </c>
      <c r="L15" s="148">
        <v>0.18</v>
      </c>
      <c r="M15" s="268">
        <f>M13/M17</f>
        <v>0.1725118309749622</v>
      </c>
      <c r="O15" s="146">
        <v>0.19</v>
      </c>
      <c r="P15" s="147">
        <v>0.18</v>
      </c>
      <c r="Q15" s="147">
        <v>0.19</v>
      </c>
      <c r="R15" s="148">
        <v>0.22</v>
      </c>
      <c r="S15" s="170">
        <f>S13/S17</f>
        <v>0.19500891872291917</v>
      </c>
      <c r="U15" s="168">
        <v>0.2</v>
      </c>
      <c r="V15" s="169">
        <v>0.2</v>
      </c>
      <c r="W15" s="169">
        <v>0.21</v>
      </c>
      <c r="X15" s="169">
        <v>0.22</v>
      </c>
      <c r="Y15" s="268">
        <f>Y13/Y17</f>
        <v>0.20762069517958032</v>
      </c>
      <c r="AA15" s="168">
        <v>0.21</v>
      </c>
      <c r="AB15" s="169">
        <v>0.21</v>
      </c>
      <c r="AC15" s="169">
        <v>0.22</v>
      </c>
      <c r="AD15" s="169">
        <v>0.22</v>
      </c>
      <c r="AE15" s="268">
        <f>AE13/AE17</f>
        <v>0.21509484411030313</v>
      </c>
      <c r="AG15" s="168">
        <v>0.23</v>
      </c>
      <c r="AH15" s="169">
        <v>0.23</v>
      </c>
      <c r="AI15" s="169">
        <v>0.23</v>
      </c>
      <c r="AJ15" s="170">
        <v>0.24</v>
      </c>
      <c r="AK15" s="170">
        <f>AK13/AK17</f>
        <v>0.23253796009982122</v>
      </c>
      <c r="AM15" s="168">
        <v>0.26</v>
      </c>
      <c r="AN15" s="169">
        <v>0.24</v>
      </c>
      <c r="AO15" s="169">
        <v>0.25</v>
      </c>
      <c r="AP15" s="170">
        <v>0.26</v>
      </c>
      <c r="AQ15" s="170">
        <f ca="1">AQ13/AQ17</f>
        <v>0.25251061895719124</v>
      </c>
      <c r="AS15" s="168">
        <v>0.26</v>
      </c>
      <c r="AT15" s="169">
        <v>0.26</v>
      </c>
      <c r="AU15" s="169">
        <v>0.26</v>
      </c>
      <c r="AV15" s="170">
        <v>0.27</v>
      </c>
      <c r="AW15" s="170">
        <f>AW13/AW17</f>
        <v>0.26255860820927063</v>
      </c>
      <c r="AY15" s="168">
        <v>0.25</v>
      </c>
      <c r="AZ15" s="169">
        <v>0.27</v>
      </c>
      <c r="BA15" s="169">
        <v>0.28000000000000003</v>
      </c>
      <c r="BB15" s="170">
        <v>0.28000000000000003</v>
      </c>
      <c r="BC15" s="170">
        <f>BC13/BC17</f>
        <v>0.26992877222246126</v>
      </c>
      <c r="BE15" s="168">
        <v>0.33</v>
      </c>
      <c r="BF15" s="169">
        <v>0.33</v>
      </c>
      <c r="BG15" s="169">
        <v>0.34</v>
      </c>
      <c r="BH15" s="170">
        <v>0.35</v>
      </c>
      <c r="BI15" s="170">
        <f>BI13/BI17</f>
        <v>0.33751379022242167</v>
      </c>
      <c r="BK15" s="168">
        <v>0.36</v>
      </c>
      <c r="BL15" s="169">
        <v>0.37</v>
      </c>
      <c r="BM15" s="169">
        <v>0.4</v>
      </c>
      <c r="BN15" s="170">
        <v>0.4</v>
      </c>
      <c r="BO15" s="170">
        <f>BO13/BO17</f>
        <v>0.38326057328580754</v>
      </c>
      <c r="BQ15" s="168">
        <f>BQ13/BQ17</f>
        <v>0.4116591928251121</v>
      </c>
      <c r="BR15" s="169">
        <f>BR13/BR17</f>
        <v>0.38585354794831106</v>
      </c>
      <c r="BS15" s="169">
        <f>BS13/BS17</f>
        <v>0.40552995391705071</v>
      </c>
      <c r="BT15" s="170">
        <f>BT13/BT17</f>
        <v>0.41260744985673353</v>
      </c>
      <c r="BU15" s="170">
        <f>BU13/BU17</f>
        <v>0.40398166146957498</v>
      </c>
      <c r="BW15" s="168">
        <f>BW13/BW17</f>
        <v>0.42813804886978801</v>
      </c>
      <c r="BX15" s="169">
        <f>BX13/BX17</f>
        <v>0.39975006204133734</v>
      </c>
      <c r="BY15" s="169">
        <f>BY13/BY17</f>
        <v>0.41979010494752622</v>
      </c>
      <c r="BZ15" s="170">
        <f>BZ13/BZ17</f>
        <v>0.42942345924453285</v>
      </c>
      <c r="CA15" s="170">
        <f>CA13/CA17</f>
        <v>0.4193266260911192</v>
      </c>
      <c r="CC15" s="168">
        <f>CC13/CC17</f>
        <v>0.44764200549215649</v>
      </c>
      <c r="CD15" s="169">
        <f>CD13/CD17</f>
        <v>0.41890812497678054</v>
      </c>
      <c r="CE15" s="169">
        <f>CE13/CE17</f>
        <v>0.4392058441267423</v>
      </c>
      <c r="CF15" s="170">
        <f>CF13/CF17</f>
        <v>0.44894000277123458</v>
      </c>
      <c r="CG15" s="170">
        <f>CG13/CG17</f>
        <v>0.43873702722104735</v>
      </c>
      <c r="CI15" s="168">
        <f>CI13/CI17</f>
        <v>0.46492703583588235</v>
      </c>
      <c r="CJ15" s="169">
        <f>CJ13/CJ17</f>
        <v>0.43595934650226403</v>
      </c>
      <c r="CK15" s="169">
        <f>CK13/CK17</f>
        <v>0.45643430404740609</v>
      </c>
      <c r="CL15" s="170">
        <f>CL13/CL17</f>
        <v>0.46623284799696707</v>
      </c>
      <c r="CM15" s="170">
        <f>CM13/CM17</f>
        <v>0.45596383967873022</v>
      </c>
      <c r="CO15" s="168">
        <f>CO13/CO17</f>
        <v>0.48229672394965845</v>
      </c>
      <c r="CP15" s="169">
        <f>CP13/CP17</f>
        <v>0.45316336499986298</v>
      </c>
      <c r="CQ15" s="169">
        <f>CQ13/CQ17</f>
        <v>0.47376763919781623</v>
      </c>
      <c r="CR15" s="170">
        <f>CR13/CR17</f>
        <v>0.48360722848998894</v>
      </c>
      <c r="CS15" s="170">
        <f>CS13/CS17</f>
        <v>0.47329468976248384</v>
      </c>
      <c r="CU15" s="168">
        <f>CU13/CU17</f>
        <v>0.49729384948588334</v>
      </c>
      <c r="CV15" s="169">
        <f>CV13/CV17</f>
        <v>0.46807364561944254</v>
      </c>
      <c r="CW15" s="169">
        <f>CW13/CW17</f>
        <v>0.48874993224763652</v>
      </c>
      <c r="CX15" s="170">
        <f>CX13/CX17</f>
        <v>0.49860585725818379</v>
      </c>
      <c r="CY15" s="170">
        <f>CY13/CY17</f>
        <v>0.48827573268584989</v>
      </c>
      <c r="DA15" s="168">
        <f>DA13/DA17</f>
        <v>0.51229584595047384</v>
      </c>
      <c r="DB15" s="169">
        <f>DB13/DB17</f>
        <v>0.48304115958249944</v>
      </c>
      <c r="DC15" s="169">
        <f>DC13/DC17</f>
        <v>0.50375246517688532</v>
      </c>
      <c r="DD15" s="170">
        <f>DD13/DD17</f>
        <v>0.5136069954638216</v>
      </c>
      <c r="DE15" s="170">
        <f>DE13/DE17</f>
        <v>0.50327787149401348</v>
      </c>
      <c r="DG15" s="168">
        <f>DG13/DG17</f>
        <v>0.52727572326498662</v>
      </c>
      <c r="DH15" s="169">
        <f>DH13/DH17</f>
        <v>0.49803916437258999</v>
      </c>
      <c r="DI15" s="169">
        <f>DI13/DI17</f>
        <v>0.51874824404890996</v>
      </c>
      <c r="DJ15" s="170">
        <f>DJ13/DJ17</f>
        <v>0.52858365920055672</v>
      </c>
      <c r="DK15" s="170">
        <f>DK13/DK17</f>
        <v>0.5182741146330837</v>
      </c>
    </row>
    <row r="16" spans="2:115" ht="15.75" thickBot="1" x14ac:dyDescent="0.35">
      <c r="B16" s="1"/>
      <c r="AA16" s="103"/>
      <c r="AB16" s="103"/>
      <c r="AC16" s="103"/>
      <c r="AD16" s="103"/>
      <c r="AE16" s="103"/>
      <c r="AG16" s="103"/>
      <c r="AH16" s="103"/>
      <c r="AI16" s="103"/>
      <c r="AJ16" s="103"/>
      <c r="AK16" s="103"/>
      <c r="AM16" s="103"/>
      <c r="AN16" s="103"/>
      <c r="AO16" s="103"/>
      <c r="AP16" s="103"/>
      <c r="AQ16" s="103"/>
      <c r="AS16" s="103"/>
      <c r="AT16" s="103"/>
      <c r="AU16" s="103"/>
      <c r="AV16" s="103"/>
      <c r="AW16" s="103"/>
      <c r="AY16" s="103"/>
      <c r="AZ16" s="103"/>
      <c r="BA16" s="103"/>
      <c r="BB16" s="103"/>
      <c r="BC16" s="103"/>
      <c r="BE16" s="103"/>
      <c r="BF16" s="103"/>
      <c r="BG16" s="103"/>
      <c r="BH16" s="103"/>
      <c r="BI16" s="103"/>
      <c r="BK16" s="103"/>
      <c r="BL16" s="103"/>
      <c r="BM16" s="103"/>
      <c r="BN16" s="103"/>
      <c r="BO16" s="103"/>
      <c r="BQ16" s="103"/>
      <c r="BR16" s="103"/>
      <c r="BS16" s="103"/>
      <c r="BT16" s="103"/>
      <c r="BU16" s="103"/>
      <c r="BW16" s="103"/>
      <c r="BX16" s="103"/>
      <c r="BY16" s="103"/>
      <c r="BZ16" s="103"/>
      <c r="CA16" s="103"/>
      <c r="CC16" s="103"/>
      <c r="CD16" s="103"/>
      <c r="CE16" s="103"/>
      <c r="CF16" s="103"/>
      <c r="CG16" s="103"/>
      <c r="CI16" s="103"/>
      <c r="CJ16" s="103"/>
      <c r="CK16" s="103"/>
      <c r="CL16" s="103"/>
      <c r="CM16" s="103"/>
      <c r="CO16" s="103"/>
      <c r="CP16" s="103"/>
      <c r="CQ16" s="103"/>
      <c r="CR16" s="103"/>
      <c r="CS16" s="103"/>
      <c r="CU16" s="103"/>
      <c r="CV16" s="103"/>
      <c r="CW16" s="103"/>
      <c r="CX16" s="103"/>
      <c r="CY16" s="103"/>
      <c r="DA16" s="103"/>
      <c r="DB16" s="103"/>
      <c r="DC16" s="103"/>
      <c r="DD16" s="103"/>
      <c r="DE16" s="103"/>
      <c r="DG16" s="103"/>
      <c r="DH16" s="103"/>
      <c r="DI16" s="103"/>
      <c r="DJ16" s="103"/>
      <c r="DK16" s="103"/>
    </row>
    <row r="17" spans="2:115" s="135" customFormat="1" ht="15" x14ac:dyDescent="0.3">
      <c r="B17" s="139" t="s">
        <v>140</v>
      </c>
      <c r="C17" s="181">
        <f>C25*1000/(C7*3)</f>
        <v>4456.9959392755691</v>
      </c>
      <c r="D17" s="182">
        <f>D25*1000/(D7*3)</f>
        <v>4694.2173689659967</v>
      </c>
      <c r="E17" s="182">
        <f>E25*1000/(E7*3)</f>
        <v>4774.6045738946132</v>
      </c>
      <c r="F17" s="182">
        <f>F25*1000/(F7*3)</f>
        <v>4498.6751507035524</v>
      </c>
      <c r="G17" s="272">
        <f>G25*1000/(G7*12)</f>
        <v>4605.7366545015548</v>
      </c>
      <c r="H17" s="134"/>
      <c r="I17" s="181">
        <f>I25*1000/(I7*3)</f>
        <v>4137.1706817706581</v>
      </c>
      <c r="J17" s="182">
        <f>J25*1000/(J7*3)</f>
        <v>4228.7644412739292</v>
      </c>
      <c r="K17" s="182">
        <f>K25*1000/(K7*3)</f>
        <v>4228.4689891764774</v>
      </c>
      <c r="L17" s="182">
        <f>L25*1000/(L7*3)</f>
        <v>4021.1545083249184</v>
      </c>
      <c r="M17" s="272">
        <f>M25*1000/(M7*12)</f>
        <v>4152.7404524453368</v>
      </c>
      <c r="N17" s="134"/>
      <c r="O17" s="181">
        <f>O25*1000/(O7*3)</f>
        <v>3626.0004431895518</v>
      </c>
      <c r="P17" s="182">
        <f>P25*1000/(P7*3)</f>
        <v>3810.253096074488</v>
      </c>
      <c r="Q17" s="182">
        <f>Q25*1000/(Q7*3)</f>
        <v>3924.5211222867574</v>
      </c>
      <c r="R17" s="183">
        <f>R25*1000/(R7*3)</f>
        <v>3900.0650411923125</v>
      </c>
      <c r="S17" s="272">
        <f>S25*1000/(S7*12)</f>
        <v>3813.8137976028233</v>
      </c>
      <c r="T17" s="103"/>
      <c r="U17" s="181">
        <f>U25*1000/(U7*3)</f>
        <v>3601.812885442936</v>
      </c>
      <c r="V17" s="182">
        <f>V25*1000/(V7*3)</f>
        <v>3805.5370523376178</v>
      </c>
      <c r="W17" s="182">
        <f>W25*1000/(W7*3)</f>
        <v>3920.9473459073702</v>
      </c>
      <c r="X17" s="183">
        <f ca="1">X10+X13</f>
        <v>3783.0630899565431</v>
      </c>
      <c r="Y17" s="201">
        <f>Y25*1000/(Y7*12)</f>
        <v>3773.1453004798514</v>
      </c>
      <c r="Z17" s="334"/>
      <c r="AA17" s="181">
        <f>AA25*1000/(AA7*3)</f>
        <v>3219.4310671892194</v>
      </c>
      <c r="AB17" s="182">
        <f>AB25*1000/(AB7*3)</f>
        <v>3552.4483474010285</v>
      </c>
      <c r="AC17" s="182">
        <f>AC25*1000/(AC7*3)</f>
        <v>3644.4891134257737</v>
      </c>
      <c r="AD17" s="182">
        <f>AD25*1000/(AD7*3)</f>
        <v>3515.6376221932946</v>
      </c>
      <c r="AE17" s="201">
        <f>AE25*1000/(AE7*12)</f>
        <v>3480.1416083623776</v>
      </c>
      <c r="AF17" s="334"/>
      <c r="AG17" s="181">
        <f>AG25*1000/(AG7*3)</f>
        <v>3349.4360079096859</v>
      </c>
      <c r="AH17" s="182">
        <f>AH25*1000/(AH7*3)</f>
        <v>3414.4054769444183</v>
      </c>
      <c r="AI17" s="182">
        <f>AI25*1000/(AI7*3)</f>
        <v>3541.5431966208484</v>
      </c>
      <c r="AJ17" s="182">
        <f>AJ25*1000/(AJ7*3)</f>
        <v>3497.5573141295226</v>
      </c>
      <c r="AK17" s="201">
        <f>AK25*1000/(AK7*12)</f>
        <v>3450.7832740028239</v>
      </c>
      <c r="AL17" s="334"/>
      <c r="AM17" s="181">
        <f ca="1">AM25*1000/(AM7*3)</f>
        <v>3373.8460001109365</v>
      </c>
      <c r="AN17" s="182">
        <f>AN25*1000/(AN7*3)</f>
        <v>3380.0405323648579</v>
      </c>
      <c r="AO17" s="182">
        <f>AO25*1000/(AO7*3)</f>
        <v>3484.6722772702665</v>
      </c>
      <c r="AP17" s="182">
        <f>AP25*1000/(AP7*3)</f>
        <v>3421.651557274582</v>
      </c>
      <c r="AQ17" s="201">
        <f ca="1">AQ25*1000/(AQ7*12)</f>
        <v>3415.0777053006386</v>
      </c>
      <c r="AR17" s="334"/>
      <c r="AS17" s="181">
        <f>AS25*1000/(AS7*3)</f>
        <v>3298.2597650400412</v>
      </c>
      <c r="AT17" s="182">
        <f>AT25*1000/(AT7*3)</f>
        <v>3484.8863234672149</v>
      </c>
      <c r="AU17" s="182">
        <f>AU25*1000/(AU7*3)</f>
        <v>3599.3328538314813</v>
      </c>
      <c r="AV17" s="182">
        <f>AV25*1000/(AV7*3)</f>
        <v>3531.8280895795028</v>
      </c>
      <c r="AW17" s="201">
        <f>AW25*1000/(AW7*12)</f>
        <v>3478.9604826305012</v>
      </c>
      <c r="AX17" s="334"/>
      <c r="AY17" s="181">
        <f>AY25*1000/(AY7*3)</f>
        <v>3464.4063379479326</v>
      </c>
      <c r="AZ17" s="182">
        <f>AZ25*1000/(AZ7*3)</f>
        <v>3319.5098881677177</v>
      </c>
      <c r="BA17" s="182">
        <f>BA25*1000/(BA7*3)</f>
        <v>3436.7313609539451</v>
      </c>
      <c r="BB17" s="182">
        <f>BB25*1000/(BB7*3)</f>
        <v>3375.8788263850961</v>
      </c>
      <c r="BC17" s="201">
        <f>BC25*1000/(BC7*12)</f>
        <v>3399.1259458323061</v>
      </c>
      <c r="BD17" s="334"/>
      <c r="BE17" s="181">
        <f>BE25*1000/(BE7*3)</f>
        <v>3308.2314711290915</v>
      </c>
      <c r="BF17" s="182">
        <f>BF25*1000/(BF7*3)</f>
        <v>3449.7493803658081</v>
      </c>
      <c r="BG17" s="182">
        <f>BG25*1000/(BG7*3)</f>
        <v>3486.3356085799282</v>
      </c>
      <c r="BH17" s="182">
        <f>BH25*1000/(BH7*3)</f>
        <v>3433.4610815386063</v>
      </c>
      <c r="BI17" s="201">
        <f>BI25*1000/(BI7*12)</f>
        <v>3418.8913942928234</v>
      </c>
      <c r="BJ17" s="334"/>
      <c r="BK17" s="181">
        <f>BK25*1000/(BK7*3)</f>
        <v>3390.459038485646</v>
      </c>
      <c r="BL17" s="182">
        <f>BL25*1000/(BL7*3)</f>
        <v>3472.5266504582005</v>
      </c>
      <c r="BM17" s="182">
        <f>BM25*1000/(BM7*3)</f>
        <v>3615.7145466901434</v>
      </c>
      <c r="BN17" s="182">
        <f>BN25*1000/(BN7*3)</f>
        <v>3788.0632410697594</v>
      </c>
      <c r="BO17" s="201">
        <f>BO25*1000/(BO7*12)</f>
        <v>3567.0406704815291</v>
      </c>
      <c r="BP17" s="334"/>
      <c r="BQ17" s="181">
        <f>BQ10+BQ13</f>
        <v>3780.3618279114949</v>
      </c>
      <c r="BR17" s="182">
        <f>BR10+BR13</f>
        <v>3829.3287637927801</v>
      </c>
      <c r="BS17" s="182">
        <f>BS10+BS13</f>
        <v>3923.050283158806</v>
      </c>
      <c r="BT17" s="183">
        <f>BT10+BT13</f>
        <v>3966.1022134000386</v>
      </c>
      <c r="BU17" s="201">
        <f>BU25*1000/(BU7*12)</f>
        <v>3874.6375156193953</v>
      </c>
      <c r="BV17" s="334"/>
      <c r="BW17" s="181">
        <f>BW10+BW13</f>
        <v>3889.2972768180389</v>
      </c>
      <c r="BX17" s="182">
        <f>BX10+BX13</f>
        <v>3917.9823691789779</v>
      </c>
      <c r="BY17" s="182">
        <f>BY10+BY13</f>
        <v>3979.274644359838</v>
      </c>
      <c r="BZ17" s="183">
        <f>BZ10+BZ13</f>
        <v>4001.3312015419874</v>
      </c>
      <c r="CA17" s="201">
        <f>CA25*1000/(CA7*12)</f>
        <v>3947.0880392380341</v>
      </c>
      <c r="CB17" s="334"/>
      <c r="CC17" s="181">
        <f>CC10+CC13</f>
        <v>3905.8308503192138</v>
      </c>
      <c r="CD17" s="182">
        <f>CD10+CD13</f>
        <v>3925.7399937161017</v>
      </c>
      <c r="CE17" s="182">
        <f>CE10+CE13</f>
        <v>3993.5332146747105</v>
      </c>
      <c r="CF17" s="183">
        <f>CF10+CF13</f>
        <v>4018.7525043876676</v>
      </c>
      <c r="CG17" s="201">
        <f>CG25*1000/(CG7*12)</f>
        <v>3961.083795246273</v>
      </c>
      <c r="CH17" s="334"/>
      <c r="CI17" s="181">
        <f>CI10+CI13</f>
        <v>3911.0449016561397</v>
      </c>
      <c r="CJ17" s="182">
        <f>CJ10+CJ13</f>
        <v>3923.0845004985963</v>
      </c>
      <c r="CK17" s="182">
        <f>CK10+CK13</f>
        <v>3996.5060370964266</v>
      </c>
      <c r="CL17" s="183">
        <f>CL10+CL13</f>
        <v>4024.4824424880071</v>
      </c>
      <c r="CM17" s="201">
        <f>CM25*1000/(CM7*12)</f>
        <v>3963.9588318621686</v>
      </c>
      <c r="CN17" s="334"/>
      <c r="CO17" s="181">
        <f>CO10+CO13</f>
        <v>3920.9980905268176</v>
      </c>
      <c r="CP17" s="182">
        <f>CP10+CP13</f>
        <v>3925.1133403413755</v>
      </c>
      <c r="CQ17" s="182">
        <f>CQ10+CQ13</f>
        <v>4004.3008275999691</v>
      </c>
      <c r="CR17" s="183">
        <f>CR10+CR13</f>
        <v>4035.0921829746148</v>
      </c>
      <c r="CS17" s="201">
        <f>CS25*1000/(CS7*12)</f>
        <v>3971.5572507157176</v>
      </c>
      <c r="CT17" s="334"/>
      <c r="CU17" s="181">
        <f>CU10+CU13</f>
        <v>3916.8332198314502</v>
      </c>
      <c r="CV17" s="182">
        <f>CV10+CV13</f>
        <v>3914.0829942900314</v>
      </c>
      <c r="CW17" s="182">
        <f>CW10+CW13</f>
        <v>3997.9982917557641</v>
      </c>
      <c r="CX17" s="183">
        <f>CX10+CX13</f>
        <v>4031.1234023239749</v>
      </c>
      <c r="CY17" s="201">
        <f>CY25*1000/(CY7*12)</f>
        <v>3965.1912244512773</v>
      </c>
      <c r="CZ17" s="334"/>
      <c r="DA17" s="181">
        <f>DA10+DA13</f>
        <v>3916.1972474175564</v>
      </c>
      <c r="DB17" s="182">
        <f>DB10+DB13</f>
        <v>3906.5852502449943</v>
      </c>
      <c r="DC17" s="182">
        <f>DC10+DC13</f>
        <v>3995.2996266563987</v>
      </c>
      <c r="DD17" s="183">
        <f>DD10+DD13</f>
        <v>4030.7862046380119</v>
      </c>
      <c r="DE17" s="201">
        <f>DE25*1000/(DE7*12)</f>
        <v>3962.3995804924216</v>
      </c>
      <c r="DF17" s="334"/>
      <c r="DG17" s="181">
        <f>DG10+DG13</f>
        <v>3919.0864249015117</v>
      </c>
      <c r="DH17" s="182">
        <f>DH10+DH13</f>
        <v>3902.6101808948183</v>
      </c>
      <c r="DI17" s="182">
        <f>DI10+DI13</f>
        <v>3996.1991600196138</v>
      </c>
      <c r="DJ17" s="183">
        <f>DJ10+DJ13</f>
        <v>4034.0770180141408</v>
      </c>
      <c r="DK17" s="201">
        <f>DK25*1000/(DK7*12)</f>
        <v>3963.1765860939531</v>
      </c>
    </row>
    <row r="18" spans="2:115" ht="15" x14ac:dyDescent="0.3">
      <c r="B18" s="5" t="s">
        <v>23</v>
      </c>
      <c r="C18" s="144" t="s">
        <v>35</v>
      </c>
      <c r="D18" s="107" t="s">
        <v>35</v>
      </c>
      <c r="E18" s="107" t="s">
        <v>35</v>
      </c>
      <c r="F18" s="107" t="s">
        <v>35</v>
      </c>
      <c r="G18" s="138" t="s">
        <v>35</v>
      </c>
      <c r="H18" s="107"/>
      <c r="I18" s="151">
        <f>I17/C17-1</f>
        <v>-7.175803206069209E-2</v>
      </c>
      <c r="J18" s="133">
        <f>J17/D17-1</f>
        <v>-9.9154532290990582E-2</v>
      </c>
      <c r="K18" s="133">
        <f>K17/E17-1</f>
        <v>-0.11438341673447872</v>
      </c>
      <c r="L18" s="133">
        <f>L17/F17-1</f>
        <v>-0.10614694913100231</v>
      </c>
      <c r="M18" s="153">
        <f>M17/G17-1</f>
        <v>-9.8354777104650237E-2</v>
      </c>
      <c r="N18" s="107"/>
      <c r="O18" s="151">
        <f>O17/I17-1</f>
        <v>-0.12355551121771258</v>
      </c>
      <c r="P18" s="133">
        <f>P17/J17-1</f>
        <v>-9.8967760207840594E-2</v>
      </c>
      <c r="Q18" s="133">
        <f>Q17/K17-1</f>
        <v>-7.1881304478696451E-2</v>
      </c>
      <c r="R18" s="152">
        <f>R17/L17-1</f>
        <v>-3.01131097752938E-2</v>
      </c>
      <c r="S18" s="153">
        <f>S17/M17-1</f>
        <v>-8.1615178873733041E-2</v>
      </c>
      <c r="T18" s="107"/>
      <c r="U18" s="151">
        <f>U17/O17-1</f>
        <v>-6.6705887452510604E-3</v>
      </c>
      <c r="V18" s="133">
        <f>V17/P17-1</f>
        <v>-1.237724533766249E-3</v>
      </c>
      <c r="W18" s="133">
        <f>W17/Q17-1</f>
        <v>-9.1062737797287241E-4</v>
      </c>
      <c r="X18" s="152">
        <f ca="1">X17/R17-1</f>
        <v>-3.0000000000000027E-2</v>
      </c>
      <c r="Y18" s="153">
        <f>Y17/S17-1</f>
        <v>-1.0663472125601481E-2</v>
      </c>
      <c r="AA18" s="151">
        <f>AA17/U17-1</f>
        <v>-0.10616370989152391</v>
      </c>
      <c r="AB18" s="133">
        <f>AB17/V17-1</f>
        <v>-6.650538451100485E-2</v>
      </c>
      <c r="AC18" s="133">
        <f>AC17/W17-1</f>
        <v>-7.0508019642283593E-2</v>
      </c>
      <c r="AD18" s="133">
        <f ca="1">AD17/X17-1</f>
        <v>-7.0690195062625971E-2</v>
      </c>
      <c r="AE18" s="153">
        <f>AE17/Y17-1</f>
        <v>-7.7655024862204769E-2</v>
      </c>
      <c r="AG18" s="151">
        <f>AG17/AA17-1</f>
        <v>4.0381340058934567E-2</v>
      </c>
      <c r="AH18" s="133">
        <f>AH17/AB17-1</f>
        <v>-3.8858515862053911E-2</v>
      </c>
      <c r="AI18" s="133">
        <f>AI17/AC17-1</f>
        <v>-2.8247009004825241E-2</v>
      </c>
      <c r="AJ18" s="133">
        <f>AJ17/AD17-1</f>
        <v>-5.1428247182347953E-3</v>
      </c>
      <c r="AK18" s="153">
        <f>AK17/AE17-1</f>
        <v>-8.4359597003205167E-3</v>
      </c>
      <c r="AM18" s="151">
        <f ca="1">AM17/AG17-1</f>
        <v>7.2877917785580948E-3</v>
      </c>
      <c r="AN18" s="133">
        <f>AN17/AH17-1</f>
        <v>-1.0064693491036114E-2</v>
      </c>
      <c r="AO18" s="133">
        <f>AO17/AI17-1</f>
        <v>-1.6058231170198667E-2</v>
      </c>
      <c r="AP18" s="133">
        <f>AP17/AJ17-1</f>
        <v>-2.1702505502424363E-2</v>
      </c>
      <c r="AQ18" s="153">
        <f ca="1">AQ17/AK17-1</f>
        <v>-1.034709104196152E-2</v>
      </c>
      <c r="AS18" s="151">
        <f ca="1">AS17/AM17-1</f>
        <v>-2.2403581867225131E-2</v>
      </c>
      <c r="AT18" s="133">
        <f>AT17/AN17-1</f>
        <v>3.1019092847682783E-2</v>
      </c>
      <c r="AU18" s="133">
        <f>AU17/AO17-1</f>
        <v>3.290426399897628E-2</v>
      </c>
      <c r="AV18" s="133">
        <f>AV17/AP17-1</f>
        <v>3.21998106647301E-2</v>
      </c>
      <c r="AW18" s="153">
        <f ca="1">AW17/AQ17-1</f>
        <v>1.8706097735553318E-2</v>
      </c>
      <c r="AY18" s="151">
        <f>AY17/AS17-1</f>
        <v>5.0374010764393073E-2</v>
      </c>
      <c r="AZ18" s="133">
        <f>AZ17/AT17-1</f>
        <v>-4.7455331379348764E-2</v>
      </c>
      <c r="BA18" s="133">
        <f>BA17/AU17-1</f>
        <v>-4.5175453196679816E-2</v>
      </c>
      <c r="BB18" s="133">
        <f>BB17/AV17-1</f>
        <v>-4.4155394667857117E-2</v>
      </c>
      <c r="BC18" s="153">
        <f>BC17/AW17-1</f>
        <v>-2.2947813634787484E-2</v>
      </c>
      <c r="BE18" s="151">
        <f>BE17/AY17-1</f>
        <v>-4.5079835211058961E-2</v>
      </c>
      <c r="BF18" s="133">
        <f>BF17/AZ17-1</f>
        <v>3.923455467396697E-2</v>
      </c>
      <c r="BG18" s="133">
        <f>BG17/BA17-1</f>
        <v>1.4433553983752345E-2</v>
      </c>
      <c r="BH18" s="133">
        <f>BH17/BB17-1</f>
        <v>1.7056967419405211E-2</v>
      </c>
      <c r="BI18" s="153">
        <f>BI17/BC17-1</f>
        <v>5.814862048507452E-3</v>
      </c>
      <c r="BK18" s="151">
        <f>BK17/BE17-1</f>
        <v>2.4855445598094938E-2</v>
      </c>
      <c r="BL18" s="133">
        <f>BL17/BF17-1</f>
        <v>6.6025869073356169E-3</v>
      </c>
      <c r="BM18" s="133">
        <f>BM17/BG17-1</f>
        <v>3.7110293625149504E-2</v>
      </c>
      <c r="BN18" s="133">
        <f>BN17/BH17-1</f>
        <v>0.10327833958503718</v>
      </c>
      <c r="BO18" s="153">
        <f>BO17/BI17-1</f>
        <v>4.3332548216071576E-2</v>
      </c>
      <c r="BQ18" s="151">
        <f>BQ17/BK17-1</f>
        <v>0.11499999999999977</v>
      </c>
      <c r="BR18" s="133">
        <f>BR17/BL17-1</f>
        <v>0.1027499999999999</v>
      </c>
      <c r="BS18" s="133">
        <f>BS17/BM17-1</f>
        <v>8.5000000000000187E-2</v>
      </c>
      <c r="BT18" s="152">
        <f>BT17/BN17-1</f>
        <v>4.7000000000000153E-2</v>
      </c>
      <c r="BU18" s="153">
        <f>BU17/BO17-1</f>
        <v>8.6233063638251783E-2</v>
      </c>
      <c r="BW18" s="151">
        <f>BW17/BQ17-1</f>
        <v>2.8816143497757851E-2</v>
      </c>
      <c r="BX18" s="133">
        <f>BX17/BR17-1</f>
        <v>2.3151212876898697E-2</v>
      </c>
      <c r="BY18" s="133">
        <f>BY17/BS17-1</f>
        <v>1.4331797235023203E-2</v>
      </c>
      <c r="BZ18" s="152">
        <f>BZ17/BT17-1</f>
        <v>8.8825214899712623E-3</v>
      </c>
      <c r="CA18" s="153">
        <f>CA17/BU17-1</f>
        <v>1.8698658474909369E-2</v>
      </c>
      <c r="CC18" s="151">
        <f>CC17/BW17-1</f>
        <v>4.2510439095828634E-3</v>
      </c>
      <c r="CD18" s="133">
        <f>CD17/BX17-1</f>
        <v>1.9800049633069694E-3</v>
      </c>
      <c r="CE18" s="133">
        <f>CE17/BY17-1</f>
        <v>3.5832083958020622E-3</v>
      </c>
      <c r="CF18" s="152">
        <f>CF17/BZ17-1</f>
        <v>4.3538767395627787E-3</v>
      </c>
      <c r="CG18" s="153">
        <f>CG17/CA17-1</f>
        <v>3.5458433835544589E-3</v>
      </c>
      <c r="CI18" s="151">
        <f>CI17/CC17-1</f>
        <v>1.3349403844511443E-3</v>
      </c>
      <c r="CJ18" s="133">
        <f>CJ17/CD17-1</f>
        <v>-6.7643125162542006E-4</v>
      </c>
      <c r="CK18" s="133">
        <f>CK17/CE17-1</f>
        <v>7.4440908887196677E-4</v>
      </c>
      <c r="CL18" s="152">
        <f>CL17/CF17-1</f>
        <v>1.4258001939864151E-3</v>
      </c>
      <c r="CM18" s="153">
        <f>CM17/CG17-1</f>
        <v>7.2582070072479965E-4</v>
      </c>
      <c r="CO18" s="151">
        <f>CO17/CI17-1</f>
        <v>2.5448925085118645E-3</v>
      </c>
      <c r="CP18" s="133">
        <f>CP17/CJ17-1</f>
        <v>5.1715425515852509E-4</v>
      </c>
      <c r="CQ18" s="133">
        <f>CQ17/CK17-1</f>
        <v>1.9504012833184703E-3</v>
      </c>
      <c r="CR18" s="152">
        <f>CR17/CL17-1</f>
        <v>2.6362993597877082E-3</v>
      </c>
      <c r="CS18" s="153">
        <f>CS17/CM17-1</f>
        <v>1.916876328904582E-3</v>
      </c>
      <c r="CU18" s="151">
        <f>CU17/CO17-1</f>
        <v>-1.0621965630204233E-3</v>
      </c>
      <c r="CV18" s="133">
        <f>CV17/CP17-1</f>
        <v>-2.8101981000081544E-3</v>
      </c>
      <c r="CW18" s="133">
        <f>CW17/CQ17-1</f>
        <v>-1.5739416481309609E-3</v>
      </c>
      <c r="CX18" s="152">
        <f>CX17/CR17-1</f>
        <v>-9.8356629060059042E-4</v>
      </c>
      <c r="CY18" s="153">
        <f>CY17/CS17-1</f>
        <v>-1.6029043175175284E-3</v>
      </c>
      <c r="DA18" s="151">
        <f>DA17/CU17-1</f>
        <v>-1.6236903084709819E-4</v>
      </c>
      <c r="DB18" s="133">
        <f>DB17/CV17-1</f>
        <v>-1.9155812628334212E-3</v>
      </c>
      <c r="DC18" s="133">
        <f>DC17/CW17-1</f>
        <v>-6.7500406514187095E-4</v>
      </c>
      <c r="DD18" s="152">
        <f>DD17/CX17-1</f>
        <v>-8.3648564509042345E-5</v>
      </c>
      <c r="DE18" s="153">
        <f>DE17/CY17-1</f>
        <v>-7.0403766195215045E-4</v>
      </c>
      <c r="DG18" s="151">
        <f>DG17/DA17-1</f>
        <v>7.3775075702853243E-4</v>
      </c>
      <c r="DH18" s="133">
        <f>DH17/DB17-1</f>
        <v>-1.0175304250500394E-3</v>
      </c>
      <c r="DI18" s="133">
        <f>DI17/DC17-1</f>
        <v>2.2514791061323258E-4</v>
      </c>
      <c r="DJ18" s="152">
        <f>DJ17/DD17-1</f>
        <v>8.1641972782930949E-4</v>
      </c>
      <c r="DK18" s="153">
        <f>DK17/DE17-1</f>
        <v>1.9609471123427369E-4</v>
      </c>
    </row>
    <row r="19" spans="2:115" ht="15" x14ac:dyDescent="0.3">
      <c r="B19" s="5"/>
      <c r="C19" s="144"/>
      <c r="D19" s="107"/>
      <c r="E19" s="107"/>
      <c r="F19" s="145"/>
      <c r="G19" s="138"/>
      <c r="H19" s="107"/>
      <c r="I19" s="151"/>
      <c r="J19" s="133"/>
      <c r="K19" s="133"/>
      <c r="L19" s="133"/>
      <c r="M19" s="153"/>
      <c r="N19" s="107"/>
      <c r="O19" s="151"/>
      <c r="P19" s="133"/>
      <c r="Q19" s="133"/>
      <c r="R19" s="152"/>
      <c r="S19" s="153"/>
      <c r="T19" s="107"/>
      <c r="U19" s="151"/>
      <c r="V19" s="133"/>
      <c r="W19" s="133"/>
      <c r="X19" s="152"/>
      <c r="Y19" s="153"/>
      <c r="AA19" s="151"/>
      <c r="AB19" s="133"/>
      <c r="AC19" s="133"/>
      <c r="AD19" s="152"/>
      <c r="AE19" s="153"/>
      <c r="AG19" s="151"/>
      <c r="AH19" s="133"/>
      <c r="AI19" s="133"/>
      <c r="AJ19" s="152"/>
      <c r="AK19" s="153"/>
      <c r="AM19" s="151"/>
      <c r="AN19" s="133"/>
      <c r="AO19" s="133"/>
      <c r="AP19" s="133"/>
      <c r="AQ19" s="153"/>
      <c r="AS19" s="151"/>
      <c r="AT19" s="133"/>
      <c r="AU19" s="133"/>
      <c r="AV19" s="133"/>
      <c r="AW19" s="153"/>
      <c r="AY19" s="151"/>
      <c r="AZ19" s="133"/>
      <c r="BA19" s="133"/>
      <c r="BB19" s="133"/>
      <c r="BC19" s="153"/>
      <c r="BE19" s="151"/>
      <c r="BF19" s="133"/>
      <c r="BG19" s="133"/>
      <c r="BH19" s="133"/>
      <c r="BI19" s="153"/>
      <c r="BK19" s="151"/>
      <c r="BL19" s="133"/>
      <c r="BM19" s="133"/>
      <c r="BN19" s="133"/>
      <c r="BO19" s="153"/>
      <c r="BQ19" s="151"/>
      <c r="BR19" s="133"/>
      <c r="BS19" s="133"/>
      <c r="BT19" s="152"/>
      <c r="BU19" s="153"/>
      <c r="BW19" s="151"/>
      <c r="BX19" s="133"/>
      <c r="BY19" s="133"/>
      <c r="BZ19" s="152"/>
      <c r="CA19" s="153"/>
      <c r="CC19" s="151"/>
      <c r="CD19" s="133"/>
      <c r="CE19" s="133"/>
      <c r="CF19" s="152"/>
      <c r="CG19" s="153"/>
      <c r="CI19" s="151"/>
      <c r="CJ19" s="133"/>
      <c r="CK19" s="133"/>
      <c r="CL19" s="152"/>
      <c r="CM19" s="153"/>
      <c r="CO19" s="151"/>
      <c r="CP19" s="133"/>
      <c r="CQ19" s="133"/>
      <c r="CR19" s="152"/>
      <c r="CS19" s="153"/>
      <c r="CU19" s="151"/>
      <c r="CV19" s="133"/>
      <c r="CW19" s="133"/>
      <c r="CX19" s="152"/>
      <c r="CY19" s="153"/>
      <c r="DA19" s="151"/>
      <c r="DB19" s="133"/>
      <c r="DC19" s="133"/>
      <c r="DD19" s="152"/>
      <c r="DE19" s="153"/>
      <c r="DG19" s="151"/>
      <c r="DH19" s="133"/>
      <c r="DI19" s="133"/>
      <c r="DJ19" s="152"/>
      <c r="DK19" s="153"/>
    </row>
    <row r="20" spans="2:115" ht="15" x14ac:dyDescent="0.3">
      <c r="B20" s="105" t="s">
        <v>96</v>
      </c>
      <c r="C20" s="161">
        <f>C28*1000/(C7*3)</f>
        <v>17.660044150110377</v>
      </c>
      <c r="D20" s="162">
        <f>D28*1000/(D7*3)</f>
        <v>18.899388549193997</v>
      </c>
      <c r="E20" s="162">
        <f>E28*1000/(E7*3)</f>
        <v>18.953891015126661</v>
      </c>
      <c r="F20" s="162">
        <f>F28*1000/(F7*3)</f>
        <v>17.789965896705692</v>
      </c>
      <c r="G20" s="164">
        <f>G28*1000/(G7*12)</f>
        <v>18.322839675152842</v>
      </c>
      <c r="H20" s="129"/>
      <c r="I20" s="161">
        <f>I28*1000/(I7*3)</f>
        <v>15.949289438707698</v>
      </c>
      <c r="J20" s="162">
        <f>J28*1000/(J7*3)</f>
        <v>17.049617049617051</v>
      </c>
      <c r="K20" s="162">
        <f>K28*1000/(K7*3)</f>
        <v>17.907143322263462</v>
      </c>
      <c r="L20" s="162">
        <f>L28*1000/(L7*3)</f>
        <v>15.275400900044369</v>
      </c>
      <c r="M20" s="164">
        <f>M28*1000/(M7*12)</f>
        <v>16.540475661988967</v>
      </c>
      <c r="N20" s="129"/>
      <c r="O20" s="161">
        <f>O28*1000/(O7*3)</f>
        <v>12.326080866560837</v>
      </c>
      <c r="P20" s="162">
        <f>P28*1000/(P7*3)</f>
        <v>13.329560816121223</v>
      </c>
      <c r="Q20" s="162">
        <f>Q28*1000/(Q7*3)</f>
        <v>14.463665615342954</v>
      </c>
      <c r="R20" s="163">
        <f>R28*1000/(R7*3)</f>
        <v>14.395920080049063</v>
      </c>
      <c r="S20" s="164">
        <f>S28*1000/(S7*12)</f>
        <v>13.617722040124777</v>
      </c>
      <c r="T20" s="134"/>
      <c r="U20" s="161">
        <f>U28*1000/(U7*3)</f>
        <v>13.411458333333334</v>
      </c>
      <c r="V20" s="162">
        <f>V28*1000/(V7*3)</f>
        <v>13.852307091991026</v>
      </c>
      <c r="W20" s="162">
        <f>W28*1000/(W7*3)</f>
        <v>13.880780956087436</v>
      </c>
      <c r="X20" s="162">
        <f>X28*1000/(X7*3)</f>
        <v>13.648800901335909</v>
      </c>
      <c r="Y20" s="164">
        <f>Y28*1000/(Y7*12)</f>
        <v>13.698408066660182</v>
      </c>
      <c r="Z20" s="135"/>
      <c r="AA20" s="161">
        <f>AA28*1000/(AA7*3)</f>
        <v>11.817726589884828</v>
      </c>
      <c r="AB20" s="162">
        <f>AB28*1000/(AB7*3)</f>
        <v>13.333333333333334</v>
      </c>
      <c r="AC20" s="162">
        <f>AC28*1000/(AC7*3)</f>
        <v>13.245494788943498</v>
      </c>
      <c r="AD20" s="162">
        <f>AD28*1000/(AD7*3)</f>
        <v>11.588772075916866</v>
      </c>
      <c r="AE20" s="164">
        <f>AE28*1000/(AE7*12)</f>
        <v>12.487620031864962</v>
      </c>
      <c r="AF20" s="135"/>
      <c r="AG20" s="161">
        <f>AG28*1000/(AG7*3)</f>
        <v>11.281838316722038</v>
      </c>
      <c r="AH20" s="162">
        <f>AH28*1000/(AH7*3)</f>
        <v>11.623080116230801</v>
      </c>
      <c r="AI20" s="162">
        <f>AI28*1000/(AI7*3)</f>
        <v>12.51599073401791</v>
      </c>
      <c r="AJ20" s="162">
        <f>AJ28*1000/(AJ7*3)</f>
        <v>12.357184770977874</v>
      </c>
      <c r="AK20" s="164">
        <f>AK28*1000/(AK7*12)</f>
        <v>11.944891009351933</v>
      </c>
      <c r="AL20" s="135"/>
      <c r="AM20" s="161">
        <f>AM28*1000/(AM7*3)</f>
        <v>10.94815120842801</v>
      </c>
      <c r="AN20" s="162">
        <f>AN28*1000/(AN7*3)</f>
        <v>11.428964852490619</v>
      </c>
      <c r="AO20" s="162">
        <f>AO28*1000/(AO7*3)</f>
        <v>11.694699549410105</v>
      </c>
      <c r="AP20" s="162">
        <f>AP28*1000/(AP7*3)</f>
        <v>11.498973305954825</v>
      </c>
      <c r="AQ20" s="164">
        <f>AQ28*1000/(AQ7*12)</f>
        <v>11.392927105887205</v>
      </c>
      <c r="AR20" s="135"/>
      <c r="AS20" s="161">
        <f>AS28*1000/(AS7*3)</f>
        <v>10.718552654036525</v>
      </c>
      <c r="AT20" s="162">
        <f>AT28*1000/(AT7*3)</f>
        <v>11.388434260774686</v>
      </c>
      <c r="AU20" s="162">
        <f>AU28*1000/(AU7*3)</f>
        <v>11.528159224222698</v>
      </c>
      <c r="AV20" s="162">
        <f>AV28*1000/(AV7*3)</f>
        <v>11.451281533124515</v>
      </c>
      <c r="AW20" s="164">
        <f>AW28*1000/(AW7*12)</f>
        <v>11.272674798611288</v>
      </c>
      <c r="AX20" s="135"/>
      <c r="AY20" s="161">
        <f>AY28*1000/(AY7*3)</f>
        <v>11.211650367120617</v>
      </c>
      <c r="AZ20" s="162">
        <f>AZ28*1000/(AZ7*3)</f>
        <v>10.848036078861565</v>
      </c>
      <c r="BA20" s="162">
        <f>BA28*1000/(BA7*3)</f>
        <v>11.011741802032001</v>
      </c>
      <c r="BB20" s="162">
        <f>BB28*1000/(BB7*3)</f>
        <v>10.80162631227623</v>
      </c>
      <c r="BC20" s="164">
        <f>BC28*1000/(BC7*12)</f>
        <v>10.968114883777535</v>
      </c>
      <c r="BD20" s="135"/>
      <c r="BE20" s="161">
        <f>BE28*1000/(BE7*3)</f>
        <v>10.604388868456541</v>
      </c>
      <c r="BF20" s="162">
        <f>BF28*1000/(BF7*3)</f>
        <v>11.01157148189623</v>
      </c>
      <c r="BG20" s="162">
        <f>BG28*1000/(BG7*3)</f>
        <v>11.210270862689839</v>
      </c>
      <c r="BH20" s="162">
        <f>BH28*1000/(BH7*3)</f>
        <v>11.097526568230979</v>
      </c>
      <c r="BI20" s="164">
        <f>BI28*1000/(BI7*12)</f>
        <v>10.978928543659125</v>
      </c>
      <c r="BJ20" s="135"/>
      <c r="BK20" s="161">
        <f>BK28*1000/(BK7*3)</f>
        <v>10.96903597843801</v>
      </c>
      <c r="BL20" s="162">
        <f>BL28*1000/(BL7*3)</f>
        <v>11.221245558256966</v>
      </c>
      <c r="BM20" s="162">
        <f>BM28*1000/(BM7*3)</f>
        <v>11.799956754085194</v>
      </c>
      <c r="BN20" s="162">
        <f>BN28*1000/(BN7*3)</f>
        <v>12.15634935477838</v>
      </c>
      <c r="BO20" s="164">
        <f>BO28*1000/(BO7*12)</f>
        <v>11.538012378839191</v>
      </c>
      <c r="BP20" s="135"/>
      <c r="BQ20" s="161">
        <f>BQ28*1000/(BQ7*3)</f>
        <v>12.194715573908049</v>
      </c>
      <c r="BR20" s="162">
        <f>BR28*1000/(BR7*3)</f>
        <v>12.352673431589611</v>
      </c>
      <c r="BS20" s="162">
        <f>BS28*1000/(BS7*3)</f>
        <v>12.655000913415504</v>
      </c>
      <c r="BT20" s="163">
        <f>BT28*1000/(BT7*3)</f>
        <v>12.793878107742062</v>
      </c>
      <c r="BU20" s="164">
        <f>BU28*1000/(BU7*12)</f>
        <v>12.498830695546438</v>
      </c>
      <c r="BV20" s="135"/>
      <c r="BW20" s="161">
        <f>BW28*1000/(BW7*3)</f>
        <v>12.546120247800127</v>
      </c>
      <c r="BX20" s="162">
        <f>BX28*1000/(BX7*3)</f>
        <v>12.638652803803156</v>
      </c>
      <c r="BY20" s="162">
        <f>BY28*1000/(BY7*3)</f>
        <v>12.836369820515605</v>
      </c>
      <c r="BZ20" s="163">
        <f>BZ28*1000/(BZ7*3)</f>
        <v>12.907520004974153</v>
      </c>
      <c r="CA20" s="164">
        <f>CA28*1000/(CA7*12)</f>
        <v>12.732542062058176</v>
      </c>
      <c r="CB20" s="135"/>
      <c r="CC20" s="161">
        <f>CC28*1000/(CC7*3)</f>
        <v>12.599454355868433</v>
      </c>
      <c r="CD20" s="162">
        <f>CD28*1000/(CD7*3)</f>
        <v>12.6636773990842</v>
      </c>
      <c r="CE20" s="162">
        <f>CE28*1000/(CE7*3)</f>
        <v>12.8823652086281</v>
      </c>
      <c r="CF20" s="163">
        <f>CF28*1000/(CF7*3)</f>
        <v>12.963717756089251</v>
      </c>
      <c r="CG20" s="164">
        <f>CG28*1000/(CG7*12)</f>
        <v>12.77768966208475</v>
      </c>
      <c r="CH20" s="135"/>
      <c r="CI20" s="161">
        <f>CI28*1000/(CI7*3)</f>
        <v>12.616273876310128</v>
      </c>
      <c r="CJ20" s="162">
        <f>CJ28*1000/(CJ7*3)</f>
        <v>12.655111291930954</v>
      </c>
      <c r="CK20" s="162">
        <f>CK28*1000/(CK7*3)</f>
        <v>12.891954958375571</v>
      </c>
      <c r="CL20" s="163">
        <f>CL28*1000/(CL7*3)</f>
        <v>12.982201427380668</v>
      </c>
      <c r="CM20" s="164">
        <f>CM28*1000/(CM7*12)</f>
        <v>12.78696397374893</v>
      </c>
      <c r="CN20" s="135"/>
      <c r="CO20" s="161">
        <f>CO28*1000/(CO7*3)</f>
        <v>12.648380937183283</v>
      </c>
      <c r="CP20" s="162">
        <f>CP28*1000/(CP7*3)</f>
        <v>12.661655936585083</v>
      </c>
      <c r="CQ20" s="162">
        <f>CQ28*1000/(CQ7*3)</f>
        <v>12.917099443870871</v>
      </c>
      <c r="CR20" s="163">
        <f>CR28*1000/(CR7*3)</f>
        <v>13.016426396692307</v>
      </c>
      <c r="CS20" s="164">
        <f>CS28*1000/(CS7*12)</f>
        <v>12.81147500230877</v>
      </c>
      <c r="CT20" s="135"/>
      <c r="CU20" s="161">
        <f>CU28*1000/(CU7*3)</f>
        <v>12.634945870424032</v>
      </c>
      <c r="CV20" s="162">
        <f>CV28*1000/(CV7*3)</f>
        <v>12.626074175129133</v>
      </c>
      <c r="CW20" s="162">
        <f>CW28*1000/(CW7*3)</f>
        <v>12.896768683083112</v>
      </c>
      <c r="CX20" s="163">
        <f>CX28*1000/(CX7*3)</f>
        <v>13.003623878464431</v>
      </c>
      <c r="CY20" s="164">
        <f>CY28*1000/(CY7*12)</f>
        <v>12.790939433713795</v>
      </c>
      <c r="CZ20" s="135"/>
      <c r="DA20" s="161">
        <f>DA28*1000/(DA7*3)</f>
        <v>12.632894346508248</v>
      </c>
      <c r="DB20" s="162">
        <f>DB28*1000/(DB7*3)</f>
        <v>12.60188790401611</v>
      </c>
      <c r="DC20" s="162">
        <f>DC28*1000/(DC7*3)</f>
        <v>12.888063311794832</v>
      </c>
      <c r="DD20" s="163">
        <f>DD28*1000/(DD7*3)</f>
        <v>13.002536143993588</v>
      </c>
      <c r="DE20" s="164">
        <f>DE28*1000/(DE7*12)</f>
        <v>12.781934130620712</v>
      </c>
      <c r="DF20" s="135"/>
      <c r="DG20" s="161">
        <f>DG28*1000/(DG7*3)</f>
        <v>12.642214273875844</v>
      </c>
      <c r="DH20" s="162">
        <f>DH28*1000/(DH7*3)</f>
        <v>12.589065099660706</v>
      </c>
      <c r="DI20" s="162">
        <f>DI28*1000/(DI7*3)</f>
        <v>12.890965032321335</v>
      </c>
      <c r="DJ20" s="163">
        <f>DJ28*1000/(DJ7*3)</f>
        <v>13.013151671013357</v>
      </c>
      <c r="DK20" s="164">
        <f>DK28*1000/(DK7*12)</f>
        <v>12.784440600303077</v>
      </c>
    </row>
    <row r="21" spans="2:115" s="241" customFormat="1" ht="15.75" thickBot="1" x14ac:dyDescent="0.35">
      <c r="B21" s="140" t="s">
        <v>23</v>
      </c>
      <c r="C21" s="155" t="s">
        <v>35</v>
      </c>
      <c r="D21" s="106" t="s">
        <v>35</v>
      </c>
      <c r="E21" s="106" t="s">
        <v>35</v>
      </c>
      <c r="F21" s="106" t="s">
        <v>35</v>
      </c>
      <c r="G21" s="108" t="s">
        <v>35</v>
      </c>
      <c r="H21" s="107"/>
      <c r="I21" s="109">
        <f>I20/C20-1</f>
        <v>-9.6871485533176704E-2</v>
      </c>
      <c r="J21" s="110">
        <f>J20/D20-1</f>
        <v>-9.7874674345262536E-2</v>
      </c>
      <c r="K21" s="110">
        <f>K20/E20-1</f>
        <v>-5.5226005680195978E-2</v>
      </c>
      <c r="L21" s="110">
        <f>L20/F20-1</f>
        <v>-0.14134737588940316</v>
      </c>
      <c r="M21" s="122">
        <f>M20/G20-1</f>
        <v>-9.7275533965452743E-2</v>
      </c>
      <c r="N21" s="107"/>
      <c r="O21" s="109">
        <f>O20/I20-1</f>
        <v>-0.2271705323344132</v>
      </c>
      <c r="P21" s="110">
        <f>P20/J20-1</f>
        <v>-0.21819001697632756</v>
      </c>
      <c r="Q21" s="110">
        <f>Q20/K20-1</f>
        <v>-0.19229631689155724</v>
      </c>
      <c r="R21" s="120">
        <f>R20/L20-1</f>
        <v>-5.7574974676622204E-2</v>
      </c>
      <c r="S21" s="122">
        <f>S20/M20-1</f>
        <v>-0.17670311795088567</v>
      </c>
      <c r="T21" s="107"/>
      <c r="U21" s="109">
        <f>U20/O20-1</f>
        <v>8.8055358270202166E-2</v>
      </c>
      <c r="V21" s="110">
        <f>V20/P20-1</f>
        <v>3.9217066719675842E-2</v>
      </c>
      <c r="W21" s="110">
        <f>W20/Q20-1</f>
        <v>-4.0299926364254279E-2</v>
      </c>
      <c r="X21" s="110">
        <f>X20/R20-1</f>
        <v>-5.189798043881666E-2</v>
      </c>
      <c r="Y21" s="122">
        <f>Y20/S20-1</f>
        <v>5.9250751555701697E-3</v>
      </c>
      <c r="AA21" s="109">
        <f>AA20/U20-1</f>
        <v>-0.11883359019111195</v>
      </c>
      <c r="AB21" s="110">
        <f>AB20/V20-1</f>
        <v>-3.7464788732394338E-2</v>
      </c>
      <c r="AC21" s="110">
        <f>AC20/W20-1</f>
        <v>-4.5767321676907002E-2</v>
      </c>
      <c r="AD21" s="110">
        <f>AD20/X20-1</f>
        <v>-0.15093112137179843</v>
      </c>
      <c r="AE21" s="122">
        <f>AE20/Y20-1</f>
        <v>-8.838895942529934E-2</v>
      </c>
      <c r="AG21" s="109">
        <f>AG20/AA20-1</f>
        <v>-4.534613904686835E-2</v>
      </c>
      <c r="AH21" s="110">
        <f>AH20/AB20-1</f>
        <v>-0.12826899128268998</v>
      </c>
      <c r="AI21" s="110">
        <f>AI20/AC20-1</f>
        <v>-5.5075636399368966E-2</v>
      </c>
      <c r="AJ21" s="110">
        <f>AJ20/AD20-1</f>
        <v>6.6306653545967986E-2</v>
      </c>
      <c r="AK21" s="122">
        <f>AK20/AE20-1</f>
        <v>-4.3461365826965803E-2</v>
      </c>
      <c r="AM21" s="109">
        <f>AM20/AG20-1</f>
        <v>-2.9577370187927055E-2</v>
      </c>
      <c r="AN21" s="110">
        <f>AN20/AH20-1</f>
        <v>-1.6700845369646333E-2</v>
      </c>
      <c r="AO21" s="110">
        <f>AO20/AI20-1</f>
        <v>-6.5619350642020846E-2</v>
      </c>
      <c r="AP21" s="110">
        <f>AP20/AJ20-1</f>
        <v>-6.945040322118079E-2</v>
      </c>
      <c r="AQ21" s="122">
        <f>AQ20/AK20-1</f>
        <v>-4.6209203837237367E-2</v>
      </c>
      <c r="AS21" s="109">
        <f>AS20/AM20-1</f>
        <v>-2.0971445317154336E-2</v>
      </c>
      <c r="AT21" s="110">
        <f>AT20/AN20-1</f>
        <v>-3.5463046950486854E-3</v>
      </c>
      <c r="AU21" s="110">
        <f>AU20/AO20-1</f>
        <v>-1.4240667276980812E-2</v>
      </c>
      <c r="AV21" s="110">
        <f>AV20/AP20-1</f>
        <v>-4.1474809586359296E-3</v>
      </c>
      <c r="AW21" s="122">
        <f>AW20/AQ20-1</f>
        <v>-1.0554996635919633E-2</v>
      </c>
      <c r="AY21" s="109">
        <f>AY20/AS20-1</f>
        <v>4.6004132180886836E-2</v>
      </c>
      <c r="AZ21" s="110">
        <f>AZ20/AT20-1</f>
        <v>-4.7451490656131745E-2</v>
      </c>
      <c r="BA21" s="110">
        <f>BA20/AU20-1</f>
        <v>-4.4796173625500701E-2</v>
      </c>
      <c r="BB21" s="110">
        <f>BB20/AV20-1</f>
        <v>-5.6732097535901249E-2</v>
      </c>
      <c r="BC21" s="122">
        <f>BC20/AW20-1</f>
        <v>-2.7017537565376504E-2</v>
      </c>
      <c r="BE21" s="109">
        <f>BE20/AY20-1</f>
        <v>-5.4163435246334157E-2</v>
      </c>
      <c r="BF21" s="110">
        <f>BF20/AZ20-1</f>
        <v>1.5075116071316286E-2</v>
      </c>
      <c r="BG21" s="110">
        <f>BG20/BA20-1</f>
        <v>1.802885176813751E-2</v>
      </c>
      <c r="BH21" s="110">
        <f>BH20/BB20-1</f>
        <v>2.7394046729653398E-2</v>
      </c>
      <c r="BI21" s="122">
        <f>BI20/BC20-1</f>
        <v>9.8591781688783797E-4</v>
      </c>
      <c r="BK21" s="109">
        <f>BK20/BE20-1</f>
        <v>3.4386433249928849E-2</v>
      </c>
      <c r="BL21" s="110">
        <f>BL20/BF20-1</f>
        <v>1.9041249171878327E-2</v>
      </c>
      <c r="BM21" s="110">
        <f>BM20/BG20-1</f>
        <v>5.2602287546677839E-2</v>
      </c>
      <c r="BN21" s="110">
        <f>BN20/BH20-1</f>
        <v>9.5410700757275535E-2</v>
      </c>
      <c r="BO21" s="122">
        <f>BO20/BI20-1</f>
        <v>5.0923351304892561E-2</v>
      </c>
      <c r="BQ21" s="109">
        <f>BQ20/BK20-1</f>
        <v>0.11173995580645135</v>
      </c>
      <c r="BR21" s="110">
        <f>BR20/BL20-1</f>
        <v>0.10082908064516105</v>
      </c>
      <c r="BS21" s="110">
        <f>BS20/BM20-1</f>
        <v>7.2461635000000246E-2</v>
      </c>
      <c r="BT21" s="120">
        <f>BT20/BN20-1</f>
        <v>5.2444096032258525E-2</v>
      </c>
      <c r="BU21" s="122">
        <f>BU20/BO20-1</f>
        <v>8.3274162408544017E-2</v>
      </c>
      <c r="BW21" s="109">
        <f>BW20/BQ20-1</f>
        <v>2.8816143497758073E-2</v>
      </c>
      <c r="BX21" s="110">
        <f>BX20/BR20-1</f>
        <v>2.3151212876898919E-2</v>
      </c>
      <c r="BY21" s="110">
        <f>BY20/BS20-1</f>
        <v>1.4331797235022981E-2</v>
      </c>
      <c r="BZ21" s="120">
        <f>BZ20/BT20-1</f>
        <v>8.8825214899712623E-3</v>
      </c>
      <c r="CA21" s="122">
        <f>CA20/BU20-1</f>
        <v>1.8698658474909369E-2</v>
      </c>
      <c r="CC21" s="109">
        <f>CC20/BW20-1</f>
        <v>4.2510439095828634E-3</v>
      </c>
      <c r="CD21" s="110">
        <f>CD20/BX20-1</f>
        <v>1.9800049633069694E-3</v>
      </c>
      <c r="CE21" s="110">
        <f>CE20/BY20-1</f>
        <v>3.5832083958022842E-3</v>
      </c>
      <c r="CF21" s="120">
        <f>CF20/BZ20-1</f>
        <v>4.3538767395627787E-3</v>
      </c>
      <c r="CG21" s="122">
        <f>CG20/CA20-1</f>
        <v>3.5458433835542369E-3</v>
      </c>
      <c r="CI21" s="109">
        <f>CI20/CC20-1</f>
        <v>1.3349403844509222E-3</v>
      </c>
      <c r="CJ21" s="110">
        <f>CJ20/CD20-1</f>
        <v>-6.764312516256421E-4</v>
      </c>
      <c r="CK21" s="110">
        <f>CK20/CE20-1</f>
        <v>7.4440908887196677E-4</v>
      </c>
      <c r="CL21" s="120">
        <f>CL20/CF20-1</f>
        <v>1.4258001939864151E-3</v>
      </c>
      <c r="CM21" s="122">
        <f>CM20/CG20-1</f>
        <v>7.2582070072502169E-4</v>
      </c>
      <c r="CO21" s="109">
        <f>CO20/CI20-1</f>
        <v>2.5448925085118645E-3</v>
      </c>
      <c r="CP21" s="110">
        <f>CP20/CJ20-1</f>
        <v>5.1715425515874713E-4</v>
      </c>
      <c r="CQ21" s="110">
        <f>CQ20/CK20-1</f>
        <v>1.9504012833184703E-3</v>
      </c>
      <c r="CR21" s="120">
        <f>CR20/CL20-1</f>
        <v>2.6362993597877082E-3</v>
      </c>
      <c r="CS21" s="122">
        <f>CS20/CM20-1</f>
        <v>1.9168763289050261E-3</v>
      </c>
      <c r="CU21" s="109">
        <f>CU20/CO20-1</f>
        <v>-1.0621965630206454E-3</v>
      </c>
      <c r="CV21" s="110">
        <f>CV20/CP20-1</f>
        <v>-2.8101981000082654E-3</v>
      </c>
      <c r="CW21" s="110">
        <f>CW20/CQ20-1</f>
        <v>-1.573941648131072E-3</v>
      </c>
      <c r="CX21" s="120">
        <f>CX20/CR20-1</f>
        <v>-9.8356629060103451E-4</v>
      </c>
      <c r="CY21" s="122">
        <f>CY20/CS20-1</f>
        <v>-1.6029043175179725E-3</v>
      </c>
      <c r="DA21" s="109">
        <f>DA20/CU20-1</f>
        <v>-1.6236903084687615E-4</v>
      </c>
      <c r="DB21" s="110">
        <f>DB20/CV20-1</f>
        <v>-1.9155812628335323E-3</v>
      </c>
      <c r="DC21" s="110">
        <f>DC20/CW20-1</f>
        <v>-6.7500406514220401E-4</v>
      </c>
      <c r="DD21" s="120">
        <f>DD20/CX20-1</f>
        <v>-8.3648564508598255E-5</v>
      </c>
      <c r="DE21" s="122">
        <f>DE20/CY20-1</f>
        <v>-7.0403766195215045E-4</v>
      </c>
      <c r="DG21" s="109">
        <f>DG20/DA20-1</f>
        <v>7.3775075702831039E-4</v>
      </c>
      <c r="DH21" s="110">
        <f>DH20/DB20-1</f>
        <v>-1.0175304250498174E-3</v>
      </c>
      <c r="DI21" s="110">
        <f>DI20/DC20-1</f>
        <v>2.2514791061323258E-4</v>
      </c>
      <c r="DJ21" s="120">
        <f>DJ20/DD20-1</f>
        <v>8.1641972782930949E-4</v>
      </c>
      <c r="DK21" s="122">
        <f>DK20/DE20-1</f>
        <v>1.9609471123471778E-4</v>
      </c>
    </row>
    <row r="22" spans="2:115" s="241" customFormat="1" ht="15" x14ac:dyDescent="0.3">
      <c r="B22" s="6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AA22" s="107"/>
      <c r="AB22" s="107"/>
      <c r="AC22" s="107"/>
      <c r="AD22" s="107"/>
      <c r="AE22" s="107"/>
      <c r="AG22" s="107"/>
      <c r="AH22" s="107"/>
      <c r="AI22" s="107"/>
      <c r="AJ22" s="107"/>
      <c r="AK22" s="107"/>
      <c r="AM22" s="107"/>
      <c r="AN22" s="107"/>
      <c r="AO22" s="107"/>
      <c r="AP22" s="107"/>
      <c r="AQ22" s="107"/>
      <c r="AS22" s="107"/>
      <c r="AT22" s="107"/>
      <c r="AU22" s="107"/>
      <c r="AV22" s="107"/>
      <c r="AW22" s="107"/>
      <c r="AY22" s="107"/>
      <c r="AZ22" s="107"/>
      <c r="BA22" s="107"/>
      <c r="BB22" s="107"/>
      <c r="BC22" s="107"/>
      <c r="BE22" s="107"/>
      <c r="BF22" s="107"/>
      <c r="BG22" s="107"/>
      <c r="BH22" s="107"/>
      <c r="BI22" s="107"/>
      <c r="BK22" s="107"/>
      <c r="BL22" s="107"/>
      <c r="BM22" s="107"/>
      <c r="BN22" s="107"/>
      <c r="BO22" s="107"/>
      <c r="BQ22" s="107"/>
      <c r="BR22" s="107"/>
      <c r="BS22" s="107"/>
      <c r="BT22" s="107"/>
      <c r="BU22" s="107"/>
      <c r="BW22" s="107"/>
      <c r="BX22" s="107"/>
      <c r="BY22" s="107"/>
      <c r="BZ22" s="107"/>
      <c r="CA22" s="107"/>
      <c r="CC22" s="107"/>
      <c r="CD22" s="107"/>
      <c r="CE22" s="107"/>
      <c r="CF22" s="107"/>
      <c r="CG22" s="107"/>
      <c r="CI22" s="107"/>
      <c r="CJ22" s="107"/>
      <c r="CK22" s="107"/>
      <c r="CL22" s="107"/>
      <c r="CM22" s="107"/>
      <c r="CO22" s="107"/>
      <c r="CP22" s="107"/>
      <c r="CQ22" s="107"/>
      <c r="CR22" s="107"/>
      <c r="CS22" s="107"/>
      <c r="CU22" s="107"/>
      <c r="CV22" s="107"/>
      <c r="CW22" s="107"/>
      <c r="CX22" s="107"/>
      <c r="CY22" s="107"/>
      <c r="DA22" s="107"/>
      <c r="DB22" s="107"/>
      <c r="DC22" s="107"/>
      <c r="DD22" s="107"/>
      <c r="DE22" s="107"/>
      <c r="DG22" s="107"/>
      <c r="DH22" s="107"/>
      <c r="DI22" s="107"/>
      <c r="DJ22" s="107"/>
      <c r="DK22" s="107"/>
    </row>
    <row r="23" spans="2:115" s="241" customFormat="1" ht="15" x14ac:dyDescent="0.3">
      <c r="B23" s="16" t="s">
        <v>93</v>
      </c>
      <c r="C23" s="262">
        <f>1000/C24</f>
        <v>252.37739506147912</v>
      </c>
      <c r="D23" s="262">
        <f>1000/D24</f>
        <v>248.37932490499495</v>
      </c>
      <c r="E23" s="262">
        <f>1000/E24</f>
        <v>251.90630093230521</v>
      </c>
      <c r="F23" s="262">
        <f>1000/F24</f>
        <v>252.87710931118806</v>
      </c>
      <c r="G23" s="107"/>
      <c r="H23" s="107"/>
      <c r="I23" s="262">
        <f>1000/I24</f>
        <v>259.39529768204363</v>
      </c>
      <c r="J23" s="262">
        <f>1000/J24</f>
        <v>248.02694564737516</v>
      </c>
      <c r="K23" s="262">
        <f>1000/K24</f>
        <v>236.13308460648423</v>
      </c>
      <c r="L23" s="262">
        <f>1000/L24</f>
        <v>263.24379534374373</v>
      </c>
      <c r="M23" s="107"/>
      <c r="N23" s="107"/>
      <c r="O23" s="262">
        <f>1000/O24</f>
        <v>294.17302080391602</v>
      </c>
      <c r="P23" s="262">
        <f>1000/P24</f>
        <v>285.84986021941836</v>
      </c>
      <c r="Q23" s="262">
        <f>1000/Q24</f>
        <v>271.33654957590096</v>
      </c>
      <c r="R23" s="262">
        <f>1000/R24</f>
        <v>270.91460771564806</v>
      </c>
      <c r="S23" s="107"/>
      <c r="T23" s="107"/>
      <c r="U23" s="262">
        <f>1000/U24</f>
        <v>268.56235883691016</v>
      </c>
      <c r="V23" s="262">
        <f>1000/V24</f>
        <v>274.7222557993868</v>
      </c>
      <c r="W23" s="262">
        <f>1000/W24</f>
        <v>282.47310856006504</v>
      </c>
      <c r="X23" s="262">
        <f>1000/X24</f>
        <v>275.76089324468541</v>
      </c>
      <c r="Y23" s="263"/>
      <c r="Z23" s="314"/>
      <c r="AA23" s="262">
        <f>1000/AA24</f>
        <v>272.42389157529118</v>
      </c>
      <c r="AB23" s="262">
        <f>1000/AB24</f>
        <v>266.43362605507713</v>
      </c>
      <c r="AC23" s="262">
        <f>1000/AC24</f>
        <v>275.1493373028211</v>
      </c>
      <c r="AD23" s="262">
        <f>1000/AD24</f>
        <v>303.36584403961962</v>
      </c>
      <c r="AE23" s="263"/>
      <c r="AF23" s="314"/>
      <c r="AG23" s="262">
        <f>1000/AG24</f>
        <v>296.88743216122174</v>
      </c>
      <c r="AH23" s="262">
        <f>1000/AH24</f>
        <v>293.76081406996798</v>
      </c>
      <c r="AI23" s="262">
        <f>1000/AI24</f>
        <v>282.96147479520664</v>
      </c>
      <c r="AJ23" s="262">
        <f>1000/AJ24</f>
        <v>283.0383601889564</v>
      </c>
      <c r="AK23" s="263"/>
      <c r="AL23" s="314"/>
      <c r="AM23" s="262">
        <f>1000/AM24</f>
        <v>296.39026298708035</v>
      </c>
      <c r="AN23" s="262">
        <f>1000/AN24</f>
        <v>295.74336573694808</v>
      </c>
      <c r="AO23" s="262">
        <f>1000/AO24</f>
        <v>297.97022681493667</v>
      </c>
      <c r="AP23" s="262">
        <f>1000/AP24</f>
        <v>297.5614836415574</v>
      </c>
      <c r="AQ23" s="263"/>
      <c r="AR23" s="314"/>
      <c r="AS23" s="262">
        <f>1000/AS24</f>
        <v>307.71503126384715</v>
      </c>
      <c r="AT23" s="262">
        <f>1000/AT24</f>
        <v>306.00223381630684</v>
      </c>
      <c r="AU23" s="262">
        <f>1000/AU24</f>
        <v>312.220952523682</v>
      </c>
      <c r="AV23" s="262">
        <f>1000/AV24</f>
        <v>308.42208178736769</v>
      </c>
      <c r="AW23" s="263"/>
      <c r="AX23" s="314"/>
      <c r="AY23" s="262">
        <f>1000/AY24</f>
        <v>309.00056856104618</v>
      </c>
      <c r="AZ23" s="263">
        <v>306.00099999999998</v>
      </c>
      <c r="BA23" s="263">
        <v>312.09697999999997</v>
      </c>
      <c r="BB23" s="263">
        <v>312.53431</v>
      </c>
      <c r="BC23" s="263"/>
      <c r="BD23" s="314"/>
      <c r="BE23" s="263">
        <v>311.96814000000001</v>
      </c>
      <c r="BF23" s="263">
        <v>313.28402</v>
      </c>
      <c r="BG23" s="263">
        <v>310.99477000000002</v>
      </c>
      <c r="BH23" s="263">
        <v>309.38976000000002</v>
      </c>
      <c r="BI23" s="263"/>
      <c r="BJ23" s="314"/>
      <c r="BK23" s="263">
        <v>309.09361999999999</v>
      </c>
      <c r="BL23" s="263">
        <v>309.45999999999998</v>
      </c>
      <c r="BM23" s="263">
        <v>306.41761000000002</v>
      </c>
      <c r="BN23" s="263">
        <v>311.61191000000002</v>
      </c>
      <c r="BO23" s="263"/>
      <c r="BP23" s="314"/>
      <c r="BQ23" s="263">
        <v>310</v>
      </c>
      <c r="BR23" s="263">
        <v>310</v>
      </c>
      <c r="BS23" s="263">
        <v>310</v>
      </c>
      <c r="BT23" s="263">
        <v>310</v>
      </c>
      <c r="BU23" s="107"/>
      <c r="BV23" s="314"/>
      <c r="BW23" s="263">
        <v>310</v>
      </c>
      <c r="BX23" s="263">
        <v>310</v>
      </c>
      <c r="BY23" s="263">
        <v>310</v>
      </c>
      <c r="BZ23" s="263">
        <v>310</v>
      </c>
      <c r="CA23" s="107"/>
      <c r="CB23" s="314"/>
      <c r="CC23" s="263">
        <v>310</v>
      </c>
      <c r="CD23" s="263">
        <v>310</v>
      </c>
      <c r="CE23" s="263">
        <v>310</v>
      </c>
      <c r="CF23" s="263">
        <v>310</v>
      </c>
      <c r="CG23" s="107"/>
      <c r="CH23" s="314"/>
      <c r="CI23" s="263">
        <v>310</v>
      </c>
      <c r="CJ23" s="263">
        <v>310</v>
      </c>
      <c r="CK23" s="263">
        <v>310</v>
      </c>
      <c r="CL23" s="263">
        <v>310</v>
      </c>
      <c r="CM23" s="107"/>
      <c r="CN23" s="314"/>
      <c r="CO23" s="263">
        <v>310</v>
      </c>
      <c r="CP23" s="263">
        <v>310</v>
      </c>
      <c r="CQ23" s="263">
        <v>310</v>
      </c>
      <c r="CR23" s="263">
        <v>310</v>
      </c>
      <c r="CS23" s="107"/>
      <c r="CT23" s="314"/>
      <c r="CU23" s="263">
        <v>310</v>
      </c>
      <c r="CV23" s="263">
        <v>310</v>
      </c>
      <c r="CW23" s="263">
        <v>310</v>
      </c>
      <c r="CX23" s="263">
        <v>310</v>
      </c>
      <c r="CY23" s="107"/>
      <c r="CZ23" s="314"/>
      <c r="DA23" s="263">
        <v>310</v>
      </c>
      <c r="DB23" s="263">
        <v>310</v>
      </c>
      <c r="DC23" s="263">
        <v>310</v>
      </c>
      <c r="DD23" s="263">
        <v>310</v>
      </c>
      <c r="DE23" s="107"/>
      <c r="DF23" s="314"/>
      <c r="DG23" s="263">
        <v>310</v>
      </c>
      <c r="DH23" s="263">
        <v>310</v>
      </c>
      <c r="DI23" s="263">
        <v>310</v>
      </c>
      <c r="DJ23" s="263">
        <v>310</v>
      </c>
      <c r="DK23" s="107"/>
    </row>
    <row r="24" spans="2:115" s="241" customFormat="1" ht="15.75" thickBot="1" x14ac:dyDescent="0.35">
      <c r="B24" s="6"/>
      <c r="C24" s="107">
        <v>3.9623200000000001</v>
      </c>
      <c r="D24" s="107">
        <v>4.0260999999999996</v>
      </c>
      <c r="E24" s="107">
        <v>3.9697300000000002</v>
      </c>
      <c r="F24" s="107">
        <v>3.9544899999999998</v>
      </c>
      <c r="G24" s="107"/>
      <c r="H24" s="107"/>
      <c r="I24" s="107">
        <v>3.8551199999999999</v>
      </c>
      <c r="J24" s="107">
        <v>4.0318199999999997</v>
      </c>
      <c r="K24" s="107">
        <v>4.2348999999999997</v>
      </c>
      <c r="L24" s="107">
        <v>3.7987600000000001</v>
      </c>
      <c r="M24" s="107"/>
      <c r="N24" s="107"/>
      <c r="O24" s="107">
        <v>3.3993600000000002</v>
      </c>
      <c r="P24" s="241">
        <v>3.4983399999999998</v>
      </c>
      <c r="Q24" s="107">
        <v>3.68546</v>
      </c>
      <c r="R24" s="107">
        <v>3.6911999999999998</v>
      </c>
      <c r="S24" s="107"/>
      <c r="T24" s="107"/>
      <c r="U24" s="107">
        <v>3.7235299999999998</v>
      </c>
      <c r="V24" s="107">
        <v>3.6400399999999999</v>
      </c>
      <c r="W24" s="107">
        <v>3.5401600000000002</v>
      </c>
      <c r="X24" s="107">
        <v>3.6263299999999998</v>
      </c>
      <c r="Y24" s="107"/>
      <c r="AA24" s="107">
        <v>3.67075</v>
      </c>
      <c r="AB24" s="107">
        <v>3.7532800000000002</v>
      </c>
      <c r="AC24" s="107">
        <v>3.6343899999999998</v>
      </c>
      <c r="AD24" s="107">
        <v>3.2963499999999999</v>
      </c>
      <c r="AE24" s="107"/>
      <c r="AG24" s="107">
        <v>3.3682799999999999</v>
      </c>
      <c r="AH24" s="107">
        <v>3.4041299999999999</v>
      </c>
      <c r="AI24" s="107">
        <v>3.5340500000000001</v>
      </c>
      <c r="AJ24" s="107">
        <v>3.5330900000000001</v>
      </c>
      <c r="AK24" s="107"/>
      <c r="AM24" s="107">
        <v>3.3739300000000001</v>
      </c>
      <c r="AN24" s="107">
        <v>3.38131</v>
      </c>
      <c r="AO24" s="107">
        <v>3.3560400000000001</v>
      </c>
      <c r="AP24" s="107">
        <v>3.3606500000000001</v>
      </c>
      <c r="AQ24" s="107"/>
      <c r="AS24" s="107">
        <v>3.2497600000000002</v>
      </c>
      <c r="AT24" s="107">
        <v>3.2679499999999999</v>
      </c>
      <c r="AU24" s="107">
        <v>3.2028599999999998</v>
      </c>
      <c r="AV24" s="107">
        <v>3.2423099999999998</v>
      </c>
      <c r="AW24" s="107"/>
      <c r="AY24" s="107">
        <v>3.23624</v>
      </c>
      <c r="AZ24" s="107">
        <f>1000*1/AZ23</f>
        <v>3.2679631765909263</v>
      </c>
      <c r="BA24" s="107"/>
      <c r="BB24" s="107"/>
      <c r="BC24" s="107"/>
      <c r="BE24" s="107"/>
      <c r="BF24" s="107"/>
      <c r="BG24" s="107"/>
      <c r="BH24" s="107"/>
      <c r="BI24" s="107"/>
      <c r="BK24" s="107"/>
      <c r="BL24" s="107"/>
      <c r="BM24" s="107"/>
      <c r="BN24" s="107"/>
      <c r="BO24" s="107"/>
      <c r="BQ24" s="107"/>
      <c r="BR24" s="107"/>
      <c r="BS24" s="107"/>
      <c r="BT24" s="107"/>
      <c r="BU24" s="107"/>
      <c r="BW24" s="107"/>
      <c r="BX24" s="107"/>
      <c r="BY24" s="107"/>
      <c r="BZ24" s="107"/>
      <c r="CA24" s="107"/>
      <c r="CC24" s="107"/>
      <c r="CD24" s="107"/>
      <c r="CE24" s="107"/>
      <c r="CF24" s="107"/>
      <c r="CG24" s="107"/>
      <c r="CI24" s="107"/>
      <c r="CJ24" s="107"/>
      <c r="CK24" s="107"/>
      <c r="CL24" s="107"/>
      <c r="CM24" s="107"/>
      <c r="CO24" s="107"/>
      <c r="CP24" s="107"/>
      <c r="CQ24" s="107"/>
      <c r="CR24" s="107"/>
      <c r="CS24" s="107"/>
      <c r="CU24" s="107"/>
      <c r="CV24" s="107"/>
      <c r="CW24" s="107"/>
      <c r="CX24" s="107"/>
      <c r="CY24" s="107"/>
      <c r="DA24" s="107"/>
      <c r="DB24" s="107"/>
      <c r="DC24" s="107"/>
      <c r="DD24" s="107"/>
      <c r="DE24" s="107"/>
      <c r="DG24" s="107"/>
      <c r="DH24" s="107"/>
      <c r="DI24" s="107"/>
      <c r="DJ24" s="107"/>
      <c r="DK24" s="107"/>
    </row>
    <row r="25" spans="2:115" ht="15" x14ac:dyDescent="0.3">
      <c r="B25" s="139" t="s">
        <v>141</v>
      </c>
      <c r="C25" s="198">
        <f>C28*C23</f>
        <v>59561.065234509071</v>
      </c>
      <c r="D25" s="199">
        <f>D28*D23</f>
        <v>63336.727850773714</v>
      </c>
      <c r="E25" s="199">
        <f>E28*E23</f>
        <v>65495.638242399356</v>
      </c>
      <c r="F25" s="200">
        <f>F28*F23</f>
        <v>63977.908655730578</v>
      </c>
      <c r="G25" s="201">
        <f>C25+D25+E25+F25</f>
        <v>252371.3399834127</v>
      </c>
      <c r="H25" s="134"/>
      <c r="I25" s="198">
        <f>I28*I23</f>
        <v>60698.499657598208</v>
      </c>
      <c r="J25" s="199">
        <f>J28*J23</f>
        <v>63494.89808572804</v>
      </c>
      <c r="K25" s="199">
        <f>K28*K23</f>
        <v>64936.598266783163</v>
      </c>
      <c r="L25" s="199">
        <f>L28*L23</f>
        <v>63441.75467784224</v>
      </c>
      <c r="M25" s="201">
        <f>I25+J25+K25+L25</f>
        <v>252571.75068795163</v>
      </c>
      <c r="N25" s="134"/>
      <c r="O25" s="198">
        <f>O28*O23</f>
        <v>58246.258119175371</v>
      </c>
      <c r="P25" s="199">
        <f>P28*P23</f>
        <v>60600.170366516693</v>
      </c>
      <c r="Q25" s="199">
        <f>Q28*Q23</f>
        <v>61593.396753729518</v>
      </c>
      <c r="R25" s="200">
        <f>R28*R23</f>
        <v>60413.957520589516</v>
      </c>
      <c r="S25" s="201">
        <f>O25+P25+Q25+R25</f>
        <v>240853.78276001112</v>
      </c>
      <c r="T25" s="197"/>
      <c r="U25" s="198">
        <f>U28*U23</f>
        <v>55323.845920403495</v>
      </c>
      <c r="V25" s="199">
        <f>V28*V23</f>
        <v>58515.840485269386</v>
      </c>
      <c r="W25" s="199">
        <f>W28*W23</f>
        <v>60449.245231853922</v>
      </c>
      <c r="X25" s="199">
        <f>X28*X23</f>
        <v>58461.309367873306</v>
      </c>
      <c r="Y25" s="201">
        <f>U25+V25+W25+X25</f>
        <v>232750.24100540011</v>
      </c>
      <c r="AA25" s="198">
        <f>AA28*AA23</f>
        <v>48219.028808826537</v>
      </c>
      <c r="AB25" s="199">
        <f>AB28*AB23</f>
        <v>50888.822576519735</v>
      </c>
      <c r="AC25" s="199">
        <f>AC28*AC23</f>
        <v>52278.374087536009</v>
      </c>
      <c r="AD25" s="199">
        <f>AD28*AD23</f>
        <v>50662.095954616474</v>
      </c>
      <c r="AE25" s="201">
        <f>AA25+AB25+AC25+AD25</f>
        <v>202048.32142749874</v>
      </c>
      <c r="AG25" s="198">
        <f>AG28*AG23</f>
        <v>48392.651442279144</v>
      </c>
      <c r="AH25" s="199">
        <f>AH28*AH23</f>
        <v>49351.816763754621</v>
      </c>
      <c r="AI25" s="199">
        <f>AI28*AI23</f>
        <v>51216.026937932402</v>
      </c>
      <c r="AJ25" s="199">
        <f>AJ28*AJ23</f>
        <v>50663.866473823196</v>
      </c>
      <c r="AK25" s="201">
        <f>AG25+AH25+AI25+AJ25</f>
        <v>199624.36161778937</v>
      </c>
      <c r="AM25" s="198">
        <f ca="1">AM17*AM7*3/1000</f>
        <v>48998.36545961113</v>
      </c>
      <c r="AN25" s="199">
        <f>AN28*AN23</f>
        <v>49093.398712333379</v>
      </c>
      <c r="AO25" s="199">
        <f>AO28*AO23</f>
        <v>50654.93855853923</v>
      </c>
      <c r="AP25" s="199">
        <f>AP28*AP23</f>
        <v>49990.329251781644</v>
      </c>
      <c r="AQ25" s="201">
        <f ca="1">AM25+AN25+AO25+AP25</f>
        <v>198737.03198226535</v>
      </c>
      <c r="AS25" s="199">
        <f>AS28*AS23</f>
        <v>48311.259908424006</v>
      </c>
      <c r="AT25" s="199">
        <f>AT28*AT23</f>
        <v>51102.373047323243</v>
      </c>
      <c r="AU25" s="199">
        <f>AU28*AU23</f>
        <v>53077.561929025942</v>
      </c>
      <c r="AV25" s="199">
        <f>AV28*AV23</f>
        <v>52431.753903852506</v>
      </c>
      <c r="AW25" s="201">
        <f>AS25+AT25+AU25+AV25</f>
        <v>204922.94878862571</v>
      </c>
      <c r="AY25" s="198">
        <f>AY28*AY23</f>
        <v>56856.1046152325</v>
      </c>
      <c r="AZ25" s="199">
        <f>AZ28*AZ23</f>
        <v>54468.177999999993</v>
      </c>
      <c r="BA25" s="199">
        <f>BA28*BA23</f>
        <v>56489.553379999998</v>
      </c>
      <c r="BB25" s="200">
        <f>BB28*BB23</f>
        <v>55631.107179999999</v>
      </c>
      <c r="BC25" s="201">
        <f>AY25+AZ25+BA25+BB25</f>
        <v>223444.94317523247</v>
      </c>
      <c r="BE25" s="198">
        <f>BE28*BE23</f>
        <v>53970.488219999999</v>
      </c>
      <c r="BF25" s="199">
        <f>BF28*BF23</f>
        <v>55451.271540000002</v>
      </c>
      <c r="BG25" s="199">
        <f>BG28*BG23</f>
        <v>55668.063830000006</v>
      </c>
      <c r="BH25" s="199">
        <f>BH28*BH23</f>
        <v>54761.987520000002</v>
      </c>
      <c r="BI25" s="201">
        <f>BE25+BF25+BG25+BH25</f>
        <v>219851.81111000001</v>
      </c>
      <c r="BK25" s="198">
        <f>BK28*BK23</f>
        <v>54091.383499999996</v>
      </c>
      <c r="BL25" s="199">
        <f>BL28*BL23</f>
        <v>55702.799999999996</v>
      </c>
      <c r="BM25" s="199">
        <f>BM28*BM23</f>
        <v>58525.763510000004</v>
      </c>
      <c r="BN25" s="199">
        <f>BN28*BN23</f>
        <v>60764.322450000007</v>
      </c>
      <c r="BO25" s="201">
        <f>BK25+BL25+BM25+BN25</f>
        <v>229084.26946000001</v>
      </c>
      <c r="BQ25" s="198">
        <f>BQ17*BQ7*3/1000</f>
        <v>59886.601896859946</v>
      </c>
      <c r="BR25" s="199">
        <f>BR17*BR7*3/1000</f>
        <v>60461.271851524201</v>
      </c>
      <c r="BS25" s="199">
        <f>BS17*BS7*3/1000</f>
        <v>61911.6180436707</v>
      </c>
      <c r="BT25" s="200">
        <f>BT17*BT7*3/1000</f>
        <v>62650.533613973712</v>
      </c>
      <c r="BU25" s="201">
        <f>BQ25+BR25+BS25+BT25</f>
        <v>244910.02540602855</v>
      </c>
      <c r="BW25" s="198">
        <f>BW17*BW7*3/1000</f>
        <v>61495.623892408425</v>
      </c>
      <c r="BX25" s="199">
        <f>BX17*BX7*3/1000</f>
        <v>62037.332833579945</v>
      </c>
      <c r="BY25" s="199">
        <f>BY17*BY7*3/1000</f>
        <v>63157.057517957168</v>
      </c>
      <c r="BZ25" s="200">
        <f>BZ17*BZ7*3/1000</f>
        <v>63717.198053354608</v>
      </c>
      <c r="CA25" s="201">
        <f>BW25+BX25+BY25+BZ25</f>
        <v>250407.21229730014</v>
      </c>
      <c r="CC25" s="198">
        <f>CC17*CC7*3/1000</f>
        <v>62342.919117370133</v>
      </c>
      <c r="CD25" s="199">
        <f>CD17*CD7*3/1000</f>
        <v>62749.028059558172</v>
      </c>
      <c r="CE25" s="199">
        <f>CE17*CE7*3/1000</f>
        <v>63982.392398910881</v>
      </c>
      <c r="CF25" s="200">
        <f>CF17*CF7*3/1000</f>
        <v>64597.427755527366</v>
      </c>
      <c r="CG25" s="201">
        <f>CC25+CD25+CE25+CF25</f>
        <v>253671.76733136657</v>
      </c>
      <c r="CI25" s="198">
        <f>CI17*CI7*3/1000</f>
        <v>63042.132769795317</v>
      </c>
      <c r="CJ25" s="199">
        <f>CJ17*CJ7*3/1000</f>
        <v>63412.737866059302</v>
      </c>
      <c r="CK25" s="199">
        <f>CK17*CK7*3/1000</f>
        <v>64839.313945852431</v>
      </c>
      <c r="CL25" s="200">
        <f>CL17*CL7*3/1000</f>
        <v>65534.672093474706</v>
      </c>
      <c r="CM25" s="201">
        <f>CI25+CJ25+CK25+CL25</f>
        <v>256828.85667518177</v>
      </c>
      <c r="CO25" s="198">
        <f>CO17*CO7*3/1000</f>
        <v>64025.977820212407</v>
      </c>
      <c r="CP25" s="199">
        <f>CP17*CP7*3/1000</f>
        <v>64269.805834749684</v>
      </c>
      <c r="CQ25" s="199">
        <f>CQ17*CQ7*3/1000</f>
        <v>65806.6798007779</v>
      </c>
      <c r="CR25" s="200">
        <f>CR17*CR7*3/1000</f>
        <v>66554.81046598329</v>
      </c>
      <c r="CS25" s="201">
        <f>CO25+CP25+CQ25+CR25</f>
        <v>260657.27392172327</v>
      </c>
      <c r="CU25" s="198">
        <f>CU17*CU7*3/1000</f>
        <v>64780.504622792352</v>
      </c>
      <c r="CV25" s="199">
        <f>CV17*CV7*3/1000</f>
        <v>64911.15237730588</v>
      </c>
      <c r="CW25" s="199">
        <f>CW17*CW7*3/1000</f>
        <v>66542.683567982938</v>
      </c>
      <c r="CX25" s="200">
        <f>CX17*CX7*3/1000</f>
        <v>67335.885312419661</v>
      </c>
      <c r="CY25" s="201">
        <f>CU25+CV25+CW25+CX25</f>
        <v>263570.22588050086</v>
      </c>
      <c r="DA25" s="198">
        <f>DA17*DA7*3/1000</f>
        <v>65592.387696996666</v>
      </c>
      <c r="DB25" s="199">
        <f>DB17*DB7*3/1000</f>
        <v>65607.192692614437</v>
      </c>
      <c r="DC25" s="199">
        <f>DC17*DC7*3/1000</f>
        <v>67336.779907666933</v>
      </c>
      <c r="DD25" s="200">
        <f>DD17*DD7*3/1000</f>
        <v>68176.717865247338</v>
      </c>
      <c r="DE25" s="201">
        <f>DA25+DB25+DC25+DD25</f>
        <v>266713.07816252537</v>
      </c>
      <c r="DG25" s="198">
        <f>DG17*DG7*3/1000</f>
        <v>66463.786679904733</v>
      </c>
      <c r="DH25" s="199">
        <f>DH17*DH7*3/1000</f>
        <v>66359.983515935499</v>
      </c>
      <c r="DI25" s="199">
        <f>DI17*DI7*3/1000</f>
        <v>68191.142466574689</v>
      </c>
      <c r="DJ25" s="200">
        <f>DJ17*DJ7*3/1000</f>
        <v>69079.534856474143</v>
      </c>
      <c r="DK25" s="201">
        <f>DG25+DH25+DI25+DJ25</f>
        <v>270094.44751888904</v>
      </c>
    </row>
    <row r="26" spans="2:115" ht="15" x14ac:dyDescent="0.3">
      <c r="B26" s="5" t="s">
        <v>23</v>
      </c>
      <c r="C26" s="144" t="s">
        <v>35</v>
      </c>
      <c r="D26" s="107" t="s">
        <v>35</v>
      </c>
      <c r="E26" s="107" t="s">
        <v>35</v>
      </c>
      <c r="F26" s="145" t="s">
        <v>35</v>
      </c>
      <c r="G26" s="138" t="s">
        <v>35</v>
      </c>
      <c r="I26" s="151">
        <f>I25/C25-1</f>
        <v>1.9096945607180338E-2</v>
      </c>
      <c r="J26" s="133">
        <f>J25/D25-1</f>
        <v>2.4972909135279053E-3</v>
      </c>
      <c r="K26" s="133">
        <f>K25/E25-1</f>
        <v>-8.5355298553956294E-3</v>
      </c>
      <c r="L26" s="133">
        <f>L25/F25-1</f>
        <v>-8.3802985929630758E-3</v>
      </c>
      <c r="M26" s="153">
        <f>M25/G25-1</f>
        <v>7.9411039522980786E-4</v>
      </c>
      <c r="O26" s="151">
        <f>O25/I25-1</f>
        <v>-4.0400364955575419E-2</v>
      </c>
      <c r="P26" s="133">
        <f>P25/J25-1</f>
        <v>-4.5589926222151189E-2</v>
      </c>
      <c r="Q26" s="133">
        <f>Q25/K25-1</f>
        <v>-5.1484087591385008E-2</v>
      </c>
      <c r="R26" s="152">
        <f>R25/L25-1</f>
        <v>-4.7725621282511899E-2</v>
      </c>
      <c r="S26" s="153">
        <f>S25/M25-1</f>
        <v>-4.6394610228670752E-2</v>
      </c>
      <c r="U26" s="151">
        <f>U25/O25-1</f>
        <v>-5.0173389555642212E-2</v>
      </c>
      <c r="V26" s="133">
        <f>V25/P25-1</f>
        <v>-3.4394785833786301E-2</v>
      </c>
      <c r="W26" s="133">
        <f>W25/Q25-1</f>
        <v>-1.8575879593883848E-2</v>
      </c>
      <c r="X26" s="133">
        <f>X25/R25-1</f>
        <v>-3.2321142875812003E-2</v>
      </c>
      <c r="Y26" s="153">
        <f>Y25/S25-1</f>
        <v>-3.3645067400437934E-2</v>
      </c>
      <c r="AA26" s="151">
        <f>AA25/U25-1</f>
        <v>-0.1284223284440299</v>
      </c>
      <c r="AB26" s="133">
        <f>AB25/V25-1</f>
        <v>-0.13034108107307552</v>
      </c>
      <c r="AC26" s="133">
        <f>AC25/W25-1</f>
        <v>-0.13516911771153506</v>
      </c>
      <c r="AD26" s="133">
        <f>AD25/X25-1</f>
        <v>-0.13340812064573415</v>
      </c>
      <c r="AE26" s="153">
        <f>AE25/Y25-1</f>
        <v>-0.13190929231815074</v>
      </c>
      <c r="AG26" s="151">
        <f>AG25/AA25-1</f>
        <v>3.6007078064754783E-3</v>
      </c>
      <c r="AH26" s="133">
        <f>AH25/AB25-1</f>
        <v>-3.0203210350445264E-2</v>
      </c>
      <c r="AI26" s="133">
        <f>AI25/AC25-1</f>
        <v>-2.0320967668672862E-2</v>
      </c>
      <c r="AJ26" s="133">
        <f>AJ25/AD25-1</f>
        <v>3.4947610701108189E-5</v>
      </c>
      <c r="AK26" s="153">
        <f>AK25/AE25-1</f>
        <v>-1.1996931192418514E-2</v>
      </c>
      <c r="AM26" s="151">
        <f ca="1">AM25/AG25-1</f>
        <v>1.2516652823920227E-2</v>
      </c>
      <c r="AN26" s="133">
        <f>AN25/AH25-1</f>
        <v>-5.2362419130035365E-3</v>
      </c>
      <c r="AO26" s="133">
        <f>AO25/AI25-1</f>
        <v>-1.0955328106046602E-2</v>
      </c>
      <c r="AP26" s="133">
        <f>AP25/AJ25-1</f>
        <v>-1.3294232535322803E-2</v>
      </c>
      <c r="AQ26" s="153">
        <f ca="1">AQ25/AK25-1</f>
        <v>-4.4449967345315811E-3</v>
      </c>
      <c r="AS26" s="151">
        <f ca="1">AS25/AM25-1</f>
        <v>-1.4023030048900265E-2</v>
      </c>
      <c r="AT26" s="133">
        <f>AT25/AN25-1</f>
        <v>4.0921475955690179E-2</v>
      </c>
      <c r="AU26" s="133">
        <f>AU25/AO25-1</f>
        <v>4.7826005507577873E-2</v>
      </c>
      <c r="AV26" s="133">
        <f>AV25/AP25-1</f>
        <v>4.8837939029654498E-2</v>
      </c>
      <c r="AW26" s="153">
        <f ca="1">AW25/AQ25-1</f>
        <v>3.1126140632473431E-2</v>
      </c>
      <c r="AY26" s="151">
        <f>AY25/AS25-1</f>
        <v>0.17687066582419098</v>
      </c>
      <c r="AZ26" s="133">
        <f>AZ25/AT25-1</f>
        <v>6.5863965838922178E-2</v>
      </c>
      <c r="BA26" s="133">
        <f>BA25/AU25-1</f>
        <v>6.4283123168628054E-2</v>
      </c>
      <c r="BB26" s="152">
        <f>BB25/AV25-1</f>
        <v>6.1019383063445787E-2</v>
      </c>
      <c r="BC26" s="153">
        <f>BC25/AW25-1</f>
        <v>9.0385164258552031E-2</v>
      </c>
      <c r="BE26" s="151">
        <f>BE25/AY25-1</f>
        <v>-5.0752973928843592E-2</v>
      </c>
      <c r="BF26" s="133">
        <f>BF25/AZ25-1</f>
        <v>1.80489521790137E-2</v>
      </c>
      <c r="BG26" s="133">
        <f>BG25/BA25-1</f>
        <v>-1.4542326870136679E-2</v>
      </c>
      <c r="BH26" s="133">
        <f>BH25/BB25-1</f>
        <v>-1.5622907830826982E-2</v>
      </c>
      <c r="BI26" s="153">
        <f>BI25/BC25-1</f>
        <v>-1.6080614822482797E-2</v>
      </c>
      <c r="BK26" s="151">
        <f>BK25/BE25-1</f>
        <v>2.2400256878758462E-3</v>
      </c>
      <c r="BL26" s="133">
        <f>BL25/BF25-1</f>
        <v>4.5360269118184249E-3</v>
      </c>
      <c r="BM26" s="133">
        <f>BM25/BG25-1</f>
        <v>5.1334633960449683E-2</v>
      </c>
      <c r="BN26" s="133">
        <f>BN25/BH25-1</f>
        <v>0.10960768960052536</v>
      </c>
      <c r="BO26" s="153">
        <f>BO25/BI25-1</f>
        <v>4.199400634175654E-2</v>
      </c>
      <c r="BQ26" s="151">
        <f>BQ25/BK25-1</f>
        <v>0.10713755171116945</v>
      </c>
      <c r="BR26" s="133">
        <f>BR25/BL25-1</f>
        <v>8.5426080044884722E-2</v>
      </c>
      <c r="BS26" s="133">
        <f>BS25/BM25-1</f>
        <v>5.7852376980817466E-2</v>
      </c>
      <c r="BT26" s="152">
        <f>BT25/BN25-1</f>
        <v>3.1041425098186082E-2</v>
      </c>
      <c r="BU26" s="153">
        <f>BU25/BO25-1</f>
        <v>6.9082682906745241E-2</v>
      </c>
      <c r="BW26" s="151">
        <f>BW25/BQ25-1</f>
        <v>2.6867812575501082E-2</v>
      </c>
      <c r="BX26" s="133">
        <f>BX25/BR25-1</f>
        <v>2.6067281315651281E-2</v>
      </c>
      <c r="BY26" s="133">
        <f>BY25/BS25-1</f>
        <v>2.0116409708561767E-2</v>
      </c>
      <c r="BZ26" s="152">
        <f>BZ25/BT25-1</f>
        <v>1.7025624170310172E-2</v>
      </c>
      <c r="CA26" s="153">
        <f>CA25/BU25-1</f>
        <v>2.2445740561898075E-2</v>
      </c>
      <c r="CC26" s="151">
        <f>CC25/BW25-1</f>
        <v>1.3778138529728867E-2</v>
      </c>
      <c r="CD26" s="133">
        <f>CD25/BX25-1</f>
        <v>1.1472047450644007E-2</v>
      </c>
      <c r="CE26" s="133">
        <f>CE25/BY25-1</f>
        <v>1.3067975510401952E-2</v>
      </c>
      <c r="CF26" s="152">
        <f>CF25/BZ25-1</f>
        <v>1.3814632925881032E-2</v>
      </c>
      <c r="CG26" s="153">
        <f>CG25/CA25-1</f>
        <v>1.3036984854056577E-2</v>
      </c>
      <c r="CI26" s="151">
        <f>CI25/CC25-1</f>
        <v>1.1215606556837843E-2</v>
      </c>
      <c r="CJ26" s="133">
        <f>CJ25/CD25-1</f>
        <v>1.0577212540585856E-2</v>
      </c>
      <c r="CK26" s="133">
        <f>CK25/CE25-1</f>
        <v>1.3393083859679855E-2</v>
      </c>
      <c r="CL26" s="152">
        <f>CL25/CF25-1</f>
        <v>1.4509004003911752E-2</v>
      </c>
      <c r="CM26" s="153">
        <f>CM25/CG25-1</f>
        <v>1.2445568448660405E-2</v>
      </c>
      <c r="CO26" s="151">
        <f>CO25/CI25-1</f>
        <v>1.5606151111823952E-2</v>
      </c>
      <c r="CP26" s="133">
        <f>CP25/CJ25-1</f>
        <v>1.3515706741769939E-2</v>
      </c>
      <c r="CQ26" s="133">
        <f>CQ25/CK25-1</f>
        <v>1.4919433844308161E-2</v>
      </c>
      <c r="CR26" s="152">
        <f>CR25/CL25-1</f>
        <v>1.5566391650720712E-2</v>
      </c>
      <c r="CS26" s="153">
        <f>CS25/CM25-1</f>
        <v>1.490649180198389E-2</v>
      </c>
      <c r="CU26" s="151">
        <f>CU25/CO25-1</f>
        <v>1.1784697840909075E-2</v>
      </c>
      <c r="CV26" s="133">
        <f>CV25/CP25-1</f>
        <v>9.978971217140753E-3</v>
      </c>
      <c r="CW26" s="133">
        <f>CW25/CQ25-1</f>
        <v>1.1184332189881019E-2</v>
      </c>
      <c r="CX26" s="152">
        <f>CX25/CR25-1</f>
        <v>1.1735813549278884E-2</v>
      </c>
      <c r="CY26" s="153">
        <f>CY25/CS25-1</f>
        <v>1.1175410204176339E-2</v>
      </c>
      <c r="DA26" s="151">
        <f>DA25/CU25-1</f>
        <v>1.2532830346595691E-2</v>
      </c>
      <c r="DB26" s="133">
        <f>DB25/CV25-1</f>
        <v>1.0722969625661882E-2</v>
      </c>
      <c r="DC26" s="133">
        <f>DC25/CW25-1</f>
        <v>1.1933638637713129E-2</v>
      </c>
      <c r="DD26" s="152">
        <f>DD25/CX25-1</f>
        <v>1.2487138899658801E-2</v>
      </c>
      <c r="DE26" s="153">
        <f>DE25/CY25-1</f>
        <v>1.192415520958523E-2</v>
      </c>
      <c r="DG26" s="151">
        <f>DG25/DA25-1</f>
        <v>1.3285062695590266E-2</v>
      </c>
      <c r="DH26" s="133">
        <f>DH25/DB25-1</f>
        <v>1.1474211781139054E-2</v>
      </c>
      <c r="DI26" s="133">
        <f>DI25/DC25-1</f>
        <v>1.2687903402557543E-2</v>
      </c>
      <c r="DJ26" s="152">
        <f>DJ25/DD25-1</f>
        <v>1.324230645733393E-2</v>
      </c>
      <c r="DK26" s="153">
        <f>DK25/DE25-1</f>
        <v>1.2677928580252074E-2</v>
      </c>
    </row>
    <row r="27" spans="2:115" ht="15" x14ac:dyDescent="0.3">
      <c r="B27" s="5"/>
      <c r="C27" s="144"/>
      <c r="D27" s="107"/>
      <c r="E27" s="107"/>
      <c r="F27" s="145"/>
      <c r="G27" s="138"/>
      <c r="I27" s="144"/>
      <c r="J27" s="107"/>
      <c r="K27" s="107"/>
      <c r="L27" s="107"/>
      <c r="M27" s="138"/>
      <c r="O27" s="144"/>
      <c r="P27" s="107"/>
      <c r="Q27" s="107"/>
      <c r="R27" s="145"/>
      <c r="S27" s="138"/>
      <c r="U27" s="144"/>
      <c r="V27" s="107"/>
      <c r="W27" s="107"/>
      <c r="X27" s="107"/>
      <c r="Y27" s="138"/>
      <c r="AA27" s="144"/>
      <c r="AB27" s="107"/>
      <c r="AC27" s="107"/>
      <c r="AD27" s="145"/>
      <c r="AE27" s="138"/>
      <c r="AG27" s="144"/>
      <c r="AH27" s="107"/>
      <c r="AI27" s="107"/>
      <c r="AJ27" s="145"/>
      <c r="AK27" s="138"/>
      <c r="AM27" s="144"/>
      <c r="AN27" s="107"/>
      <c r="AO27" s="107"/>
      <c r="AP27" s="145"/>
      <c r="AQ27" s="138"/>
      <c r="AS27" s="144"/>
      <c r="AT27" s="107"/>
      <c r="AU27" s="107"/>
      <c r="AV27" s="145"/>
      <c r="AW27" s="138"/>
      <c r="AY27" s="144"/>
      <c r="AZ27" s="107"/>
      <c r="BA27" s="107"/>
      <c r="BB27" s="145"/>
      <c r="BC27" s="138"/>
      <c r="BE27" s="144"/>
      <c r="BF27" s="107"/>
      <c r="BG27" s="107"/>
      <c r="BH27" s="145"/>
      <c r="BI27" s="138"/>
      <c r="BK27" s="144"/>
      <c r="BL27" s="107"/>
      <c r="BM27" s="107"/>
      <c r="BN27" s="145"/>
      <c r="BO27" s="138"/>
      <c r="BQ27" s="144"/>
      <c r="BR27" s="107"/>
      <c r="BS27" s="107"/>
      <c r="BT27" s="145"/>
      <c r="BU27" s="138"/>
      <c r="BW27" s="144"/>
      <c r="BX27" s="107"/>
      <c r="BY27" s="107"/>
      <c r="BZ27" s="145"/>
      <c r="CA27" s="138"/>
      <c r="CC27" s="144"/>
      <c r="CD27" s="107"/>
      <c r="CE27" s="107"/>
      <c r="CF27" s="145"/>
      <c r="CG27" s="138"/>
      <c r="CI27" s="144"/>
      <c r="CJ27" s="107"/>
      <c r="CK27" s="107"/>
      <c r="CL27" s="145"/>
      <c r="CM27" s="138"/>
      <c r="CO27" s="144"/>
      <c r="CP27" s="107"/>
      <c r="CQ27" s="107"/>
      <c r="CR27" s="145"/>
      <c r="CS27" s="138"/>
      <c r="CU27" s="144"/>
      <c r="CV27" s="107"/>
      <c r="CW27" s="107"/>
      <c r="CX27" s="145"/>
      <c r="CY27" s="138"/>
      <c r="DA27" s="144"/>
      <c r="DB27" s="107"/>
      <c r="DC27" s="107"/>
      <c r="DD27" s="145"/>
      <c r="DE27" s="138"/>
      <c r="DG27" s="144"/>
      <c r="DH27" s="107"/>
      <c r="DI27" s="107"/>
      <c r="DJ27" s="145"/>
      <c r="DK27" s="138"/>
    </row>
    <row r="28" spans="2:115" s="135" customFormat="1" ht="15" x14ac:dyDescent="0.3">
      <c r="B28" s="105" t="s">
        <v>59</v>
      </c>
      <c r="C28" s="156">
        <v>236</v>
      </c>
      <c r="D28" s="157">
        <v>255</v>
      </c>
      <c r="E28" s="157">
        <v>260</v>
      </c>
      <c r="F28" s="158">
        <v>253</v>
      </c>
      <c r="G28" s="159">
        <f>C28+D28+E28+F28</f>
        <v>1004</v>
      </c>
      <c r="H28" s="160"/>
      <c r="I28" s="156">
        <v>234</v>
      </c>
      <c r="J28" s="157">
        <v>256</v>
      </c>
      <c r="K28" s="157">
        <v>275</v>
      </c>
      <c r="L28" s="157">
        <v>241</v>
      </c>
      <c r="M28" s="159">
        <f>I28+J28+K28+L28</f>
        <v>1006</v>
      </c>
      <c r="N28" s="160"/>
      <c r="O28" s="156">
        <v>198</v>
      </c>
      <c r="P28" s="157">
        <v>212</v>
      </c>
      <c r="Q28" s="157">
        <v>227</v>
      </c>
      <c r="R28" s="158">
        <v>223</v>
      </c>
      <c r="S28" s="159">
        <f>O28+P28+Q28+R28</f>
        <v>860</v>
      </c>
      <c r="T28" s="134"/>
      <c r="U28" s="156">
        <v>206</v>
      </c>
      <c r="V28" s="157">
        <v>213</v>
      </c>
      <c r="W28" s="157">
        <v>214</v>
      </c>
      <c r="X28" s="157">
        <v>212</v>
      </c>
      <c r="Y28" s="159">
        <f>U28+V28+W28+X28</f>
        <v>845</v>
      </c>
      <c r="AA28" s="156">
        <v>177</v>
      </c>
      <c r="AB28" s="157">
        <v>191</v>
      </c>
      <c r="AC28" s="157">
        <v>190</v>
      </c>
      <c r="AD28" s="158">
        <v>167</v>
      </c>
      <c r="AE28" s="159">
        <f>AA28+AB28+AC28+AD28</f>
        <v>725</v>
      </c>
      <c r="AG28" s="156">
        <v>163</v>
      </c>
      <c r="AH28" s="157">
        <v>168</v>
      </c>
      <c r="AI28" s="157">
        <v>181</v>
      </c>
      <c r="AJ28" s="158">
        <v>179</v>
      </c>
      <c r="AK28" s="159">
        <f>AG28+AH28+AI28+AJ28</f>
        <v>691</v>
      </c>
      <c r="AM28" s="156">
        <v>159</v>
      </c>
      <c r="AN28" s="157">
        <v>166</v>
      </c>
      <c r="AO28" s="157">
        <v>170</v>
      </c>
      <c r="AP28" s="158">
        <v>168</v>
      </c>
      <c r="AQ28" s="159">
        <f>AM28+AN28+AO28+AP28</f>
        <v>663</v>
      </c>
      <c r="AS28" s="156">
        <v>157</v>
      </c>
      <c r="AT28" s="157">
        <v>167</v>
      </c>
      <c r="AU28" s="157">
        <v>170</v>
      </c>
      <c r="AV28" s="158">
        <v>170</v>
      </c>
      <c r="AW28" s="159">
        <f>AS28+AT28+AU28+AV28</f>
        <v>664</v>
      </c>
      <c r="AY28" s="156">
        <v>184</v>
      </c>
      <c r="AZ28" s="157">
        <v>178</v>
      </c>
      <c r="BA28" s="157">
        <v>181</v>
      </c>
      <c r="BB28" s="158">
        <v>178</v>
      </c>
      <c r="BC28" s="159">
        <f>AY28+AZ28+BA28+BB28</f>
        <v>721</v>
      </c>
      <c r="BE28" s="156">
        <v>173</v>
      </c>
      <c r="BF28" s="157">
        <v>177</v>
      </c>
      <c r="BG28" s="157">
        <v>179</v>
      </c>
      <c r="BH28" s="158">
        <v>177</v>
      </c>
      <c r="BI28" s="159">
        <f>BE28+BF28+BG28+BH28</f>
        <v>706</v>
      </c>
      <c r="BK28" s="156">
        <v>175</v>
      </c>
      <c r="BL28" s="157">
        <v>180</v>
      </c>
      <c r="BM28" s="157">
        <v>191</v>
      </c>
      <c r="BN28" s="158">
        <v>195</v>
      </c>
      <c r="BO28" s="159">
        <f>BK28+BL28+BM28+BN28</f>
        <v>741</v>
      </c>
      <c r="BQ28" s="156">
        <f>BQ25/BQ23</f>
        <v>193.18258676406435</v>
      </c>
      <c r="BR28" s="157">
        <f>BR25/BR23</f>
        <v>195.03636081136838</v>
      </c>
      <c r="BS28" s="157">
        <f>BS25/BS23</f>
        <v>199.71489691506679</v>
      </c>
      <c r="BT28" s="158">
        <f>BT25/BT23</f>
        <v>202.09849552894747</v>
      </c>
      <c r="BU28" s="159">
        <f>BQ28+BR28+BS28+BT28</f>
        <v>790.03234001944702</v>
      </c>
      <c r="BW28" s="156">
        <f>BW25/BW23</f>
        <v>198.3729802980917</v>
      </c>
      <c r="BX28" s="157">
        <f>BX25/BX23</f>
        <v>200.12042849541919</v>
      </c>
      <c r="BY28" s="157">
        <f>BY25/BY23</f>
        <v>203.73244360631344</v>
      </c>
      <c r="BZ28" s="158">
        <f>BZ25/BZ23</f>
        <v>205.53934855920841</v>
      </c>
      <c r="CA28" s="159">
        <f>BW28+BX28+BY28+BZ28</f>
        <v>807.76520095903277</v>
      </c>
      <c r="CC28" s="156">
        <f>CC25/CC23</f>
        <v>201.10619070119398</v>
      </c>
      <c r="CD28" s="157">
        <f>CD25/CD23</f>
        <v>202.41621954696186</v>
      </c>
      <c r="CE28" s="157">
        <f>CE25/CE23</f>
        <v>206.39481419003511</v>
      </c>
      <c r="CF28" s="158">
        <f>CF25/CF23</f>
        <v>208.37879921137861</v>
      </c>
      <c r="CG28" s="159">
        <f>CC28+CD28+CE28+CF28</f>
        <v>818.29602364956952</v>
      </c>
      <c r="CI28" s="156">
        <f>CI25/CI23</f>
        <v>203.36171861224295</v>
      </c>
      <c r="CJ28" s="157">
        <f>CJ25/CJ23</f>
        <v>204.55721892277194</v>
      </c>
      <c r="CK28" s="157">
        <f>CK25/CK23</f>
        <v>209.15907724468525</v>
      </c>
      <c r="CL28" s="158">
        <f>CL25/CL23</f>
        <v>211.40216804346679</v>
      </c>
      <c r="CM28" s="159">
        <f>CI28+CJ28+CK28+CL28</f>
        <v>828.48018282316696</v>
      </c>
      <c r="CO28" s="156">
        <f>CO25/CO23</f>
        <v>206.53541232326583</v>
      </c>
      <c r="CP28" s="157">
        <f>CP25/CP23</f>
        <v>207.32195430564414</v>
      </c>
      <c r="CQ28" s="157">
        <f>CQ25/CQ23</f>
        <v>212.27961226057388</v>
      </c>
      <c r="CR28" s="158">
        <f>CR25/CR23</f>
        <v>214.69293698704288</v>
      </c>
      <c r="CS28" s="159">
        <f>CO28+CP28+CQ28+CR28</f>
        <v>840.8299158765268</v>
      </c>
      <c r="CU28" s="156">
        <f>CU25/CU23</f>
        <v>208.96936975094306</v>
      </c>
      <c r="CV28" s="157">
        <f>CV25/CV23</f>
        <v>209.39081412034156</v>
      </c>
      <c r="CW28" s="157">
        <f>CW25/CW23</f>
        <v>214.65381796123529</v>
      </c>
      <c r="CX28" s="158">
        <f>CX25/CX23</f>
        <v>217.21253326586987</v>
      </c>
      <c r="CY28" s="159">
        <f>CU28+CV28+CW28+CX28</f>
        <v>850.22653509838972</v>
      </c>
      <c r="DA28" s="156">
        <f>DA25/DA23</f>
        <v>211.58834740966665</v>
      </c>
      <c r="DB28" s="157">
        <f>DB25/DB23</f>
        <v>211.63610546004656</v>
      </c>
      <c r="DC28" s="157">
        <f>DC25/DC23</f>
        <v>217.2154190569901</v>
      </c>
      <c r="DD28" s="158">
        <f>DD25/DD23</f>
        <v>219.92489633950754</v>
      </c>
      <c r="DE28" s="159">
        <f>DA28+DB28+DC28+DD28</f>
        <v>860.36476826621083</v>
      </c>
      <c r="DG28" s="156">
        <f>DG25/DG23</f>
        <v>214.39931187066043</v>
      </c>
      <c r="DH28" s="157">
        <f>DH25/DH23</f>
        <v>214.06446295463064</v>
      </c>
      <c r="DI28" s="157">
        <f>DI25/DI23</f>
        <v>219.97142731153124</v>
      </c>
      <c r="DJ28" s="158">
        <f>DJ25/DJ23</f>
        <v>222.83720921443273</v>
      </c>
      <c r="DK28" s="159">
        <f>DG28+DH28+DI28+DJ28</f>
        <v>871.27241135125507</v>
      </c>
    </row>
    <row r="29" spans="2:115" ht="15.75" thickBot="1" x14ac:dyDescent="0.35">
      <c r="B29" s="140" t="s">
        <v>23</v>
      </c>
      <c r="C29" s="155" t="s">
        <v>35</v>
      </c>
      <c r="D29" s="106" t="s">
        <v>35</v>
      </c>
      <c r="E29" s="106" t="s">
        <v>35</v>
      </c>
      <c r="F29" s="154" t="s">
        <v>35</v>
      </c>
      <c r="G29" s="108" t="s">
        <v>35</v>
      </c>
      <c r="H29" s="107"/>
      <c r="I29" s="109">
        <f>I28/C28-1</f>
        <v>-8.4745762711864181E-3</v>
      </c>
      <c r="J29" s="110">
        <f>J28/D28-1</f>
        <v>3.9215686274509665E-3</v>
      </c>
      <c r="K29" s="110">
        <f>K28/E28-1</f>
        <v>5.7692307692307709E-2</v>
      </c>
      <c r="L29" s="110">
        <f>L28/F28-1</f>
        <v>-4.743083003952564E-2</v>
      </c>
      <c r="M29" s="122">
        <f>M28/G28-1</f>
        <v>1.9920318725099584E-3</v>
      </c>
      <c r="N29" s="107"/>
      <c r="O29" s="109">
        <f>O28/I28-1</f>
        <v>-0.15384615384615385</v>
      </c>
      <c r="P29" s="110">
        <f>P28/J28-1</f>
        <v>-0.171875</v>
      </c>
      <c r="Q29" s="110">
        <f>Q28/K28-1</f>
        <v>-0.17454545454545456</v>
      </c>
      <c r="R29" s="120">
        <f>R28/L28-1</f>
        <v>-7.4688796680497882E-2</v>
      </c>
      <c r="S29" s="122">
        <f>S28/M28-1</f>
        <v>-0.14512922465208744</v>
      </c>
      <c r="T29" s="107"/>
      <c r="U29" s="109">
        <f>U28/O28-1</f>
        <v>4.0404040404040442E-2</v>
      </c>
      <c r="V29" s="110">
        <f>V28/P28-1</f>
        <v>4.7169811320755262E-3</v>
      </c>
      <c r="W29" s="110">
        <f>W28/Q28-1</f>
        <v>-5.7268722466960353E-2</v>
      </c>
      <c r="X29" s="110">
        <f>X28/R28-1</f>
        <v>-4.9327354260089717E-2</v>
      </c>
      <c r="Y29" s="122">
        <f>Y28/S28-1</f>
        <v>-1.744186046511631E-2</v>
      </c>
      <c r="AA29" s="109">
        <f>AA28/U28-1</f>
        <v>-0.14077669902912626</v>
      </c>
      <c r="AB29" s="110">
        <f>AB28/V28-1</f>
        <v>-0.10328638497652587</v>
      </c>
      <c r="AC29" s="110">
        <f>AC28/W28-1</f>
        <v>-0.11214953271028039</v>
      </c>
      <c r="AD29" s="120">
        <f>AD28/X28-1</f>
        <v>-0.21226415094339623</v>
      </c>
      <c r="AE29" s="122">
        <f>AE28/Y28-1</f>
        <v>-0.14201183431952658</v>
      </c>
      <c r="AG29" s="109">
        <f>AG28/AA28-1</f>
        <v>-7.9096045197740161E-2</v>
      </c>
      <c r="AH29" s="110">
        <f>AH28/AB28-1</f>
        <v>-0.12041884816753923</v>
      </c>
      <c r="AI29" s="110">
        <f>AI28/AC28-1</f>
        <v>-4.7368421052631615E-2</v>
      </c>
      <c r="AJ29" s="120">
        <f>AJ28/AD28-1</f>
        <v>7.1856287425149601E-2</v>
      </c>
      <c r="AK29" s="122">
        <f>AK28/AE28-1</f>
        <v>-4.689655172413798E-2</v>
      </c>
      <c r="AM29" s="109">
        <f>AM28/AG28-1</f>
        <v>-2.4539877300613466E-2</v>
      </c>
      <c r="AN29" s="110">
        <f>AN28/AH28-1</f>
        <v>-1.1904761904761862E-2</v>
      </c>
      <c r="AO29" s="110">
        <f>AO28/AI28-1</f>
        <v>-6.0773480662983381E-2</v>
      </c>
      <c r="AP29" s="120">
        <f>AP28/AJ28-1</f>
        <v>-6.1452513966480438E-2</v>
      </c>
      <c r="AQ29" s="122">
        <f>AQ28/AK28-1</f>
        <v>-4.0520984081041989E-2</v>
      </c>
      <c r="AS29" s="109">
        <f>AS28/AM28-1</f>
        <v>-1.2578616352201255E-2</v>
      </c>
      <c r="AT29" s="110">
        <f>AT28/AN28-1</f>
        <v>6.0240963855422436E-3</v>
      </c>
      <c r="AU29" s="110">
        <f>AU28/AO28-1</f>
        <v>0</v>
      </c>
      <c r="AV29" s="120">
        <f>AV28/AP28-1</f>
        <v>1.1904761904761862E-2</v>
      </c>
      <c r="AW29" s="122">
        <f>AW28/AQ28-1</f>
        <v>1.5082956259426794E-3</v>
      </c>
      <c r="AY29" s="109">
        <f>AY28/AS28-1</f>
        <v>0.17197452229299359</v>
      </c>
      <c r="AZ29" s="110">
        <f>AZ28/AT28-1</f>
        <v>6.5868263473053856E-2</v>
      </c>
      <c r="BA29" s="110">
        <f>BA28/AU28-1</f>
        <v>6.4705882352941169E-2</v>
      </c>
      <c r="BB29" s="120">
        <f>BB28/AV28-1</f>
        <v>4.705882352941182E-2</v>
      </c>
      <c r="BC29" s="122">
        <f>BC28/AW28-1</f>
        <v>8.5843373493975861E-2</v>
      </c>
      <c r="BE29" s="109">
        <f>BE28/AY28-1</f>
        <v>-5.9782608695652217E-2</v>
      </c>
      <c r="BF29" s="110">
        <f>BF28/AZ28-1</f>
        <v>-5.6179775280899014E-3</v>
      </c>
      <c r="BG29" s="110">
        <f>BG28/BA28-1</f>
        <v>-1.1049723756906049E-2</v>
      </c>
      <c r="BH29" s="120">
        <f>BH28/BB28-1</f>
        <v>-5.6179775280899014E-3</v>
      </c>
      <c r="BI29" s="122">
        <f>BI28/BC28-1</f>
        <v>-2.0804438280166426E-2</v>
      </c>
      <c r="BK29" s="109">
        <f>BK28/BE28-1</f>
        <v>1.1560693641618602E-2</v>
      </c>
      <c r="BL29" s="110">
        <f>BL28/BF28-1</f>
        <v>1.6949152542372836E-2</v>
      </c>
      <c r="BM29" s="110">
        <f>BM28/BG28-1</f>
        <v>6.7039106145251326E-2</v>
      </c>
      <c r="BN29" s="120">
        <f>BN28/BH28-1</f>
        <v>0.10169491525423724</v>
      </c>
      <c r="BO29" s="122">
        <f>BO28/BI28-1</f>
        <v>4.9575070821529676E-2</v>
      </c>
      <c r="BQ29" s="109">
        <f>BQ28/BK28-1</f>
        <v>0.10390049579465344</v>
      </c>
      <c r="BR29" s="110">
        <f>BR28/BL28-1</f>
        <v>8.3535337840935364E-2</v>
      </c>
      <c r="BS29" s="110">
        <f>BS28/BM28-1</f>
        <v>4.5627732539616606E-2</v>
      </c>
      <c r="BT29" s="120">
        <f>BT28/BN28-1</f>
        <v>3.6402541174089587E-2</v>
      </c>
      <c r="BU29" s="122">
        <f>BU28/BO28-1</f>
        <v>6.617049935148045E-2</v>
      </c>
      <c r="BW29" s="109">
        <f>BW28/BQ28-1</f>
        <v>2.6867812575501082E-2</v>
      </c>
      <c r="BX29" s="110">
        <f>BX28/BR28-1</f>
        <v>2.6067281315651281E-2</v>
      </c>
      <c r="BY29" s="110">
        <f>BY28/BS28-1</f>
        <v>2.0116409708561767E-2</v>
      </c>
      <c r="BZ29" s="120">
        <f>BZ28/BT28-1</f>
        <v>1.702562417030995E-2</v>
      </c>
      <c r="CA29" s="122">
        <f>CA28/BU28-1</f>
        <v>2.2445740561898075E-2</v>
      </c>
      <c r="CC29" s="109">
        <f>CC28/BW28-1</f>
        <v>1.3778138529728867E-2</v>
      </c>
      <c r="CD29" s="110">
        <f>CD28/BX28-1</f>
        <v>1.1472047450644007E-2</v>
      </c>
      <c r="CE29" s="110">
        <f>CE28/BY28-1</f>
        <v>1.3067975510401952E-2</v>
      </c>
      <c r="CF29" s="120">
        <f>CF28/BZ28-1</f>
        <v>1.3814632925881032E-2</v>
      </c>
      <c r="CG29" s="122">
        <f>CG28/CA28-1</f>
        <v>1.3036984854056355E-2</v>
      </c>
      <c r="CI29" s="109">
        <f>CI28/CC28-1</f>
        <v>1.1215606556837843E-2</v>
      </c>
      <c r="CJ29" s="110">
        <f>CJ28/CD28-1</f>
        <v>1.0577212540585856E-2</v>
      </c>
      <c r="CK29" s="110">
        <f>CK28/CE28-1</f>
        <v>1.3393083859679633E-2</v>
      </c>
      <c r="CL29" s="120">
        <f>CL28/CF28-1</f>
        <v>1.450900400391153E-2</v>
      </c>
      <c r="CM29" s="122">
        <f>CM28/CG28-1</f>
        <v>1.2445568448660405E-2</v>
      </c>
      <c r="CO29" s="109">
        <f>CO28/CI28-1</f>
        <v>1.5606151111823952E-2</v>
      </c>
      <c r="CP29" s="110">
        <f>CP28/CJ28-1</f>
        <v>1.3515706741769939E-2</v>
      </c>
      <c r="CQ29" s="110">
        <f>CQ28/CK28-1</f>
        <v>1.4919433844308161E-2</v>
      </c>
      <c r="CR29" s="120">
        <f>CR28/CL28-1</f>
        <v>1.5566391650720712E-2</v>
      </c>
      <c r="CS29" s="122">
        <f>CS28/CM28-1</f>
        <v>1.4906491801984112E-2</v>
      </c>
      <c r="CU29" s="109">
        <f>CU28/CO28-1</f>
        <v>1.1784697840908853E-2</v>
      </c>
      <c r="CV29" s="110">
        <f>CV28/CP28-1</f>
        <v>9.978971217140975E-3</v>
      </c>
      <c r="CW29" s="110">
        <f>CW28/CQ28-1</f>
        <v>1.1184332189881019E-2</v>
      </c>
      <c r="CX29" s="120">
        <f>CX28/CR28-1</f>
        <v>1.1735813549278662E-2</v>
      </c>
      <c r="CY29" s="122">
        <f>CY28/CS28-1</f>
        <v>1.1175410204175895E-2</v>
      </c>
      <c r="DA29" s="109">
        <f>DA28/CU28-1</f>
        <v>1.2532830346595691E-2</v>
      </c>
      <c r="DB29" s="110">
        <f>DB28/CV28-1</f>
        <v>1.072296962566166E-2</v>
      </c>
      <c r="DC29" s="110">
        <f>DC28/CW28-1</f>
        <v>1.1933638637712907E-2</v>
      </c>
      <c r="DD29" s="120">
        <f>DD28/CX28-1</f>
        <v>1.2487138899658801E-2</v>
      </c>
      <c r="DE29" s="122">
        <f>DE28/CY28-1</f>
        <v>1.192415520958523E-2</v>
      </c>
      <c r="DG29" s="109">
        <f>DG28/DA28-1</f>
        <v>1.3285062695590266E-2</v>
      </c>
      <c r="DH29" s="110">
        <f>DH28/DB28-1</f>
        <v>1.1474211781139054E-2</v>
      </c>
      <c r="DI29" s="110">
        <f>DI28/DC28-1</f>
        <v>1.2687903402557543E-2</v>
      </c>
      <c r="DJ29" s="120">
        <f>DJ28/DD28-1</f>
        <v>1.3242306457334152E-2</v>
      </c>
      <c r="DK29" s="122">
        <f>DK28/DE28-1</f>
        <v>1.2677928580252296E-2</v>
      </c>
    </row>
    <row r="30" spans="2:115" ht="15.75" thickBot="1" x14ac:dyDescent="0.35">
      <c r="B30" s="1"/>
      <c r="AA30" s="103"/>
      <c r="AB30" s="103"/>
      <c r="AC30" s="103"/>
      <c r="AD30" s="103"/>
      <c r="AE30" s="103"/>
      <c r="AG30" s="103"/>
      <c r="AH30" s="103"/>
      <c r="AI30" s="103"/>
      <c r="AJ30" s="103"/>
      <c r="AK30" s="103"/>
      <c r="AM30" s="103"/>
      <c r="AN30" s="103"/>
      <c r="AO30" s="103"/>
      <c r="AP30" s="103"/>
      <c r="AQ30" s="103"/>
      <c r="AS30" s="103"/>
      <c r="AT30" s="103"/>
      <c r="AU30" s="103"/>
      <c r="AV30" s="103"/>
      <c r="AW30" s="103"/>
      <c r="AY30" s="103"/>
      <c r="AZ30" s="103"/>
      <c r="BA30" s="103"/>
      <c r="BB30" s="103"/>
      <c r="BC30" s="103"/>
      <c r="BE30" s="103"/>
      <c r="BF30" s="103"/>
      <c r="BG30" s="103"/>
      <c r="BH30" s="103"/>
      <c r="BI30" s="103"/>
      <c r="BK30" s="103"/>
      <c r="BL30" s="103"/>
      <c r="BM30" s="103"/>
      <c r="BN30" s="103"/>
      <c r="BO30" s="103"/>
      <c r="BQ30" s="103"/>
      <c r="BR30" s="103"/>
      <c r="BS30" s="103"/>
      <c r="BT30" s="103"/>
      <c r="BU30" s="103"/>
      <c r="BW30" s="103"/>
      <c r="BX30" s="103"/>
      <c r="BY30" s="103"/>
      <c r="BZ30" s="103"/>
      <c r="CA30" s="103"/>
      <c r="CC30" s="103"/>
      <c r="CD30" s="103"/>
      <c r="CE30" s="103"/>
      <c r="CF30" s="103"/>
      <c r="CG30" s="103"/>
      <c r="CI30" s="103"/>
      <c r="CJ30" s="103"/>
      <c r="CK30" s="103"/>
      <c r="CL30" s="103"/>
      <c r="CM30" s="103"/>
      <c r="CO30" s="103"/>
      <c r="CP30" s="103"/>
      <c r="CQ30" s="103"/>
      <c r="CR30" s="103"/>
      <c r="CS30" s="103"/>
      <c r="CU30" s="103"/>
      <c r="CV30" s="103"/>
      <c r="CW30" s="103"/>
      <c r="CX30" s="103"/>
      <c r="CY30" s="103"/>
      <c r="DA30" s="103"/>
      <c r="DB30" s="103"/>
      <c r="DC30" s="103"/>
      <c r="DD30" s="103"/>
      <c r="DE30" s="103"/>
      <c r="DG30" s="103"/>
      <c r="DH30" s="103"/>
      <c r="DI30" s="103"/>
      <c r="DJ30" s="103"/>
      <c r="DK30" s="103"/>
    </row>
    <row r="31" spans="2:115" ht="15" x14ac:dyDescent="0.3">
      <c r="B31" s="38" t="s">
        <v>41</v>
      </c>
      <c r="C31" s="185">
        <v>1.2999999999999999E-2</v>
      </c>
      <c r="D31" s="186">
        <v>1.2999999999999999E-2</v>
      </c>
      <c r="E31" s="186">
        <v>1.2999999999999999E-2</v>
      </c>
      <c r="F31" s="186">
        <v>1.7000000000000001E-2</v>
      </c>
      <c r="G31" s="191">
        <f>G32/G7/12</f>
        <v>1.403816041609636E-2</v>
      </c>
      <c r="H31" s="136"/>
      <c r="I31" s="185">
        <v>1.2999999999999999E-2</v>
      </c>
      <c r="J31" s="186">
        <v>1.2999999999999999E-2</v>
      </c>
      <c r="K31" s="186">
        <v>1.2999999999999999E-2</v>
      </c>
      <c r="L31" s="187">
        <v>1.2999999999999999E-2</v>
      </c>
      <c r="M31" s="191">
        <f>M32/M7/12</f>
        <v>1.2999999999999998E-2</v>
      </c>
      <c r="N31" s="136"/>
      <c r="O31" s="185">
        <v>1.6E-2</v>
      </c>
      <c r="P31" s="186">
        <v>0.02</v>
      </c>
      <c r="Q31" s="186">
        <v>1.9E-2</v>
      </c>
      <c r="R31" s="187">
        <v>2.8000000000000001E-2</v>
      </c>
      <c r="S31" s="191">
        <f>S32/S7/12</f>
        <v>2.0696332715785474E-2</v>
      </c>
      <c r="T31" s="227"/>
      <c r="U31" s="185">
        <v>1.4999999999999999E-2</v>
      </c>
      <c r="V31" s="186">
        <v>1.6E-2</v>
      </c>
      <c r="W31" s="186">
        <v>1.6E-2</v>
      </c>
      <c r="X31" s="186">
        <v>1.7000000000000001E-2</v>
      </c>
      <c r="Y31" s="191">
        <f>Y32/Y7/12</f>
        <v>1.6002796420581656E-2</v>
      </c>
      <c r="Z31" s="227"/>
      <c r="AA31" s="185">
        <v>1.4999999999999999E-2</v>
      </c>
      <c r="AB31" s="186">
        <v>1.6E-2</v>
      </c>
      <c r="AC31" s="186">
        <v>1.6E-2</v>
      </c>
      <c r="AD31" s="186">
        <v>1.7999999999999999E-2</v>
      </c>
      <c r="AE31" s="191">
        <f>AE32/AE7/12</f>
        <v>1.6238444645394652E-2</v>
      </c>
      <c r="AG31" s="185">
        <v>1.4E-2</v>
      </c>
      <c r="AH31" s="186">
        <v>1.4E-2</v>
      </c>
      <c r="AI31" s="186">
        <v>1.6E-2</v>
      </c>
      <c r="AJ31" s="186">
        <v>1.7000000000000001E-2</v>
      </c>
      <c r="AK31" s="191">
        <f>AK32/AK7/12</f>
        <v>1.5251179795674948E-2</v>
      </c>
      <c r="AM31" s="185">
        <v>1.4999999999999999E-2</v>
      </c>
      <c r="AN31" s="186">
        <v>1.4999999999999999E-2</v>
      </c>
      <c r="AO31" s="186">
        <v>1.4999999999999999E-2</v>
      </c>
      <c r="AP31" s="186">
        <v>1.6E-2</v>
      </c>
      <c r="AQ31" s="191">
        <f>AQ32/AQ7/12</f>
        <v>1.525105680998041E-2</v>
      </c>
      <c r="AS31" s="185">
        <v>1.4999999999999999E-2</v>
      </c>
      <c r="AT31" s="186">
        <v>1.4E-2</v>
      </c>
      <c r="AU31" s="186">
        <v>1.4999999999999999E-2</v>
      </c>
      <c r="AV31" s="186">
        <v>1.6E-2</v>
      </c>
      <c r="AW31" s="191">
        <f>AW32/AW7/12</f>
        <v>1.5003081310957754E-2</v>
      </c>
      <c r="AY31" s="185">
        <v>1.4999999999999999E-2</v>
      </c>
      <c r="AZ31" s="186">
        <v>1.4E-2</v>
      </c>
      <c r="BA31" s="186">
        <v>1.6E-2</v>
      </c>
      <c r="BB31" s="186">
        <v>1.2E-2</v>
      </c>
      <c r="BC31" s="191">
        <f>BC32/BC7/12</f>
        <v>1.4248379883169042E-2</v>
      </c>
      <c r="BE31" s="185">
        <v>1.7999999999999999E-2</v>
      </c>
      <c r="BF31" s="186">
        <v>1.4E-2</v>
      </c>
      <c r="BG31" s="186">
        <v>1.6E-2</v>
      </c>
      <c r="BH31" s="186">
        <v>1.2999999999999999E-2</v>
      </c>
      <c r="BI31" s="191">
        <f>BI32/BI7/12</f>
        <v>1.5263377653370656E-2</v>
      </c>
      <c r="BK31" s="185">
        <v>1.2999999999999999E-2</v>
      </c>
      <c r="BL31" s="186">
        <v>1.2999999999999999E-2</v>
      </c>
      <c r="BM31" s="186">
        <v>1.4999999999999999E-2</v>
      </c>
      <c r="BN31" s="186">
        <v>0.02</v>
      </c>
      <c r="BO31" s="191">
        <f>BO32/BO7/12</f>
        <v>1.5252481606913464E-2</v>
      </c>
      <c r="BQ31" s="185">
        <v>1.4999999999999999E-2</v>
      </c>
      <c r="BR31" s="186">
        <f>BQ31</f>
        <v>1.4999999999999999E-2</v>
      </c>
      <c r="BS31" s="186">
        <f>BR31</f>
        <v>1.4999999999999999E-2</v>
      </c>
      <c r="BT31" s="186">
        <f>BS31</f>
        <v>1.4999999999999999E-2</v>
      </c>
      <c r="BU31" s="191">
        <f>BU32/BU7/12</f>
        <v>1.4999999999999999E-2</v>
      </c>
      <c r="BW31" s="185">
        <v>1.4999999999999999E-2</v>
      </c>
      <c r="BX31" s="186">
        <f>BW31</f>
        <v>1.4999999999999999E-2</v>
      </c>
      <c r="BY31" s="186">
        <f>BX31</f>
        <v>1.4999999999999999E-2</v>
      </c>
      <c r="BZ31" s="186">
        <f>BY31</f>
        <v>1.4999999999999999E-2</v>
      </c>
      <c r="CA31" s="191">
        <f>CA32/CA7/12</f>
        <v>1.4999999999999999E-2</v>
      </c>
      <c r="CC31" s="185">
        <v>1.4500000000000001E-2</v>
      </c>
      <c r="CD31" s="186">
        <f>CC31</f>
        <v>1.4500000000000001E-2</v>
      </c>
      <c r="CE31" s="186">
        <f>CD31</f>
        <v>1.4500000000000001E-2</v>
      </c>
      <c r="CF31" s="186">
        <f>CE31</f>
        <v>1.4500000000000001E-2</v>
      </c>
      <c r="CG31" s="191">
        <f>CG32/CG7/12</f>
        <v>1.4500000000000001E-2</v>
      </c>
      <c r="CI31" s="185">
        <v>1.4E-2</v>
      </c>
      <c r="CJ31" s="186">
        <f>CI31</f>
        <v>1.4E-2</v>
      </c>
      <c r="CK31" s="186">
        <f>CJ31</f>
        <v>1.4E-2</v>
      </c>
      <c r="CL31" s="186">
        <f>CK31</f>
        <v>1.4E-2</v>
      </c>
      <c r="CM31" s="191">
        <f>CM32/CM7/12</f>
        <v>1.4E-2</v>
      </c>
      <c r="CO31" s="185">
        <v>1.4E-2</v>
      </c>
      <c r="CP31" s="186">
        <f>CO31</f>
        <v>1.4E-2</v>
      </c>
      <c r="CQ31" s="186">
        <f>CP31</f>
        <v>1.4E-2</v>
      </c>
      <c r="CR31" s="186">
        <f>CQ31</f>
        <v>1.4E-2</v>
      </c>
      <c r="CS31" s="191">
        <f>CS32/CS7/12</f>
        <v>1.4000000000000004E-2</v>
      </c>
      <c r="CU31" s="185">
        <v>1.4E-2</v>
      </c>
      <c r="CV31" s="186">
        <f>CU31</f>
        <v>1.4E-2</v>
      </c>
      <c r="CW31" s="186">
        <f>CV31</f>
        <v>1.4E-2</v>
      </c>
      <c r="CX31" s="186">
        <f>CW31</f>
        <v>1.4E-2</v>
      </c>
      <c r="CY31" s="191">
        <f>CY32/CY7/12</f>
        <v>1.4E-2</v>
      </c>
      <c r="DA31" s="185">
        <v>1.4E-2</v>
      </c>
      <c r="DB31" s="186">
        <f>DA31</f>
        <v>1.4E-2</v>
      </c>
      <c r="DC31" s="186">
        <f>DB31</f>
        <v>1.4E-2</v>
      </c>
      <c r="DD31" s="186">
        <f>DC31</f>
        <v>1.4E-2</v>
      </c>
      <c r="DE31" s="191">
        <f>DE32/DE7/12</f>
        <v>1.4E-2</v>
      </c>
      <c r="DG31" s="185">
        <v>1.4E-2</v>
      </c>
      <c r="DH31" s="186">
        <f>DG31</f>
        <v>1.4E-2</v>
      </c>
      <c r="DI31" s="186">
        <f>DH31</f>
        <v>1.4E-2</v>
      </c>
      <c r="DJ31" s="186">
        <f>DI31</f>
        <v>1.4E-2</v>
      </c>
      <c r="DK31" s="191">
        <f>DK32/DK7/12</f>
        <v>1.4E-2</v>
      </c>
    </row>
    <row r="32" spans="2:115" ht="15" x14ac:dyDescent="0.3">
      <c r="B32" s="40" t="s">
        <v>45</v>
      </c>
      <c r="C32" s="117">
        <f>C31*3*C7</f>
        <v>173.72550000000001</v>
      </c>
      <c r="D32" s="117">
        <f>D31*3*D7</f>
        <v>175.4025</v>
      </c>
      <c r="E32" s="117">
        <f>E31*3*E7</f>
        <v>178.32749999999999</v>
      </c>
      <c r="F32" s="117">
        <f>F31*3*F7</f>
        <v>241.76550000000003</v>
      </c>
      <c r="G32" s="118">
        <f>C32+D32+E32+F32</f>
        <v>769.221</v>
      </c>
      <c r="I32" s="116">
        <f>I31*3*I7</f>
        <v>190.7295</v>
      </c>
      <c r="J32" s="117">
        <f>J31*3*J7</f>
        <v>195.19499999999999</v>
      </c>
      <c r="K32" s="117">
        <f>K31*3*K7</f>
        <v>199.64099999999999</v>
      </c>
      <c r="L32" s="117">
        <f>L31*3*L7</f>
        <v>205.101</v>
      </c>
      <c r="M32" s="118">
        <f>I32+J32+K32+L32</f>
        <v>790.66649999999993</v>
      </c>
      <c r="N32" s="114"/>
      <c r="O32" s="116">
        <f>O31*3*O7</f>
        <v>257.01600000000002</v>
      </c>
      <c r="P32" s="117">
        <f>P31*3*P7</f>
        <v>318.08999999999997</v>
      </c>
      <c r="Q32" s="117">
        <f>Q31*3*Q7</f>
        <v>298.19549999999998</v>
      </c>
      <c r="R32" s="119">
        <f>R31*3*R7</f>
        <v>433.73400000000004</v>
      </c>
      <c r="S32" s="118">
        <f>O32+P32+Q32+R32</f>
        <v>1307.0355</v>
      </c>
      <c r="U32" s="116">
        <f>U31*3*U7</f>
        <v>230.39999999999998</v>
      </c>
      <c r="V32" s="117">
        <f>V31*3*V7</f>
        <v>246.024</v>
      </c>
      <c r="W32" s="117">
        <f>W31*3*W7</f>
        <v>246.672</v>
      </c>
      <c r="X32" s="119">
        <f>X31*3*X7</f>
        <v>264.05250000000001</v>
      </c>
      <c r="Y32" s="118">
        <f>U32+V32+W32+X32</f>
        <v>987.14850000000001</v>
      </c>
      <c r="AA32" s="116">
        <f>AA31*3*AA7</f>
        <v>224.66249999999999</v>
      </c>
      <c r="AB32" s="117">
        <f>AB31*3*AB7</f>
        <v>229.20000000000002</v>
      </c>
      <c r="AC32" s="117">
        <f>AC31*3*AC7</f>
        <v>229.512</v>
      </c>
      <c r="AD32" s="119">
        <f>AD31*3*AD7</f>
        <v>259.38899999999995</v>
      </c>
      <c r="AE32" s="118">
        <f>AA32+AB32+AC32+AD32</f>
        <v>942.76350000000002</v>
      </c>
      <c r="AG32" s="116">
        <f>AG31*3*AG7</f>
        <v>202.27200000000002</v>
      </c>
      <c r="AH32" s="117">
        <f>AH31*3*AH7</f>
        <v>202.35600000000002</v>
      </c>
      <c r="AI32" s="117">
        <f>AI31*3*AI7</f>
        <v>231.38400000000001</v>
      </c>
      <c r="AJ32" s="119">
        <f>AJ31*3*AJ7</f>
        <v>246.25350000000003</v>
      </c>
      <c r="AK32" s="118">
        <f>AG32+AH32+AI32+AJ32</f>
        <v>882.26550000000009</v>
      </c>
      <c r="AM32" s="116">
        <f>AM31*3*AM7</f>
        <v>217.845</v>
      </c>
      <c r="AN32" s="117">
        <f>AN31*3*AN7</f>
        <v>217.86749999999998</v>
      </c>
      <c r="AO32" s="117">
        <f>AO31*3*AO7</f>
        <v>218.04749999999999</v>
      </c>
      <c r="AP32" s="117">
        <f>AP31*3*AP7</f>
        <v>233.76</v>
      </c>
      <c r="AQ32" s="118">
        <f>AM32+AN32+AO32+AP32</f>
        <v>887.52</v>
      </c>
      <c r="AS32" s="116">
        <f>AS31*3*AS7</f>
        <v>219.71250000000001</v>
      </c>
      <c r="AT32" s="117">
        <f>AT31*3*AT7</f>
        <v>205.29600000000002</v>
      </c>
      <c r="AU32" s="117">
        <f>AU31*3*AU7</f>
        <v>221.19749999999999</v>
      </c>
      <c r="AV32" s="117">
        <f>AV31*3*AV7</f>
        <v>237.52799999999999</v>
      </c>
      <c r="AW32" s="118">
        <f>AS32+AT32+AU32+AV32</f>
        <v>883.73400000000004</v>
      </c>
      <c r="AY32" s="116">
        <f>AY31*3*AY7</f>
        <v>246.17249999999999</v>
      </c>
      <c r="AZ32" s="117">
        <f>AZ31*3*AZ7</f>
        <v>229.71900000000002</v>
      </c>
      <c r="BA32" s="117">
        <f>BA31*3*BA7</f>
        <v>262.99200000000002</v>
      </c>
      <c r="BB32" s="117">
        <f>BB31*3*BB7</f>
        <v>197.74800000000002</v>
      </c>
      <c r="BC32" s="118">
        <f>AY32+AZ32+BA32+BB32</f>
        <v>936.63150000000007</v>
      </c>
      <c r="BE32" s="116">
        <f>BE31*3*BE7</f>
        <v>293.65199999999999</v>
      </c>
      <c r="BF32" s="117">
        <f>BF31*3*BF7</f>
        <v>225.036</v>
      </c>
      <c r="BG32" s="117">
        <f>BG31*3*BG7</f>
        <v>255.48000000000002</v>
      </c>
      <c r="BH32" s="117">
        <f>BH31*3*BH7</f>
        <v>207.34350000000001</v>
      </c>
      <c r="BI32" s="118">
        <f>BE32+BF32+BG32+BH32</f>
        <v>981.51150000000007</v>
      </c>
      <c r="BK32" s="116">
        <f>BK31*3*BK7</f>
        <v>207.40199999999999</v>
      </c>
      <c r="BL32" s="117">
        <f>BL31*3*BL7</f>
        <v>208.53299999999999</v>
      </c>
      <c r="BM32" s="117">
        <f>BM31*3*BM7</f>
        <v>242.79749999999999</v>
      </c>
      <c r="BN32" s="117">
        <f>BN31*3*BN7</f>
        <v>320.82</v>
      </c>
      <c r="BO32" s="118">
        <f>BK32+BL32+BM32+BN32</f>
        <v>979.55250000000001</v>
      </c>
      <c r="BQ32" s="116">
        <f>BQ31*3*BQ7</f>
        <v>237.6225</v>
      </c>
      <c r="BR32" s="117">
        <f>BR31*3*BR7</f>
        <v>236.83499999999998</v>
      </c>
      <c r="BS32" s="117">
        <f>BS31*3*BS7</f>
        <v>236.7225</v>
      </c>
      <c r="BT32" s="119">
        <f>BT31*3*BT7</f>
        <v>236.94749999999999</v>
      </c>
      <c r="BU32" s="118">
        <f>BQ32+BR32+BS32+BT32</f>
        <v>948.12749999999994</v>
      </c>
      <c r="BW32" s="116">
        <f>BW31*3*BW7</f>
        <v>237.17249999999999</v>
      </c>
      <c r="BX32" s="117">
        <f>BX31*3*BX7</f>
        <v>237.51</v>
      </c>
      <c r="BY32" s="117">
        <f>BY31*3*BY7</f>
        <v>238.07249999999999</v>
      </c>
      <c r="BZ32" s="119">
        <f>BZ31*3*BZ7</f>
        <v>238.85999999999999</v>
      </c>
      <c r="CA32" s="118">
        <f>BW32+BX32+BY32+BZ32</f>
        <v>951.61500000000001</v>
      </c>
      <c r="CC32" s="116">
        <f>CC31*3*CC7</f>
        <v>231.44175000000001</v>
      </c>
      <c r="CD32" s="117">
        <f>CD31*3*CD7</f>
        <v>231.76800000000003</v>
      </c>
      <c r="CE32" s="117">
        <f>CE31*3*CE7</f>
        <v>232.31175000000002</v>
      </c>
      <c r="CF32" s="119">
        <f>CF31*3*CF7</f>
        <v>233.07300000000001</v>
      </c>
      <c r="CG32" s="118">
        <f>CC32+CD32+CE32+CF32</f>
        <v>928.59450000000004</v>
      </c>
      <c r="CI32" s="116">
        <f>CI31*3*CI7</f>
        <v>225.66600000000003</v>
      </c>
      <c r="CJ32" s="117">
        <f>CJ31*3*CJ7</f>
        <v>226.29600000000002</v>
      </c>
      <c r="CK32" s="117">
        <f>CK31*3*CK7</f>
        <v>227.13600000000002</v>
      </c>
      <c r="CL32" s="119">
        <f>CL31*3*CL7</f>
        <v>227.97600000000003</v>
      </c>
      <c r="CM32" s="118">
        <f>CI32+CJ32+CK32+CL32</f>
        <v>907.07400000000007</v>
      </c>
      <c r="CO32" s="116">
        <f>CO31*3*CO7</f>
        <v>228.60600000000002</v>
      </c>
      <c r="CP32" s="117">
        <f>CP31*3*CP7</f>
        <v>229.23600000000002</v>
      </c>
      <c r="CQ32" s="117">
        <f>CQ31*3*CQ7</f>
        <v>230.07600000000002</v>
      </c>
      <c r="CR32" s="119">
        <f>CR31*3*CR7</f>
        <v>230.91600000000003</v>
      </c>
      <c r="CS32" s="118">
        <f>CO32+CP32+CQ32+CR32</f>
        <v>918.83400000000017</v>
      </c>
      <c r="CU32" s="116">
        <f>CU31*3*CU7</f>
        <v>231.54600000000002</v>
      </c>
      <c r="CV32" s="117">
        <f>CV31*3*CV7</f>
        <v>232.17600000000002</v>
      </c>
      <c r="CW32" s="117">
        <f>CW31*3*CW7</f>
        <v>233.01600000000002</v>
      </c>
      <c r="CX32" s="119">
        <f>CX31*3*CX7</f>
        <v>233.85600000000002</v>
      </c>
      <c r="CY32" s="118">
        <f>CU32+CV32+CW32+CX32</f>
        <v>930.59400000000005</v>
      </c>
      <c r="DA32" s="116">
        <f>DA31*3*DA7</f>
        <v>234.48600000000002</v>
      </c>
      <c r="DB32" s="117">
        <f>DB31*3*DB7</f>
        <v>235.11600000000001</v>
      </c>
      <c r="DC32" s="117">
        <f>DC31*3*DC7</f>
        <v>235.95600000000002</v>
      </c>
      <c r="DD32" s="119">
        <f>DD31*3*DD7</f>
        <v>236.79600000000002</v>
      </c>
      <c r="DE32" s="118">
        <f>DA32+DB32+DC32+DD32</f>
        <v>942.35400000000004</v>
      </c>
      <c r="DG32" s="116">
        <f>DG31*3*DG7</f>
        <v>237.42600000000002</v>
      </c>
      <c r="DH32" s="117">
        <f>DH31*3*DH7</f>
        <v>238.05600000000001</v>
      </c>
      <c r="DI32" s="117">
        <f>DI31*3*DI7</f>
        <v>238.89600000000002</v>
      </c>
      <c r="DJ32" s="119">
        <f>DJ31*3*DJ7</f>
        <v>239.73600000000002</v>
      </c>
      <c r="DK32" s="118">
        <f>DG32+DH32+DI32+DJ32</f>
        <v>954.11400000000003</v>
      </c>
    </row>
    <row r="33" spans="2:115" ht="15" x14ac:dyDescent="0.3">
      <c r="B33" s="40" t="s">
        <v>42</v>
      </c>
      <c r="C33" s="117">
        <f>C32+C5</f>
        <v>220.72550000000001</v>
      </c>
      <c r="D33" s="117">
        <f>D32+D5</f>
        <v>214.4025</v>
      </c>
      <c r="E33" s="117">
        <f>E32+E5</f>
        <v>289.32749999999999</v>
      </c>
      <c r="F33" s="117">
        <f>F32+F5</f>
        <v>466.76550000000003</v>
      </c>
      <c r="G33" s="118">
        <f>C33+D33+E33+F33</f>
        <v>1191.221</v>
      </c>
      <c r="I33" s="116">
        <f>I32+I5</f>
        <v>265.72950000000003</v>
      </c>
      <c r="J33" s="117">
        <f>J32+J5</f>
        <v>349.19499999999999</v>
      </c>
      <c r="K33" s="117">
        <f>K32+K5</f>
        <v>273.64099999999996</v>
      </c>
      <c r="L33" s="117">
        <f>L32+L5</f>
        <v>411.101</v>
      </c>
      <c r="M33" s="118">
        <f>I33+J33+K33+L33</f>
        <v>1299.6665</v>
      </c>
      <c r="O33" s="116">
        <f>O32+O5</f>
        <v>242.01600000000002</v>
      </c>
      <c r="P33" s="117">
        <f>P32+P5</f>
        <v>227.08999999999997</v>
      </c>
      <c r="Q33" s="117">
        <f>Q32+Q5</f>
        <v>249.19549999999998</v>
      </c>
      <c r="R33" s="119">
        <f>R32+R5</f>
        <v>346.73400000000004</v>
      </c>
      <c r="S33" s="118">
        <f>O33+P33+Q33+R33</f>
        <v>1065.0355</v>
      </c>
      <c r="T33" s="107"/>
      <c r="U33" s="116">
        <f>U32+U5</f>
        <v>230.39999999999998</v>
      </c>
      <c r="V33" s="117">
        <f>V32+V5</f>
        <v>257.024</v>
      </c>
      <c r="W33" s="117">
        <f>W32+W5</f>
        <v>262.67200000000003</v>
      </c>
      <c r="X33" s="119">
        <f>X32+X5</f>
        <v>325.05250000000001</v>
      </c>
      <c r="Y33" s="118">
        <f>U33+V33+W33+X33</f>
        <v>1075.1485</v>
      </c>
      <c r="AA33" s="116">
        <f>AA32</f>
        <v>224.66249999999999</v>
      </c>
      <c r="AB33" s="117">
        <f>AB32+AB5</f>
        <v>225.20000000000002</v>
      </c>
      <c r="AC33" s="117">
        <f>AC32+AC5</f>
        <v>246.512</v>
      </c>
      <c r="AD33" s="119">
        <f>AD32+AD5</f>
        <v>286.38899999999995</v>
      </c>
      <c r="AE33" s="118">
        <f>AA33+AB33+AC33+AD33</f>
        <v>982.76350000000002</v>
      </c>
      <c r="AG33" s="116">
        <f>AG32</f>
        <v>202.27200000000002</v>
      </c>
      <c r="AH33" s="117">
        <f>AH32+AH5</f>
        <v>208.35600000000002</v>
      </c>
      <c r="AI33" s="117">
        <f>AI32+AI5</f>
        <v>230.38400000000001</v>
      </c>
      <c r="AJ33" s="119">
        <f>AJ32+AJ5</f>
        <v>263.25350000000003</v>
      </c>
      <c r="AK33" s="118">
        <f>AG33+AH33+AI33+AJ33</f>
        <v>904.26550000000009</v>
      </c>
      <c r="AM33" s="116">
        <f>AM32</f>
        <v>217.845</v>
      </c>
      <c r="AN33" s="117">
        <f>AN32+AN5</f>
        <v>210.86749999999998</v>
      </c>
      <c r="AO33" s="117">
        <f>AO32+AO5</f>
        <v>233.04749999999999</v>
      </c>
      <c r="AP33" s="117">
        <f>AP32+AP5</f>
        <v>267.76</v>
      </c>
      <c r="AQ33" s="118">
        <f>AM33+AN33+AO33+AP33</f>
        <v>929.52</v>
      </c>
      <c r="AS33" s="116">
        <f>AS32</f>
        <v>219.71250000000001</v>
      </c>
      <c r="AT33" s="117">
        <f>AT32+AT5</f>
        <v>225.29600000000002</v>
      </c>
      <c r="AU33" s="117">
        <f>AU32+AU5</f>
        <v>256.19749999999999</v>
      </c>
      <c r="AV33" s="117">
        <f>AV32+AV5</f>
        <v>268.52800000000002</v>
      </c>
      <c r="AW33" s="118">
        <f>AS33+AT33+AU33+AV33</f>
        <v>969.73400000000004</v>
      </c>
      <c r="AY33" s="116">
        <f>AY32</f>
        <v>246.17249999999999</v>
      </c>
      <c r="AZ33" s="117">
        <f>AZ32+AZ5</f>
        <v>242.71900000000002</v>
      </c>
      <c r="BA33" s="117">
        <f>BA32+BA5</f>
        <v>268.99200000000002</v>
      </c>
      <c r="BB33" s="117">
        <f>BB32+BB5</f>
        <v>219.74800000000002</v>
      </c>
      <c r="BC33" s="118">
        <f>AY33+AZ33+BA33+BB33</f>
        <v>977.63150000000007</v>
      </c>
      <c r="BE33" s="116">
        <f>BE32</f>
        <v>293.65199999999999</v>
      </c>
      <c r="BF33" s="117">
        <f>BF32+BF5</f>
        <v>197.036</v>
      </c>
      <c r="BG33" s="117">
        <f>BG32+BG5</f>
        <v>212.48000000000002</v>
      </c>
      <c r="BH33" s="117">
        <f>BH32+BH5</f>
        <v>238.34350000000001</v>
      </c>
      <c r="BI33" s="118">
        <f>BE33+BF33+BG33+BH33</f>
        <v>941.51150000000007</v>
      </c>
      <c r="BK33" s="116">
        <f>BK32</f>
        <v>207.40199999999999</v>
      </c>
      <c r="BL33" s="117">
        <f>BL32+BL5</f>
        <v>294.53300000000002</v>
      </c>
      <c r="BM33" s="117">
        <f>BM32+BM5</f>
        <v>253.79749999999999</v>
      </c>
      <c r="BN33" s="117">
        <f>BN32+BN5</f>
        <v>212.82</v>
      </c>
      <c r="BO33" s="118">
        <f>BK33+BL33+BM33+BN33</f>
        <v>968.55250000000001</v>
      </c>
      <c r="BQ33" s="116">
        <f>BQ32+BQ5</f>
        <v>212.6225</v>
      </c>
      <c r="BR33" s="117">
        <f>BR32+BR5</f>
        <v>226.83499999999998</v>
      </c>
      <c r="BS33" s="117">
        <f>BS32+BS5</f>
        <v>241.7225</v>
      </c>
      <c r="BT33" s="119">
        <f>BT32+BT5</f>
        <v>241.94749999999999</v>
      </c>
      <c r="BU33" s="118">
        <f>BQ33+BR33+BS33+BT33</f>
        <v>923.12749999999994</v>
      </c>
      <c r="BW33" s="116">
        <f>BW32+BW5</f>
        <v>242.17249999999999</v>
      </c>
      <c r="BX33" s="117">
        <f>BX32+BX5</f>
        <v>247.51</v>
      </c>
      <c r="BY33" s="117">
        <f>BY32+BY5</f>
        <v>253.07249999999999</v>
      </c>
      <c r="BZ33" s="119">
        <f>BZ32+BZ5</f>
        <v>258.86</v>
      </c>
      <c r="CA33" s="118">
        <f>BW33+BX33+BY33+BZ33</f>
        <v>1001.615</v>
      </c>
      <c r="CC33" s="116">
        <f>CC32+CC5</f>
        <v>236.44175000000001</v>
      </c>
      <c r="CD33" s="117">
        <f>CD32+CD5</f>
        <v>241.76800000000003</v>
      </c>
      <c r="CE33" s="117">
        <f>CE32+CE5</f>
        <v>247.31175000000002</v>
      </c>
      <c r="CF33" s="119">
        <f>CF32+CF5</f>
        <v>253.07300000000001</v>
      </c>
      <c r="CG33" s="118">
        <f>CC33+CD33+CE33+CF33</f>
        <v>978.59450000000004</v>
      </c>
      <c r="CI33" s="116">
        <f>CI32+CI5</f>
        <v>235.66600000000003</v>
      </c>
      <c r="CJ33" s="117">
        <f>CJ32+CJ5</f>
        <v>246.29600000000002</v>
      </c>
      <c r="CK33" s="117">
        <f>CK32+CK5</f>
        <v>247.13600000000002</v>
      </c>
      <c r="CL33" s="119">
        <f>CL32+CL5</f>
        <v>247.97600000000003</v>
      </c>
      <c r="CM33" s="118">
        <f>CI33+CJ33+CK33+CL33</f>
        <v>977.07400000000007</v>
      </c>
      <c r="CO33" s="116">
        <f>CO32+CO5</f>
        <v>238.60600000000002</v>
      </c>
      <c r="CP33" s="117">
        <f>CP32+CP5</f>
        <v>249.23600000000002</v>
      </c>
      <c r="CQ33" s="117">
        <f>CQ32+CQ5</f>
        <v>250.07600000000002</v>
      </c>
      <c r="CR33" s="119">
        <f>CR32+CR5</f>
        <v>250.91600000000003</v>
      </c>
      <c r="CS33" s="118">
        <f>CO33+CP33+CQ33+CR33</f>
        <v>988.83400000000017</v>
      </c>
      <c r="CU33" s="116">
        <f>CU32+CU5</f>
        <v>241.54600000000002</v>
      </c>
      <c r="CV33" s="117">
        <f>CV32+CV5</f>
        <v>252.17600000000002</v>
      </c>
      <c r="CW33" s="117">
        <f>CW32+CW5</f>
        <v>253.01600000000002</v>
      </c>
      <c r="CX33" s="119">
        <f>CX32+CX5</f>
        <v>253.85600000000002</v>
      </c>
      <c r="CY33" s="118">
        <f>CU33+CV33+CW33+CX33</f>
        <v>1000.5940000000001</v>
      </c>
      <c r="DA33" s="116">
        <f>DA32+DA5</f>
        <v>244.48600000000002</v>
      </c>
      <c r="DB33" s="117">
        <f>DB32+DB5</f>
        <v>255.11600000000001</v>
      </c>
      <c r="DC33" s="117">
        <f>DC32+DC5</f>
        <v>255.95600000000002</v>
      </c>
      <c r="DD33" s="119">
        <f>DD32+DD5</f>
        <v>256.79600000000005</v>
      </c>
      <c r="DE33" s="118">
        <f>DA33+DB33+DC33+DD33</f>
        <v>1012.354</v>
      </c>
      <c r="DG33" s="116">
        <f>DG32+DG5</f>
        <v>247.42600000000002</v>
      </c>
      <c r="DH33" s="117">
        <f>DH32+DH5</f>
        <v>258.05600000000004</v>
      </c>
      <c r="DI33" s="117">
        <f>DI32+DI5</f>
        <v>258.89600000000002</v>
      </c>
      <c r="DJ33" s="119">
        <f>DJ32+DJ5</f>
        <v>259.73599999999999</v>
      </c>
      <c r="DK33" s="118">
        <f>DG33+DH33+DI33+DJ33</f>
        <v>1024.114</v>
      </c>
    </row>
    <row r="34" spans="2:115" s="135" customFormat="1" ht="15" x14ac:dyDescent="0.3">
      <c r="B34" s="39" t="s">
        <v>43</v>
      </c>
      <c r="C34" s="188">
        <f>C37*1000/C33</f>
        <v>131.38491021653593</v>
      </c>
      <c r="D34" s="189">
        <f>D37*1000/D33</f>
        <v>107.27486852998449</v>
      </c>
      <c r="E34" s="189">
        <f>E37*1000/E33</f>
        <v>93.319853798895721</v>
      </c>
      <c r="F34" s="189">
        <f>F37*1000/F33</f>
        <v>74.984119434705434</v>
      </c>
      <c r="G34" s="192">
        <f>G37*1000/G33</f>
        <v>95.700126173061079</v>
      </c>
      <c r="H34" s="134"/>
      <c r="I34" s="188">
        <f>I37*1000/I33</f>
        <v>90.317409245115797</v>
      </c>
      <c r="J34" s="189">
        <f>J37*1000/J33</f>
        <v>74.456965305917905</v>
      </c>
      <c r="K34" s="189">
        <f>K37*1000/K33</f>
        <v>109.63269393109952</v>
      </c>
      <c r="L34" s="189">
        <f>L37*1000/L33</f>
        <v>75.407260016395</v>
      </c>
      <c r="M34" s="192">
        <f>M37*1000/M33</f>
        <v>85.406525443257934</v>
      </c>
      <c r="N34" s="134"/>
      <c r="O34" s="188">
        <f>O37*1000/O33</f>
        <v>82.639164352770052</v>
      </c>
      <c r="P34" s="189">
        <f>P37*1000/P33</f>
        <v>101.28143026993705</v>
      </c>
      <c r="Q34" s="189">
        <f>Q37*1000/Q33</f>
        <v>104.33575245138857</v>
      </c>
      <c r="R34" s="190">
        <f>R37*1000/R33</f>
        <v>89.40571158294253</v>
      </c>
      <c r="S34" s="192">
        <f>S37*1000/S33</f>
        <v>93.893583828895842</v>
      </c>
      <c r="T34" s="134"/>
      <c r="U34" s="188">
        <f>U37*1000/U33</f>
        <v>104.16666666666667</v>
      </c>
      <c r="V34" s="189">
        <f>V37*1000/V33</f>
        <v>89.485806772908361</v>
      </c>
      <c r="W34" s="189">
        <f>W37*1000/W33</f>
        <v>98.98276177133458</v>
      </c>
      <c r="X34" s="189">
        <f>X37*1000/X33</f>
        <v>98.445635705001493</v>
      </c>
      <c r="Y34" s="192">
        <f>Y37*1000/Y33</f>
        <v>97.660927769512767</v>
      </c>
      <c r="AA34" s="188">
        <f>AA37*1000/AA33</f>
        <v>75.669059144271969</v>
      </c>
      <c r="AB34" s="189">
        <f>AB37*1000/AB33</f>
        <v>75.488454706927172</v>
      </c>
      <c r="AC34" s="189">
        <f>AC37*1000/AC33</f>
        <v>73.018757707535542</v>
      </c>
      <c r="AD34" s="189">
        <f>AD37*1000/AD33</f>
        <v>87.293855560094855</v>
      </c>
      <c r="AE34" s="192">
        <f>AE37*1000/AE33</f>
        <v>78.350488189681442</v>
      </c>
      <c r="AG34" s="188">
        <f>AG37*1000/AG33</f>
        <v>59.326056003796865</v>
      </c>
      <c r="AH34" s="189">
        <f>AH37*1000/AH33</f>
        <v>67.192689435389426</v>
      </c>
      <c r="AI34" s="189">
        <f>AI37*1000/AI33</f>
        <v>78.130425724008603</v>
      </c>
      <c r="AJ34" s="189">
        <f>AJ37*1000/AJ33</f>
        <v>110.15997887967301</v>
      </c>
      <c r="AK34" s="192">
        <f>AK37*1000/AK33</f>
        <v>80.728502856738416</v>
      </c>
      <c r="AM34" s="188">
        <f>AM37*1000/AM33</f>
        <v>146.89343340448485</v>
      </c>
      <c r="AN34" s="189">
        <f>AN37*1000/AN33</f>
        <v>199.1772084365775</v>
      </c>
      <c r="AO34" s="189">
        <f>AO37*1000/AO33</f>
        <v>154.47494609468029</v>
      </c>
      <c r="AP34" s="189">
        <f>AP37*1000/AP33</f>
        <v>149.38751120406334</v>
      </c>
      <c r="AQ34" s="192">
        <f>AQ37*1000/AQ33</f>
        <v>161.37361218693519</v>
      </c>
      <c r="AS34" s="188">
        <f>AS37*1000/AS33</f>
        <v>131.99066962507823</v>
      </c>
      <c r="AT34" s="189">
        <f>AT37*1000/AT33</f>
        <v>142.03536680633476</v>
      </c>
      <c r="AU34" s="189">
        <f>AU37*1000/AU33</f>
        <v>144.41983235589731</v>
      </c>
      <c r="AV34" s="189">
        <f>AV37*1000/AV33</f>
        <v>186.20032175415596</v>
      </c>
      <c r="AW34" s="192">
        <f>AW37*1000/AW33</f>
        <v>152.61917185537476</v>
      </c>
      <c r="AY34" s="188">
        <f>AY37*1000/AY33</f>
        <v>134.05234134600738</v>
      </c>
      <c r="AZ34" s="189">
        <f>AZ37*1000/AZ33</f>
        <v>168.9196148632781</v>
      </c>
      <c r="BA34" s="189">
        <f>BA37*1000/BA33</f>
        <v>118.962645729241</v>
      </c>
      <c r="BB34" s="189">
        <f>BB37*1000/BB33</f>
        <v>218.43202213444488</v>
      </c>
      <c r="BC34" s="192">
        <f>BC37*1000/BC33</f>
        <v>157.52356588346427</v>
      </c>
      <c r="BE34" s="188">
        <f>BE37*1000/BE33</f>
        <v>122.59409096481551</v>
      </c>
      <c r="BF34" s="189">
        <f>BF37*1000/BF33</f>
        <v>218.23423130798432</v>
      </c>
      <c r="BG34" s="189">
        <f>BG37*1000/BG33</f>
        <v>225.90361445783131</v>
      </c>
      <c r="BH34" s="189">
        <f>BH37*1000/BH33</f>
        <v>218.17251152223577</v>
      </c>
      <c r="BI34" s="192">
        <f>BI37*1000/BI33</f>
        <v>190.1198232841553</v>
      </c>
      <c r="BK34" s="188">
        <f>BK37*1000/BK33</f>
        <v>202.5052796019325</v>
      </c>
      <c r="BL34" s="189">
        <f>BL37*1000/BL33</f>
        <v>176.55067513657212</v>
      </c>
      <c r="BM34" s="189">
        <f>BM37*1000/BM33</f>
        <v>240.34909721332954</v>
      </c>
      <c r="BN34" s="189">
        <f>BN37*1000/BN33</f>
        <v>220.84390564796541</v>
      </c>
      <c r="BO34" s="192">
        <f>BO37*1000/BO33</f>
        <v>208.55864808567424</v>
      </c>
      <c r="BQ34" s="188">
        <f>BK34*(1+BQ35)</f>
        <v>182.25475164173926</v>
      </c>
      <c r="BR34" s="189">
        <f>BL34*(1+BR35)</f>
        <v>220.68834392071517</v>
      </c>
      <c r="BS34" s="189">
        <f>BM34*(1+BS35)</f>
        <v>240.34909721332954</v>
      </c>
      <c r="BT34" s="189">
        <f>BN34*(1+BT35)</f>
        <v>204.28061272436801</v>
      </c>
      <c r="BU34" s="192">
        <f>BU37*1000/BU33</f>
        <v>212.6838054575118</v>
      </c>
      <c r="BW34" s="188">
        <f>BQ34*(1+BW35)</f>
        <v>164.02927647756533</v>
      </c>
      <c r="BX34" s="189">
        <f>BR34*(1+BX35)</f>
        <v>204.13671812666155</v>
      </c>
      <c r="BY34" s="189">
        <f>BS34*(1+BY35)</f>
        <v>234.34036978299631</v>
      </c>
      <c r="BZ34" s="189">
        <f>BT34*(1+BZ35)</f>
        <v>194.0665820881496</v>
      </c>
      <c r="CA34" s="192">
        <f>CA37*1000/CA33</f>
        <v>199.46829643379829</v>
      </c>
      <c r="CC34" s="188">
        <f>BW34*(1+CC35)</f>
        <v>172.2307403014436</v>
      </c>
      <c r="CD34" s="189">
        <f>BX34*(1+CD35)</f>
        <v>214.34355403299463</v>
      </c>
      <c r="CE34" s="189">
        <f>BY34*(1+CE35)</f>
        <v>246.05738827214614</v>
      </c>
      <c r="CF34" s="189">
        <f>BZ34*(1+CF35)</f>
        <v>203.76991119255709</v>
      </c>
      <c r="CG34" s="192">
        <f>CG37*1000/CG33</f>
        <v>209.44885347441237</v>
      </c>
      <c r="CI34" s="188">
        <f>CC34*(1+CI35)</f>
        <v>176.53650880897968</v>
      </c>
      <c r="CJ34" s="189">
        <f>CD34*(1+CJ35)</f>
        <v>216.48698957332459</v>
      </c>
      <c r="CK34" s="189">
        <f>CE34*(1+CK35)</f>
        <v>252.20882297894977</v>
      </c>
      <c r="CL34" s="189">
        <f>CF34*(1+CL35)</f>
        <v>208.864158972371</v>
      </c>
      <c r="CM34" s="192">
        <f>CM37*1000/CM33</f>
        <v>213.95176908810078</v>
      </c>
      <c r="CO34" s="188">
        <f>CI34*(1+CO35)</f>
        <v>178.30187389706947</v>
      </c>
      <c r="CP34" s="189">
        <f>CJ34*(1+CP35)</f>
        <v>218.65185946905785</v>
      </c>
      <c r="CQ34" s="189">
        <f>CK34*(1+CQ35)</f>
        <v>254.73091120873926</v>
      </c>
      <c r="CR34" s="189">
        <f>CL34*(1+CR35)</f>
        <v>210.95280056209472</v>
      </c>
      <c r="CS34" s="192">
        <f>CS37*1000/CS33</f>
        <v>216.08614997763982</v>
      </c>
      <c r="CU34" s="188">
        <f>CO34*(1+CU35)</f>
        <v>180.08489263604017</v>
      </c>
      <c r="CV34" s="189">
        <f>CP34*(1+CV35)</f>
        <v>220.83837806374842</v>
      </c>
      <c r="CW34" s="189">
        <f>CQ34*(1+CW35)</f>
        <v>257.27822032082668</v>
      </c>
      <c r="CX34" s="189">
        <f>CR34*(1+CX35)</f>
        <v>213.06232856771567</v>
      </c>
      <c r="CY34" s="192">
        <f>CY37*1000/CY33</f>
        <v>218.24194526136387</v>
      </c>
      <c r="DA34" s="188">
        <f>CU34*(1+DA35)</f>
        <v>181.88574156240057</v>
      </c>
      <c r="DB34" s="189">
        <f>CV34*(1+DB35)</f>
        <v>223.04676184438591</v>
      </c>
      <c r="DC34" s="189">
        <f>CW34*(1+DC35)</f>
        <v>259.85100252403493</v>
      </c>
      <c r="DD34" s="189">
        <f>CX34*(1+DD35)</f>
        <v>215.19295185339283</v>
      </c>
      <c r="DE34" s="192">
        <f>DE37*1000/DE33</f>
        <v>220.41936671609261</v>
      </c>
      <c r="DG34" s="188">
        <f>DA34*(1+DG35)</f>
        <v>183.70459897802456</v>
      </c>
      <c r="DH34" s="189">
        <f>DB34*(1+DH35)</f>
        <v>225.27722946282978</v>
      </c>
      <c r="DI34" s="189">
        <f>DC34*(1+DI35)</f>
        <v>262.44951254927525</v>
      </c>
      <c r="DJ34" s="189">
        <f>DD34*(1+DJ35)</f>
        <v>217.34488137192676</v>
      </c>
      <c r="DK34" s="192">
        <f>DK37*1000/DK33</f>
        <v>222.61862833822468</v>
      </c>
    </row>
    <row r="35" spans="2:115" ht="15.75" thickBot="1" x14ac:dyDescent="0.35">
      <c r="B35" s="41" t="s">
        <v>23</v>
      </c>
      <c r="C35" s="155" t="s">
        <v>35</v>
      </c>
      <c r="D35" s="106" t="s">
        <v>35</v>
      </c>
      <c r="E35" s="106" t="s">
        <v>35</v>
      </c>
      <c r="F35" s="106" t="s">
        <v>35</v>
      </c>
      <c r="G35" s="108" t="s">
        <v>35</v>
      </c>
      <c r="I35" s="109">
        <f>I34/C34-1</f>
        <v>-0.31257395467817906</v>
      </c>
      <c r="J35" s="110">
        <f>J34/D34-1</f>
        <v>-0.3059234998259972</v>
      </c>
      <c r="K35" s="110">
        <f>K34/E34-1</f>
        <v>0.17480567605000719</v>
      </c>
      <c r="L35" s="110">
        <f>L34/F34-1</f>
        <v>5.6430692909319458E-3</v>
      </c>
      <c r="M35" s="122">
        <f>M34/G34-1</f>
        <v>-0.10756099434172661</v>
      </c>
      <c r="O35" s="109">
        <f>O34/I34-1</f>
        <v>-8.5014007338357844E-2</v>
      </c>
      <c r="P35" s="110">
        <f>P34/J34-1</f>
        <v>0.36026804011964098</v>
      </c>
      <c r="Q35" s="110">
        <f>Q34/K34-1</f>
        <v>-4.8315345448319502E-2</v>
      </c>
      <c r="R35" s="120">
        <f>R34/L34-1</f>
        <v>0.18563798185352431</v>
      </c>
      <c r="S35" s="122">
        <f>S34/M34-1</f>
        <v>9.9372481687906911E-2</v>
      </c>
      <c r="U35" s="109">
        <f>U34/O34-1</f>
        <v>0.26050000000000018</v>
      </c>
      <c r="V35" s="110">
        <f>V34/P34-1</f>
        <v>-0.11646383217131495</v>
      </c>
      <c r="W35" s="110">
        <f>W34/Q34-1</f>
        <v>-5.1305430346592074E-2</v>
      </c>
      <c r="X35" s="110">
        <f>X34/R34-1</f>
        <v>0.10111125969477386</v>
      </c>
      <c r="Y35" s="122">
        <f>Y34/S34-1</f>
        <v>4.0123550374669081E-2</v>
      </c>
      <c r="AA35" s="109">
        <f>AA34/U34-1</f>
        <v>-0.27357703221498908</v>
      </c>
      <c r="AB35" s="110">
        <f>AB34/V34-1</f>
        <v>-0.15641980075681516</v>
      </c>
      <c r="AC35" s="110">
        <f>AC34/W34-1</f>
        <v>-0.26230834136331627</v>
      </c>
      <c r="AD35" s="110">
        <f>AD34/X34-1</f>
        <v>-0.11327856298600825</v>
      </c>
      <c r="AE35" s="122">
        <f>AE34/Y34-1</f>
        <v>-0.19772942998663123</v>
      </c>
      <c r="AG35" s="109">
        <f>AG34/AA34-1</f>
        <v>-0.21597999664982281</v>
      </c>
      <c r="AH35" s="110">
        <f>AH34/AB34-1</f>
        <v>-0.10989449053825295</v>
      </c>
      <c r="AI35" s="110">
        <f>AI34/AC34-1</f>
        <v>7.0004861448711431E-2</v>
      </c>
      <c r="AJ35" s="110">
        <f>AJ34/AD34-1</f>
        <v>0.2619442476548266</v>
      </c>
      <c r="AK35" s="122">
        <f>AK34/AE34-1</f>
        <v>3.0350987236990257E-2</v>
      </c>
      <c r="AM35" s="109">
        <f>AM34/AG34-1</f>
        <v>1.4760357134659969</v>
      </c>
      <c r="AN35" s="110">
        <f>AN34/AH34-1</f>
        <v>1.9642690315008244</v>
      </c>
      <c r="AO35" s="110">
        <f>AO34/AI34-1</f>
        <v>0.97714199894871268</v>
      </c>
      <c r="AP35" s="110">
        <f>AP34/AJ34-1</f>
        <v>0.35609604071582379</v>
      </c>
      <c r="AQ35" s="122">
        <f>AQ34/AK34-1</f>
        <v>0.99896698782226112</v>
      </c>
      <c r="AS35" s="109">
        <f>AS34/AM34-1</f>
        <v>-0.10145289298515114</v>
      </c>
      <c r="AT35" s="110">
        <f>AT34/AN34-1</f>
        <v>-0.28688945928488596</v>
      </c>
      <c r="AU35" s="110">
        <f>AU34/AO34-1</f>
        <v>-6.5092197751084102E-2</v>
      </c>
      <c r="AV35" s="110">
        <f>AV34/AP34-1</f>
        <v>0.24642495382231999</v>
      </c>
      <c r="AW35" s="122">
        <f>AW34/AQ34-1</f>
        <v>-5.4249515846613638E-2</v>
      </c>
      <c r="AY35" s="109">
        <f>AY34/AS34-1</f>
        <v>1.5619829240849814E-2</v>
      </c>
      <c r="AZ35" s="110">
        <f>AZ34/AT34-1</f>
        <v>0.18927854844490954</v>
      </c>
      <c r="BA35" s="110">
        <f>BA34/AU34-1</f>
        <v>-0.17627209650764264</v>
      </c>
      <c r="BB35" s="110">
        <f>BB34/AV34-1</f>
        <v>0.17310228079436452</v>
      </c>
      <c r="BC35" s="122">
        <f>BC34/AW34-1</f>
        <v>3.2134848908347058E-2</v>
      </c>
      <c r="BE35" s="109">
        <f>BE34/AY34-1</f>
        <v>-8.5475943695877521E-2</v>
      </c>
      <c r="BF35" s="110">
        <f>BF34/AZ34-1</f>
        <v>0.29194132655713778</v>
      </c>
      <c r="BG35" s="110">
        <f>BG34/BA34-1</f>
        <v>0.89894578313253026</v>
      </c>
      <c r="BH35" s="110">
        <f>BH34/BB34-1</f>
        <v>-1.1880612085776177E-3</v>
      </c>
      <c r="BI35" s="122">
        <f>BI34/BC34-1</f>
        <v>0.20692940270794602</v>
      </c>
      <c r="BK35" s="109">
        <f>BK34/BE34-1</f>
        <v>0.65183556571296331</v>
      </c>
      <c r="BL35" s="110">
        <f>BL34/BF34-1</f>
        <v>-0.19100374822768307</v>
      </c>
      <c r="BM35" s="110">
        <f>BM34/BG34-1</f>
        <v>6.3945336997672131E-2</v>
      </c>
      <c r="BN35" s="110">
        <f>BN34/BH34-1</f>
        <v>1.2244412034727814E-2</v>
      </c>
      <c r="BO35" s="122">
        <f>BO34/BI34-1</f>
        <v>9.698528266544848E-2</v>
      </c>
      <c r="BQ35" s="109">
        <v>-0.1</v>
      </c>
      <c r="BR35" s="110">
        <v>0.25</v>
      </c>
      <c r="BS35" s="110">
        <v>0</v>
      </c>
      <c r="BT35" s="110">
        <v>-7.4999999999999997E-2</v>
      </c>
      <c r="BU35" s="122">
        <f>BU34/BO34-1</f>
        <v>1.9779363789043103E-2</v>
      </c>
      <c r="BW35" s="109">
        <v>-0.1</v>
      </c>
      <c r="BX35" s="110">
        <v>-7.4999999999999997E-2</v>
      </c>
      <c r="BY35" s="110">
        <v>-2.5000000000000001E-2</v>
      </c>
      <c r="BZ35" s="110">
        <v>-0.05</v>
      </c>
      <c r="CA35" s="122">
        <f>CA34/BU34-1</f>
        <v>-6.2136884354147992E-2</v>
      </c>
      <c r="CC35" s="109">
        <v>0.05</v>
      </c>
      <c r="CD35" s="110">
        <v>0.05</v>
      </c>
      <c r="CE35" s="110">
        <v>0.05</v>
      </c>
      <c r="CF35" s="110">
        <v>0.05</v>
      </c>
      <c r="CG35" s="122">
        <f>CG34/CA34-1</f>
        <v>5.0035806286271356E-2</v>
      </c>
      <c r="CI35" s="109">
        <v>2.5000000000000001E-2</v>
      </c>
      <c r="CJ35" s="110">
        <v>0.01</v>
      </c>
      <c r="CK35" s="110">
        <v>2.5000000000000001E-2</v>
      </c>
      <c r="CL35" s="110">
        <v>2.5000000000000001E-2</v>
      </c>
      <c r="CM35" s="122">
        <f>CM34/CG34-1</f>
        <v>2.1498879268100124E-2</v>
      </c>
      <c r="CO35" s="109">
        <v>0.01</v>
      </c>
      <c r="CP35" s="110">
        <v>0.01</v>
      </c>
      <c r="CQ35" s="110">
        <v>0.01</v>
      </c>
      <c r="CR35" s="110">
        <v>0.01</v>
      </c>
      <c r="CS35" s="122">
        <f>CS34/CM34-1</f>
        <v>9.9759908442735856E-3</v>
      </c>
      <c r="CU35" s="109">
        <v>0.01</v>
      </c>
      <c r="CV35" s="110">
        <v>0.01</v>
      </c>
      <c r="CW35" s="110">
        <v>0.01</v>
      </c>
      <c r="CX35" s="110">
        <v>0.01</v>
      </c>
      <c r="CY35" s="122">
        <f>CY34/CS34-1</f>
        <v>9.9765546470569344E-3</v>
      </c>
      <c r="DA35" s="109">
        <v>0.01</v>
      </c>
      <c r="DB35" s="110">
        <v>0.01</v>
      </c>
      <c r="DC35" s="110">
        <v>0.01</v>
      </c>
      <c r="DD35" s="110">
        <v>0.01</v>
      </c>
      <c r="DE35" s="122">
        <f>DE34/CY34-1</f>
        <v>9.9770988208571776E-3</v>
      </c>
      <c r="DG35" s="109">
        <v>0.01</v>
      </c>
      <c r="DH35" s="110">
        <v>0.01</v>
      </c>
      <c r="DI35" s="110">
        <v>0.01</v>
      </c>
      <c r="DJ35" s="110">
        <v>0.01</v>
      </c>
      <c r="DK35" s="122">
        <f>DK34/DE34-1</f>
        <v>9.9776242664049164E-3</v>
      </c>
    </row>
    <row r="36" spans="2:115" ht="15.75" thickBot="1" x14ac:dyDescent="0.35">
      <c r="B36" s="1"/>
      <c r="AA36" s="103"/>
      <c r="AB36" s="103"/>
      <c r="AC36" s="103"/>
      <c r="AD36" s="103"/>
      <c r="AE36" s="103"/>
      <c r="AG36" s="103"/>
      <c r="AH36" s="103"/>
      <c r="AI36" s="103"/>
      <c r="AJ36" s="103"/>
      <c r="AK36" s="103"/>
      <c r="AM36" s="103"/>
      <c r="AN36" s="103"/>
      <c r="AO36" s="103"/>
      <c r="AP36" s="103"/>
      <c r="AQ36" s="103"/>
      <c r="AS36" s="103"/>
      <c r="AT36" s="103"/>
      <c r="AU36" s="103"/>
      <c r="AV36" s="103"/>
      <c r="AW36" s="103"/>
      <c r="AY36" s="103"/>
      <c r="AZ36" s="103"/>
      <c r="BA36" s="103"/>
      <c r="BB36" s="103"/>
      <c r="BC36" s="103"/>
      <c r="BE36" s="103"/>
      <c r="BF36" s="103"/>
      <c r="BG36" s="103"/>
      <c r="BH36" s="103"/>
      <c r="BI36" s="103"/>
      <c r="BK36" s="103"/>
      <c r="BL36" s="103"/>
      <c r="BM36" s="103"/>
      <c r="BN36" s="103"/>
      <c r="BO36" s="103"/>
      <c r="BQ36" s="103"/>
      <c r="BR36" s="103"/>
      <c r="BS36" s="103"/>
      <c r="BT36" s="103"/>
      <c r="BU36" s="103"/>
      <c r="BW36" s="103"/>
      <c r="BX36" s="103"/>
      <c r="BY36" s="103"/>
      <c r="BZ36" s="103"/>
      <c r="CA36" s="103"/>
      <c r="CC36" s="103"/>
      <c r="CD36" s="103"/>
      <c r="CE36" s="103"/>
      <c r="CF36" s="103"/>
      <c r="CG36" s="103"/>
      <c r="CI36" s="103"/>
      <c r="CJ36" s="103"/>
      <c r="CK36" s="103"/>
      <c r="CL36" s="103"/>
      <c r="CM36" s="103"/>
      <c r="CO36" s="103"/>
      <c r="CP36" s="103"/>
      <c r="CQ36" s="103"/>
      <c r="CR36" s="103"/>
      <c r="CS36" s="103"/>
      <c r="CU36" s="103"/>
      <c r="CV36" s="103"/>
      <c r="CW36" s="103"/>
      <c r="CX36" s="103"/>
      <c r="CY36" s="103"/>
      <c r="DA36" s="103"/>
      <c r="DB36" s="103"/>
      <c r="DC36" s="103"/>
      <c r="DD36" s="103"/>
      <c r="DE36" s="103"/>
      <c r="DG36" s="103"/>
      <c r="DH36" s="103"/>
      <c r="DI36" s="103"/>
      <c r="DJ36" s="103"/>
      <c r="DK36" s="103"/>
    </row>
    <row r="37" spans="2:115" s="135" customFormat="1" ht="15" x14ac:dyDescent="0.3">
      <c r="B37" s="139" t="s">
        <v>105</v>
      </c>
      <c r="C37" s="181">
        <f>C40-C28</f>
        <v>29</v>
      </c>
      <c r="D37" s="182">
        <f>D40-D28</f>
        <v>23</v>
      </c>
      <c r="E37" s="182">
        <f>E40-E28</f>
        <v>27</v>
      </c>
      <c r="F37" s="182">
        <f>F40-F28</f>
        <v>35</v>
      </c>
      <c r="G37" s="184">
        <f>C37+D37+E37+F37</f>
        <v>114</v>
      </c>
      <c r="H37" s="134"/>
      <c r="I37" s="181">
        <f>I40-I28</f>
        <v>24</v>
      </c>
      <c r="J37" s="182">
        <f>J40-J28</f>
        <v>26</v>
      </c>
      <c r="K37" s="182">
        <f>K40-K28</f>
        <v>30</v>
      </c>
      <c r="L37" s="182">
        <f>L40-L28</f>
        <v>31</v>
      </c>
      <c r="M37" s="184">
        <f>I37+J37+K37+L37</f>
        <v>111</v>
      </c>
      <c r="N37" s="134"/>
      <c r="O37" s="181">
        <f>O40-O28</f>
        <v>20</v>
      </c>
      <c r="P37" s="182">
        <f>P40-P28</f>
        <v>23</v>
      </c>
      <c r="Q37" s="182">
        <f>Q40-Q28</f>
        <v>26</v>
      </c>
      <c r="R37" s="182">
        <f>R40-R28</f>
        <v>31</v>
      </c>
      <c r="S37" s="184">
        <f>O37+P37+Q37+R37</f>
        <v>100</v>
      </c>
      <c r="T37" s="134"/>
      <c r="U37" s="181">
        <f>U40-U28</f>
        <v>24</v>
      </c>
      <c r="V37" s="182">
        <f>V40-V28</f>
        <v>23</v>
      </c>
      <c r="W37" s="182">
        <f>W40-W28</f>
        <v>26</v>
      </c>
      <c r="X37" s="182">
        <v>32</v>
      </c>
      <c r="Y37" s="184">
        <f>U37+V37+W37+X37</f>
        <v>105</v>
      </c>
      <c r="AA37" s="181">
        <f>AA40-AA28</f>
        <v>17</v>
      </c>
      <c r="AB37" s="182">
        <f>AB40-AB28</f>
        <v>17</v>
      </c>
      <c r="AC37" s="182">
        <f>AC40-AC28</f>
        <v>18</v>
      </c>
      <c r="AD37" s="182">
        <f>AD40-AD28</f>
        <v>25</v>
      </c>
      <c r="AE37" s="184">
        <f>AA37+AB37+AC37+AD37</f>
        <v>77</v>
      </c>
      <c r="AG37" s="181">
        <f>AG40-AG28</f>
        <v>12</v>
      </c>
      <c r="AH37" s="182">
        <f>AH40-AH28</f>
        <v>14</v>
      </c>
      <c r="AI37" s="182">
        <f>AI40-AI28</f>
        <v>18</v>
      </c>
      <c r="AJ37" s="182">
        <f>AJ40-AJ28</f>
        <v>29</v>
      </c>
      <c r="AK37" s="184">
        <f>AG37+AH37+AI37+AJ37</f>
        <v>73</v>
      </c>
      <c r="AM37" s="181">
        <f>AM40-AM28</f>
        <v>32</v>
      </c>
      <c r="AN37" s="182">
        <f>AN40-AN28</f>
        <v>42</v>
      </c>
      <c r="AO37" s="182">
        <f>AO40-AO28</f>
        <v>36</v>
      </c>
      <c r="AP37" s="182">
        <f>AP40-AP28</f>
        <v>40</v>
      </c>
      <c r="AQ37" s="184">
        <f>AM37+AN37+AO37+AP37</f>
        <v>150</v>
      </c>
      <c r="AS37" s="181">
        <f>AS40-AS28</f>
        <v>29</v>
      </c>
      <c r="AT37" s="182">
        <f>AT40-AT28</f>
        <v>32</v>
      </c>
      <c r="AU37" s="182">
        <f>AU40-AU28</f>
        <v>37</v>
      </c>
      <c r="AV37" s="182">
        <f>AV40-AV28</f>
        <v>50</v>
      </c>
      <c r="AW37" s="184">
        <f>AS37+AT37+AU37+AV37</f>
        <v>148</v>
      </c>
      <c r="AY37" s="181">
        <f>AY40-AY28</f>
        <v>33</v>
      </c>
      <c r="AZ37" s="182">
        <f>AZ40-AZ28</f>
        <v>41</v>
      </c>
      <c r="BA37" s="182">
        <f>BA40-BA28</f>
        <v>32</v>
      </c>
      <c r="BB37" s="182">
        <f>BB40-BB28</f>
        <v>48</v>
      </c>
      <c r="BC37" s="184">
        <f>AY37+AZ37+BA37+BB37</f>
        <v>154</v>
      </c>
      <c r="BE37" s="181">
        <f>BE40-BE28</f>
        <v>36</v>
      </c>
      <c r="BF37" s="182">
        <f>BF40-BF28</f>
        <v>43</v>
      </c>
      <c r="BG37" s="182">
        <f>BG40-BG28</f>
        <v>48</v>
      </c>
      <c r="BH37" s="182">
        <f>BH40-BH28</f>
        <v>52</v>
      </c>
      <c r="BI37" s="184">
        <f>BE37+BF37+BG37+BH37</f>
        <v>179</v>
      </c>
      <c r="BK37" s="181">
        <f>BK40-BK28</f>
        <v>42</v>
      </c>
      <c r="BL37" s="182">
        <f>BL40-BL28</f>
        <v>52</v>
      </c>
      <c r="BM37" s="182">
        <f>BM40-BM28</f>
        <v>61</v>
      </c>
      <c r="BN37" s="182">
        <f>BN40-BN28</f>
        <v>47</v>
      </c>
      <c r="BO37" s="184">
        <f>BK37+BL37+BM37+BN37</f>
        <v>202</v>
      </c>
      <c r="BQ37" s="181">
        <f>BQ33*BQ34/1000</f>
        <v>38.751460930945711</v>
      </c>
      <c r="BR37" s="182">
        <f>BR33*BR34/1000</f>
        <v>50.059840493255422</v>
      </c>
      <c r="BS37" s="182">
        <f>BS33*BS34/1000</f>
        <v>58.097784651149048</v>
      </c>
      <c r="BT37" s="182">
        <f>BT33*BT34/1000</f>
        <v>49.425183547129024</v>
      </c>
      <c r="BU37" s="184">
        <f>BQ37+BR37+BS37+BT37</f>
        <v>196.33426962247921</v>
      </c>
      <c r="BW37" s="181">
        <f>BW33*BW34/1000</f>
        <v>39.723379957763186</v>
      </c>
      <c r="BX37" s="182">
        <f>BX33*BX34/1000</f>
        <v>50.525879103529995</v>
      </c>
      <c r="BY37" s="182">
        <f>BY33*BY34/1000</f>
        <v>59.305103231907324</v>
      </c>
      <c r="BZ37" s="182">
        <f>BZ33*BZ34/1000</f>
        <v>50.236075439338407</v>
      </c>
      <c r="CA37" s="184">
        <f>BW37+BX37+BY37+BZ37</f>
        <v>199.79043773253889</v>
      </c>
      <c r="CC37" s="181">
        <f>CC33*CC34/1000</f>
        <v>40.722537640668854</v>
      </c>
      <c r="CD37" s="182">
        <f>CD33*CD34/1000</f>
        <v>51.82141237144905</v>
      </c>
      <c r="CE37" s="182">
        <f>CE33*CE34/1000</f>
        <v>60.852883294013942</v>
      </c>
      <c r="CF37" s="182">
        <f>CF33*CF34/1000</f>
        <v>51.568662735234</v>
      </c>
      <c r="CG37" s="184">
        <f>CC37+CD37+CE37+CF37</f>
        <v>204.96549604136584</v>
      </c>
      <c r="CI37" s="181">
        <f>CI33*CI34/1000</f>
        <v>41.603652884977009</v>
      </c>
      <c r="CJ37" s="182">
        <f>CJ33*CJ34/1000</f>
        <v>53.319879583951561</v>
      </c>
      <c r="CK37" s="182">
        <f>CK33*CK34/1000</f>
        <v>62.329879675725735</v>
      </c>
      <c r="CL37" s="182">
        <f>CL33*CL34/1000</f>
        <v>51.79329868533268</v>
      </c>
      <c r="CM37" s="184">
        <f>CI37+CJ37+CK37+CL37</f>
        <v>209.04671082998698</v>
      </c>
      <c r="CO37" s="181">
        <f>CO33*CO34/1000</f>
        <v>42.543896923084162</v>
      </c>
      <c r="CP37" s="182">
        <f>CP33*CP34/1000</f>
        <v>54.495914846630107</v>
      </c>
      <c r="CQ37" s="182">
        <f>CQ33*CQ34/1000</f>
        <v>63.702087351436681</v>
      </c>
      <c r="CR37" s="182">
        <f>CR33*CR34/1000</f>
        <v>52.931432905838562</v>
      </c>
      <c r="CS37" s="184">
        <f>CO37+CP37+CQ37+CR37</f>
        <v>213.67333202698953</v>
      </c>
      <c r="CU37" s="181">
        <f>CU33*CU34/1000</f>
        <v>43.498785476664963</v>
      </c>
      <c r="CV37" s="182">
        <f>CV33*CV34/1000</f>
        <v>55.690138826603828</v>
      </c>
      <c r="CW37" s="182">
        <f>CW33*CW34/1000</f>
        <v>65.095506192694288</v>
      </c>
      <c r="CX37" s="182">
        <f>CX33*CX34/1000</f>
        <v>54.087150480886031</v>
      </c>
      <c r="CY37" s="184">
        <f>CU37+CV37+CW37+CX37</f>
        <v>218.37158097684912</v>
      </c>
      <c r="DA37" s="181">
        <f>DA33*DA34/1000</f>
        <v>44.468517411625072</v>
      </c>
      <c r="DB37" s="182">
        <f>DB33*DB34/1000</f>
        <v>56.90279769469236</v>
      </c>
      <c r="DC37" s="182">
        <f>DC33*DC34/1000</f>
        <v>66.510423202041892</v>
      </c>
      <c r="DD37" s="182">
        <f>DD33*DD34/1000</f>
        <v>55.260689264143878</v>
      </c>
      <c r="DE37" s="184">
        <f>DA37+DB37+DC37+DD37</f>
        <v>223.14242757250321</v>
      </c>
      <c r="DG37" s="181">
        <f>DG33*DG34/1000</f>
        <v>45.453294106736706</v>
      </c>
      <c r="DH37" s="182">
        <f>DH33*DH34/1000</f>
        <v>58.134140726260014</v>
      </c>
      <c r="DI37" s="182">
        <f>DI33*DI34/1000</f>
        <v>67.947129000957162</v>
      </c>
      <c r="DJ37" s="182">
        <f>DJ33*DJ34/1000</f>
        <v>56.452290108018765</v>
      </c>
      <c r="DK37" s="184">
        <f>DG37+DH37+DI37+DJ37</f>
        <v>227.98685394197264</v>
      </c>
    </row>
    <row r="38" spans="2:115" ht="15" x14ac:dyDescent="0.3">
      <c r="B38" s="5" t="s">
        <v>23</v>
      </c>
      <c r="C38" s="144" t="s">
        <v>35</v>
      </c>
      <c r="D38" s="107" t="s">
        <v>35</v>
      </c>
      <c r="E38" s="107" t="s">
        <v>35</v>
      </c>
      <c r="F38" s="107" t="s">
        <v>35</v>
      </c>
      <c r="G38" s="138" t="s">
        <v>35</v>
      </c>
      <c r="H38" s="107"/>
      <c r="I38" s="151">
        <f>I37/C37-1</f>
        <v>-0.17241379310344829</v>
      </c>
      <c r="J38" s="133">
        <f>J37/D37-1</f>
        <v>0.13043478260869557</v>
      </c>
      <c r="K38" s="133">
        <f>K37/E37-1</f>
        <v>0.11111111111111116</v>
      </c>
      <c r="L38" s="133">
        <f>L37/F37-1</f>
        <v>-0.11428571428571432</v>
      </c>
      <c r="M38" s="153">
        <f>M37/G37-1</f>
        <v>-2.6315789473684181E-2</v>
      </c>
      <c r="N38" s="107"/>
      <c r="O38" s="151">
        <f>O37/I37-1</f>
        <v>-0.16666666666666663</v>
      </c>
      <c r="P38" s="133">
        <f>P37/J37-1</f>
        <v>-0.11538461538461542</v>
      </c>
      <c r="Q38" s="133">
        <f>Q37/K37-1</f>
        <v>-0.1333333333333333</v>
      </c>
      <c r="R38" s="133">
        <f>R37/L37-1</f>
        <v>0</v>
      </c>
      <c r="S38" s="153">
        <f>S37/M37-1</f>
        <v>-9.9099099099099086E-2</v>
      </c>
      <c r="T38" s="107"/>
      <c r="U38" s="151">
        <f>U37/O37-1</f>
        <v>0.19999999999999996</v>
      </c>
      <c r="V38" s="133">
        <f>V37/P37-1</f>
        <v>0</v>
      </c>
      <c r="W38" s="133">
        <f>W37/Q37-1</f>
        <v>0</v>
      </c>
      <c r="X38" s="133">
        <f>X37/R37-1</f>
        <v>3.2258064516129004E-2</v>
      </c>
      <c r="Y38" s="153">
        <f>Y37/S37-1</f>
        <v>5.0000000000000044E-2</v>
      </c>
      <c r="AA38" s="151">
        <f>AA37/U37-1</f>
        <v>-0.29166666666666663</v>
      </c>
      <c r="AB38" s="133">
        <f>AB37/V37-1</f>
        <v>-0.26086956521739135</v>
      </c>
      <c r="AC38" s="133">
        <f>AC37/W37-1</f>
        <v>-0.30769230769230771</v>
      </c>
      <c r="AD38" s="133">
        <f>AD37/X37-1</f>
        <v>-0.21875</v>
      </c>
      <c r="AE38" s="153">
        <f>AE37/Y37-1</f>
        <v>-0.26666666666666672</v>
      </c>
      <c r="AG38" s="151">
        <f>AG37/AA37-1</f>
        <v>-0.29411764705882348</v>
      </c>
      <c r="AH38" s="133">
        <f>AH37/AB37-1</f>
        <v>-0.17647058823529416</v>
      </c>
      <c r="AI38" s="133">
        <f>AI37/AC37-1</f>
        <v>0</v>
      </c>
      <c r="AJ38" s="133">
        <f>AJ37/AD37-1</f>
        <v>0.15999999999999992</v>
      </c>
      <c r="AK38" s="153">
        <f>AK37/AE37-1</f>
        <v>-5.1948051948051965E-2</v>
      </c>
      <c r="AM38" s="151">
        <f>AM37/AG37-1</f>
        <v>1.6666666666666665</v>
      </c>
      <c r="AN38" s="133">
        <f>AN37/AH37-1</f>
        <v>2</v>
      </c>
      <c r="AO38" s="133">
        <f>AO37/AI37-1</f>
        <v>1</v>
      </c>
      <c r="AP38" s="133">
        <f>AP37/AJ37-1</f>
        <v>0.3793103448275863</v>
      </c>
      <c r="AQ38" s="153">
        <f>AQ37/AK37-1</f>
        <v>1.0547945205479454</v>
      </c>
      <c r="AS38" s="151">
        <f>AS37/AM37-1</f>
        <v>-9.375E-2</v>
      </c>
      <c r="AT38" s="133">
        <f>AT37/AN37-1</f>
        <v>-0.23809523809523814</v>
      </c>
      <c r="AU38" s="133">
        <f>AU37/AO37-1</f>
        <v>2.7777777777777679E-2</v>
      </c>
      <c r="AV38" s="133">
        <f>AV37/AP37-1</f>
        <v>0.25</v>
      </c>
      <c r="AW38" s="153">
        <f>AW37/AQ37-1</f>
        <v>-1.3333333333333308E-2</v>
      </c>
      <c r="AY38" s="151">
        <f>AY37/AS37-1</f>
        <v>0.13793103448275867</v>
      </c>
      <c r="AZ38" s="133">
        <f>AZ37/AT37-1</f>
        <v>0.28125</v>
      </c>
      <c r="BA38" s="133">
        <f>BA37/AU37-1</f>
        <v>-0.13513513513513509</v>
      </c>
      <c r="BB38" s="133">
        <f>BB37/AV37-1</f>
        <v>-4.0000000000000036E-2</v>
      </c>
      <c r="BC38" s="153">
        <f>BC37/AW37-1</f>
        <v>4.0540540540540571E-2</v>
      </c>
      <c r="BE38" s="151">
        <f>BE37/AY37-1</f>
        <v>9.0909090909090828E-2</v>
      </c>
      <c r="BF38" s="133">
        <f>BF37/AZ37-1</f>
        <v>4.8780487804878092E-2</v>
      </c>
      <c r="BG38" s="133">
        <f>BG37/BA37-1</f>
        <v>0.5</v>
      </c>
      <c r="BH38" s="133">
        <f>BH37/BB37-1</f>
        <v>8.3333333333333259E-2</v>
      </c>
      <c r="BI38" s="153">
        <f>BI37/BC37-1</f>
        <v>0.16233766233766245</v>
      </c>
      <c r="BK38" s="151">
        <f>BK37/BE37-1</f>
        <v>0.16666666666666674</v>
      </c>
      <c r="BL38" s="133">
        <f>BL37/BF37-1</f>
        <v>0.20930232558139528</v>
      </c>
      <c r="BM38" s="133">
        <f>BM37/BG37-1</f>
        <v>0.27083333333333326</v>
      </c>
      <c r="BN38" s="133">
        <f>BN37/BH37-1</f>
        <v>-9.6153846153846145E-2</v>
      </c>
      <c r="BO38" s="153">
        <f>BO37/BI37-1</f>
        <v>0.12849162011173187</v>
      </c>
      <c r="BQ38" s="151">
        <f>BQ37/BK37-1</f>
        <v>-7.7346168310816421E-2</v>
      </c>
      <c r="BR38" s="133">
        <f>BR37/BL37-1</f>
        <v>-3.7310759745088018E-2</v>
      </c>
      <c r="BS38" s="133">
        <f>BS37/BM37-1</f>
        <v>-4.7577300800835221E-2</v>
      </c>
      <c r="BT38" s="133">
        <f>BT37/BN37-1</f>
        <v>5.1599649938915304E-2</v>
      </c>
      <c r="BU38" s="153">
        <f>BU37/BO37-1</f>
        <v>-2.8048170185746457E-2</v>
      </c>
      <c r="BW38" s="151">
        <f>BW37/BQ37-1</f>
        <v>2.5080835753506614E-2</v>
      </c>
      <c r="BX38" s="133">
        <f>BX37/BR37-1</f>
        <v>9.309630348050435E-3</v>
      </c>
      <c r="BY38" s="133">
        <f>BY37/BS37-1</f>
        <v>2.0780802366349826E-2</v>
      </c>
      <c r="BZ38" s="133">
        <f>BZ37/BT37-1</f>
        <v>1.6406451812893463E-2</v>
      </c>
      <c r="CA38" s="153">
        <f>CA37/BU37-1</f>
        <v>1.7603488767933273E-2</v>
      </c>
      <c r="CC38" s="151">
        <f>CC37/BW37-1</f>
        <v>2.5152886888478498E-2</v>
      </c>
      <c r="CD38" s="133">
        <f>CD37/BX37-1</f>
        <v>2.564098420265859E-2</v>
      </c>
      <c r="CE38" s="133">
        <f>CE37/BY37-1</f>
        <v>2.6098598227780823E-2</v>
      </c>
      <c r="CF38" s="133">
        <f>CF37/BZ37-1</f>
        <v>2.6526500811249409E-2</v>
      </c>
      <c r="CG38" s="153">
        <f>CG37/CA37-1</f>
        <v>2.5902432406474052E-2</v>
      </c>
      <c r="CI38" s="151">
        <f>CI37/CC37-1</f>
        <v>2.163704168151348E-2</v>
      </c>
      <c r="CJ38" s="133">
        <f>CJ37/CD37-1</f>
        <v>2.8915985572946168E-2</v>
      </c>
      <c r="CK38" s="133">
        <f>CK37/CE37-1</f>
        <v>2.4271592433436684E-2</v>
      </c>
      <c r="CL38" s="133">
        <f>CL37/CF37-1</f>
        <v>4.3560553674237834E-3</v>
      </c>
      <c r="CM38" s="153">
        <f>CM37/CG37-1</f>
        <v>1.9911716203186991E-2</v>
      </c>
      <c r="CO38" s="151">
        <f>CO37/CI37-1</f>
        <v>2.2600035643665084E-2</v>
      </c>
      <c r="CP38" s="133">
        <f>CP37/CJ37-1</f>
        <v>2.2056225030045118E-2</v>
      </c>
      <c r="CQ38" s="133">
        <f>CQ37/CK37-1</f>
        <v>2.2015246665803456E-2</v>
      </c>
      <c r="CR38" s="133">
        <f>CR37/CL37-1</f>
        <v>2.1974545923798994E-2</v>
      </c>
      <c r="CS38" s="153">
        <f>CS37/CM37-1</f>
        <v>2.2131997095927947E-2</v>
      </c>
      <c r="CU38" s="151">
        <f>CU37/CO37-1</f>
        <v>2.2444783450541905E-2</v>
      </c>
      <c r="CV38" s="133">
        <f>CV37/CP37-1</f>
        <v>2.1914009212152363E-2</v>
      </c>
      <c r="CW38" s="133">
        <f>CW37/CQ37-1</f>
        <v>2.1873990306946922E-2</v>
      </c>
      <c r="CX38" s="133">
        <f>CX37/CR37-1</f>
        <v>2.1834239347032547E-2</v>
      </c>
      <c r="CY38" s="153">
        <f>CY37/CS37-1</f>
        <v>2.1987998714159351E-2</v>
      </c>
      <c r="DA38" s="151">
        <f>DA37/CU37-1</f>
        <v>2.2293310590943305E-2</v>
      </c>
      <c r="DB38" s="133">
        <f>DB37/CV37-1</f>
        <v>2.1775109447370156E-2</v>
      </c>
      <c r="DC38" s="133">
        <f>DC37/CW37-1</f>
        <v>2.173601669459635E-2</v>
      </c>
      <c r="DD38" s="133">
        <f>DD37/CX37-1</f>
        <v>2.1697182654733638E-2</v>
      </c>
      <c r="DE38" s="153">
        <f>DE37/CY37-1</f>
        <v>2.184737855682739E-2</v>
      </c>
      <c r="DG38" s="151">
        <f>DG37/DA37-1</f>
        <v>2.2145480722822297E-2</v>
      </c>
      <c r="DH38" s="133">
        <f>DH37/DB37-1</f>
        <v>2.1639411091425309E-2</v>
      </c>
      <c r="DI38" s="133">
        <f>DI37/DC37-1</f>
        <v>2.1601212708433959E-2</v>
      </c>
      <c r="DJ38" s="133">
        <f>DJ37/DD37-1</f>
        <v>2.1563264225299195E-2</v>
      </c>
      <c r="DK38" s="153">
        <f>DK37/DE37-1</f>
        <v>2.171001912173498E-2</v>
      </c>
    </row>
    <row r="39" spans="2:115" ht="15" x14ac:dyDescent="0.3">
      <c r="B39" s="5"/>
      <c r="C39" s="144"/>
      <c r="D39" s="107"/>
      <c r="E39" s="107"/>
      <c r="F39" s="145"/>
      <c r="G39" s="138"/>
      <c r="I39" s="144"/>
      <c r="J39" s="107"/>
      <c r="K39" s="107"/>
      <c r="L39" s="107"/>
      <c r="M39" s="138"/>
      <c r="O39" s="144"/>
      <c r="P39" s="107"/>
      <c r="Q39" s="107"/>
      <c r="R39" s="145"/>
      <c r="S39" s="138"/>
      <c r="U39" s="144"/>
      <c r="V39" s="107"/>
      <c r="W39" s="107"/>
      <c r="X39" s="107"/>
      <c r="Y39" s="138"/>
      <c r="AA39" s="144"/>
      <c r="AB39" s="107"/>
      <c r="AC39" s="107"/>
      <c r="AD39" s="107"/>
      <c r="AE39" s="138"/>
      <c r="AG39" s="144"/>
      <c r="AH39" s="107"/>
      <c r="AI39" s="107"/>
      <c r="AJ39" s="107"/>
      <c r="AK39" s="138"/>
      <c r="AM39" s="144"/>
      <c r="AN39" s="107"/>
      <c r="AO39" s="107"/>
      <c r="AP39" s="107"/>
      <c r="AQ39" s="138"/>
      <c r="AS39" s="144"/>
      <c r="AT39" s="107"/>
      <c r="AU39" s="107"/>
      <c r="AV39" s="107"/>
      <c r="AW39" s="138"/>
      <c r="AY39" s="144"/>
      <c r="AZ39" s="107"/>
      <c r="BA39" s="107"/>
      <c r="BB39" s="107"/>
      <c r="BC39" s="138"/>
      <c r="BE39" s="144"/>
      <c r="BF39" s="107"/>
      <c r="BG39" s="107"/>
      <c r="BH39" s="107"/>
      <c r="BI39" s="138"/>
      <c r="BK39" s="144"/>
      <c r="BL39" s="107"/>
      <c r="BM39" s="107"/>
      <c r="BN39" s="107"/>
      <c r="BO39" s="138"/>
      <c r="BQ39" s="144"/>
      <c r="BR39" s="107"/>
      <c r="BS39" s="107"/>
      <c r="BT39" s="107"/>
      <c r="BU39" s="138"/>
      <c r="BW39" s="144"/>
      <c r="BX39" s="107"/>
      <c r="BY39" s="107"/>
      <c r="BZ39" s="107"/>
      <c r="CA39" s="138"/>
      <c r="CC39" s="144"/>
      <c r="CD39" s="107"/>
      <c r="CE39" s="107"/>
      <c r="CF39" s="107"/>
      <c r="CG39" s="138"/>
      <c r="CI39" s="144"/>
      <c r="CJ39" s="107"/>
      <c r="CK39" s="107"/>
      <c r="CL39" s="107"/>
      <c r="CM39" s="138"/>
      <c r="CO39" s="144"/>
      <c r="CP39" s="107"/>
      <c r="CQ39" s="107"/>
      <c r="CR39" s="107"/>
      <c r="CS39" s="138"/>
      <c r="CU39" s="144"/>
      <c r="CV39" s="107"/>
      <c r="CW39" s="107"/>
      <c r="CX39" s="107"/>
      <c r="CY39" s="138"/>
      <c r="DA39" s="144"/>
      <c r="DB39" s="107"/>
      <c r="DC39" s="107"/>
      <c r="DD39" s="107"/>
      <c r="DE39" s="138"/>
      <c r="DG39" s="144"/>
      <c r="DH39" s="107"/>
      <c r="DI39" s="107"/>
      <c r="DJ39" s="107"/>
      <c r="DK39" s="138"/>
    </row>
    <row r="40" spans="2:115" s="135" customFormat="1" ht="15" x14ac:dyDescent="0.3">
      <c r="B40" s="105" t="s">
        <v>58</v>
      </c>
      <c r="C40" s="156">
        <v>265</v>
      </c>
      <c r="D40" s="157">
        <v>278</v>
      </c>
      <c r="E40" s="157">
        <v>287</v>
      </c>
      <c r="F40" s="158">
        <v>288</v>
      </c>
      <c r="G40" s="159">
        <f>C40+D40+E40+F40</f>
        <v>1118</v>
      </c>
      <c r="H40" s="160"/>
      <c r="I40" s="156">
        <v>258</v>
      </c>
      <c r="J40" s="157">
        <v>282</v>
      </c>
      <c r="K40" s="157">
        <v>305</v>
      </c>
      <c r="L40" s="157">
        <v>272</v>
      </c>
      <c r="M40" s="159">
        <f>I40+J40+K40+L40</f>
        <v>1117</v>
      </c>
      <c r="N40" s="160"/>
      <c r="O40" s="156">
        <v>218</v>
      </c>
      <c r="P40" s="157">
        <v>235</v>
      </c>
      <c r="Q40" s="157">
        <v>253</v>
      </c>
      <c r="R40" s="158">
        <v>254</v>
      </c>
      <c r="S40" s="159">
        <f>O40+P40+Q40+R40</f>
        <v>960</v>
      </c>
      <c r="T40" s="160"/>
      <c r="U40" s="156">
        <v>230</v>
      </c>
      <c r="V40" s="157">
        <v>236</v>
      </c>
      <c r="W40" s="157">
        <v>240</v>
      </c>
      <c r="X40" s="157">
        <f>X28+X37</f>
        <v>244</v>
      </c>
      <c r="Y40" s="159">
        <f>U40+V40+W40+X40</f>
        <v>950</v>
      </c>
      <c r="Z40" s="440"/>
      <c r="AA40" s="156">
        <v>194</v>
      </c>
      <c r="AB40" s="157">
        <v>208</v>
      </c>
      <c r="AC40" s="157">
        <v>208</v>
      </c>
      <c r="AD40" s="157">
        <v>192</v>
      </c>
      <c r="AE40" s="159">
        <f>AA40+AB40+AC40+AD40</f>
        <v>802</v>
      </c>
      <c r="AF40" s="247"/>
      <c r="AG40" s="156">
        <v>175</v>
      </c>
      <c r="AH40" s="157">
        <v>182</v>
      </c>
      <c r="AI40" s="157">
        <v>199</v>
      </c>
      <c r="AJ40" s="157">
        <v>208</v>
      </c>
      <c r="AK40" s="159">
        <f>AG40+AH40+AI40+AJ40</f>
        <v>764</v>
      </c>
      <c r="AM40" s="156">
        <v>191</v>
      </c>
      <c r="AN40" s="157">
        <v>208</v>
      </c>
      <c r="AO40" s="157">
        <v>206</v>
      </c>
      <c r="AP40" s="157">
        <v>208</v>
      </c>
      <c r="AQ40" s="159">
        <f>AM40+AN40+AO40+AP40</f>
        <v>813</v>
      </c>
      <c r="AS40" s="156">
        <v>186</v>
      </c>
      <c r="AT40" s="157">
        <v>199</v>
      </c>
      <c r="AU40" s="157">
        <v>207</v>
      </c>
      <c r="AV40" s="157">
        <v>220</v>
      </c>
      <c r="AW40" s="159">
        <f>AS40+AT40+AU40+AV40</f>
        <v>812</v>
      </c>
      <c r="AY40" s="156">
        <v>217</v>
      </c>
      <c r="AZ40" s="157">
        <v>219</v>
      </c>
      <c r="BA40" s="157">
        <v>213</v>
      </c>
      <c r="BB40" s="157">
        <v>226</v>
      </c>
      <c r="BC40" s="159">
        <f>AY40+AZ40+BA40+BB40</f>
        <v>875</v>
      </c>
      <c r="BE40" s="156">
        <v>209</v>
      </c>
      <c r="BF40" s="157">
        <v>220</v>
      </c>
      <c r="BG40" s="157">
        <v>227</v>
      </c>
      <c r="BH40" s="157">
        <v>229</v>
      </c>
      <c r="BI40" s="159">
        <f>BE40+BF40+BG40+BH40</f>
        <v>885</v>
      </c>
      <c r="BK40" s="156">
        <v>217</v>
      </c>
      <c r="BL40" s="157">
        <v>232</v>
      </c>
      <c r="BM40" s="157">
        <v>252</v>
      </c>
      <c r="BN40" s="157">
        <v>242</v>
      </c>
      <c r="BO40" s="159">
        <f>BK40+BL40+BM40+BN40</f>
        <v>943</v>
      </c>
      <c r="BQ40" s="156">
        <f>BQ28+BQ37</f>
        <v>231.93404769501007</v>
      </c>
      <c r="BR40" s="157">
        <f>BR28+BR37</f>
        <v>245.0962013046238</v>
      </c>
      <c r="BS40" s="157">
        <f>BS28+BS37</f>
        <v>257.81268156621582</v>
      </c>
      <c r="BT40" s="157">
        <f>BT28+BT37</f>
        <v>251.52367907607649</v>
      </c>
      <c r="BU40" s="159">
        <f>BQ40+BR40+BS40+BT40</f>
        <v>986.36660964192617</v>
      </c>
      <c r="BW40" s="156">
        <f>BW28+BW37</f>
        <v>238.0963602558549</v>
      </c>
      <c r="BX40" s="157">
        <f>BX28+BX37</f>
        <v>250.64630759894919</v>
      </c>
      <c r="BY40" s="157">
        <f>BY28+BY37</f>
        <v>263.03754683822075</v>
      </c>
      <c r="BZ40" s="157">
        <f>BZ28+BZ37</f>
        <v>255.77542399854681</v>
      </c>
      <c r="CA40" s="159">
        <f>BW40+BX40+BY40+BZ40</f>
        <v>1007.5556386915716</v>
      </c>
      <c r="CC40" s="156">
        <f>CC28+CC37</f>
        <v>241.82872834186284</v>
      </c>
      <c r="CD40" s="157">
        <f>CD28+CD37</f>
        <v>254.2376319184109</v>
      </c>
      <c r="CE40" s="157">
        <f>CE28+CE37</f>
        <v>267.24769748404907</v>
      </c>
      <c r="CF40" s="157">
        <f>CF28+CF37</f>
        <v>259.94746194661263</v>
      </c>
      <c r="CG40" s="159">
        <f>CC40+CD40+CE40+CF40</f>
        <v>1023.2615196909354</v>
      </c>
      <c r="CI40" s="156">
        <f>CI28+CI37</f>
        <v>244.96537149721996</v>
      </c>
      <c r="CJ40" s="157">
        <f>CJ28+CJ37</f>
        <v>257.87709850672348</v>
      </c>
      <c r="CK40" s="157">
        <f>CK28+CK37</f>
        <v>271.488956920411</v>
      </c>
      <c r="CL40" s="157">
        <f>CL28+CL37</f>
        <v>263.19546672879949</v>
      </c>
      <c r="CM40" s="159">
        <f>CI40+CJ40+CK40+CL40</f>
        <v>1037.5268936531538</v>
      </c>
      <c r="CO40" s="156">
        <f>CO28+CO37</f>
        <v>249.07930924634999</v>
      </c>
      <c r="CP40" s="157">
        <f>CP28+CP37</f>
        <v>261.81786915227423</v>
      </c>
      <c r="CQ40" s="157">
        <f>CQ28+CQ37</f>
        <v>275.98169961201057</v>
      </c>
      <c r="CR40" s="157">
        <f>CR28+CR37</f>
        <v>267.62436989288142</v>
      </c>
      <c r="CS40" s="159">
        <f>CO40+CP40+CQ40+CR40</f>
        <v>1054.5032479035162</v>
      </c>
      <c r="CU40" s="156">
        <f>CU28+CU37</f>
        <v>252.46815522760801</v>
      </c>
      <c r="CV40" s="157">
        <f>CV28+CV37</f>
        <v>265.08095294694539</v>
      </c>
      <c r="CW40" s="157">
        <f>CW28+CW37</f>
        <v>279.74932415392959</v>
      </c>
      <c r="CX40" s="157">
        <f>CX28+CX37</f>
        <v>271.29968374675587</v>
      </c>
      <c r="CY40" s="159">
        <f>CU40+CV40+CW40+CX40</f>
        <v>1068.5981160752387</v>
      </c>
      <c r="DA40" s="156">
        <f>DA28+DA37</f>
        <v>256.0568648212917</v>
      </c>
      <c r="DB40" s="157">
        <f>DB28+DB37</f>
        <v>268.53890315473893</v>
      </c>
      <c r="DC40" s="157">
        <f>DC28+DC37</f>
        <v>283.72584225903199</v>
      </c>
      <c r="DD40" s="157">
        <f>DD28+DD37</f>
        <v>275.18558560365142</v>
      </c>
      <c r="DE40" s="159">
        <f>DA40+DB40+DC40+DD40</f>
        <v>1083.5071958387141</v>
      </c>
      <c r="DG40" s="156">
        <f>DG28+DG37</f>
        <v>259.85260597739716</v>
      </c>
      <c r="DH40" s="157">
        <f>DH28+DH37</f>
        <v>272.19860368089064</v>
      </c>
      <c r="DI40" s="157">
        <f>DI28+DI37</f>
        <v>287.91855631248842</v>
      </c>
      <c r="DJ40" s="157">
        <f>DJ28+DJ37</f>
        <v>279.28949932245149</v>
      </c>
      <c r="DK40" s="159">
        <f>DG40+DH40+DI40+DJ40</f>
        <v>1099.2592652932278</v>
      </c>
    </row>
    <row r="41" spans="2:115" ht="15.75" thickBot="1" x14ac:dyDescent="0.35">
      <c r="B41" s="140" t="s">
        <v>23</v>
      </c>
      <c r="C41" s="155" t="s">
        <v>35</v>
      </c>
      <c r="D41" s="106" t="s">
        <v>35</v>
      </c>
      <c r="E41" s="106" t="s">
        <v>35</v>
      </c>
      <c r="F41" s="106" t="s">
        <v>35</v>
      </c>
      <c r="G41" s="108" t="s">
        <v>35</v>
      </c>
      <c r="I41" s="109">
        <f>I40/C40-1</f>
        <v>-2.6415094339622636E-2</v>
      </c>
      <c r="J41" s="110">
        <f>J40/D40-1</f>
        <v>1.4388489208633004E-2</v>
      </c>
      <c r="K41" s="110">
        <f>K40/E40-1</f>
        <v>6.2717770034843134E-2</v>
      </c>
      <c r="L41" s="110">
        <f>L40/F40-1</f>
        <v>-5.555555555555558E-2</v>
      </c>
      <c r="M41" s="122">
        <f>M40/G40-1</f>
        <v>-8.944543828264262E-4</v>
      </c>
      <c r="O41" s="109">
        <f>O40/I40-1</f>
        <v>-0.15503875968992253</v>
      </c>
      <c r="P41" s="110">
        <f>P40/J40-1</f>
        <v>-0.16666666666666663</v>
      </c>
      <c r="Q41" s="110">
        <f>Q40/K40-1</f>
        <v>-0.17049180327868851</v>
      </c>
      <c r="R41" s="110">
        <f>R40/L40-1</f>
        <v>-6.6176470588235281E-2</v>
      </c>
      <c r="S41" s="122">
        <f>S40/M40-1</f>
        <v>-0.14055505819158465</v>
      </c>
      <c r="U41" s="109">
        <f>U40/O40-1</f>
        <v>5.504587155963292E-2</v>
      </c>
      <c r="V41" s="110">
        <f>V40/P40-1</f>
        <v>4.2553191489360653E-3</v>
      </c>
      <c r="W41" s="110">
        <f>W40/Q40-1</f>
        <v>-5.1383399209486202E-2</v>
      </c>
      <c r="X41" s="110">
        <f>X40/R40-1</f>
        <v>-3.9370078740157521E-2</v>
      </c>
      <c r="Y41" s="122">
        <f>Y40/S40-1</f>
        <v>-1.041666666666663E-2</v>
      </c>
      <c r="AA41" s="109">
        <f>AA40/U40-1</f>
        <v>-0.15652173913043477</v>
      </c>
      <c r="AB41" s="110">
        <f>AB40/V40-1</f>
        <v>-0.11864406779661019</v>
      </c>
      <c r="AC41" s="110">
        <f>AC40/W40-1</f>
        <v>-0.1333333333333333</v>
      </c>
      <c r="AD41" s="110">
        <f>AD40/X40-1</f>
        <v>-0.21311475409836067</v>
      </c>
      <c r="AE41" s="122">
        <f>AE40/Y40-1</f>
        <v>-0.15578947368421048</v>
      </c>
      <c r="AG41" s="109">
        <f>AG40/AA40-1</f>
        <v>-9.7938144329896892E-2</v>
      </c>
      <c r="AH41" s="110">
        <f>AH40/AB40-1</f>
        <v>-0.125</v>
      </c>
      <c r="AI41" s="110">
        <f>AI40/AC40-1</f>
        <v>-4.3269230769230727E-2</v>
      </c>
      <c r="AJ41" s="110">
        <f>AJ40/AD40-1</f>
        <v>8.3333333333333259E-2</v>
      </c>
      <c r="AK41" s="122">
        <f>AK40/AE40-1</f>
        <v>-4.7381546134663388E-2</v>
      </c>
      <c r="AM41" s="109">
        <f>AM40/AG40-1</f>
        <v>9.1428571428571415E-2</v>
      </c>
      <c r="AN41" s="110">
        <f>AN40/AH40-1</f>
        <v>0.14285714285714279</v>
      </c>
      <c r="AO41" s="110">
        <f>AO40/AI40-1</f>
        <v>3.5175879396984966E-2</v>
      </c>
      <c r="AP41" s="110">
        <f>AP40/AJ40-1</f>
        <v>0</v>
      </c>
      <c r="AQ41" s="122">
        <f>AQ40/AK40-1</f>
        <v>6.4136125654450371E-2</v>
      </c>
      <c r="AS41" s="109">
        <f>AS40/AM40-1</f>
        <v>-2.6178010471204161E-2</v>
      </c>
      <c r="AT41" s="110">
        <f>AT40/AN40-1</f>
        <v>-4.3269230769230727E-2</v>
      </c>
      <c r="AU41" s="110">
        <f>AU40/AO40-1</f>
        <v>4.8543689320388328E-3</v>
      </c>
      <c r="AV41" s="110">
        <f>AV40/AP40-1</f>
        <v>5.7692307692307709E-2</v>
      </c>
      <c r="AW41" s="122">
        <f>AW40/AQ40-1</f>
        <v>-1.2300123001229846E-3</v>
      </c>
      <c r="AY41" s="109">
        <f>AY40/AS40-1</f>
        <v>0.16666666666666674</v>
      </c>
      <c r="AZ41" s="110">
        <f>AZ40/AT40-1</f>
        <v>0.10050251256281406</v>
      </c>
      <c r="BA41" s="110">
        <f>BA40/AU40-1</f>
        <v>2.8985507246376718E-2</v>
      </c>
      <c r="BB41" s="110">
        <f>BB40/AV40-1</f>
        <v>2.7272727272727337E-2</v>
      </c>
      <c r="BC41" s="122">
        <f>BC40/AW40-1</f>
        <v>7.7586206896551824E-2</v>
      </c>
      <c r="BE41" s="109">
        <f>BE40/AY40-1</f>
        <v>-3.686635944700456E-2</v>
      </c>
      <c r="BF41" s="110">
        <f>BF40/AZ40-1</f>
        <v>4.5662100456620447E-3</v>
      </c>
      <c r="BG41" s="110">
        <f>BG40/BA40-1</f>
        <v>6.5727699530516492E-2</v>
      </c>
      <c r="BH41" s="110">
        <f>BH40/BB40-1</f>
        <v>1.327433628318575E-2</v>
      </c>
      <c r="BI41" s="122">
        <f>BI40/BC40-1</f>
        <v>1.1428571428571344E-2</v>
      </c>
      <c r="BK41" s="109">
        <f>BK40/BE40-1</f>
        <v>3.8277511961722466E-2</v>
      </c>
      <c r="BL41" s="110">
        <f>BL40/BF40-1</f>
        <v>5.4545454545454453E-2</v>
      </c>
      <c r="BM41" s="110">
        <f>BM40/BG40-1</f>
        <v>0.11013215859030834</v>
      </c>
      <c r="BN41" s="110">
        <f>BN40/BH40-1</f>
        <v>5.6768558951965087E-2</v>
      </c>
      <c r="BO41" s="122">
        <f>BO40/BI40-1</f>
        <v>6.5536723163841737E-2</v>
      </c>
      <c r="BQ41" s="109">
        <f>BQ40/BK40-1</f>
        <v>6.8820496290368904E-2</v>
      </c>
      <c r="BR41" s="110">
        <f>BR40/BL40-1</f>
        <v>5.6449143554412995E-2</v>
      </c>
      <c r="BS41" s="110">
        <f>BS40/BM40-1</f>
        <v>2.3066196691332586E-2</v>
      </c>
      <c r="BT41" s="110">
        <f>BT40/BN40-1</f>
        <v>3.9354045768911217E-2</v>
      </c>
      <c r="BU41" s="122">
        <f>BU40/BO40-1</f>
        <v>4.5987921147323529E-2</v>
      </c>
      <c r="BW41" s="109">
        <f>BW40/BQ40-1</f>
        <v>2.6569245102591399E-2</v>
      </c>
      <c r="BX41" s="110">
        <f>BX40/BR40-1</f>
        <v>2.2644603485417969E-2</v>
      </c>
      <c r="BY41" s="110">
        <f>BY40/BS40-1</f>
        <v>2.0266129812791966E-2</v>
      </c>
      <c r="BZ41" s="110">
        <f>BZ40/BT40-1</f>
        <v>1.6903954880464145E-2</v>
      </c>
      <c r="CA41" s="122">
        <f>CA40/BU40-1</f>
        <v>2.1481900180438496E-2</v>
      </c>
      <c r="CC41" s="109">
        <f>CC40/BW40-1</f>
        <v>1.5675872079679021E-2</v>
      </c>
      <c r="CD41" s="110">
        <f>CD40/BX40-1</f>
        <v>1.4328255436373949E-2</v>
      </c>
      <c r="CE41" s="110">
        <f>CE40/BY40-1</f>
        <v>1.6005892301062863E-2</v>
      </c>
      <c r="CF41" s="110">
        <f>CF40/BZ40-1</f>
        <v>1.631133235102955E-2</v>
      </c>
      <c r="CG41" s="122">
        <f>CG40/CA40-1</f>
        <v>1.558810292576962E-2</v>
      </c>
      <c r="CI41" s="109">
        <f>CI40/CC40-1</f>
        <v>1.2970515028813967E-2</v>
      </c>
      <c r="CJ41" s="110">
        <f>CJ40/CD40-1</f>
        <v>1.4315215890150279E-2</v>
      </c>
      <c r="CK41" s="110">
        <f>CK40/CE40-1</f>
        <v>1.5870143976133066E-2</v>
      </c>
      <c r="CL41" s="110">
        <f>CL40/CF40-1</f>
        <v>1.2494850912812216E-2</v>
      </c>
      <c r="CM41" s="122">
        <f>CM40/CG40-1</f>
        <v>1.3941083181284064E-2</v>
      </c>
      <c r="CO41" s="109">
        <f>CO40/CI40-1</f>
        <v>1.6793956321196735E-2</v>
      </c>
      <c r="CP41" s="110">
        <f>CP40/CJ40-1</f>
        <v>1.5281584399585491E-2</v>
      </c>
      <c r="CQ41" s="110">
        <f>CQ40/CK40-1</f>
        <v>1.6548528317918532E-2</v>
      </c>
      <c r="CR41" s="110">
        <f>CR40/CL40-1</f>
        <v>1.6827429511335534E-2</v>
      </c>
      <c r="CS41" s="122">
        <f>CS40/CM40-1</f>
        <v>1.6362326947100492E-2</v>
      </c>
      <c r="CU41" s="109">
        <f>CU40/CO40-1</f>
        <v>1.3605489719366037E-2</v>
      </c>
      <c r="CV41" s="110">
        <f>CV40/CP40-1</f>
        <v>1.2463182154970998E-2</v>
      </c>
      <c r="CW41" s="110">
        <f>CW40/CQ40-1</f>
        <v>1.3651718745176789E-2</v>
      </c>
      <c r="CX41" s="110">
        <f>CX40/CR40-1</f>
        <v>1.3733106052133959E-2</v>
      </c>
      <c r="CY41" s="122">
        <f>CY40/CS40-1</f>
        <v>1.3366358235259002E-2</v>
      </c>
      <c r="DA41" s="109">
        <f>DA40/CU40-1</f>
        <v>1.4214503965652048E-2</v>
      </c>
      <c r="DB41" s="110">
        <f>DB40/CV40-1</f>
        <v>1.304488372080681E-2</v>
      </c>
      <c r="DC41" s="110">
        <f>DC40/CW40-1</f>
        <v>1.4214576271556423E-2</v>
      </c>
      <c r="DD41" s="110">
        <f>DD40/CX40-1</f>
        <v>1.4323281926575504E-2</v>
      </c>
      <c r="DE41" s="122">
        <f>DE40/CY40-1</f>
        <v>1.3951998921946096E-2</v>
      </c>
      <c r="DG41" s="109">
        <f>DG40/DA40-1</f>
        <v>1.482382110221736E-2</v>
      </c>
      <c r="DH41" s="110">
        <f>DH40/DB40-1</f>
        <v>1.3628194958563933E-2</v>
      </c>
      <c r="DI41" s="110">
        <f>DI40/DC40-1</f>
        <v>1.4777342874635391E-2</v>
      </c>
      <c r="DJ41" s="110">
        <f>DJ40/DD40-1</f>
        <v>1.4913258300930599E-2</v>
      </c>
      <c r="DK41" s="122">
        <f>DK40/DE40-1</f>
        <v>1.4538038616642934E-2</v>
      </c>
    </row>
    <row r="42" spans="2:115" ht="15.75" thickBot="1" x14ac:dyDescent="0.35">
      <c r="B42" s="1"/>
      <c r="X42" s="114">
        <f>X40-191</f>
        <v>53</v>
      </c>
      <c r="Y42" s="426" t="s">
        <v>352</v>
      </c>
      <c r="AA42" s="103"/>
      <c r="AB42" s="103"/>
      <c r="AC42" s="103"/>
      <c r="AD42" s="103"/>
      <c r="AE42" s="103"/>
      <c r="AG42" s="103"/>
      <c r="AH42" s="103"/>
      <c r="AI42" s="103"/>
      <c r="AJ42" s="103"/>
      <c r="AK42" s="103"/>
      <c r="AM42" s="103"/>
      <c r="AN42" s="103"/>
      <c r="AO42" s="103"/>
      <c r="AP42" s="103"/>
      <c r="AQ42" s="103"/>
      <c r="AS42" s="103"/>
      <c r="AT42" s="103"/>
      <c r="AU42" s="103"/>
      <c r="AV42" s="103"/>
      <c r="AW42" s="103"/>
      <c r="AY42" s="103"/>
      <c r="AZ42" s="103"/>
      <c r="BA42" s="103"/>
      <c r="BB42" s="103"/>
      <c r="BC42" s="103"/>
      <c r="BE42" s="103"/>
      <c r="BF42" s="103"/>
      <c r="BG42" s="103"/>
      <c r="BH42" s="103"/>
      <c r="BI42" s="103"/>
      <c r="BK42" s="103"/>
      <c r="BL42" s="103"/>
      <c r="BM42" s="103"/>
      <c r="BN42" s="103"/>
      <c r="BO42" s="103"/>
      <c r="BQ42" s="103"/>
      <c r="BR42" s="103"/>
      <c r="BS42" s="103"/>
      <c r="BT42" s="103"/>
      <c r="BU42" s="103"/>
      <c r="BW42" s="103"/>
      <c r="BX42" s="103"/>
      <c r="BY42" s="103"/>
      <c r="BZ42" s="103"/>
      <c r="CA42" s="103"/>
      <c r="CC42" s="103"/>
      <c r="CD42" s="103"/>
      <c r="CE42" s="103"/>
      <c r="CF42" s="103"/>
      <c r="CG42" s="103"/>
      <c r="CI42" s="103"/>
      <c r="CJ42" s="103"/>
      <c r="CK42" s="103"/>
      <c r="CL42" s="103"/>
      <c r="CM42" s="103"/>
      <c r="CO42" s="103"/>
      <c r="CP42" s="103"/>
      <c r="CQ42" s="103"/>
      <c r="CR42" s="103"/>
      <c r="CS42" s="103"/>
      <c r="CU42" s="103"/>
      <c r="CV42" s="103"/>
      <c r="CW42" s="103"/>
      <c r="CX42" s="103"/>
      <c r="CY42" s="103"/>
      <c r="DA42" s="103"/>
      <c r="DB42" s="103"/>
      <c r="DC42" s="103"/>
      <c r="DD42" s="103"/>
      <c r="DE42" s="103"/>
      <c r="DG42" s="103"/>
      <c r="DH42" s="103"/>
      <c r="DI42" s="103"/>
      <c r="DJ42" s="103"/>
      <c r="DK42" s="103"/>
    </row>
    <row r="43" spans="2:115" s="135" customFormat="1" ht="15" x14ac:dyDescent="0.3">
      <c r="B43" s="139" t="s">
        <v>57</v>
      </c>
      <c r="C43" s="178">
        <v>28</v>
      </c>
      <c r="D43" s="179">
        <v>33</v>
      </c>
      <c r="E43" s="179">
        <v>22</v>
      </c>
      <c r="F43" s="179">
        <v>24</v>
      </c>
      <c r="G43" s="202">
        <f>G45*1000/G33</f>
        <v>25.875277131615377</v>
      </c>
      <c r="H43" s="134"/>
      <c r="I43" s="178">
        <v>27</v>
      </c>
      <c r="J43" s="179">
        <v>17</v>
      </c>
      <c r="K43" s="179">
        <v>35</v>
      </c>
      <c r="L43" s="179">
        <v>33</v>
      </c>
      <c r="M43" s="202">
        <f>M45*1000/M33</f>
        <v>27.895448178436542</v>
      </c>
      <c r="N43" s="134"/>
      <c r="O43" s="178">
        <v>27</v>
      </c>
      <c r="P43" s="179">
        <v>27</v>
      </c>
      <c r="Q43" s="179">
        <v>27</v>
      </c>
      <c r="R43" s="179">
        <v>31</v>
      </c>
      <c r="S43" s="202">
        <f>S45*1000/S33</f>
        <v>28.30224391581314</v>
      </c>
      <c r="T43" s="134"/>
      <c r="U43" s="211">
        <v>28</v>
      </c>
      <c r="V43" s="212">
        <v>23</v>
      </c>
      <c r="W43" s="212">
        <v>22</v>
      </c>
      <c r="X43" s="212">
        <v>22</v>
      </c>
      <c r="Y43" s="202">
        <f>Y45*1000/Y33</f>
        <v>23.524834941405768</v>
      </c>
      <c r="AA43" s="211">
        <v>18</v>
      </c>
      <c r="AB43" s="212">
        <v>21</v>
      </c>
      <c r="AC43" s="212">
        <v>21</v>
      </c>
      <c r="AD43" s="212">
        <v>28</v>
      </c>
      <c r="AE43" s="202">
        <f>AE45*1000/AE33</f>
        <v>22.354075013978438</v>
      </c>
      <c r="AG43" s="211">
        <v>19</v>
      </c>
      <c r="AH43" s="212">
        <v>20</v>
      </c>
      <c r="AI43" s="212">
        <v>15</v>
      </c>
      <c r="AJ43" s="212">
        <v>21</v>
      </c>
      <c r="AK43" s="202">
        <f>AK45*1000/AK33</f>
        <v>18.793563947756493</v>
      </c>
      <c r="AM43" s="211">
        <v>19</v>
      </c>
      <c r="AN43" s="212">
        <v>18</v>
      </c>
      <c r="AO43" s="212">
        <v>22</v>
      </c>
      <c r="AP43" s="212">
        <v>26</v>
      </c>
      <c r="AQ43" s="202">
        <f>AQ45*1000/AQ33</f>
        <v>21.541736595231946</v>
      </c>
      <c r="AS43" s="211">
        <v>18</v>
      </c>
      <c r="AT43" s="212">
        <v>16</v>
      </c>
      <c r="AU43" s="212">
        <v>16</v>
      </c>
      <c r="AV43" s="212">
        <v>23</v>
      </c>
      <c r="AW43" s="202">
        <f>AW45*1000/AW33</f>
        <v>18.391502205759519</v>
      </c>
      <c r="AY43" s="211">
        <v>18</v>
      </c>
      <c r="AZ43" s="212">
        <v>19</v>
      </c>
      <c r="BA43" s="212">
        <v>14</v>
      </c>
      <c r="BB43" s="212">
        <v>24</v>
      </c>
      <c r="BC43" s="202">
        <f>BC45*1000/BC33</f>
        <v>18.496341412894328</v>
      </c>
      <c r="BE43" s="211">
        <v>19</v>
      </c>
      <c r="BF43" s="212">
        <v>20</v>
      </c>
      <c r="BG43" s="212">
        <v>18</v>
      </c>
      <c r="BH43" s="212">
        <v>21</v>
      </c>
      <c r="BI43" s="202">
        <f>BI45*1000/BI33</f>
        <v>19.489896299726553</v>
      </c>
      <c r="BK43" s="211">
        <v>25</v>
      </c>
      <c r="BL43" s="212">
        <v>12</v>
      </c>
      <c r="BM43" s="212">
        <v>12</v>
      </c>
      <c r="BN43" s="212">
        <v>19</v>
      </c>
      <c r="BO43" s="202">
        <f>BO45*1000/BO33</f>
        <v>16.321878266795036</v>
      </c>
      <c r="BQ43" s="211">
        <f>BK43*(1+BQ44)</f>
        <v>21.25</v>
      </c>
      <c r="BR43" s="212">
        <f>BL43*(1+BR44)</f>
        <v>14.399999999999999</v>
      </c>
      <c r="BS43" s="212">
        <f>BM43*(1+BS44)</f>
        <v>12.600000000000001</v>
      </c>
      <c r="BT43" s="212">
        <f>BN43*(1+BT44)</f>
        <v>17.100000000000001</v>
      </c>
      <c r="BU43" s="202">
        <f>BU45*1000/BU33</f>
        <v>16.214074301762217</v>
      </c>
      <c r="BW43" s="211">
        <f>BQ43*(1+BW44)</f>
        <v>19.125</v>
      </c>
      <c r="BX43" s="212">
        <f>BR43*(1+BX44)</f>
        <v>13.679999999999998</v>
      </c>
      <c r="BY43" s="212">
        <f>BS43*(1+BY44)</f>
        <v>12.285000000000002</v>
      </c>
      <c r="BZ43" s="212">
        <f>BT43*(1+BZ44)</f>
        <v>16.672499999999999</v>
      </c>
      <c r="CA43" s="202">
        <f>CA45*1000/CA33</f>
        <v>15.417425732442105</v>
      </c>
      <c r="CC43" s="211">
        <f>BW43*(1+CC44)</f>
        <v>19.603124999999999</v>
      </c>
      <c r="CD43" s="212">
        <f>BX43*(1+CD44)</f>
        <v>14.021999999999997</v>
      </c>
      <c r="CE43" s="212">
        <f>BY43*(1+CE44)</f>
        <v>12.592125000000001</v>
      </c>
      <c r="CF43" s="212">
        <f>BZ43*(1+CF44)</f>
        <v>17.089312499999998</v>
      </c>
      <c r="CG43" s="202">
        <f>CG45*1000/CG33</f>
        <v>15.802349317056247</v>
      </c>
      <c r="CI43" s="211">
        <f>CC43*(1+CI44)</f>
        <v>20.093203124999995</v>
      </c>
      <c r="CJ43" s="212">
        <f>CD43*(1+CJ44)</f>
        <v>14.372549999999995</v>
      </c>
      <c r="CK43" s="212">
        <f>CE43*(1+CK44)</f>
        <v>12.906928125</v>
      </c>
      <c r="CL43" s="212">
        <f>CF43*(1+CL44)</f>
        <v>17.516545312499996</v>
      </c>
      <c r="CM43" s="202">
        <f>CM45*1000/CM33</f>
        <v>16.179568601732054</v>
      </c>
      <c r="CO43" s="211">
        <f>CI43*(1+CO44)</f>
        <v>20.595533203124994</v>
      </c>
      <c r="CP43" s="212">
        <f>CJ43*(1+CP44)</f>
        <v>14.731863749999993</v>
      </c>
      <c r="CQ43" s="212">
        <f>CK43*(1+CQ44)</f>
        <v>13.229601328125</v>
      </c>
      <c r="CR43" s="212">
        <f>CL43*(1+CR44)</f>
        <v>17.954458945312496</v>
      </c>
      <c r="CS43" s="202">
        <f>CS45*1000/CS33</f>
        <v>16.584578798376732</v>
      </c>
      <c r="CU43" s="211">
        <f>CO43*(1+CU44)</f>
        <v>21.110421533203116</v>
      </c>
      <c r="CV43" s="212">
        <f>CP43*(1+CV44)</f>
        <v>15.100160343749993</v>
      </c>
      <c r="CW43" s="212">
        <f>CQ43*(1+CW44)</f>
        <v>13.560341361328124</v>
      </c>
      <c r="CX43" s="212">
        <f>CR43*(1+CX44)</f>
        <v>18.403320418945306</v>
      </c>
      <c r="CY43" s="202">
        <f>CY45*1000/CY33</f>
        <v>16.999714722109225</v>
      </c>
      <c r="DA43" s="211">
        <f>CU43*(1+DA44)</f>
        <v>21.638182071533191</v>
      </c>
      <c r="DB43" s="212">
        <f>CV43*(1+DB44)</f>
        <v>15.477664352343741</v>
      </c>
      <c r="DC43" s="212">
        <f>CW43*(1+DC44)</f>
        <v>13.899349895361325</v>
      </c>
      <c r="DD43" s="212">
        <f>CX43*(1+DD44)</f>
        <v>18.863403429418938</v>
      </c>
      <c r="DE43" s="202">
        <f>DE45*1000/DE33</f>
        <v>17.425229662481264</v>
      </c>
      <c r="DG43" s="211">
        <f>DA43*(1+DG44)</f>
        <v>22.179136623321519</v>
      </c>
      <c r="DH43" s="212">
        <f>DB43*(1+DH44)</f>
        <v>15.864605961152332</v>
      </c>
      <c r="DI43" s="212">
        <f>DC43*(1+DI44)</f>
        <v>14.246833642745358</v>
      </c>
      <c r="DJ43" s="212">
        <f>DD43*(1+DJ44)</f>
        <v>19.334988515154411</v>
      </c>
      <c r="DK43" s="202">
        <f>DK45*1000/DK33</f>
        <v>17.861383238406489</v>
      </c>
    </row>
    <row r="44" spans="2:115" ht="15" x14ac:dyDescent="0.3">
      <c r="B44" s="5" t="s">
        <v>23</v>
      </c>
      <c r="C44" s="144" t="s">
        <v>35</v>
      </c>
      <c r="D44" s="107" t="s">
        <v>35</v>
      </c>
      <c r="E44" s="107"/>
      <c r="F44" s="107"/>
      <c r="G44" s="138" t="s">
        <v>35</v>
      </c>
      <c r="I44" s="151">
        <f>I43/C43-1</f>
        <v>-3.5714285714285698E-2</v>
      </c>
      <c r="J44" s="133">
        <f>J43/D43-1</f>
        <v>-0.48484848484848486</v>
      </c>
      <c r="K44" s="133">
        <f>K43/E43-1</f>
        <v>0.59090909090909083</v>
      </c>
      <c r="L44" s="133">
        <f>L43/F43-1</f>
        <v>0.375</v>
      </c>
      <c r="M44" s="153">
        <f>M43/G43-1</f>
        <v>7.8073407157940977E-2</v>
      </c>
      <c r="O44" s="151">
        <f>O43/I43-1</f>
        <v>0</v>
      </c>
      <c r="P44" s="133">
        <f>P43/J43-1</f>
        <v>0.58823529411764697</v>
      </c>
      <c r="Q44" s="133">
        <f>Q43/K43-1</f>
        <v>-0.22857142857142854</v>
      </c>
      <c r="R44" s="133">
        <f>R43/L43-1</f>
        <v>-6.0606060606060552E-2</v>
      </c>
      <c r="S44" s="153">
        <f>S43/M43-1</f>
        <v>1.4582871541424236E-2</v>
      </c>
      <c r="U44" s="151">
        <f>U43/O43-1</f>
        <v>3.7037037037036979E-2</v>
      </c>
      <c r="V44" s="133">
        <f>V43/P43-1</f>
        <v>-0.14814814814814814</v>
      </c>
      <c r="W44" s="133">
        <f>W43/Q43-1</f>
        <v>-0.18518518518518523</v>
      </c>
      <c r="X44" s="133">
        <v>0</v>
      </c>
      <c r="Y44" s="153">
        <f>Y43/S43-1</f>
        <v>-0.1687996537878087</v>
      </c>
      <c r="AA44" s="151">
        <f>AA43/U43-1</f>
        <v>-0.3571428571428571</v>
      </c>
      <c r="AB44" s="133">
        <f>AB43/V43-1</f>
        <v>-8.6956521739130488E-2</v>
      </c>
      <c r="AC44" s="133">
        <f>AC43/W43-1</f>
        <v>-4.5454545454545414E-2</v>
      </c>
      <c r="AD44" s="133">
        <v>0</v>
      </c>
      <c r="AE44" s="153">
        <f>AE43/Y43-1</f>
        <v>-4.9766977338773555E-2</v>
      </c>
      <c r="AG44" s="151">
        <f>AG43/AA43-1</f>
        <v>5.555555555555558E-2</v>
      </c>
      <c r="AH44" s="133">
        <f>AH43/AB43-1</f>
        <v>-4.7619047619047672E-2</v>
      </c>
      <c r="AI44" s="133">
        <f>AI43/AC43-1</f>
        <v>-0.2857142857142857</v>
      </c>
      <c r="AJ44" s="133">
        <f>AJ43/AD43-1</f>
        <v>-0.25</v>
      </c>
      <c r="AK44" s="153">
        <f>AK43/AE43-1</f>
        <v>-0.15927794211997093</v>
      </c>
      <c r="AM44" s="151">
        <f>AM43/AG43-1</f>
        <v>0</v>
      </c>
      <c r="AN44" s="133">
        <f>AN43/AH43-1</f>
        <v>-9.9999999999999978E-2</v>
      </c>
      <c r="AO44" s="133">
        <f>AO43/AI43-1</f>
        <v>0.46666666666666656</v>
      </c>
      <c r="AP44" s="133">
        <f>AP43/AJ43-1</f>
        <v>0.23809523809523814</v>
      </c>
      <c r="AQ44" s="153">
        <f>AQ43/AK43-1</f>
        <v>0.14622945680313704</v>
      </c>
      <c r="AS44" s="151">
        <f>AS43/AM43-1</f>
        <v>-5.2631578947368474E-2</v>
      </c>
      <c r="AT44" s="133">
        <f>AT43/AN43-1</f>
        <v>-0.11111111111111116</v>
      </c>
      <c r="AU44" s="133">
        <f>AU43/AO43-1</f>
        <v>-0.27272727272727271</v>
      </c>
      <c r="AV44" s="133">
        <f>AV43/AP43-1</f>
        <v>-0.11538461538461542</v>
      </c>
      <c r="AW44" s="153">
        <f>AW43/AQ43-1</f>
        <v>-0.14623864587452529</v>
      </c>
      <c r="AY44" s="151">
        <f>AY43/AS43-1</f>
        <v>0</v>
      </c>
      <c r="AZ44" s="133">
        <f>AZ43/AT43-1</f>
        <v>0.1875</v>
      </c>
      <c r="BA44" s="133">
        <f>BA43/AU43-1</f>
        <v>-0.125</v>
      </c>
      <c r="BB44" s="133">
        <f>BB43/AV43-1</f>
        <v>4.3478260869565188E-2</v>
      </c>
      <c r="BC44" s="153">
        <f>BC43/AW43-1</f>
        <v>5.7004156572908471E-3</v>
      </c>
      <c r="BE44" s="151">
        <f>BE43/AY43-1</f>
        <v>5.555555555555558E-2</v>
      </c>
      <c r="BF44" s="133">
        <f>BF43/AZ43-1</f>
        <v>5.2631578947368363E-2</v>
      </c>
      <c r="BG44" s="133">
        <f>BG43/BA43-1</f>
        <v>0.28571428571428581</v>
      </c>
      <c r="BH44" s="133">
        <f>BH43/BB43-1</f>
        <v>-0.125</v>
      </c>
      <c r="BI44" s="153">
        <f>BI43/BC43-1</f>
        <v>5.3716292571221125E-2</v>
      </c>
      <c r="BK44" s="151">
        <f>BK43/BE43-1</f>
        <v>0.31578947368421062</v>
      </c>
      <c r="BL44" s="133">
        <f>BL43/BF43-1</f>
        <v>-0.4</v>
      </c>
      <c r="BM44" s="133">
        <f>BM43/BG43-1</f>
        <v>-0.33333333333333337</v>
      </c>
      <c r="BN44" s="133">
        <f>BN43/BH43-1</f>
        <v>-9.5238095238095233E-2</v>
      </c>
      <c r="BO44" s="153">
        <f>BO43/BI43-1</f>
        <v>-0.16254668491878865</v>
      </c>
      <c r="BQ44" s="151">
        <v>-0.15</v>
      </c>
      <c r="BR44" s="133">
        <v>0.2</v>
      </c>
      <c r="BS44" s="133">
        <v>0.05</v>
      </c>
      <c r="BT44" s="133">
        <v>-0.1</v>
      </c>
      <c r="BU44" s="153">
        <f>BU43/BO43-1</f>
        <v>-6.604874958057616E-3</v>
      </c>
      <c r="BW44" s="151">
        <v>-0.1</v>
      </c>
      <c r="BX44" s="133">
        <v>-0.05</v>
      </c>
      <c r="BY44" s="133">
        <v>-2.5000000000000001E-2</v>
      </c>
      <c r="BZ44" s="133">
        <v>-2.5000000000000001E-2</v>
      </c>
      <c r="CA44" s="153">
        <f>CA43/BU43-1</f>
        <v>-4.9133151513529705E-2</v>
      </c>
      <c r="CC44" s="151">
        <v>2.5000000000000001E-2</v>
      </c>
      <c r="CD44" s="133">
        <v>2.5000000000000001E-2</v>
      </c>
      <c r="CE44" s="133">
        <v>2.5000000000000001E-2</v>
      </c>
      <c r="CF44" s="133">
        <v>2.5000000000000001E-2</v>
      </c>
      <c r="CG44" s="153">
        <f>CG43/CA43-1</f>
        <v>2.496678701711974E-2</v>
      </c>
      <c r="CI44" s="151">
        <v>2.5000000000000001E-2</v>
      </c>
      <c r="CJ44" s="133">
        <v>2.5000000000000001E-2</v>
      </c>
      <c r="CK44" s="133">
        <v>2.5000000000000001E-2</v>
      </c>
      <c r="CL44" s="133">
        <v>2.5000000000000001E-2</v>
      </c>
      <c r="CM44" s="153">
        <f>CM43/CG43-1</f>
        <v>2.3871088855671241E-2</v>
      </c>
      <c r="CO44" s="151">
        <v>2.5000000000000001E-2</v>
      </c>
      <c r="CP44" s="133">
        <v>2.5000000000000001E-2</v>
      </c>
      <c r="CQ44" s="133">
        <v>2.5000000000000001E-2</v>
      </c>
      <c r="CR44" s="133">
        <v>2.5000000000000001E-2</v>
      </c>
      <c r="CS44" s="153">
        <f>CS43/CM43-1</f>
        <v>2.5032199968627156E-2</v>
      </c>
      <c r="CU44" s="151">
        <v>2.5000000000000001E-2</v>
      </c>
      <c r="CV44" s="133">
        <v>2.5000000000000001E-2</v>
      </c>
      <c r="CW44" s="133">
        <v>2.5000000000000001E-2</v>
      </c>
      <c r="CX44" s="133">
        <v>2.5000000000000001E-2</v>
      </c>
      <c r="CY44" s="153">
        <f>CY43/CS43-1</f>
        <v>2.5031442087219302E-2</v>
      </c>
      <c r="DA44" s="151">
        <v>2.5000000000000001E-2</v>
      </c>
      <c r="DB44" s="133">
        <v>2.5000000000000001E-2</v>
      </c>
      <c r="DC44" s="133">
        <v>2.5000000000000001E-2</v>
      </c>
      <c r="DD44" s="133">
        <v>2.5000000000000001E-2</v>
      </c>
      <c r="DE44" s="153">
        <f>DE43/CY43-1</f>
        <v>2.503071065178708E-2</v>
      </c>
      <c r="DG44" s="151">
        <v>2.5000000000000001E-2</v>
      </c>
      <c r="DH44" s="133">
        <v>2.5000000000000001E-2</v>
      </c>
      <c r="DI44" s="133">
        <v>2.5000000000000001E-2</v>
      </c>
      <c r="DJ44" s="133">
        <v>2.5000000000000001E-2</v>
      </c>
      <c r="DK44" s="153">
        <f>DK43/DE43-1</f>
        <v>2.5030004446042975E-2</v>
      </c>
    </row>
    <row r="45" spans="2:115" ht="15" x14ac:dyDescent="0.3">
      <c r="B45" s="105" t="s">
        <v>55</v>
      </c>
      <c r="C45" s="193">
        <f>C43*C33/1000</f>
        <v>6.1803140000000001</v>
      </c>
      <c r="D45" s="194">
        <f>D43*D33/1000</f>
        <v>7.0752825000000001</v>
      </c>
      <c r="E45" s="194">
        <f>E43*E33/1000</f>
        <v>6.3652049999999996</v>
      </c>
      <c r="F45" s="194">
        <f>F43*F33/1000</f>
        <v>11.202372</v>
      </c>
      <c r="G45" s="159">
        <f>C45+D45+E45+F45</f>
        <v>30.823173499999999</v>
      </c>
      <c r="I45" s="193">
        <f>I43*I33/1000</f>
        <v>7.1746965000000014</v>
      </c>
      <c r="J45" s="194">
        <f>J43*J33/1000</f>
        <v>5.9363149999999996</v>
      </c>
      <c r="K45" s="194">
        <f>K43*K33/1000</f>
        <v>9.5774349999999995</v>
      </c>
      <c r="L45" s="194">
        <f>L43*L33/1000</f>
        <v>13.566333</v>
      </c>
      <c r="M45" s="159">
        <f>I45+J45+K45+L45</f>
        <v>36.254779499999998</v>
      </c>
      <c r="N45" s="129"/>
      <c r="O45" s="193">
        <f>O43*O33/1000</f>
        <v>6.5344320000000007</v>
      </c>
      <c r="P45" s="194">
        <f>P43*P33/1000</f>
        <v>6.131429999999999</v>
      </c>
      <c r="Q45" s="194">
        <f>Q43*Q33/1000</f>
        <v>6.7282784999999992</v>
      </c>
      <c r="R45" s="194">
        <f>R43*R33/1000</f>
        <v>10.748754000000002</v>
      </c>
      <c r="S45" s="159">
        <f>O45+P45+Q45+R45</f>
        <v>30.142894500000001</v>
      </c>
      <c r="U45" s="193">
        <f>U43*U33/1000</f>
        <v>6.4511999999999992</v>
      </c>
      <c r="V45" s="194">
        <f>V43*V33/1000</f>
        <v>5.9115519999999995</v>
      </c>
      <c r="W45" s="194">
        <f>W43*W33/1000</f>
        <v>5.7787840000000008</v>
      </c>
      <c r="X45" s="194">
        <f>X43*X33/1000</f>
        <v>7.151155000000001</v>
      </c>
      <c r="Y45" s="159">
        <f>U45+V45+W45+X45</f>
        <v>25.292690999999998</v>
      </c>
      <c r="AA45" s="193">
        <f>AA43*AA33/1000</f>
        <v>4.0439249999999998</v>
      </c>
      <c r="AB45" s="194">
        <f>AB43*AB33/1000</f>
        <v>4.7292000000000005</v>
      </c>
      <c r="AC45" s="194">
        <f>AC43*AC33/1000</f>
        <v>5.1767520000000005</v>
      </c>
      <c r="AD45" s="194">
        <f>AD43*AD33/1000</f>
        <v>8.0188919999999992</v>
      </c>
      <c r="AE45" s="159">
        <f>AA45+AB45+AC45+AD45</f>
        <v>21.968769000000002</v>
      </c>
      <c r="AG45" s="193">
        <f>AG43*AG33/1000</f>
        <v>3.8431680000000004</v>
      </c>
      <c r="AH45" s="194">
        <f>AH43*AH33/1000</f>
        <v>4.1671200000000006</v>
      </c>
      <c r="AI45" s="194">
        <f>AI43*AI33/1000</f>
        <v>3.4557600000000002</v>
      </c>
      <c r="AJ45" s="194">
        <f>AJ43*AJ33/1000</f>
        <v>5.5283235000000008</v>
      </c>
      <c r="AK45" s="159">
        <f>AG45+AH45+AI45+AJ45</f>
        <v>16.9943715</v>
      </c>
      <c r="AM45" s="193">
        <f>AM43*AM33/1000</f>
        <v>4.1390549999999999</v>
      </c>
      <c r="AN45" s="194">
        <f>AN43*AN33/1000</f>
        <v>3.7956149999999997</v>
      </c>
      <c r="AO45" s="194">
        <f>AO43*AO33/1000</f>
        <v>5.1270449999999999</v>
      </c>
      <c r="AP45" s="194">
        <f>AP43*AP33/1000</f>
        <v>6.9617599999999999</v>
      </c>
      <c r="AQ45" s="159">
        <f>AM45+AN45+AO45+AP45</f>
        <v>20.023474999999998</v>
      </c>
      <c r="AS45" s="193">
        <f>AS43*AS33/1000</f>
        <v>3.9548250000000005</v>
      </c>
      <c r="AT45" s="194">
        <f>AT43*AT33/1000</f>
        <v>3.6047360000000004</v>
      </c>
      <c r="AU45" s="194">
        <f>AU43*AU33/1000</f>
        <v>4.0991599999999995</v>
      </c>
      <c r="AV45" s="194">
        <f>AV43*AV33/1000</f>
        <v>6.1761439999999999</v>
      </c>
      <c r="AW45" s="159">
        <f>AS45+AT45+AU45+AV45</f>
        <v>17.834865000000001</v>
      </c>
      <c r="AY45" s="193">
        <f>AY43*AY33/1000</f>
        <v>4.4311049999999996</v>
      </c>
      <c r="AZ45" s="194">
        <f>AZ43*AZ33/1000</f>
        <v>4.6116609999999998</v>
      </c>
      <c r="BA45" s="194">
        <f>BA43*BA33/1000</f>
        <v>3.7658880000000003</v>
      </c>
      <c r="BB45" s="194">
        <f>BB43*BB33/1000</f>
        <v>5.2739520000000004</v>
      </c>
      <c r="BC45" s="159">
        <f>AY45+AZ45+BA45+BB45</f>
        <v>18.082606000000002</v>
      </c>
      <c r="BE45" s="193">
        <f>BE43*BE33/1000</f>
        <v>5.5793879999999998</v>
      </c>
      <c r="BF45" s="194">
        <f>BF43*BF33/1000</f>
        <v>3.9407200000000002</v>
      </c>
      <c r="BG45" s="194">
        <f>BG43*BG33/1000</f>
        <v>3.8246400000000005</v>
      </c>
      <c r="BH45" s="194">
        <f>BH43*BH33/1000</f>
        <v>5.0052135</v>
      </c>
      <c r="BI45" s="159">
        <f>BE45+BF45+BG45+BH45</f>
        <v>18.349961499999999</v>
      </c>
      <c r="BK45" s="193">
        <f>BK43*BK33/1000</f>
        <v>5.1850499999999995</v>
      </c>
      <c r="BL45" s="194">
        <f>BL43*BL33/1000</f>
        <v>3.5343960000000001</v>
      </c>
      <c r="BM45" s="194">
        <f>BM43*BM33/1000</f>
        <v>3.0455699999999997</v>
      </c>
      <c r="BN45" s="194">
        <f>BN43*BN33/1000</f>
        <v>4.0435799999999995</v>
      </c>
      <c r="BO45" s="159">
        <f>BK45+BL45+BM45+BN45</f>
        <v>15.808595999999998</v>
      </c>
      <c r="BQ45" s="193">
        <f>BQ43*BQ33/1000</f>
        <v>4.5182281249999994</v>
      </c>
      <c r="BR45" s="194">
        <f>BR43*BR33/1000</f>
        <v>3.2664239999999993</v>
      </c>
      <c r="BS45" s="194">
        <f>BS43*BS33/1000</f>
        <v>3.0457035000000001</v>
      </c>
      <c r="BT45" s="194">
        <f>BT43*BT33/1000</f>
        <v>4.1373022500000003</v>
      </c>
      <c r="BU45" s="159">
        <f>BQ45+BR45+BS45+BT45</f>
        <v>14.967657875</v>
      </c>
      <c r="BW45" s="193">
        <f>BW43*BW33/1000</f>
        <v>4.6315490624999995</v>
      </c>
      <c r="BX45" s="194">
        <f>BX43*BX33/1000</f>
        <v>3.3859367999999996</v>
      </c>
      <c r="BY45" s="194">
        <f>BY43*BY33/1000</f>
        <v>3.1089956625000004</v>
      </c>
      <c r="BZ45" s="194">
        <f>BZ43*BZ33/1000</f>
        <v>4.3158433499999997</v>
      </c>
      <c r="CA45" s="159">
        <f>BW45+BX45+BY45+BZ45</f>
        <v>15.442324874999999</v>
      </c>
      <c r="CC45" s="193">
        <f>CC43*CC33/1000</f>
        <v>4.6349971804687504</v>
      </c>
      <c r="CD45" s="194">
        <f>CD43*CD33/1000</f>
        <v>3.3900708959999997</v>
      </c>
      <c r="CE45" s="194">
        <f>CE43*CE33/1000</f>
        <v>3.1141804699687503</v>
      </c>
      <c r="CF45" s="194">
        <f>CF43*CF33/1000</f>
        <v>4.3248435823125</v>
      </c>
      <c r="CG45" s="159">
        <f>CC45+CD45+CE45+CF45</f>
        <v>15.46409212875</v>
      </c>
      <c r="CI45" s="193">
        <f>CI43*CI33/1000</f>
        <v>4.7352848076562495</v>
      </c>
      <c r="CJ45" s="194">
        <f>CJ43*CJ33/1000</f>
        <v>3.5399015747999991</v>
      </c>
      <c r="CK45" s="194">
        <f>CK43*CK33/1000</f>
        <v>3.1897665891000004</v>
      </c>
      <c r="CL45" s="194">
        <f>CL43*CL33/1000</f>
        <v>4.3436828404124999</v>
      </c>
      <c r="CM45" s="159">
        <f>CI45+CJ45+CK45+CL45</f>
        <v>15.808635811968747</v>
      </c>
      <c r="CO45" s="193">
        <f>CO43*CO33/1000</f>
        <v>4.9142177954648423</v>
      </c>
      <c r="CP45" s="194">
        <f>CP43*CP33/1000</f>
        <v>3.6717107935949986</v>
      </c>
      <c r="CQ45" s="194">
        <f>CQ43*CQ33/1000</f>
        <v>3.3084057817321879</v>
      </c>
      <c r="CR45" s="194">
        <f>CR43*CR33/1000</f>
        <v>4.5050610207220307</v>
      </c>
      <c r="CS45" s="159">
        <f>CO45+CP45+CQ45+CR45</f>
        <v>16.399395391514059</v>
      </c>
      <c r="CU45" s="193">
        <f>CU43*CU33/1000</f>
        <v>5.0991378796590805</v>
      </c>
      <c r="CV45" s="194">
        <f>CV43*CV33/1000</f>
        <v>3.8078980348454983</v>
      </c>
      <c r="CW45" s="194">
        <f>CW43*CW33/1000</f>
        <v>3.4309833298777965</v>
      </c>
      <c r="CX45" s="194">
        <f>CX43*CX33/1000</f>
        <v>4.6717933082717797</v>
      </c>
      <c r="CY45" s="159">
        <f>CU45+CV45+CW45+CX45</f>
        <v>17.009812552654157</v>
      </c>
      <c r="DA45" s="193">
        <f>DA43*DA33/1000</f>
        <v>5.290232581940864</v>
      </c>
      <c r="DB45" s="194">
        <f>DB43*DB33/1000</f>
        <v>3.948599818912526</v>
      </c>
      <c r="DC45" s="194">
        <f>DC43*DC33/1000</f>
        <v>3.5576220018171041</v>
      </c>
      <c r="DD45" s="194">
        <f>DD43*DD33/1000</f>
        <v>4.8440465470610663</v>
      </c>
      <c r="DE45" s="159">
        <f>DA45+DB45+DC45+DD45</f>
        <v>17.64050094973156</v>
      </c>
      <c r="DG45" s="193">
        <f>DG43*DG33/1000</f>
        <v>5.4876950581619504</v>
      </c>
      <c r="DH45" s="194">
        <f>DH43*DH33/1000</f>
        <v>4.093956755911127</v>
      </c>
      <c r="DI45" s="194">
        <f>DI43*DI33/1000</f>
        <v>3.6884482427722025</v>
      </c>
      <c r="DJ45" s="194">
        <f>DJ43*DJ33/1000</f>
        <v>5.0219925769721456</v>
      </c>
      <c r="DK45" s="159">
        <f>DG45+DH45+DI45+DJ45</f>
        <v>18.292092633817425</v>
      </c>
    </row>
    <row r="46" spans="2:115" ht="15" x14ac:dyDescent="0.3">
      <c r="B46" s="5" t="s">
        <v>23</v>
      </c>
      <c r="C46" s="144" t="s">
        <v>35</v>
      </c>
      <c r="D46" s="107" t="s">
        <v>35</v>
      </c>
      <c r="E46" s="107" t="s">
        <v>35</v>
      </c>
      <c r="F46" s="107" t="s">
        <v>35</v>
      </c>
      <c r="G46" s="138" t="s">
        <v>35</v>
      </c>
      <c r="I46" s="151">
        <f>I45/C45-1</f>
        <v>0.16089514222092949</v>
      </c>
      <c r="J46" s="133">
        <f>J45/D45-1</f>
        <v>-0.16097837789515834</v>
      </c>
      <c r="K46" s="133">
        <f>K45/E45-1</f>
        <v>0.50465460264044926</v>
      </c>
      <c r="L46" s="133">
        <f>L45/F45-1</f>
        <v>0.21102325471784011</v>
      </c>
      <c r="M46" s="153">
        <f>M45/G45-1</f>
        <v>0.17621825994004148</v>
      </c>
      <c r="O46" s="151">
        <f>O45/I45-1</f>
        <v>-8.9239245172252346E-2</v>
      </c>
      <c r="P46" s="133">
        <f>P45/J45-1</f>
        <v>3.286803345172884E-2</v>
      </c>
      <c r="Q46" s="133">
        <f>Q45/K45-1</f>
        <v>-0.29748638335838362</v>
      </c>
      <c r="R46" s="133">
        <f>R45/L45-1</f>
        <v>-0.20768906380228158</v>
      </c>
      <c r="S46" s="153">
        <f>S45/M45-1</f>
        <v>-0.16858149695821478</v>
      </c>
      <c r="U46" s="151">
        <f>U45/O45-1</f>
        <v>-1.2737449865573902E-2</v>
      </c>
      <c r="V46" s="133">
        <f>V45/P45-1</f>
        <v>-3.5860802455544571E-2</v>
      </c>
      <c r="W46" s="133">
        <f>W45/Q45-1</f>
        <v>-0.1411199759344085</v>
      </c>
      <c r="X46" s="133">
        <f>X45/R45-1</f>
        <v>-0.3346991660614802</v>
      </c>
      <c r="Y46" s="153">
        <f>Y45/S45-1</f>
        <v>-0.16090702570053461</v>
      </c>
      <c r="AA46" s="151">
        <f>AA45/U45-1</f>
        <v>-0.37315150669642849</v>
      </c>
      <c r="AB46" s="133">
        <f>AB45/V45-1</f>
        <v>-0.20000703706911471</v>
      </c>
      <c r="AC46" s="133">
        <f>AC45/W45-1</f>
        <v>-0.10417970285790235</v>
      </c>
      <c r="AD46" s="133">
        <f>AD45/X45-1</f>
        <v>0.12134221674680501</v>
      </c>
      <c r="AE46" s="153">
        <f>AE45/Y45-1</f>
        <v>-0.13141828206417405</v>
      </c>
      <c r="AG46" s="151">
        <f>AG45/AA45-1</f>
        <v>-4.9644095773289432E-2</v>
      </c>
      <c r="AH46" s="133">
        <f>AH45/AB45-1</f>
        <v>-0.11885308297386443</v>
      </c>
      <c r="AI46" s="133">
        <f>AI45/AC45-1</f>
        <v>-0.33244629064710851</v>
      </c>
      <c r="AJ46" s="133">
        <f>AJ45/AD45-1</f>
        <v>-0.3105876098593171</v>
      </c>
      <c r="AK46" s="153">
        <f>AK45/AE45-1</f>
        <v>-0.22643041583258494</v>
      </c>
      <c r="AM46" s="151">
        <f>AM45/AG45-1</f>
        <v>7.6990389178927199E-2</v>
      </c>
      <c r="AN46" s="133">
        <f>AN45/AH45-1</f>
        <v>-8.9151500316765775E-2</v>
      </c>
      <c r="AO46" s="133">
        <f>AO45/AI45-1</f>
        <v>0.48362299465240621</v>
      </c>
      <c r="AP46" s="133">
        <f>AP45/AJ45-1</f>
        <v>0.25928954772635837</v>
      </c>
      <c r="AQ46" s="153">
        <f>AQ45/AK45-1</f>
        <v>0.17824157251122807</v>
      </c>
      <c r="AS46" s="151">
        <f>AS45/AM45-1</f>
        <v>-4.4510159927809489E-2</v>
      </c>
      <c r="AT46" s="133">
        <f>AT45/AN45-1</f>
        <v>-5.0289347049160549E-2</v>
      </c>
      <c r="AU46" s="133">
        <f>AU45/AO45-1</f>
        <v>-0.20048292925066979</v>
      </c>
      <c r="AV46" s="133">
        <f>AV45/AP45-1</f>
        <v>-0.11284732596354952</v>
      </c>
      <c r="AW46" s="153">
        <f>AW45/AQ45-1</f>
        <v>-0.10930220653507927</v>
      </c>
      <c r="AY46" s="151">
        <f>AY45/AS45-1</f>
        <v>0.12043010752688144</v>
      </c>
      <c r="AZ46" s="133">
        <f>AZ45/AT45-1</f>
        <v>0.27933390961224336</v>
      </c>
      <c r="BA46" s="133">
        <f>BA45/AU45-1</f>
        <v>-8.1302510758301527E-2</v>
      </c>
      <c r="BB46" s="133">
        <f>BB45/AV45-1</f>
        <v>-0.14607690494263081</v>
      </c>
      <c r="BC46" s="153">
        <f>BC45/AW45-1</f>
        <v>1.3890825638433579E-2</v>
      </c>
      <c r="BE46" s="151">
        <f>BE45/AY45-1</f>
        <v>0.25914145568656122</v>
      </c>
      <c r="BF46" s="133">
        <f>BF45/AZ45-1</f>
        <v>-0.14548792723489423</v>
      </c>
      <c r="BG46" s="133">
        <f>BG45/BA45-1</f>
        <v>1.5601101254206107E-2</v>
      </c>
      <c r="BH46" s="133">
        <f>BH45/BB45-1</f>
        <v>-5.0955810746855512E-2</v>
      </c>
      <c r="BI46" s="153">
        <f>BI45/BC45-1</f>
        <v>1.4785230624390966E-2</v>
      </c>
      <c r="BK46" s="151">
        <f>BK45/BE45-1</f>
        <v>-7.0677644214741875E-2</v>
      </c>
      <c r="BL46" s="133">
        <f>BL45/BF45-1</f>
        <v>-0.10310907651393653</v>
      </c>
      <c r="BM46" s="133">
        <f>BM45/BG45-1</f>
        <v>-0.20369760291164674</v>
      </c>
      <c r="BN46" s="133">
        <f>BN45/BH45-1</f>
        <v>-0.19212636983417397</v>
      </c>
      <c r="BO46" s="153">
        <f>BO45/BI45-1</f>
        <v>-0.13849432327146849</v>
      </c>
      <c r="BQ46" s="151">
        <f>BQ45/BK45-1</f>
        <v>-0.12860471451577138</v>
      </c>
      <c r="BR46" s="133">
        <f>BR45/BL45-1</f>
        <v>-7.5818329355284653E-2</v>
      </c>
      <c r="BS46" s="133">
        <f>BS45/BM45-1</f>
        <v>4.3834159123123939E-5</v>
      </c>
      <c r="BT46" s="133">
        <f>BT45/BN45-1</f>
        <v>2.3178037778404548E-2</v>
      </c>
      <c r="BU46" s="153">
        <f>BU45/BO45-1</f>
        <v>-5.3194991193398655E-2</v>
      </c>
      <c r="BW46" s="151">
        <f>BW45/BQ45-1</f>
        <v>2.5080835753506836E-2</v>
      </c>
      <c r="BX46" s="133">
        <f>BX45/BR45-1</f>
        <v>3.65882690061059E-2</v>
      </c>
      <c r="BY46" s="133">
        <f>BY45/BS45-1</f>
        <v>2.0780802366349826E-2</v>
      </c>
      <c r="BZ46" s="133">
        <f>BZ45/BT45-1</f>
        <v>4.3153990018495625E-2</v>
      </c>
      <c r="CA46" s="153">
        <f>CA45/BU45-1</f>
        <v>3.1712844051093647E-2</v>
      </c>
      <c r="CC46" s="151">
        <f>CC45/BW45-1</f>
        <v>7.4448481970512681E-4</v>
      </c>
      <c r="CD46" s="133">
        <f>CD45/BX45-1</f>
        <v>1.2209607692619251E-3</v>
      </c>
      <c r="CE46" s="133">
        <f>CE45/BY45-1</f>
        <v>1.6676792223571102E-3</v>
      </c>
      <c r="CF46" s="133">
        <f>CF45/BZ45-1</f>
        <v>2.0853936490767833E-3</v>
      </c>
      <c r="CG46" s="153">
        <f>CG45/CA45-1</f>
        <v>1.4095839794978637E-3</v>
      </c>
      <c r="CI46" s="151">
        <f>CI45/CC45-1</f>
        <v>2.1637041681513258E-2</v>
      </c>
      <c r="CJ46" s="133">
        <f>CJ45/CD45-1</f>
        <v>4.4196916051751911E-2</v>
      </c>
      <c r="CK46" s="133">
        <f>CK45/CE45-1</f>
        <v>2.4271592433436684E-2</v>
      </c>
      <c r="CL46" s="133">
        <f>CL45/CF45-1</f>
        <v>4.3560553674235614E-3</v>
      </c>
      <c r="CM46" s="153">
        <f>CM45/CG45-1</f>
        <v>2.2280239948790248E-2</v>
      </c>
      <c r="CO46" s="151">
        <f>CO45/CI45-1</f>
        <v>3.7787164885897617E-2</v>
      </c>
      <c r="CP46" s="133">
        <f>CP45/CJ45-1</f>
        <v>3.7235277877025963E-2</v>
      </c>
      <c r="CQ46" s="133">
        <f>CQ45/CK45-1</f>
        <v>3.7193690923216449E-2</v>
      </c>
      <c r="CR46" s="133">
        <f>CR45/CL45-1</f>
        <v>3.7152385714746439E-2</v>
      </c>
      <c r="CS46" s="153">
        <f>CS45/CM45-1</f>
        <v>3.7369421787681878E-2</v>
      </c>
      <c r="CU46" s="151">
        <f>CU45/CO45-1</f>
        <v>3.7629606967134022E-2</v>
      </c>
      <c r="CV46" s="133">
        <f>CV45/CP45-1</f>
        <v>3.7090949943025864E-2</v>
      </c>
      <c r="CW46" s="133">
        <f>CW45/CQ45-1</f>
        <v>3.7050336697643793E-2</v>
      </c>
      <c r="CX46" s="133">
        <f>CX45/CR45-1</f>
        <v>3.700999537693872E-2</v>
      </c>
      <c r="CY46" s="153">
        <f>CY45/CS45-1</f>
        <v>3.72219308436188E-2</v>
      </c>
      <c r="DA46" s="151">
        <f>DA45/CU45-1</f>
        <v>3.747588451061068E-2</v>
      </c>
      <c r="DB46" s="133">
        <f>DB45/CV45-1</f>
        <v>3.6949987310449739E-2</v>
      </c>
      <c r="DC46" s="133">
        <f>DC45/CW45-1</f>
        <v>3.6910313972239095E-2</v>
      </c>
      <c r="DD46" s="133">
        <f>DD45/CX45-1</f>
        <v>3.6870903189209603E-2</v>
      </c>
      <c r="DE46" s="153">
        <f>DE45/CY45-1</f>
        <v>3.7077915769212488E-2</v>
      </c>
      <c r="DG46" s="151">
        <f>DG45/DA45-1</f>
        <v>3.732585914939901E-2</v>
      </c>
      <c r="DH46" s="133">
        <f>DH45/DB45-1</f>
        <v>3.6812273632386816E-2</v>
      </c>
      <c r="DI46" s="133">
        <f>DI45/DC45-1</f>
        <v>3.6773507946678219E-2</v>
      </c>
      <c r="DJ46" s="133">
        <f>DJ45/DD45-1</f>
        <v>3.673499587220963E-2</v>
      </c>
      <c r="DK46" s="153">
        <f>DK45/DE45-1</f>
        <v>3.6937255123459467E-2</v>
      </c>
    </row>
    <row r="47" spans="2:115" ht="15" x14ac:dyDescent="0.3">
      <c r="B47" s="5"/>
      <c r="C47" s="144"/>
      <c r="D47" s="107"/>
      <c r="E47" s="107"/>
      <c r="F47" s="107"/>
      <c r="G47" s="138"/>
      <c r="I47" s="144"/>
      <c r="J47" s="107"/>
      <c r="K47" s="107"/>
      <c r="L47" s="107"/>
      <c r="M47" s="138"/>
      <c r="O47" s="144"/>
      <c r="P47" s="107"/>
      <c r="Q47" s="107"/>
      <c r="R47" s="107"/>
      <c r="S47" s="138"/>
      <c r="U47" s="144"/>
      <c r="V47" s="107"/>
      <c r="W47" s="107"/>
      <c r="X47" s="107"/>
      <c r="Y47" s="138"/>
      <c r="AA47" s="144"/>
      <c r="AB47" s="107"/>
      <c r="AC47" s="107"/>
      <c r="AD47" s="107"/>
      <c r="AE47" s="138"/>
      <c r="AG47" s="144"/>
      <c r="AH47" s="107"/>
      <c r="AI47" s="107"/>
      <c r="AJ47" s="107"/>
      <c r="AK47" s="138"/>
      <c r="AM47" s="144"/>
      <c r="AN47" s="107"/>
      <c r="AO47" s="107"/>
      <c r="AP47" s="107"/>
      <c r="AQ47" s="138"/>
      <c r="AS47" s="144"/>
      <c r="AT47" s="107"/>
      <c r="AU47" s="107"/>
      <c r="AV47" s="107"/>
      <c r="AW47" s="138"/>
      <c r="AY47" s="144"/>
      <c r="AZ47" s="107"/>
      <c r="BA47" s="107"/>
      <c r="BB47" s="107"/>
      <c r="BC47" s="138"/>
      <c r="BE47" s="144"/>
      <c r="BF47" s="107"/>
      <c r="BG47" s="107"/>
      <c r="BH47" s="107"/>
      <c r="BI47" s="138"/>
      <c r="BK47" s="144"/>
      <c r="BL47" s="107"/>
      <c r="BM47" s="107"/>
      <c r="BN47" s="107"/>
      <c r="BO47" s="138"/>
      <c r="BQ47" s="144"/>
      <c r="BR47" s="107"/>
      <c r="BS47" s="107"/>
      <c r="BT47" s="145"/>
      <c r="BU47" s="145"/>
      <c r="BW47" s="144"/>
      <c r="BX47" s="107"/>
      <c r="BY47" s="107"/>
      <c r="BZ47" s="145"/>
      <c r="CA47" s="145"/>
      <c r="CC47" s="144"/>
      <c r="CD47" s="107"/>
      <c r="CE47" s="107"/>
      <c r="CF47" s="145"/>
      <c r="CG47" s="145"/>
      <c r="CI47" s="144"/>
      <c r="CJ47" s="107"/>
      <c r="CK47" s="107"/>
      <c r="CL47" s="145"/>
      <c r="CM47" s="145"/>
      <c r="CO47" s="144"/>
      <c r="CP47" s="107"/>
      <c r="CQ47" s="107"/>
      <c r="CR47" s="145"/>
      <c r="CS47" s="145"/>
      <c r="CU47" s="144"/>
      <c r="CV47" s="107"/>
      <c r="CW47" s="107"/>
      <c r="CX47" s="145"/>
      <c r="CY47" s="145"/>
      <c r="DA47" s="144"/>
      <c r="DB47" s="107"/>
      <c r="DC47" s="107"/>
      <c r="DD47" s="145"/>
      <c r="DE47" s="145"/>
      <c r="DG47" s="144"/>
      <c r="DH47" s="107"/>
      <c r="DI47" s="107"/>
      <c r="DJ47" s="145"/>
      <c r="DK47" s="145"/>
    </row>
    <row r="48" spans="2:115" ht="15" x14ac:dyDescent="0.3">
      <c r="B48" s="105" t="s">
        <v>53</v>
      </c>
      <c r="C48" s="203">
        <f>C40-C45-C54</f>
        <v>148.81968599999999</v>
      </c>
      <c r="D48" s="204">
        <f>D40-D45-D54</f>
        <v>150.92471749999999</v>
      </c>
      <c r="E48" s="204">
        <f>E40-E45-E54</f>
        <v>151.634795</v>
      </c>
      <c r="F48" s="204">
        <f>F40-F45-F54</f>
        <v>160.79762799999997</v>
      </c>
      <c r="G48" s="159">
        <f>C48+D48+E48+F48</f>
        <v>612.17682649999995</v>
      </c>
      <c r="H48" s="197"/>
      <c r="I48" s="203">
        <f>I40-I45-I54</f>
        <v>138.82530349999999</v>
      </c>
      <c r="J48" s="204">
        <f>J40-J45-J54</f>
        <v>143.06368500000002</v>
      </c>
      <c r="K48" s="204">
        <f>K40-K45-K54</f>
        <v>163.42256500000002</v>
      </c>
      <c r="L48" s="204">
        <f>L40-L45-L54</f>
        <v>154.43366700000001</v>
      </c>
      <c r="M48" s="159">
        <f>I48+J48+K48+L48</f>
        <v>599.74522049999996</v>
      </c>
      <c r="N48" s="197"/>
      <c r="O48" s="203">
        <f>O40-O45-O54</f>
        <v>116.46556799999999</v>
      </c>
      <c r="P48" s="204">
        <f>P40-P45-P54</f>
        <v>124.86857000000001</v>
      </c>
      <c r="Q48" s="204">
        <f>Q40-Q45-Q54</f>
        <v>128.27172150000001</v>
      </c>
      <c r="R48" s="204">
        <f>R40-R45-R54</f>
        <v>144.25124600000001</v>
      </c>
      <c r="S48" s="159">
        <f>O48+P48+Q48+R48</f>
        <v>513.85710549999999</v>
      </c>
      <c r="T48" s="114"/>
      <c r="U48" s="203">
        <f>U40-U45-U54</f>
        <v>119.5488</v>
      </c>
      <c r="V48" s="204">
        <f>V40-V45-V54</f>
        <v>120.088448</v>
      </c>
      <c r="W48" s="204">
        <f>W40-W45-W54</f>
        <v>116.221216</v>
      </c>
      <c r="X48" s="204">
        <f>X40-X45-X54</f>
        <v>138.84884500000001</v>
      </c>
      <c r="Y48" s="213">
        <f>U48+V48+W48+X48</f>
        <v>494.70730900000001</v>
      </c>
      <c r="AA48" s="203">
        <f>AA40-AA45-AA54</f>
        <v>100.956075</v>
      </c>
      <c r="AB48" s="204">
        <f>AB40-AB45-AB54</f>
        <v>110.27080000000001</v>
      </c>
      <c r="AC48" s="204">
        <f>AC40-AC45-AC54</f>
        <v>111.82324800000001</v>
      </c>
      <c r="AD48" s="204">
        <f>AD40-AD45-AD54</f>
        <v>117.98110800000001</v>
      </c>
      <c r="AE48" s="213">
        <f>AA48+AB48+AC48+AD48</f>
        <v>441.03123099999999</v>
      </c>
      <c r="AG48" s="203">
        <f>AG40-AG45-AG54</f>
        <v>94.156832000000009</v>
      </c>
      <c r="AH48" s="204">
        <f>AH40-AH45-AH54</f>
        <v>100.83287999999999</v>
      </c>
      <c r="AI48" s="204">
        <f>AI40-AI45-AI54</f>
        <v>111.54424</v>
      </c>
      <c r="AJ48" s="204">
        <f>AJ40-AJ45-AJ54</f>
        <v>138.4716765</v>
      </c>
      <c r="AK48" s="213">
        <f>AG48+AH48+AI48+AJ48</f>
        <v>445.0056285</v>
      </c>
      <c r="AM48" s="203">
        <f>AM40-AM45-AM54</f>
        <v>123.86094499999999</v>
      </c>
      <c r="AN48" s="204">
        <f>AN40-AN45-AN54</f>
        <v>124.204385</v>
      </c>
      <c r="AO48" s="204">
        <f>AO40-AO45-AO54</f>
        <v>120.87295499999999</v>
      </c>
      <c r="AP48" s="204">
        <f>AP40-AP45-AP54</f>
        <v>138.03824</v>
      </c>
      <c r="AQ48" s="213">
        <f>AM48+AN48+AO48+AP48</f>
        <v>506.97652499999992</v>
      </c>
      <c r="AS48" s="203">
        <f>AS40-AS45-AS54</f>
        <v>118.045175</v>
      </c>
      <c r="AT48" s="204">
        <f>AT40-AT45-AT54</f>
        <v>112.675264</v>
      </c>
      <c r="AU48" s="204">
        <f>AU40-AU45-AU54</f>
        <v>119.30083999999999</v>
      </c>
      <c r="AV48" s="204">
        <f>AV40-AV45-AV54</f>
        <v>152.71385600000002</v>
      </c>
      <c r="AW48" s="213">
        <f>AS48+AT48+AU48+AV48</f>
        <v>502.73513500000001</v>
      </c>
      <c r="AY48" s="203">
        <f>AY40-AY45-AY54</f>
        <v>157.568895</v>
      </c>
      <c r="AZ48" s="204">
        <f>AZ40-AZ45-AZ54</f>
        <v>144.388339</v>
      </c>
      <c r="BA48" s="204">
        <f>BA40-BA45-BA54</f>
        <v>139.23411200000001</v>
      </c>
      <c r="BB48" s="204">
        <f>BB40-BB45-BB54</f>
        <v>160.72604799999999</v>
      </c>
      <c r="BC48" s="213">
        <f>AY48+AZ48+BA48+BB48</f>
        <v>601.91739399999994</v>
      </c>
      <c r="BE48" s="203">
        <f>BE40-BE45-BE54</f>
        <v>143.42061200000001</v>
      </c>
      <c r="BF48" s="204">
        <f>BF40-BF45-BF54</f>
        <v>146.54928000000001</v>
      </c>
      <c r="BG48" s="204">
        <f>BG40-BG45-BG54</f>
        <v>151.70536000000001</v>
      </c>
      <c r="BH48" s="204">
        <f>BH40-BH45-BH54</f>
        <v>163.51478650000001</v>
      </c>
      <c r="BI48" s="213">
        <f>BE48+BF48+BG48+BH48</f>
        <v>605.19003850000001</v>
      </c>
      <c r="BK48" s="203">
        <f>BK40-BK45-BK54</f>
        <v>158.81495000000001</v>
      </c>
      <c r="BL48" s="204">
        <f>BL40-BL45-BL54</f>
        <v>160.34580400000002</v>
      </c>
      <c r="BM48" s="204">
        <f>BM40-BM45-BM54</f>
        <v>166.1207</v>
      </c>
      <c r="BN48" s="204">
        <f>BN40-BN45-BN54</f>
        <v>176.0249</v>
      </c>
      <c r="BO48" s="213">
        <f>BK48+BL48+BM48+BN48</f>
        <v>661.30635400000006</v>
      </c>
      <c r="BQ48" s="203">
        <f>BQ51*BQ40</f>
        <v>168.8169374865501</v>
      </c>
      <c r="BR48" s="204">
        <f>BR51*BR40</f>
        <v>168.41680250312527</v>
      </c>
      <c r="BS48" s="204">
        <f>BS51*BS40</f>
        <v>168.92122201443701</v>
      </c>
      <c r="BT48" s="205">
        <f>BT51*BT40</f>
        <v>181.94609725476371</v>
      </c>
      <c r="BU48" s="213">
        <f>BQ48+BR48+BS48+BT48</f>
        <v>688.10105925887603</v>
      </c>
      <c r="BW48" s="203">
        <f>BW51*BW40</f>
        <v>172.70703517545948</v>
      </c>
      <c r="BX48" s="204">
        <f>BX51*BX40</f>
        <v>171.60391844709312</v>
      </c>
      <c r="BY48" s="204">
        <f>BY51*BY40</f>
        <v>171.68700756082151</v>
      </c>
      <c r="BZ48" s="205">
        <f>BZ51*BZ40</f>
        <v>184.3822673134384</v>
      </c>
      <c r="CA48" s="213">
        <f>BW48+BX48+BY48+BZ48</f>
        <v>700.38022849681249</v>
      </c>
      <c r="CC48" s="203">
        <f>CC51*CC40</f>
        <v>174.80979674527595</v>
      </c>
      <c r="CD48" s="204">
        <f>CD51*CD40</f>
        <v>173.42710914468975</v>
      </c>
      <c r="CE48" s="204">
        <f>CE51*CE40</f>
        <v>173.76689206962166</v>
      </c>
      <c r="CF48" s="205">
        <f>CF51*CF40</f>
        <v>186.73991910035778</v>
      </c>
      <c r="CG48" s="213">
        <f>CC48+CD48+CE48+CF48</f>
        <v>708.74371705994508</v>
      </c>
      <c r="CI48" s="203">
        <f>CI51*CI40</f>
        <v>176.46475641240144</v>
      </c>
      <c r="CJ48" s="204">
        <f>CJ51*CJ40</f>
        <v>175.26506290703384</v>
      </c>
      <c r="CK48" s="204">
        <f>CK51*CK40</f>
        <v>175.84587527275073</v>
      </c>
      <c r="CL48" s="205">
        <f>CL51*CL40</f>
        <v>188.41521788216536</v>
      </c>
      <c r="CM48" s="213">
        <f>CI48+CJ48+CK48+CL48</f>
        <v>715.99091247435138</v>
      </c>
      <c r="CO48" s="203">
        <f>CO51*CO40</f>
        <v>178.80559955070606</v>
      </c>
      <c r="CP48" s="204">
        <f>CP51*CP40</f>
        <v>177.28884608526567</v>
      </c>
      <c r="CQ48" s="204">
        <f>CQ51*CQ40</f>
        <v>178.065911470261</v>
      </c>
      <c r="CR48" s="205">
        <f>CR51*CR40</f>
        <v>190.91670075520824</v>
      </c>
      <c r="CS48" s="213">
        <f>CO48+CP48+CQ48+CR48</f>
        <v>725.07705786144095</v>
      </c>
      <c r="CU48" s="203">
        <f>CU51*CU40</f>
        <v>180.60716690908927</v>
      </c>
      <c r="CV48" s="204">
        <f>CV51*CV40</f>
        <v>178.83572688570362</v>
      </c>
      <c r="CW48" s="204">
        <f>CW51*CW40</f>
        <v>179.79744390137174</v>
      </c>
      <c r="CX48" s="205">
        <f>CX51*CX40</f>
        <v>192.86033084443616</v>
      </c>
      <c r="CY48" s="213">
        <f>CU48+CV48+CW48+CX48</f>
        <v>732.10066854060074</v>
      </c>
      <c r="DA48" s="203">
        <f>DA51*DA40</f>
        <v>182.53426603729048</v>
      </c>
      <c r="DB48" s="204">
        <f>DB51*DB40</f>
        <v>180.49727089016673</v>
      </c>
      <c r="DC48" s="204">
        <f>DC51*DC40</f>
        <v>181.6438737754911</v>
      </c>
      <c r="DD48" s="205">
        <f>DD51*DD40</f>
        <v>194.93475977156453</v>
      </c>
      <c r="DE48" s="213">
        <f>DA48+DB48+DC48+DD48</f>
        <v>739.61017047451287</v>
      </c>
      <c r="DG48" s="203">
        <f>DG51*DG40</f>
        <v>184.59048982710834</v>
      </c>
      <c r="DH48" s="204">
        <f>DH51*DH40</f>
        <v>182.27662637814444</v>
      </c>
      <c r="DI48" s="204">
        <f>DI51*DI40</f>
        <v>183.60829118856731</v>
      </c>
      <c r="DJ48" s="205">
        <f>DJ51*DJ40</f>
        <v>197.14364844756159</v>
      </c>
      <c r="DK48" s="213">
        <f>DG48+DH48+DI48+DJ48</f>
        <v>747.61905584138162</v>
      </c>
    </row>
    <row r="49" spans="2:115" ht="15" x14ac:dyDescent="0.3">
      <c r="B49" s="40" t="s">
        <v>23</v>
      </c>
      <c r="C49" s="144" t="s">
        <v>35</v>
      </c>
      <c r="D49" s="107" t="s">
        <v>35</v>
      </c>
      <c r="E49" s="107" t="s">
        <v>35</v>
      </c>
      <c r="F49" s="107" t="s">
        <v>35</v>
      </c>
      <c r="G49" s="138" t="s">
        <v>35</v>
      </c>
      <c r="I49" s="327">
        <f>I48/C48-1</f>
        <v>-6.7157664208483792E-2</v>
      </c>
      <c r="J49" s="328">
        <f>J48/D48-1</f>
        <v>-5.2085785749441338E-2</v>
      </c>
      <c r="K49" s="328">
        <f>K48/E48-1</f>
        <v>7.7737896503240034E-2</v>
      </c>
      <c r="L49" s="328">
        <f>L48/F48-1</f>
        <v>-3.9577455707244358E-2</v>
      </c>
      <c r="M49" s="333">
        <f>M48/G48-1</f>
        <v>-2.0307214291457654E-2</v>
      </c>
      <c r="O49" s="327">
        <f>O48/I48-1</f>
        <v>-0.16106383300649507</v>
      </c>
      <c r="P49" s="328">
        <f>P48/J48-1</f>
        <v>-0.12718192600728839</v>
      </c>
      <c r="Q49" s="328">
        <f>Q48/K48-1</f>
        <v>-0.21509173779031066</v>
      </c>
      <c r="R49" s="328">
        <f>R48/L48-1</f>
        <v>-6.5933945607857702E-2</v>
      </c>
      <c r="S49" s="333">
        <f>S48/M48-1</f>
        <v>-0.14320766896382453</v>
      </c>
      <c r="U49" s="327">
        <f>U48/O48-1</f>
        <v>2.6473335020355648E-2</v>
      </c>
      <c r="V49" s="328">
        <f>V48/P48-1</f>
        <v>-3.8281226412699376E-2</v>
      </c>
      <c r="W49" s="328">
        <f>W48/Q48-1</f>
        <v>-9.3945145189308299E-2</v>
      </c>
      <c r="X49" s="328">
        <f>X48/R48-1</f>
        <v>-3.745132988314015E-2</v>
      </c>
      <c r="Y49" s="153">
        <f>Y48/S48-1</f>
        <v>-3.7266773768490746E-2</v>
      </c>
      <c r="AA49" s="327">
        <f>AA48/U48-1</f>
        <v>-0.15552414578816354</v>
      </c>
      <c r="AB49" s="328">
        <f>AB48/V48-1</f>
        <v>-8.1753475571605283E-2</v>
      </c>
      <c r="AC49" s="328">
        <f>AC48/W48-1</f>
        <v>-3.7841352477330781E-2</v>
      </c>
      <c r="AD49" s="328">
        <f>AD48/X48-1</f>
        <v>-0.15029103771082863</v>
      </c>
      <c r="AE49" s="153">
        <f>AE48/Y48-1</f>
        <v>-0.10850067711451583</v>
      </c>
      <c r="AG49" s="327">
        <f>AG48/AA48-1</f>
        <v>-6.7348527565082028E-2</v>
      </c>
      <c r="AH49" s="328">
        <f>AH48/AB48-1</f>
        <v>-8.5588569231383249E-2</v>
      </c>
      <c r="AI49" s="328">
        <f>AI48/AC48-1</f>
        <v>-2.4950804505339264E-3</v>
      </c>
      <c r="AJ49" s="328">
        <f>AJ48/AD48-1</f>
        <v>0.17367669152590093</v>
      </c>
      <c r="AK49" s="153">
        <f>AK48/AE48-1</f>
        <v>9.0116010401086744E-3</v>
      </c>
      <c r="AM49" s="327">
        <f>AM48/AG48-1</f>
        <v>0.31547485582352608</v>
      </c>
      <c r="AN49" s="328">
        <f>AN48/AH48-1</f>
        <v>0.23178456273390213</v>
      </c>
      <c r="AO49" s="328">
        <f>AO48/AI48-1</f>
        <v>8.3632422436156206E-2</v>
      </c>
      <c r="AP49" s="328">
        <f>AP48/AJ48-1</f>
        <v>-3.1301455355745578E-3</v>
      </c>
      <c r="AQ49" s="153">
        <f>AQ48/AK48-1</f>
        <v>0.13925868018543475</v>
      </c>
      <c r="AS49" s="327">
        <f>AS48/AM48-1</f>
        <v>-4.6954025742335426E-2</v>
      </c>
      <c r="AT49" s="328">
        <f>AT48/AN48-1</f>
        <v>-9.2823783958996375E-2</v>
      </c>
      <c r="AU49" s="328">
        <f>AU48/AO48-1</f>
        <v>-1.3006342072136801E-2</v>
      </c>
      <c r="AV49" s="328">
        <f>AV48/AP48-1</f>
        <v>0.10631558327605473</v>
      </c>
      <c r="AW49" s="153">
        <f>AW48/AQ48-1</f>
        <v>-8.3660481123852826E-3</v>
      </c>
      <c r="AY49" s="327">
        <f>AY48/AS48-1</f>
        <v>0.33481859804943315</v>
      </c>
      <c r="AZ49" s="328">
        <f>AZ48/AT48-1</f>
        <v>0.28145551982021533</v>
      </c>
      <c r="BA49" s="328">
        <f>BA48/AU48-1</f>
        <v>0.16708408758898941</v>
      </c>
      <c r="BB49" s="328">
        <f>BB48/AV48-1</f>
        <v>5.246538991196692E-2</v>
      </c>
      <c r="BC49" s="153">
        <f>BC48/AW48-1</f>
        <v>0.19728531406502925</v>
      </c>
      <c r="BE49" s="327">
        <f>BE48/AY48-1</f>
        <v>-8.9791091065276496E-2</v>
      </c>
      <c r="BF49" s="328">
        <f>BF48/AZ48-1</f>
        <v>1.4966173965059726E-2</v>
      </c>
      <c r="BG49" s="328">
        <f>BG48/BA48-1</f>
        <v>8.9570348967356495E-2</v>
      </c>
      <c r="BH49" s="328">
        <f>BH48/BB48-1</f>
        <v>1.7350880798114421E-2</v>
      </c>
      <c r="BI49" s="153">
        <f>BI48/BC48-1</f>
        <v>5.4370326104915545E-3</v>
      </c>
      <c r="BK49" s="327">
        <f>BK48/BE48-1</f>
        <v>0.10733699839462418</v>
      </c>
      <c r="BL49" s="328">
        <f>BL48/BF48-1</f>
        <v>9.4142557370462621E-2</v>
      </c>
      <c r="BM49" s="328">
        <f>BM48/BG48-1</f>
        <v>9.5021955717319306E-2</v>
      </c>
      <c r="BN49" s="328">
        <f>BN48/BH48-1</f>
        <v>7.6507536521781105E-2</v>
      </c>
      <c r="BO49" s="153">
        <f>BO48/BI48-1</f>
        <v>9.2725114311345447E-2</v>
      </c>
      <c r="BQ49" s="151">
        <f>BQ48/BK48-1</f>
        <v>6.2978878792897541E-2</v>
      </c>
      <c r="BR49" s="133">
        <f>BR48/BL48-1</f>
        <v>5.0334952969054658E-2</v>
      </c>
      <c r="BS49" s="133">
        <f>BS48/BM48-1</f>
        <v>1.6858356691471954E-2</v>
      </c>
      <c r="BT49" s="152">
        <f>BT48/BN48-1</f>
        <v>3.3638407150145877E-2</v>
      </c>
      <c r="BU49" s="152">
        <f>BU48/BO48-1</f>
        <v>4.0517840327413568E-2</v>
      </c>
      <c r="BW49" s="151">
        <f>BW48/BQ48-1</f>
        <v>2.3043290245798431E-2</v>
      </c>
      <c r="BX49" s="133">
        <f>BX48/BR48-1</f>
        <v>1.8923978466511393E-2</v>
      </c>
      <c r="BY49" s="133">
        <f>BY48/BS48-1</f>
        <v>1.6373227196687656E-2</v>
      </c>
      <c r="BZ49" s="152">
        <f>BZ48/BT48-1</f>
        <v>1.3389515331365009E-2</v>
      </c>
      <c r="CA49" s="152">
        <f>CA48/BU48-1</f>
        <v>1.7845008480530167E-2</v>
      </c>
      <c r="CC49" s="151">
        <f>CC48/BW48-1</f>
        <v>1.2175309289978786E-2</v>
      </c>
      <c r="CD49" s="133">
        <f>CD48/BX48-1</f>
        <v>1.0624411808864087E-2</v>
      </c>
      <c r="CE49" s="133">
        <f>CE48/BY48-1</f>
        <v>1.2114396647418646E-2</v>
      </c>
      <c r="CF49" s="152">
        <f>CF48/BZ48-1</f>
        <v>1.2786759926926683E-2</v>
      </c>
      <c r="CG49" s="152">
        <f>CG48/CA48-1</f>
        <v>1.1941354456967979E-2</v>
      </c>
      <c r="CI49" s="151">
        <f>CI48/CC48-1</f>
        <v>9.467202055826629E-3</v>
      </c>
      <c r="CJ49" s="133">
        <f>CJ48/CD48-1</f>
        <v>1.0597845812044815E-2</v>
      </c>
      <c r="CK49" s="133">
        <f>CK48/CE48-1</f>
        <v>1.1964207786464343E-2</v>
      </c>
      <c r="CL49" s="152">
        <f>CL48/CF48-1</f>
        <v>8.9712943535509293E-3</v>
      </c>
      <c r="CM49" s="152">
        <f>CM48/CG48-1</f>
        <v>1.0225410455093176E-2</v>
      </c>
      <c r="CO49" s="151">
        <f>CO48/CI48-1</f>
        <v>1.3265216159276783E-2</v>
      </c>
      <c r="CP49" s="133">
        <f>CP48/CJ48-1</f>
        <v>1.1546985717885594E-2</v>
      </c>
      <c r="CQ49" s="133">
        <f>CQ48/CK48-1</f>
        <v>1.2624897763833243E-2</v>
      </c>
      <c r="CR49" s="152">
        <f>CR48/CL48-1</f>
        <v>1.327643754660679E-2</v>
      </c>
      <c r="CS49" s="152">
        <f>CS48/CM48-1</f>
        <v>1.2690308255015825E-2</v>
      </c>
      <c r="CU49" s="151">
        <f>CU48/CO48-1</f>
        <v>1.0075564539981485E-2</v>
      </c>
      <c r="CV49" s="133">
        <f>CV48/CP48-1</f>
        <v>8.7252009057241509E-3</v>
      </c>
      <c r="CW49" s="133">
        <f>CW48/CQ48-1</f>
        <v>9.724109554792193E-3</v>
      </c>
      <c r="CX49" s="152">
        <f>CX48/CR48-1</f>
        <v>1.0180513708541561E-2</v>
      </c>
      <c r="CY49" s="152">
        <f>CY48/CS48-1</f>
        <v>9.6867092993886406E-3</v>
      </c>
      <c r="DA49" s="151">
        <f>DA48/CU48-1</f>
        <v>1.0670114376863271E-2</v>
      </c>
      <c r="DB49" s="133">
        <f>DB48/CV48-1</f>
        <v>9.2908952444665793E-3</v>
      </c>
      <c r="DC49" s="133">
        <f>DC48/CW48-1</f>
        <v>1.0269500133340159E-2</v>
      </c>
      <c r="DD49" s="152">
        <f>DD48/CX48-1</f>
        <v>1.075612033872142E-2</v>
      </c>
      <c r="DE49" s="152">
        <f>DE48/CY48-1</f>
        <v>1.0257471761201842E-2</v>
      </c>
      <c r="DG49" s="151">
        <f>DG48/DA48-1</f>
        <v>1.1264864589302981E-2</v>
      </c>
      <c r="DH49" s="133">
        <f>DH48/DB48-1</f>
        <v>9.8580741924927384E-3</v>
      </c>
      <c r="DI49" s="133">
        <f>DI48/DC48-1</f>
        <v>1.0814663727686247E-2</v>
      </c>
      <c r="DJ49" s="152">
        <f>DJ48/DD48-1</f>
        <v>1.1331425337305356E-2</v>
      </c>
      <c r="DK49" s="152">
        <f>DK48/DE48-1</f>
        <v>1.082852249277555E-2</v>
      </c>
    </row>
    <row r="50" spans="2:115" ht="15" x14ac:dyDescent="0.3">
      <c r="B50" s="105"/>
      <c r="C50" s="203"/>
      <c r="D50" s="204"/>
      <c r="E50" s="204"/>
      <c r="F50" s="204"/>
      <c r="G50" s="159"/>
      <c r="H50" s="197"/>
      <c r="I50" s="203"/>
      <c r="J50" s="204"/>
      <c r="K50" s="204"/>
      <c r="L50" s="204"/>
      <c r="M50" s="159"/>
      <c r="N50" s="197"/>
      <c r="O50" s="203"/>
      <c r="P50" s="204"/>
      <c r="Q50" s="204"/>
      <c r="R50" s="204"/>
      <c r="S50" s="159"/>
      <c r="T50" s="114"/>
      <c r="U50" s="203"/>
      <c r="V50" s="204"/>
      <c r="W50" s="204"/>
      <c r="X50" s="204"/>
      <c r="Y50" s="213"/>
      <c r="AA50" s="203"/>
      <c r="AB50" s="204"/>
      <c r="AC50" s="204"/>
      <c r="AD50" s="204"/>
      <c r="AE50" s="213"/>
      <c r="AG50" s="203"/>
      <c r="AH50" s="204"/>
      <c r="AI50" s="204"/>
      <c r="AJ50" s="204"/>
      <c r="AK50" s="213"/>
      <c r="AM50" s="203"/>
      <c r="AN50" s="204"/>
      <c r="AO50" s="204"/>
      <c r="AP50" s="204"/>
      <c r="AQ50" s="213"/>
      <c r="AS50" s="203"/>
      <c r="AT50" s="204"/>
      <c r="AU50" s="204"/>
      <c r="AV50" s="204"/>
      <c r="AW50" s="213"/>
      <c r="AY50" s="203"/>
      <c r="AZ50" s="204"/>
      <c r="BA50" s="204"/>
      <c r="BB50" s="204"/>
      <c r="BC50" s="213"/>
      <c r="BE50" s="203"/>
      <c r="BF50" s="204"/>
      <c r="BG50" s="204"/>
      <c r="BH50" s="204"/>
      <c r="BI50" s="213"/>
      <c r="BK50" s="203"/>
      <c r="BL50" s="204"/>
      <c r="BM50" s="204"/>
      <c r="BN50" s="204"/>
      <c r="BO50" s="213"/>
      <c r="BQ50" s="203"/>
      <c r="BR50" s="204"/>
      <c r="BS50" s="204"/>
      <c r="BT50" s="205"/>
      <c r="BU50" s="213"/>
      <c r="BW50" s="203"/>
      <c r="BX50" s="204"/>
      <c r="BY50" s="204"/>
      <c r="BZ50" s="205"/>
      <c r="CA50" s="213"/>
      <c r="CC50" s="203"/>
      <c r="CD50" s="204"/>
      <c r="CE50" s="204"/>
      <c r="CF50" s="205"/>
      <c r="CG50" s="213"/>
      <c r="CI50" s="203"/>
      <c r="CJ50" s="204"/>
      <c r="CK50" s="204"/>
      <c r="CL50" s="205"/>
      <c r="CM50" s="213"/>
      <c r="CO50" s="203"/>
      <c r="CP50" s="204"/>
      <c r="CQ50" s="204"/>
      <c r="CR50" s="205"/>
      <c r="CS50" s="213"/>
      <c r="CU50" s="203"/>
      <c r="CV50" s="204"/>
      <c r="CW50" s="204"/>
      <c r="CX50" s="205"/>
      <c r="CY50" s="213"/>
      <c r="DA50" s="203"/>
      <c r="DB50" s="204"/>
      <c r="DC50" s="204"/>
      <c r="DD50" s="205"/>
      <c r="DE50" s="213"/>
      <c r="DG50" s="203"/>
      <c r="DH50" s="204"/>
      <c r="DI50" s="204"/>
      <c r="DJ50" s="205"/>
      <c r="DK50" s="213"/>
    </row>
    <row r="51" spans="2:115" ht="15" x14ac:dyDescent="0.3">
      <c r="B51" s="5" t="s">
        <v>54</v>
      </c>
      <c r="C51" s="151">
        <f>C48/C40</f>
        <v>0.56158372075471696</v>
      </c>
      <c r="D51" s="133">
        <f>D48/D40</f>
        <v>0.54289466726618696</v>
      </c>
      <c r="E51" s="133">
        <f>E48/E40</f>
        <v>0.52834423344947734</v>
      </c>
      <c r="F51" s="133">
        <f>F48/F40</f>
        <v>0.55832509722222212</v>
      </c>
      <c r="G51" s="153">
        <f>G48/G40</f>
        <v>0.54756424552772809</v>
      </c>
      <c r="I51" s="151">
        <f>I48/I40</f>
        <v>0.53808257170542628</v>
      </c>
      <c r="J51" s="133">
        <f>J48/J40</f>
        <v>0.50731803191489366</v>
      </c>
      <c r="K51" s="133">
        <f>K48/K40</f>
        <v>0.53581168852459027</v>
      </c>
      <c r="L51" s="133">
        <f>L48/L40</f>
        <v>0.5677708345588236</v>
      </c>
      <c r="M51" s="153">
        <f>M48/M40</f>
        <v>0.53692499597135179</v>
      </c>
      <c r="O51" s="151">
        <f>O48/O40</f>
        <v>0.53424572477064214</v>
      </c>
      <c r="P51" s="133">
        <f>P48/P40</f>
        <v>0.53135561702127665</v>
      </c>
      <c r="Q51" s="133">
        <f>Q48/Q40</f>
        <v>0.50700285177865623</v>
      </c>
      <c r="R51" s="133">
        <f>R48/R40</f>
        <v>0.56791829133858274</v>
      </c>
      <c r="S51" s="153">
        <f>S48/S40</f>
        <v>0.53526781822916669</v>
      </c>
      <c r="U51" s="151">
        <f>U48/U40</f>
        <v>0.51977739130434786</v>
      </c>
      <c r="V51" s="133">
        <f>V48/V40</f>
        <v>0.50884935593220337</v>
      </c>
      <c r="W51" s="133">
        <f>W48/W40</f>
        <v>0.48425506666666668</v>
      </c>
      <c r="X51" s="133">
        <f>X48/X40</f>
        <v>0.56905264344262296</v>
      </c>
      <c r="Y51" s="153">
        <f>Y48/Y40</f>
        <v>0.52074453578947366</v>
      </c>
      <c r="AA51" s="151">
        <f>AA48/AA40</f>
        <v>0.52039213917525773</v>
      </c>
      <c r="AB51" s="133">
        <f>AB48/AB40</f>
        <v>0.53014807692307697</v>
      </c>
      <c r="AC51" s="133">
        <f>AC48/AC40</f>
        <v>0.53761176923076925</v>
      </c>
      <c r="AD51" s="133">
        <f>AD48/AD40</f>
        <v>0.61448493749999999</v>
      </c>
      <c r="AE51" s="153">
        <f>AE48/AE40</f>
        <v>0.54991425311720699</v>
      </c>
      <c r="AG51" s="151">
        <f>AG48/AG40</f>
        <v>0.53803904000000002</v>
      </c>
      <c r="AH51" s="133">
        <f>AH48/AH40</f>
        <v>0.55402681318681313</v>
      </c>
      <c r="AI51" s="133">
        <f>AI48/AI40</f>
        <v>0.56052381909547744</v>
      </c>
      <c r="AJ51" s="133">
        <f>AJ48/AJ40</f>
        <v>0.66572921394230766</v>
      </c>
      <c r="AK51" s="153">
        <f>AK48/AK40</f>
        <v>0.58246810013089001</v>
      </c>
      <c r="AM51" s="151">
        <f>AM48/AM40</f>
        <v>0.64848662303664917</v>
      </c>
      <c r="AN51" s="133">
        <f>AN48/AN40</f>
        <v>0.5971364663461538</v>
      </c>
      <c r="AO51" s="133">
        <f>AO48/AO40</f>
        <v>0.58676191747572815</v>
      </c>
      <c r="AP51" s="133">
        <f>AP48/AP40</f>
        <v>0.66364538461538458</v>
      </c>
      <c r="AQ51" s="153">
        <f>AQ48/AQ40</f>
        <v>0.62358736162361617</v>
      </c>
      <c r="AS51" s="151">
        <f>AS48/AS40</f>
        <v>0.63465147849462367</v>
      </c>
      <c r="AT51" s="133">
        <f>AT48/AT40</f>
        <v>0.56620735678391954</v>
      </c>
      <c r="AU51" s="133">
        <f>AU48/AU40</f>
        <v>0.5763325603864734</v>
      </c>
      <c r="AV51" s="133">
        <f>AV48/AV40</f>
        <v>0.69415389090909096</v>
      </c>
      <c r="AW51" s="153">
        <f>AW48/AW40</f>
        <v>0.61913193965517244</v>
      </c>
      <c r="AY51" s="151">
        <f>AY48/AY40</f>
        <v>0.72612394009216585</v>
      </c>
      <c r="AZ51" s="133">
        <f>AZ48/AZ40</f>
        <v>0.65930748401826489</v>
      </c>
      <c r="BA51" s="133">
        <f>BA48/BA40</f>
        <v>0.6536812769953052</v>
      </c>
      <c r="BB51" s="133">
        <f>BB48/BB40</f>
        <v>0.71117720353982294</v>
      </c>
      <c r="BC51" s="153">
        <f>BC48/BC40</f>
        <v>0.68790559314285704</v>
      </c>
      <c r="BE51" s="151">
        <f>BE48/BE40</f>
        <v>0.68622302392344503</v>
      </c>
      <c r="BF51" s="133">
        <f>BF48/BF40</f>
        <v>0.66613309090909101</v>
      </c>
      <c r="BG51" s="133">
        <f>BG48/BG40</f>
        <v>0.668305550660793</v>
      </c>
      <c r="BH51" s="133">
        <f>BH48/BH40</f>
        <v>0.71403836899563322</v>
      </c>
      <c r="BI51" s="153">
        <f>BI48/BI40</f>
        <v>0.68383055197740117</v>
      </c>
      <c r="BK51" s="151">
        <f>BK48/BK40</f>
        <v>0.73186612903225812</v>
      </c>
      <c r="BL51" s="133">
        <f>BL48/BL40</f>
        <v>0.69114570689655175</v>
      </c>
      <c r="BM51" s="133">
        <f>BM48/BM40</f>
        <v>0.65920912698412704</v>
      </c>
      <c r="BN51" s="133">
        <f>BN48/BN40</f>
        <v>0.72737561983471077</v>
      </c>
      <c r="BO51" s="153">
        <f>BO48/BO40</f>
        <v>0.70127927253446454</v>
      </c>
      <c r="BQ51" s="214">
        <f>BK51+BQ52</f>
        <v>0.72786612903225811</v>
      </c>
      <c r="BR51" s="215">
        <f>BL51+BR52</f>
        <v>0.68714570689655174</v>
      </c>
      <c r="BS51" s="215">
        <f>BM51+BS52</f>
        <v>0.65520912698412703</v>
      </c>
      <c r="BT51" s="255">
        <f>BN51+BT52</f>
        <v>0.72337561983471077</v>
      </c>
      <c r="BU51" s="153">
        <f>BU48/BU40</f>
        <v>0.69761187425907756</v>
      </c>
      <c r="BW51" s="214">
        <f>BQ51+BW52</f>
        <v>0.72536612903225817</v>
      </c>
      <c r="BX51" s="215">
        <f>BR51+BX52</f>
        <v>0.6846457068965518</v>
      </c>
      <c r="BY51" s="215">
        <f>BS51+BY52</f>
        <v>0.65270912698412709</v>
      </c>
      <c r="BZ51" s="255">
        <f>BT51+BZ52</f>
        <v>0.72087561983471082</v>
      </c>
      <c r="CA51" s="153">
        <f>CA48/CA40</f>
        <v>0.69512809179087898</v>
      </c>
      <c r="CC51" s="214">
        <f>BW51+CC52</f>
        <v>0.72286612903225822</v>
      </c>
      <c r="CD51" s="215">
        <f>BX51+CD52</f>
        <v>0.68214570689655185</v>
      </c>
      <c r="CE51" s="215">
        <f>BY51+CE52</f>
        <v>0.65020912698412714</v>
      </c>
      <c r="CF51" s="255">
        <f>BZ51+CF52</f>
        <v>0.71837561983471088</v>
      </c>
      <c r="CG51" s="153">
        <f>CG48/CG40</f>
        <v>0.69263204314964677</v>
      </c>
      <c r="CI51" s="214">
        <f>CC51+CI52</f>
        <v>0.72036612903225827</v>
      </c>
      <c r="CJ51" s="215">
        <f>CD51+CJ52</f>
        <v>0.6796457068965519</v>
      </c>
      <c r="CK51" s="215">
        <f>CE51+CK52</f>
        <v>0.64770912698412719</v>
      </c>
      <c r="CL51" s="255">
        <f>CF51+CL52</f>
        <v>0.71587561983471093</v>
      </c>
      <c r="CM51" s="153">
        <f>CM48/CM40</f>
        <v>0.69009383453505713</v>
      </c>
      <c r="CO51" s="214">
        <f>CI51+CO52</f>
        <v>0.71786612903225833</v>
      </c>
      <c r="CP51" s="215">
        <f>CJ51+CP52</f>
        <v>0.67714570689655196</v>
      </c>
      <c r="CQ51" s="215">
        <f>CK51+CQ52</f>
        <v>0.64520912698412725</v>
      </c>
      <c r="CR51" s="255">
        <f>CL51+CR52</f>
        <v>0.71337561983471098</v>
      </c>
      <c r="CS51" s="153">
        <f>CS48/CS40</f>
        <v>0.6876005923196391</v>
      </c>
      <c r="CU51" s="214">
        <f>CO51+CU52</f>
        <v>0.71536612903225838</v>
      </c>
      <c r="CV51" s="215">
        <f>CP51+CV52</f>
        <v>0.67464570689655201</v>
      </c>
      <c r="CW51" s="215">
        <f>CQ51+CW52</f>
        <v>0.6427091269841273</v>
      </c>
      <c r="CX51" s="255">
        <f>CR51+CX52</f>
        <v>0.71087561983471104</v>
      </c>
      <c r="CY51" s="153">
        <f>CY48/CY40</f>
        <v>0.6851038360702616</v>
      </c>
      <c r="DA51" s="214">
        <f>CU51+DA52</f>
        <v>0.71286612903225843</v>
      </c>
      <c r="DB51" s="215">
        <f>CV51+DB52</f>
        <v>0.67214570689655206</v>
      </c>
      <c r="DC51" s="215">
        <f>CW51+DC52</f>
        <v>0.64020912698412735</v>
      </c>
      <c r="DD51" s="255">
        <f>CX51+DD52</f>
        <v>0.70837561983471109</v>
      </c>
      <c r="DE51" s="153">
        <f>DE48/DE40</f>
        <v>0.68260752980232897</v>
      </c>
      <c r="DG51" s="214">
        <f>DA51+DG52</f>
        <v>0.71036612903225849</v>
      </c>
      <c r="DH51" s="215">
        <f>DB51+DH52</f>
        <v>0.66964570689655212</v>
      </c>
      <c r="DI51" s="215">
        <f>DC51+DI52</f>
        <v>0.63770912698412741</v>
      </c>
      <c r="DJ51" s="255">
        <f>DD51+DJ52</f>
        <v>0.70587561983471114</v>
      </c>
      <c r="DK51" s="153">
        <f>DK48/DK40</f>
        <v>0.68011167105510273</v>
      </c>
    </row>
    <row r="52" spans="2:115" ht="15.75" thickBot="1" x14ac:dyDescent="0.35">
      <c r="B52" s="140" t="s">
        <v>23</v>
      </c>
      <c r="C52" s="155" t="s">
        <v>35</v>
      </c>
      <c r="D52" s="106" t="s">
        <v>35</v>
      </c>
      <c r="E52" s="106" t="s">
        <v>35</v>
      </c>
      <c r="F52" s="106" t="s">
        <v>35</v>
      </c>
      <c r="G52" s="108" t="s">
        <v>35</v>
      </c>
      <c r="I52" s="174">
        <f>I51-C51</f>
        <v>-2.3501149049290682E-2</v>
      </c>
      <c r="J52" s="175">
        <f>J51-D51</f>
        <v>-3.5576635351293295E-2</v>
      </c>
      <c r="K52" s="175">
        <f>K51-E51</f>
        <v>7.4674550751129276E-3</v>
      </c>
      <c r="L52" s="175">
        <f>L51-F51</f>
        <v>9.4457373366014785E-3</v>
      </c>
      <c r="M52" s="177">
        <f>M51-G51</f>
        <v>-1.0639249556376296E-2</v>
      </c>
      <c r="O52" s="174">
        <f>O51-I51</f>
        <v>-3.8368469347841438E-3</v>
      </c>
      <c r="P52" s="175">
        <f>P51-J51</f>
        <v>2.4037585106382986E-2</v>
      </c>
      <c r="Q52" s="175">
        <f>Q51-K51</f>
        <v>-2.8808836745934041E-2</v>
      </c>
      <c r="R52" s="175">
        <f>R51-L51</f>
        <v>1.474567797591364E-4</v>
      </c>
      <c r="S52" s="177">
        <f>S51-M51</f>
        <v>-1.6571777421851008E-3</v>
      </c>
      <c r="U52" s="174">
        <f>U51-O51</f>
        <v>-1.4468333466294281E-2</v>
      </c>
      <c r="V52" s="175">
        <f>V51-P51</f>
        <v>-2.2506261089073276E-2</v>
      </c>
      <c r="W52" s="175">
        <f>W51-Q51</f>
        <v>-2.2747785111989549E-2</v>
      </c>
      <c r="X52" s="175">
        <f>X51-R51</f>
        <v>1.134352104040226E-3</v>
      </c>
      <c r="Y52" s="122">
        <f>Y51-S51</f>
        <v>-1.452328243969303E-2</v>
      </c>
      <c r="AA52" s="174">
        <f>AA51-U51</f>
        <v>6.1474787090987082E-4</v>
      </c>
      <c r="AB52" s="175">
        <f>AB51-V51</f>
        <v>2.1298720990873599E-2</v>
      </c>
      <c r="AC52" s="175">
        <f>AC51-W51</f>
        <v>5.3356702564102576E-2</v>
      </c>
      <c r="AD52" s="175">
        <f>AD51-X51</f>
        <v>4.5432294057377032E-2</v>
      </c>
      <c r="AE52" s="122">
        <f>AE51-Y51</f>
        <v>2.9169717327733324E-2</v>
      </c>
      <c r="AG52" s="174">
        <f>AG51-AA51</f>
        <v>1.7646900824742295E-2</v>
      </c>
      <c r="AH52" s="175">
        <f>AH51-AB51</f>
        <v>2.3878736263736156E-2</v>
      </c>
      <c r="AI52" s="175">
        <f>AI51-AC51</f>
        <v>2.2912049864708184E-2</v>
      </c>
      <c r="AJ52" s="175">
        <f>AJ51-AD51</f>
        <v>5.1244276442307668E-2</v>
      </c>
      <c r="AK52" s="122">
        <f>AK51-AE51</f>
        <v>3.2553847013683024E-2</v>
      </c>
      <c r="AM52" s="174">
        <f>AM51-AG51</f>
        <v>0.11044758303664914</v>
      </c>
      <c r="AN52" s="175">
        <f>AN51-AH51</f>
        <v>4.3109653159340677E-2</v>
      </c>
      <c r="AO52" s="175">
        <f>AO51-AI51</f>
        <v>2.6238098380250707E-2</v>
      </c>
      <c r="AP52" s="175">
        <f>AP51-AJ51</f>
        <v>-2.0838293269230812E-3</v>
      </c>
      <c r="AQ52" s="122">
        <f>AQ51-AK51</f>
        <v>4.1119261492726156E-2</v>
      </c>
      <c r="AS52" s="174">
        <f>AS51-AM51</f>
        <v>-1.3835144542025501E-2</v>
      </c>
      <c r="AT52" s="175">
        <f>AT51-AN51</f>
        <v>-3.0929109562234269E-2</v>
      </c>
      <c r="AU52" s="175">
        <f>AU51-AO51</f>
        <v>-1.0429357089254743E-2</v>
      </c>
      <c r="AV52" s="175">
        <f>AV51-AP51</f>
        <v>3.0508506293706383E-2</v>
      </c>
      <c r="AW52" s="122">
        <f>AW51-AQ51</f>
        <v>-4.4554219684437291E-3</v>
      </c>
      <c r="AY52" s="174">
        <f>AY51-AS51</f>
        <v>9.1472461597542187E-2</v>
      </c>
      <c r="AZ52" s="175">
        <f>AZ51-AT51</f>
        <v>9.3100127234345353E-2</v>
      </c>
      <c r="BA52" s="175">
        <f>BA51-AU51</f>
        <v>7.7348716608831802E-2</v>
      </c>
      <c r="BB52" s="175">
        <f>BB51-AV51</f>
        <v>1.7023312630731979E-2</v>
      </c>
      <c r="BC52" s="122">
        <f>BC51-AW51</f>
        <v>6.8773653487684605E-2</v>
      </c>
      <c r="BE52" s="174">
        <f>BE51-AY51</f>
        <v>-3.9900916168720824E-2</v>
      </c>
      <c r="BF52" s="175">
        <f>BF51-AZ51</f>
        <v>6.8256068908261192E-3</v>
      </c>
      <c r="BG52" s="175">
        <f>BG51-BA51</f>
        <v>1.4624273665487797E-2</v>
      </c>
      <c r="BH52" s="175">
        <f>BH51-BB51</f>
        <v>2.8611654558102773E-3</v>
      </c>
      <c r="BI52" s="122">
        <f>BI51-BC51</f>
        <v>-4.0750411654558727E-3</v>
      </c>
      <c r="BK52" s="174">
        <f>BK51-BE51</f>
        <v>4.5643105108813087E-2</v>
      </c>
      <c r="BL52" s="175">
        <f>BL51-BF51</f>
        <v>2.501261598746074E-2</v>
      </c>
      <c r="BM52" s="175">
        <f>BM51-BG51</f>
        <v>-9.0964236766659656E-3</v>
      </c>
      <c r="BN52" s="175">
        <f>BN51-BH51</f>
        <v>1.3337250839077552E-2</v>
      </c>
      <c r="BO52" s="122">
        <f>BO51-BI51</f>
        <v>1.7448720557063369E-2</v>
      </c>
      <c r="BQ52" s="109">
        <v>-4.0000000000000001E-3</v>
      </c>
      <c r="BR52" s="110">
        <f>BQ52</f>
        <v>-4.0000000000000001E-3</v>
      </c>
      <c r="BS52" s="110">
        <f>BR52</f>
        <v>-4.0000000000000001E-3</v>
      </c>
      <c r="BT52" s="110">
        <f>BS52</f>
        <v>-4.0000000000000001E-3</v>
      </c>
      <c r="BU52" s="122">
        <f>BU51-BO51</f>
        <v>-3.6673982753869794E-3</v>
      </c>
      <c r="BW52" s="109">
        <v>-2.5000000000000001E-3</v>
      </c>
      <c r="BX52" s="110">
        <v>-2.5000000000000001E-3</v>
      </c>
      <c r="BY52" s="110">
        <v>-2.5000000000000001E-3</v>
      </c>
      <c r="BZ52" s="110">
        <v>-2.5000000000000001E-3</v>
      </c>
      <c r="CA52" s="122">
        <f>CA51-BU51</f>
        <v>-2.483782468198581E-3</v>
      </c>
      <c r="CC52" s="109">
        <v>-2.5000000000000001E-3</v>
      </c>
      <c r="CD52" s="110">
        <v>-2.5000000000000001E-3</v>
      </c>
      <c r="CE52" s="110">
        <v>-2.5000000000000001E-3</v>
      </c>
      <c r="CF52" s="110">
        <v>-2.5000000000000001E-3</v>
      </c>
      <c r="CG52" s="122">
        <f>CG51-CA51</f>
        <v>-2.4960486412322069E-3</v>
      </c>
      <c r="CI52" s="109">
        <v>-2.5000000000000001E-3</v>
      </c>
      <c r="CJ52" s="110">
        <v>-2.5000000000000001E-3</v>
      </c>
      <c r="CK52" s="110">
        <v>-2.5000000000000001E-3</v>
      </c>
      <c r="CL52" s="110">
        <v>-2.5000000000000001E-3</v>
      </c>
      <c r="CM52" s="122">
        <f>CM51-CG51</f>
        <v>-2.5382086145896432E-3</v>
      </c>
      <c r="CO52" s="109">
        <v>-2.5000000000000001E-3</v>
      </c>
      <c r="CP52" s="110">
        <v>-2.5000000000000001E-3</v>
      </c>
      <c r="CQ52" s="110">
        <v>-2.5000000000000001E-3</v>
      </c>
      <c r="CR52" s="110">
        <v>-2.5000000000000001E-3</v>
      </c>
      <c r="CS52" s="122">
        <f>CS51-CM51</f>
        <v>-2.4932422154180234E-3</v>
      </c>
      <c r="CU52" s="109">
        <v>-2.5000000000000001E-3</v>
      </c>
      <c r="CV52" s="110">
        <v>-2.5000000000000001E-3</v>
      </c>
      <c r="CW52" s="110">
        <v>-2.5000000000000001E-3</v>
      </c>
      <c r="CX52" s="110">
        <v>-2.5000000000000001E-3</v>
      </c>
      <c r="CY52" s="122">
        <f>CY51-CS51</f>
        <v>-2.4967562493775075E-3</v>
      </c>
      <c r="DA52" s="109">
        <v>-2.5000000000000001E-3</v>
      </c>
      <c r="DB52" s="110">
        <v>-2.5000000000000001E-3</v>
      </c>
      <c r="DC52" s="110">
        <v>-2.5000000000000001E-3</v>
      </c>
      <c r="DD52" s="110">
        <v>-2.5000000000000001E-3</v>
      </c>
      <c r="DE52" s="122">
        <f>DE51-CY51</f>
        <v>-2.4963062679326242E-3</v>
      </c>
      <c r="DG52" s="109">
        <v>-2.5000000000000001E-3</v>
      </c>
      <c r="DH52" s="110">
        <v>-2.5000000000000001E-3</v>
      </c>
      <c r="DI52" s="110">
        <v>-2.5000000000000001E-3</v>
      </c>
      <c r="DJ52" s="110">
        <v>-2.5000000000000001E-3</v>
      </c>
      <c r="DK52" s="122">
        <f>DK51-DE51</f>
        <v>-2.4958587472262428E-3</v>
      </c>
    </row>
    <row r="53" spans="2:115" ht="15.75" thickBot="1" x14ac:dyDescent="0.35">
      <c r="B53" s="1"/>
      <c r="AA53" s="103"/>
      <c r="AB53" s="103"/>
      <c r="AC53" s="103"/>
      <c r="AD53" s="103"/>
      <c r="AE53" s="103"/>
      <c r="AG53" s="103"/>
      <c r="AH53" s="103"/>
      <c r="AI53" s="103"/>
      <c r="AJ53" s="103"/>
      <c r="AK53" s="103"/>
      <c r="AM53" s="103"/>
      <c r="AN53" s="103"/>
      <c r="AO53" s="103"/>
      <c r="AP53" s="103"/>
      <c r="AQ53" s="103"/>
      <c r="AS53" s="103"/>
      <c r="AT53" s="103"/>
      <c r="AU53" s="103"/>
      <c r="AV53" s="103"/>
      <c r="AW53" s="103"/>
      <c r="AY53" s="103"/>
      <c r="AZ53" s="103"/>
      <c r="BA53" s="103"/>
      <c r="BB53" s="103"/>
      <c r="BC53" s="103"/>
      <c r="BE53" s="103"/>
      <c r="BF53" s="103"/>
      <c r="BG53" s="103"/>
      <c r="BH53" s="103"/>
      <c r="BI53" s="103"/>
      <c r="BK53" s="103"/>
      <c r="BL53" s="103"/>
      <c r="BM53" s="103"/>
      <c r="BN53" s="103"/>
      <c r="BO53" s="103"/>
      <c r="BQ53" s="103"/>
      <c r="BR53" s="103"/>
      <c r="BS53" s="103"/>
      <c r="BT53" s="103"/>
      <c r="BU53" s="103"/>
      <c r="BW53" s="103"/>
      <c r="BX53" s="103"/>
      <c r="BY53" s="103"/>
      <c r="BZ53" s="103"/>
      <c r="CA53" s="103"/>
      <c r="CC53" s="103"/>
      <c r="CD53" s="103"/>
      <c r="CE53" s="103"/>
      <c r="CF53" s="103"/>
      <c r="CG53" s="103"/>
      <c r="CI53" s="103"/>
      <c r="CJ53" s="103"/>
      <c r="CK53" s="103"/>
      <c r="CL53" s="103"/>
      <c r="CM53" s="103"/>
      <c r="CO53" s="103"/>
      <c r="CP53" s="103"/>
      <c r="CQ53" s="103"/>
      <c r="CR53" s="103"/>
      <c r="CS53" s="103"/>
      <c r="CU53" s="103"/>
      <c r="CV53" s="103"/>
      <c r="CW53" s="103"/>
      <c r="CX53" s="103"/>
      <c r="CY53" s="103"/>
      <c r="DA53" s="103"/>
      <c r="DB53" s="103"/>
      <c r="DC53" s="103"/>
      <c r="DD53" s="103"/>
      <c r="DE53" s="103"/>
      <c r="DG53" s="103"/>
      <c r="DH53" s="103"/>
      <c r="DI53" s="103"/>
      <c r="DJ53" s="103"/>
      <c r="DK53" s="103"/>
    </row>
    <row r="54" spans="2:115" ht="15" x14ac:dyDescent="0.3">
      <c r="B54" s="42" t="s">
        <v>61</v>
      </c>
      <c r="C54" s="198">
        <v>110</v>
      </c>
      <c r="D54" s="199">
        <v>120</v>
      </c>
      <c r="E54" s="199">
        <v>129</v>
      </c>
      <c r="F54" s="200">
        <v>116</v>
      </c>
      <c r="G54" s="201">
        <f>C54+D54+E54+F54</f>
        <v>475</v>
      </c>
      <c r="H54" s="197"/>
      <c r="I54" s="198">
        <v>112</v>
      </c>
      <c r="J54" s="199">
        <v>133</v>
      </c>
      <c r="K54" s="199">
        <v>132</v>
      </c>
      <c r="L54" s="199">
        <v>104</v>
      </c>
      <c r="M54" s="201">
        <f>I54+J54+K54+L54</f>
        <v>481</v>
      </c>
      <c r="N54" s="197"/>
      <c r="O54" s="198">
        <v>95</v>
      </c>
      <c r="P54" s="199">
        <v>104</v>
      </c>
      <c r="Q54" s="199">
        <v>118</v>
      </c>
      <c r="R54" s="199">
        <v>99</v>
      </c>
      <c r="S54" s="201">
        <f>O54+P54+Q54+R54</f>
        <v>416</v>
      </c>
      <c r="T54" s="197"/>
      <c r="U54" s="198">
        <v>104</v>
      </c>
      <c r="V54" s="199">
        <v>110</v>
      </c>
      <c r="W54" s="199">
        <v>118</v>
      </c>
      <c r="X54" s="199">
        <f>45+X42</f>
        <v>98</v>
      </c>
      <c r="Y54" s="184">
        <f>U54+V54+W54+X54</f>
        <v>430</v>
      </c>
      <c r="AA54" s="198">
        <v>89</v>
      </c>
      <c r="AB54" s="199">
        <v>93</v>
      </c>
      <c r="AC54" s="199">
        <v>91</v>
      </c>
      <c r="AD54" s="199">
        <v>66</v>
      </c>
      <c r="AE54" s="184">
        <f>AA54+AB54+AC54+AD54</f>
        <v>339</v>
      </c>
      <c r="AG54" s="198">
        <v>77</v>
      </c>
      <c r="AH54" s="199">
        <v>77</v>
      </c>
      <c r="AI54" s="199">
        <f>AC54-7</f>
        <v>84</v>
      </c>
      <c r="AJ54" s="199">
        <v>64</v>
      </c>
      <c r="AK54" s="184">
        <f>AG54+AH54+AI54+AJ54</f>
        <v>302</v>
      </c>
      <c r="AM54" s="198">
        <v>63</v>
      </c>
      <c r="AN54" s="199">
        <v>80</v>
      </c>
      <c r="AO54" s="199">
        <v>80</v>
      </c>
      <c r="AP54" s="199">
        <v>63</v>
      </c>
      <c r="AQ54" s="184">
        <f>AM54+AN54+AO54+AP54</f>
        <v>286</v>
      </c>
      <c r="AS54" s="198">
        <v>64</v>
      </c>
      <c r="AT54" s="199">
        <f>AN54*1.034</f>
        <v>82.72</v>
      </c>
      <c r="AU54" s="199">
        <f>AO54*1.045</f>
        <v>83.6</v>
      </c>
      <c r="AV54" s="199">
        <f>AP54*0.97</f>
        <v>61.11</v>
      </c>
      <c r="AW54" s="184">
        <f>AS54+AT54+AU54+AV54</f>
        <v>291.43</v>
      </c>
      <c r="AY54" s="198">
        <v>55</v>
      </c>
      <c r="AZ54" s="199">
        <v>70</v>
      </c>
      <c r="BA54" s="199">
        <v>70</v>
      </c>
      <c r="BB54" s="199">
        <v>60</v>
      </c>
      <c r="BC54" s="184">
        <f>AY54+AZ54+BA54+BB54</f>
        <v>255</v>
      </c>
      <c r="BE54" s="198">
        <v>60</v>
      </c>
      <c r="BF54" s="199">
        <f>AZ54*0.993</f>
        <v>69.510000000000005</v>
      </c>
      <c r="BG54" s="199">
        <f>BA54*1.021</f>
        <v>71.47</v>
      </c>
      <c r="BH54" s="199">
        <f>BB54*1.008</f>
        <v>60.480000000000004</v>
      </c>
      <c r="BI54" s="184">
        <f>BE54+BF54+BG54+BH54</f>
        <v>261.45999999999998</v>
      </c>
      <c r="BK54" s="198">
        <v>53</v>
      </c>
      <c r="BL54" s="199">
        <f>BF54*0.98</f>
        <v>68.119799999999998</v>
      </c>
      <c r="BM54" s="199">
        <f>BG54*1.159</f>
        <v>82.833730000000003</v>
      </c>
      <c r="BN54" s="199">
        <f>BH54*1.024</f>
        <v>61.931520000000006</v>
      </c>
      <c r="BO54" s="184">
        <f>BK54+BL54+BM54+BN54</f>
        <v>265.88504999999998</v>
      </c>
      <c r="BQ54" s="198">
        <f>BQ40-BQ45-BQ48</f>
        <v>58.598882083459955</v>
      </c>
      <c r="BR54" s="199">
        <f>BR40-BR45-BR48</f>
        <v>73.412974801498535</v>
      </c>
      <c r="BS54" s="199">
        <f>BS40-BS45-BS48</f>
        <v>85.845756051778807</v>
      </c>
      <c r="BT54" s="199">
        <f>BT40-BT45-BT48</f>
        <v>65.440279571312772</v>
      </c>
      <c r="BU54" s="184">
        <f>BQ54+BR54+BS54+BT54</f>
        <v>283.29789250805004</v>
      </c>
      <c r="BW54" s="198">
        <f>BW40-BW45-BW48</f>
        <v>60.757776017895424</v>
      </c>
      <c r="BX54" s="199">
        <f>BX40-BX45-BX48</f>
        <v>75.656452351856075</v>
      </c>
      <c r="BY54" s="199">
        <f>BY40-BY45-BY48</f>
        <v>88.241543614899257</v>
      </c>
      <c r="BZ54" s="199">
        <f>BZ40-BZ45-BZ48</f>
        <v>67.077313335108414</v>
      </c>
      <c r="CA54" s="184">
        <f>BW54+BX54+BY54+BZ54</f>
        <v>291.7330853197592</v>
      </c>
      <c r="CC54" s="198">
        <f>CC40-CC45-CC48</f>
        <v>62.383934416118137</v>
      </c>
      <c r="CD54" s="199">
        <f>CD40-CD45-CD48</f>
        <v>77.420451877721149</v>
      </c>
      <c r="CE54" s="199">
        <f>CE40-CE45-CE48</f>
        <v>90.366624944458664</v>
      </c>
      <c r="CF54" s="199">
        <f>CF40-CF45-CF48</f>
        <v>68.882699263942357</v>
      </c>
      <c r="CG54" s="184">
        <f>CC54+CD54+CE54+CF54</f>
        <v>299.05371050224028</v>
      </c>
      <c r="CI54" s="198">
        <f>CI40-CI45-CI48</f>
        <v>63.765330277162263</v>
      </c>
      <c r="CJ54" s="199">
        <f>CJ40-CJ45-CJ48</f>
        <v>79.072134024889635</v>
      </c>
      <c r="CK54" s="199">
        <f>CK40-CK45-CK48</f>
        <v>92.453315058560293</v>
      </c>
      <c r="CL54" s="199">
        <f>CL40-CL45-CL48</f>
        <v>70.436566006221625</v>
      </c>
      <c r="CM54" s="184">
        <f>CI54+CJ54+CK54+CL54</f>
        <v>305.72734536683379</v>
      </c>
      <c r="CO54" s="198">
        <f>CO40-CO45-CO48</f>
        <v>65.35949190017908</v>
      </c>
      <c r="CP54" s="199">
        <f>CP40-CP45-CP48</f>
        <v>80.857312273413527</v>
      </c>
      <c r="CQ54" s="199">
        <f>CQ40-CQ45-CQ48</f>
        <v>94.607382360017397</v>
      </c>
      <c r="CR54" s="199">
        <f>CR40-CR45-CR48</f>
        <v>72.202608116951126</v>
      </c>
      <c r="CS54" s="184">
        <f>CO54+CP54+CQ54+CR54</f>
        <v>313.0267946505611</v>
      </c>
      <c r="CU54" s="198">
        <f>CU40-CU45-CU48</f>
        <v>66.761850438859653</v>
      </c>
      <c r="CV54" s="199">
        <f>CV40-CV45-CV48</f>
        <v>82.437328026396273</v>
      </c>
      <c r="CW54" s="199">
        <f>CW40-CW45-CW48</f>
        <v>96.520896922680066</v>
      </c>
      <c r="CX54" s="199">
        <f>CX40-CX45-CX48</f>
        <v>73.767559594047924</v>
      </c>
      <c r="CY54" s="184">
        <f>CU54+CV54+CW54+CX54</f>
        <v>319.48763498198389</v>
      </c>
      <c r="DA54" s="198">
        <f>DA40-DA45-DA48</f>
        <v>68.232366202060348</v>
      </c>
      <c r="DB54" s="199">
        <f>DB40-DB45-DB48</f>
        <v>84.093032445659702</v>
      </c>
      <c r="DC54" s="199">
        <f>DC40-DC45-DC48</f>
        <v>98.524346481723796</v>
      </c>
      <c r="DD54" s="199">
        <f>DD40-DD45-DD48</f>
        <v>75.406779285025834</v>
      </c>
      <c r="DE54" s="184">
        <f>DA54+DB54+DC54+DD54</f>
        <v>326.25652441446971</v>
      </c>
      <c r="DG54" s="198">
        <f>DG40-DG45-DG48</f>
        <v>69.774421092126858</v>
      </c>
      <c r="DH54" s="199">
        <f>DH40-DH45-DH48</f>
        <v>85.828020546835091</v>
      </c>
      <c r="DI54" s="199">
        <f>DI40-DI45-DI48</f>
        <v>100.6218168811489</v>
      </c>
      <c r="DJ54" s="199">
        <f>DJ40-DJ45-DJ48</f>
        <v>77.123858297917764</v>
      </c>
      <c r="DK54" s="184">
        <f>DG54+DH54+DI54+DJ54</f>
        <v>333.34811681802864</v>
      </c>
    </row>
    <row r="55" spans="2:115" ht="15.75" thickBot="1" x14ac:dyDescent="0.35">
      <c r="B55" s="41" t="s">
        <v>23</v>
      </c>
      <c r="C55" s="155" t="s">
        <v>35</v>
      </c>
      <c r="D55" s="106" t="s">
        <v>35</v>
      </c>
      <c r="E55" s="106"/>
      <c r="F55" s="154"/>
      <c r="G55" s="108" t="s">
        <v>35</v>
      </c>
      <c r="I55" s="109">
        <f>I54/C54-1</f>
        <v>1.8181818181818077E-2</v>
      </c>
      <c r="J55" s="110">
        <f>J54/D54-1</f>
        <v>0.10833333333333339</v>
      </c>
      <c r="K55" s="110">
        <f>K54/E54-1</f>
        <v>2.3255813953488413E-2</v>
      </c>
      <c r="L55" s="110">
        <f>L54/F54-1</f>
        <v>-0.10344827586206895</v>
      </c>
      <c r="M55" s="122">
        <f>M54/G54-1</f>
        <v>1.2631578947368327E-2</v>
      </c>
      <c r="O55" s="109">
        <f>O54/I54-1</f>
        <v>-0.1517857142857143</v>
      </c>
      <c r="P55" s="110">
        <f>P54/J54-1</f>
        <v>-0.21804511278195493</v>
      </c>
      <c r="Q55" s="110">
        <f>Q54/K54-1</f>
        <v>-0.10606060606060608</v>
      </c>
      <c r="R55" s="110">
        <f>R54/L54-1</f>
        <v>-4.8076923076923128E-2</v>
      </c>
      <c r="S55" s="122">
        <f>S54/M54-1</f>
        <v>-0.13513513513513509</v>
      </c>
      <c r="U55" s="109">
        <f>U54/O54-1</f>
        <v>9.473684210526323E-2</v>
      </c>
      <c r="V55" s="110">
        <f>V54/P54-1</f>
        <v>5.7692307692307709E-2</v>
      </c>
      <c r="W55" s="110">
        <f>W54/Q54-1</f>
        <v>0</v>
      </c>
      <c r="X55" s="110">
        <f>X54/R54-1</f>
        <v>-1.0101010101010055E-2</v>
      </c>
      <c r="Y55" s="122">
        <f>Y54/S54-1</f>
        <v>3.3653846153846256E-2</v>
      </c>
      <c r="AA55" s="109">
        <f>AA54/U54-1</f>
        <v>-0.14423076923076927</v>
      </c>
      <c r="AB55" s="110">
        <f>AB54/V54-1</f>
        <v>-0.15454545454545454</v>
      </c>
      <c r="AC55" s="110">
        <f>AC54/W54-1</f>
        <v>-0.22881355932203384</v>
      </c>
      <c r="AD55" s="110">
        <f>AD54/X54-1</f>
        <v>-0.32653061224489799</v>
      </c>
      <c r="AE55" s="122">
        <f>AE54/Y54-1</f>
        <v>-0.21162790697674416</v>
      </c>
      <c r="AG55" s="109">
        <f>AG54/AA54-1</f>
        <v>-0.1348314606741573</v>
      </c>
      <c r="AH55" s="110">
        <f>AH54/AB54-1</f>
        <v>-0.17204301075268813</v>
      </c>
      <c r="AI55" s="110">
        <f>AI54/AC54-1</f>
        <v>-7.6923076923076872E-2</v>
      </c>
      <c r="AJ55" s="110">
        <f>AJ54/AD54-1</f>
        <v>-3.0303030303030276E-2</v>
      </c>
      <c r="AK55" s="122">
        <f>AK54/AE54-1</f>
        <v>-0.10914454277286134</v>
      </c>
      <c r="AM55" s="109">
        <f>AM54/AG54-1</f>
        <v>-0.18181818181818177</v>
      </c>
      <c r="AN55" s="110">
        <f>AN54/AH54-1</f>
        <v>3.8961038961038863E-2</v>
      </c>
      <c r="AO55" s="110">
        <f>AO54/AI54-1</f>
        <v>-4.7619047619047672E-2</v>
      </c>
      <c r="AP55" s="110">
        <f>AP54/AJ54-1</f>
        <v>-1.5625E-2</v>
      </c>
      <c r="AQ55" s="122">
        <f>AQ54/AK54-1</f>
        <v>-5.2980132450331174E-2</v>
      </c>
      <c r="AS55" s="109">
        <f>AS54/AM54-1</f>
        <v>1.5873015873015817E-2</v>
      </c>
      <c r="AT55" s="110">
        <f>AT54/AN54-1</f>
        <v>3.400000000000003E-2</v>
      </c>
      <c r="AU55" s="110">
        <f>AU54/AO54-1</f>
        <v>4.4999999999999929E-2</v>
      </c>
      <c r="AV55" s="110">
        <f>AV54/AP54-1</f>
        <v>-3.0000000000000027E-2</v>
      </c>
      <c r="AW55" s="122">
        <f>AW54/AQ54-1</f>
        <v>1.8986013986014072E-2</v>
      </c>
      <c r="AY55" s="109">
        <f>AY54/AS54-1</f>
        <v>-0.140625</v>
      </c>
      <c r="AZ55" s="110">
        <f>AZ54/AT54-1</f>
        <v>-0.15377176015473881</v>
      </c>
      <c r="BA55" s="110">
        <f>BA54/AU54-1</f>
        <v>-0.16267942583732053</v>
      </c>
      <c r="BB55" s="110">
        <f>BB54/AV54-1</f>
        <v>-1.81639666175748E-2</v>
      </c>
      <c r="BC55" s="122">
        <f>BC54/AW54-1</f>
        <v>-0.12500428919466078</v>
      </c>
      <c r="BE55" s="109">
        <f>BE54/AY54-1</f>
        <v>9.0909090909090828E-2</v>
      </c>
      <c r="BF55" s="110">
        <f>BF54/AZ54-1</f>
        <v>-6.9999999999998952E-3</v>
      </c>
      <c r="BG55" s="110">
        <f>BG54/BA54-1</f>
        <v>2.0999999999999908E-2</v>
      </c>
      <c r="BH55" s="110">
        <f>BH54/BB54-1</f>
        <v>8.0000000000000071E-3</v>
      </c>
      <c r="BI55" s="122">
        <f>BI54/BC54-1</f>
        <v>2.5333333333333208E-2</v>
      </c>
      <c r="BK55" s="109">
        <f>BK54/BE54-1</f>
        <v>-0.1166666666666667</v>
      </c>
      <c r="BL55" s="110">
        <f>BL54/BF54-1</f>
        <v>-2.0000000000000129E-2</v>
      </c>
      <c r="BM55" s="110">
        <f>BM54/BG54-1</f>
        <v>0.15900000000000003</v>
      </c>
      <c r="BN55" s="110">
        <f>BN54/BH54-1</f>
        <v>2.4000000000000021E-2</v>
      </c>
      <c r="BO55" s="122">
        <f>BO54/BI54-1</f>
        <v>1.6924386139371306E-2</v>
      </c>
      <c r="BQ55" s="109">
        <f>BQ54/BK54-1</f>
        <v>0.10563928459358407</v>
      </c>
      <c r="BR55" s="110">
        <f>BR54/BL54-1</f>
        <v>7.7703909898422241E-2</v>
      </c>
      <c r="BS55" s="110">
        <f>BS54/BM54-1</f>
        <v>3.636231341723728E-2</v>
      </c>
      <c r="BT55" s="110">
        <f>BT54/BN54-1</f>
        <v>5.665547319543851E-2</v>
      </c>
      <c r="BU55" s="122">
        <f>BU54/BO54-1</f>
        <v>6.549011502545965E-2</v>
      </c>
      <c r="BW55" s="109">
        <f>BW54/BQ54-1</f>
        <v>3.6841896255983997E-2</v>
      </c>
      <c r="BX55" s="110">
        <f>BX54/BR54-1</f>
        <v>3.0559687254517076E-2</v>
      </c>
      <c r="BY55" s="110">
        <f>BY54/BS54-1</f>
        <v>2.7908048962553389E-2</v>
      </c>
      <c r="BZ55" s="110">
        <f>BZ54/BT54-1</f>
        <v>2.5015690252540912E-2</v>
      </c>
      <c r="CA55" s="122">
        <f>CA54/BU54-1</f>
        <v>2.9774993160139651E-2</v>
      </c>
      <c r="CC55" s="109">
        <f>CC54/BW54-1</f>
        <v>2.6764613598492248E-2</v>
      </c>
      <c r="CD55" s="110">
        <f>CD54/BX54-1</f>
        <v>2.3315916501889689E-2</v>
      </c>
      <c r="CE55" s="110">
        <f>CE54/BY54-1</f>
        <v>2.4082549358311445E-2</v>
      </c>
      <c r="CF55" s="110">
        <f>CF54/BZ54-1</f>
        <v>2.6915000602580674E-2</v>
      </c>
      <c r="CG55" s="122">
        <f>CG54/CA54-1</f>
        <v>2.5093572004207809E-2</v>
      </c>
      <c r="CI55" s="109">
        <f>CI54/CC54-1</f>
        <v>2.2143455265739354E-2</v>
      </c>
      <c r="CJ55" s="110">
        <f>CJ54/CD54-1</f>
        <v>2.1333925430675249E-2</v>
      </c>
      <c r="CK55" s="110">
        <f>CK54/CE54-1</f>
        <v>2.3091380422630037E-2</v>
      </c>
      <c r="CL55" s="110">
        <f>CL54/CF54-1</f>
        <v>2.2558156966602239E-2</v>
      </c>
      <c r="CM55" s="122">
        <f>CM54/CG54-1</f>
        <v>2.2315840366553541E-2</v>
      </c>
      <c r="CO55" s="109">
        <f>CO54/CI54-1</f>
        <v>2.5000444851263737E-2</v>
      </c>
      <c r="CP55" s="110">
        <f>CP54/CJ54-1</f>
        <v>2.2576578595462804E-2</v>
      </c>
      <c r="CQ55" s="110">
        <f>CQ54/CK54-1</f>
        <v>2.3298973109755039E-2</v>
      </c>
      <c r="CR55" s="110">
        <f>CR54/CL54-1</f>
        <v>2.5072802535170524E-2</v>
      </c>
      <c r="CS55" s="122">
        <f>CS54/CM54-1</f>
        <v>2.3875683331397557E-2</v>
      </c>
      <c r="CU55" s="109">
        <f>CU54/CO54-1</f>
        <v>2.1456080791177889E-2</v>
      </c>
      <c r="CV55" s="110">
        <f>CV54/CP54-1</f>
        <v>1.9540789924354929E-2</v>
      </c>
      <c r="CW55" s="110">
        <f>CW54/CQ54-1</f>
        <v>2.0225848289312287E-2</v>
      </c>
      <c r="CX55" s="110">
        <f>CX54/CR54-1</f>
        <v>2.1674445257738428E-2</v>
      </c>
      <c r="CY55" s="122">
        <f>CY54/CS54-1</f>
        <v>2.063989550362666E-2</v>
      </c>
      <c r="DA55" s="109">
        <f>DA54/CU54-1</f>
        <v>2.2026288269936245E-2</v>
      </c>
      <c r="DB55" s="110">
        <f>DB54/CV54-1</f>
        <v>2.0084401798336815E-2</v>
      </c>
      <c r="DC55" s="110">
        <f>DC54/CW54-1</f>
        <v>2.0756640509139057E-2</v>
      </c>
      <c r="DD55" s="110">
        <f>DD54/CX54-1</f>
        <v>2.2221416839580233E-2</v>
      </c>
      <c r="DE55" s="122">
        <f>DE54/CY54-1</f>
        <v>2.1186702367581578E-2</v>
      </c>
      <c r="DG55" s="109">
        <f>DG54/DA54-1</f>
        <v>2.2600050033439123E-2</v>
      </c>
      <c r="DH55" s="110">
        <f>DH54/DB54-1</f>
        <v>2.0631769966156455E-2</v>
      </c>
      <c r="DI55" s="110">
        <f>DI54/DC54-1</f>
        <v>2.1288853713068656E-2</v>
      </c>
      <c r="DJ55" s="110">
        <f>DJ54/DD54-1</f>
        <v>2.2770883853846069E-2</v>
      </c>
      <c r="DK55" s="122">
        <f>DK54/DE54-1</f>
        <v>2.17362470108029E-2</v>
      </c>
    </row>
    <row r="56" spans="2:115" ht="15.75" thickBot="1" x14ac:dyDescent="0.35">
      <c r="B56" s="1"/>
      <c r="AA56" s="103"/>
      <c r="AB56" s="103"/>
      <c r="AC56" s="103"/>
      <c r="AD56" s="103"/>
      <c r="AE56" s="103"/>
      <c r="AG56" s="103"/>
      <c r="AH56" s="103"/>
      <c r="AI56" s="103"/>
      <c r="AJ56" s="103"/>
      <c r="AK56" s="103"/>
      <c r="AM56" s="103"/>
      <c r="AN56" s="103"/>
      <c r="AO56" s="103"/>
      <c r="AP56" s="103"/>
      <c r="AQ56" s="103"/>
      <c r="AS56" s="103"/>
      <c r="AT56" s="103"/>
      <c r="AU56" s="103"/>
      <c r="AV56" s="103"/>
      <c r="AW56" s="103"/>
      <c r="AY56" s="103"/>
      <c r="AZ56" s="103"/>
      <c r="BA56" s="103"/>
      <c r="BB56" s="103"/>
      <c r="BC56" s="103"/>
      <c r="BE56" s="103"/>
      <c r="BF56" s="103"/>
      <c r="BG56" s="103"/>
      <c r="BH56" s="103"/>
      <c r="BI56" s="103"/>
      <c r="BK56" s="103"/>
      <c r="BL56" s="103"/>
      <c r="BM56" s="103"/>
      <c r="BN56" s="103"/>
      <c r="BO56" s="103"/>
      <c r="BQ56" s="103"/>
      <c r="BR56" s="103"/>
      <c r="BS56" s="103"/>
      <c r="BT56" s="103"/>
      <c r="BU56" s="103"/>
      <c r="BW56" s="103"/>
      <c r="BX56" s="103"/>
      <c r="BY56" s="103"/>
      <c r="BZ56" s="103"/>
      <c r="CA56" s="103"/>
      <c r="CC56" s="103"/>
      <c r="CD56" s="103"/>
      <c r="CE56" s="103"/>
      <c r="CF56" s="103"/>
      <c r="CG56" s="103"/>
      <c r="CI56" s="103"/>
      <c r="CJ56" s="103"/>
      <c r="CK56" s="103"/>
      <c r="CL56" s="103"/>
      <c r="CM56" s="103"/>
      <c r="CO56" s="103"/>
      <c r="CP56" s="103"/>
      <c r="CQ56" s="103"/>
      <c r="CR56" s="103"/>
      <c r="CS56" s="103"/>
      <c r="CU56" s="103"/>
      <c r="CV56" s="103"/>
      <c r="CW56" s="103"/>
      <c r="CX56" s="103"/>
      <c r="CY56" s="103"/>
      <c r="DA56" s="103"/>
      <c r="DB56" s="103"/>
      <c r="DC56" s="103"/>
      <c r="DD56" s="103"/>
      <c r="DE56" s="103"/>
      <c r="DG56" s="103"/>
      <c r="DH56" s="103"/>
      <c r="DI56" s="103"/>
      <c r="DJ56" s="103"/>
      <c r="DK56" s="103"/>
    </row>
    <row r="57" spans="2:115" ht="15" x14ac:dyDescent="0.3">
      <c r="B57" s="42" t="s">
        <v>36</v>
      </c>
      <c r="C57" s="209">
        <f>C54/C40</f>
        <v>0.41509433962264153</v>
      </c>
      <c r="D57" s="206">
        <f>D54/D40</f>
        <v>0.43165467625899279</v>
      </c>
      <c r="E57" s="206">
        <f>E54/E40</f>
        <v>0.44947735191637633</v>
      </c>
      <c r="F57" s="207">
        <f>F54/F40</f>
        <v>0.40277777777777779</v>
      </c>
      <c r="G57" s="208">
        <f>G54/G40</f>
        <v>0.42486583184257604</v>
      </c>
      <c r="H57" s="129"/>
      <c r="I57" s="209">
        <f>I54/I40</f>
        <v>0.43410852713178294</v>
      </c>
      <c r="J57" s="206">
        <f>J54/J40</f>
        <v>0.47163120567375888</v>
      </c>
      <c r="K57" s="206">
        <f>K54/K40</f>
        <v>0.43278688524590164</v>
      </c>
      <c r="L57" s="206">
        <f>L54/L40</f>
        <v>0.38235294117647056</v>
      </c>
      <c r="M57" s="208">
        <f>M54/M40</f>
        <v>0.43061772605192478</v>
      </c>
      <c r="N57" s="129"/>
      <c r="O57" s="209">
        <f>O54/O40</f>
        <v>0.43577981651376146</v>
      </c>
      <c r="P57" s="206">
        <f>P54/P40</f>
        <v>0.44255319148936167</v>
      </c>
      <c r="Q57" s="206">
        <f>Q54/Q40</f>
        <v>0.466403162055336</v>
      </c>
      <c r="R57" s="206">
        <f>R54/R40</f>
        <v>0.38976377952755903</v>
      </c>
      <c r="S57" s="208">
        <f>S54/S40</f>
        <v>0.43333333333333335</v>
      </c>
      <c r="U57" s="209">
        <f>U54/U40</f>
        <v>0.45217391304347826</v>
      </c>
      <c r="V57" s="206">
        <f>V54/V40</f>
        <v>0.46610169491525422</v>
      </c>
      <c r="W57" s="206">
        <f>W54/W40</f>
        <v>0.49166666666666664</v>
      </c>
      <c r="X57" s="207">
        <f>X54/X40</f>
        <v>0.40163934426229508</v>
      </c>
      <c r="Y57" s="208">
        <f>Y54/Y40</f>
        <v>0.45263157894736844</v>
      </c>
      <c r="AA57" s="209">
        <f>AA54/AA40</f>
        <v>0.45876288659793812</v>
      </c>
      <c r="AB57" s="206">
        <f>AB54/AB40</f>
        <v>0.44711538461538464</v>
      </c>
      <c r="AC57" s="206">
        <f>AC54/AC40</f>
        <v>0.4375</v>
      </c>
      <c r="AD57" s="206">
        <f>AD54/AD40</f>
        <v>0.34375</v>
      </c>
      <c r="AE57" s="208">
        <f>AE54/AE40</f>
        <v>0.42269326683291769</v>
      </c>
      <c r="AG57" s="209">
        <f>AG54/AG40</f>
        <v>0.44</v>
      </c>
      <c r="AH57" s="206">
        <f>AH54/AH40</f>
        <v>0.42307692307692307</v>
      </c>
      <c r="AI57" s="206">
        <f>AI54/AI40</f>
        <v>0.42211055276381909</v>
      </c>
      <c r="AJ57" s="206">
        <f>AJ54/AJ40</f>
        <v>0.30769230769230771</v>
      </c>
      <c r="AK57" s="208">
        <f>AK54/AK40</f>
        <v>0.39528795811518325</v>
      </c>
      <c r="AM57" s="209">
        <f>AM54/AM40</f>
        <v>0.32984293193717279</v>
      </c>
      <c r="AN57" s="206">
        <f>AN54/AN40</f>
        <v>0.38461538461538464</v>
      </c>
      <c r="AO57" s="206">
        <f>AO54/AO40</f>
        <v>0.38834951456310679</v>
      </c>
      <c r="AP57" s="207">
        <f>AP54/AP40</f>
        <v>0.30288461538461536</v>
      </c>
      <c r="AQ57" s="208">
        <f>AQ54/AQ40</f>
        <v>0.35178351783517836</v>
      </c>
      <c r="AS57" s="209">
        <f>AS54/AS40</f>
        <v>0.34408602150537637</v>
      </c>
      <c r="AT57" s="206">
        <f>AT54/AT40</f>
        <v>0.415678391959799</v>
      </c>
      <c r="AU57" s="206">
        <f>AU54/AU40</f>
        <v>0.40386473429951686</v>
      </c>
      <c r="AV57" s="207">
        <f>AV54/AV40</f>
        <v>0.27777272727272728</v>
      </c>
      <c r="AW57" s="208">
        <f>AW54/AW40</f>
        <v>0.35890394088669952</v>
      </c>
      <c r="AY57" s="209">
        <f>AY54/AY40</f>
        <v>0.25345622119815669</v>
      </c>
      <c r="AZ57" s="206">
        <f>AZ54/AZ40</f>
        <v>0.31963470319634701</v>
      </c>
      <c r="BA57" s="206">
        <f>BA54/BA40</f>
        <v>0.32863849765258218</v>
      </c>
      <c r="BB57" s="206">
        <f>BB54/BB40</f>
        <v>0.26548672566371684</v>
      </c>
      <c r="BC57" s="208">
        <f>BC54/BC40</f>
        <v>0.29142857142857143</v>
      </c>
      <c r="BE57" s="209">
        <f>BE54/BE40</f>
        <v>0.28708133971291866</v>
      </c>
      <c r="BF57" s="206">
        <f>BF54/BF40</f>
        <v>0.31595454545454549</v>
      </c>
      <c r="BG57" s="206">
        <f>BG54/BG40</f>
        <v>0.31484581497797354</v>
      </c>
      <c r="BH57" s="206">
        <f>BH54/BH40</f>
        <v>0.26410480349344978</v>
      </c>
      <c r="BI57" s="208">
        <f>BI54/BI40</f>
        <v>0.29543502824858753</v>
      </c>
      <c r="BK57" s="209">
        <f>BK54/BK40</f>
        <v>0.24423963133640553</v>
      </c>
      <c r="BL57" s="206">
        <f>BL54/BL40</f>
        <v>0.29361982758620686</v>
      </c>
      <c r="BM57" s="206">
        <f>BM54/BM40</f>
        <v>0.3287052777777778</v>
      </c>
      <c r="BN57" s="207">
        <f>BN54/BN40</f>
        <v>0.25591537190082647</v>
      </c>
      <c r="BO57" s="208">
        <f>BO54/BO40</f>
        <v>0.28195657476139979</v>
      </c>
      <c r="BQ57" s="209">
        <f>BQ54/BQ40</f>
        <v>0.25265321183251471</v>
      </c>
      <c r="BR57" s="206">
        <f>BR54/BR40</f>
        <v>0.29952718324775429</v>
      </c>
      <c r="BS57" s="206">
        <f>BS54/BS40</f>
        <v>0.3329772435175205</v>
      </c>
      <c r="BT57" s="207">
        <f>BT54/BT40</f>
        <v>0.26017542289336321</v>
      </c>
      <c r="BU57" s="208">
        <f>BU54/BU40</f>
        <v>0.2872135874620631</v>
      </c>
      <c r="BW57" s="209">
        <f>BW54/BW40</f>
        <v>0.25518145658592173</v>
      </c>
      <c r="BX57" s="206">
        <f>BX54/BX40</f>
        <v>0.30184546932529099</v>
      </c>
      <c r="BY57" s="206">
        <f>BY54/BY40</f>
        <v>0.33547128414017469</v>
      </c>
      <c r="BZ57" s="207">
        <f>BZ54/BZ40</f>
        <v>0.26225081474399009</v>
      </c>
      <c r="CA57" s="208">
        <f>CA54/CA40</f>
        <v>0.28954538500584304</v>
      </c>
      <c r="CC57" s="209">
        <f>CC54/CC40</f>
        <v>0.25796742530907518</v>
      </c>
      <c r="CD57" s="206">
        <f>CD54/CD40</f>
        <v>0.30452003227660124</v>
      </c>
      <c r="CE57" s="206">
        <f>CE54/CE40</f>
        <v>0.33813808610961854</v>
      </c>
      <c r="CF57" s="207">
        <f>CF54/CF40</f>
        <v>0.26498700448204149</v>
      </c>
      <c r="CG57" s="208">
        <f>CG54/CG40</f>
        <v>0.29225540562940944</v>
      </c>
      <c r="CI57" s="209">
        <f>CI54/CI40</f>
        <v>0.26030344569696012</v>
      </c>
      <c r="CJ57" s="206">
        <f>CJ54/CJ40</f>
        <v>0.30662720529573523</v>
      </c>
      <c r="CK57" s="206">
        <f>CK54/CK40</f>
        <v>0.340541715240608</v>
      </c>
      <c r="CL57" s="207">
        <f>CL54/CL40</f>
        <v>0.26762074165510041</v>
      </c>
      <c r="CM57" s="208">
        <f>CM54/CM40</f>
        <v>0.29466932109139016</v>
      </c>
      <c r="CO57" s="209">
        <f>CO54/CO40</f>
        <v>0.26240434060115275</v>
      </c>
      <c r="CP57" s="206">
        <f>CP54/CP40</f>
        <v>0.30883038096374782</v>
      </c>
      <c r="CQ57" s="206">
        <f>CQ54/CQ40</f>
        <v>0.34280310068755054</v>
      </c>
      <c r="CR57" s="207">
        <f>CR54/CR40</f>
        <v>0.26979085703536915</v>
      </c>
      <c r="CS57" s="208">
        <f>CS54/CS40</f>
        <v>0.29684763444104828</v>
      </c>
      <c r="CU57" s="209">
        <f>CU54/CU40</f>
        <v>0.26443671828105109</v>
      </c>
      <c r="CV57" s="206">
        <f>CV54/CV40</f>
        <v>0.31098925482924339</v>
      </c>
      <c r="CW57" s="206">
        <f>CW54/CW40</f>
        <v>0.34502638108097911</v>
      </c>
      <c r="CX57" s="207">
        <f>CX54/CX40</f>
        <v>0.27190433315398221</v>
      </c>
      <c r="CY57" s="208">
        <f>CY54/CY40</f>
        <v>0.29897828769846824</v>
      </c>
      <c r="DA57" s="209">
        <f>DA54/DA40</f>
        <v>0.26647348919811764</v>
      </c>
      <c r="DB57" s="206">
        <f>DB54/DB40</f>
        <v>0.31315027900148668</v>
      </c>
      <c r="DC57" s="206">
        <f>DC54/DC40</f>
        <v>0.34725193058647946</v>
      </c>
      <c r="DD57" s="207">
        <f>DD54/DD40</f>
        <v>0.27402154484077479</v>
      </c>
      <c r="DE57" s="208">
        <f>DE54/DE40</f>
        <v>0.30111154376037458</v>
      </c>
      <c r="DG57" s="209">
        <f>DG54/DG40</f>
        <v>0.26851537943858861</v>
      </c>
      <c r="DH57" s="206">
        <f>DH54/DH40</f>
        <v>0.31531396335689776</v>
      </c>
      <c r="DI57" s="206">
        <f>DI54/DI40</f>
        <v>0.34948013830668284</v>
      </c>
      <c r="DJ57" s="207">
        <f>DJ54/DJ40</f>
        <v>0.2761430647590335</v>
      </c>
      <c r="DK57" s="208">
        <f>DK54/DK40</f>
        <v>0.30324794827097312</v>
      </c>
    </row>
    <row r="58" spans="2:115" ht="15.75" thickBot="1" x14ac:dyDescent="0.35">
      <c r="B58" s="41" t="s">
        <v>37</v>
      </c>
      <c r="C58" s="155" t="s">
        <v>35</v>
      </c>
      <c r="D58" s="106" t="s">
        <v>35</v>
      </c>
      <c r="E58" s="106" t="s">
        <v>35</v>
      </c>
      <c r="F58" s="154" t="s">
        <v>35</v>
      </c>
      <c r="G58" s="108" t="s">
        <v>35</v>
      </c>
      <c r="I58" s="174">
        <f>I57-C57</f>
        <v>1.9014187509141411E-2</v>
      </c>
      <c r="J58" s="175">
        <f>J57-D57</f>
        <v>3.9976529414766093E-2</v>
      </c>
      <c r="K58" s="175">
        <f>K57-E57</f>
        <v>-1.6690466670474691E-2</v>
      </c>
      <c r="L58" s="175">
        <f>L57-F57</f>
        <v>-2.0424836601307228E-2</v>
      </c>
      <c r="M58" s="177">
        <f>M57-G57</f>
        <v>5.7518942093487402E-3</v>
      </c>
      <c r="O58" s="174">
        <f>O57-I57</f>
        <v>1.6712893819785246E-3</v>
      </c>
      <c r="P58" s="175">
        <f>P57-J57</f>
        <v>-2.9078014184397205E-2</v>
      </c>
      <c r="Q58" s="175">
        <f>Q57-K57</f>
        <v>3.3616276809434353E-2</v>
      </c>
      <c r="R58" s="175">
        <f>R57-L57</f>
        <v>7.4108383510884668E-3</v>
      </c>
      <c r="S58" s="177">
        <f>S57-M57</f>
        <v>2.7156072814085719E-3</v>
      </c>
      <c r="U58" s="174">
        <f>U57-O57</f>
        <v>1.6394096529716795E-2</v>
      </c>
      <c r="V58" s="175">
        <f>V57-P57</f>
        <v>2.3548503425892542E-2</v>
      </c>
      <c r="W58" s="175">
        <f>W57-Q57</f>
        <v>2.5263504611330645E-2</v>
      </c>
      <c r="X58" s="176">
        <f>X57-R57</f>
        <v>1.1875564734736055E-2</v>
      </c>
      <c r="Y58" s="177">
        <f>Y57-S57</f>
        <v>1.9298245614035092E-2</v>
      </c>
      <c r="AA58" s="174">
        <f>AA57-U57</f>
        <v>6.5889735544598649E-3</v>
      </c>
      <c r="AB58" s="175">
        <f>AB57-V57</f>
        <v>-1.898631029986958E-2</v>
      </c>
      <c r="AC58" s="175">
        <f>AC57-W57</f>
        <v>-5.4166666666666641E-2</v>
      </c>
      <c r="AD58" s="176">
        <f>AD57-X57</f>
        <v>-5.7889344262295084E-2</v>
      </c>
      <c r="AE58" s="177">
        <f>AE57-Y57</f>
        <v>-2.9938312114450749E-2</v>
      </c>
      <c r="AG58" s="174">
        <f>AG57-AA57</f>
        <v>-1.8762886597938122E-2</v>
      </c>
      <c r="AH58" s="175">
        <f>AH57-AB57</f>
        <v>-2.4038461538461564E-2</v>
      </c>
      <c r="AI58" s="175">
        <f>AI57-AC57</f>
        <v>-1.5389447236180909E-2</v>
      </c>
      <c r="AJ58" s="175">
        <f>AJ57-AD57</f>
        <v>-3.6057692307692291E-2</v>
      </c>
      <c r="AK58" s="177">
        <f>AK57-AE57</f>
        <v>-2.7405308717734445E-2</v>
      </c>
      <c r="AM58" s="174">
        <f>AM57-AG57</f>
        <v>-0.11015706806282721</v>
      </c>
      <c r="AN58" s="175">
        <f>AN57-AH57</f>
        <v>-3.8461538461538436E-2</v>
      </c>
      <c r="AO58" s="175">
        <f>AO57-AI57</f>
        <v>-3.3761038200712301E-2</v>
      </c>
      <c r="AP58" s="176">
        <f>AP57-AJ57</f>
        <v>-4.8076923076923461E-3</v>
      </c>
      <c r="AQ58" s="177">
        <f>AQ57-AK57</f>
        <v>-4.3504440280004886E-2</v>
      </c>
      <c r="AS58" s="174">
        <f>AS57-AM57</f>
        <v>1.4243089568203582E-2</v>
      </c>
      <c r="AT58" s="175">
        <f>AT57-AN57</f>
        <v>3.1063007344414362E-2</v>
      </c>
      <c r="AU58" s="175">
        <f>AU57-AO57</f>
        <v>1.5515219736410069E-2</v>
      </c>
      <c r="AV58" s="176">
        <f>AV57-AP57</f>
        <v>-2.5111888111888081E-2</v>
      </c>
      <c r="AW58" s="177">
        <f>AW57-AQ57</f>
        <v>7.1204230515211631E-3</v>
      </c>
      <c r="AY58" s="174">
        <f>AY57-AS57</f>
        <v>-9.0629800307219677E-2</v>
      </c>
      <c r="AZ58" s="175">
        <f>AZ57-AT57</f>
        <v>-9.6043688763451984E-2</v>
      </c>
      <c r="BA58" s="175">
        <f>BA57-AU57</f>
        <v>-7.5226236646934674E-2</v>
      </c>
      <c r="BB58" s="175">
        <f>BB57-AV57</f>
        <v>-1.2286001609010444E-2</v>
      </c>
      <c r="BC58" s="177">
        <f>BC57-AW57</f>
        <v>-6.7475369458128098E-2</v>
      </c>
      <c r="BE58" s="174">
        <f>BE57-AY57</f>
        <v>3.3625118514761965E-2</v>
      </c>
      <c r="BF58" s="175">
        <f>BF57-AZ57</f>
        <v>-3.6801577418015263E-3</v>
      </c>
      <c r="BG58" s="175">
        <f>BG57-BA57</f>
        <v>-1.3792682674608647E-2</v>
      </c>
      <c r="BH58" s="175">
        <f>BH57-BB57</f>
        <v>-1.3819221702670581E-3</v>
      </c>
      <c r="BI58" s="177">
        <f>BI57-BC57</f>
        <v>4.0064568200161021E-3</v>
      </c>
      <c r="BK58" s="174">
        <f>BK57-BE57</f>
        <v>-4.2841708376513132E-2</v>
      </c>
      <c r="BL58" s="175">
        <f>BL57-BF57</f>
        <v>-2.2334717868338627E-2</v>
      </c>
      <c r="BM58" s="175">
        <f>BM57-BG57</f>
        <v>1.3859462799804267E-2</v>
      </c>
      <c r="BN58" s="176">
        <f>BN57-BH57</f>
        <v>-8.1894315926233086E-3</v>
      </c>
      <c r="BO58" s="177">
        <f>BO57-BI57</f>
        <v>-1.3478453487187736E-2</v>
      </c>
      <c r="BQ58" s="174">
        <f>BQ57-BK57</f>
        <v>8.4135804961091853E-3</v>
      </c>
      <c r="BR58" s="175">
        <f>BR57-BL57</f>
        <v>5.907355661547431E-3</v>
      </c>
      <c r="BS58" s="175">
        <f>BS57-BM57</f>
        <v>4.2719657397427002E-3</v>
      </c>
      <c r="BT58" s="176">
        <f>BT57-BN57</f>
        <v>4.2600509925367347E-3</v>
      </c>
      <c r="BU58" s="177">
        <f>BU57-BO57</f>
        <v>5.2570127006633105E-3</v>
      </c>
      <c r="BW58" s="174">
        <f>BW57-BQ57</f>
        <v>2.5282447534070163E-3</v>
      </c>
      <c r="BX58" s="175">
        <f>BX57-BR57</f>
        <v>2.318286077536702E-3</v>
      </c>
      <c r="BY58" s="175">
        <f>BY57-BS57</f>
        <v>2.4940406226541811E-3</v>
      </c>
      <c r="BZ58" s="176">
        <f>BZ57-BT57</f>
        <v>2.0753918506268842E-3</v>
      </c>
      <c r="CA58" s="177">
        <f>CA57-BU57</f>
        <v>2.3317975437799343E-3</v>
      </c>
      <c r="CC58" s="174">
        <f>CC57-BW57</f>
        <v>2.7859687231534536E-3</v>
      </c>
      <c r="CD58" s="175">
        <f>CD57-BX57</f>
        <v>2.6745629513102442E-3</v>
      </c>
      <c r="CE58" s="175">
        <f>CE57-BY57</f>
        <v>2.6668019694438549E-3</v>
      </c>
      <c r="CF58" s="176">
        <f>CF57-BZ57</f>
        <v>2.7361897380513978E-3</v>
      </c>
      <c r="CG58" s="177">
        <f>CG57-CA57</f>
        <v>2.7100206235664004E-3</v>
      </c>
      <c r="CI58" s="174">
        <f>CI57-CC57</f>
        <v>2.3360203878849406E-3</v>
      </c>
      <c r="CJ58" s="175">
        <f>CJ57-CD57</f>
        <v>2.1071730191339899E-3</v>
      </c>
      <c r="CK58" s="175">
        <f>CK57-CE57</f>
        <v>2.4036291309894597E-3</v>
      </c>
      <c r="CL58" s="176">
        <f>CL57-CF57</f>
        <v>2.6337371730589254E-3</v>
      </c>
      <c r="CM58" s="177">
        <f>CM57-CG57</f>
        <v>2.4139154619807202E-3</v>
      </c>
      <c r="CO58" s="174">
        <f>CO57-CI57</f>
        <v>2.1008949041926295E-3</v>
      </c>
      <c r="CP58" s="175">
        <f>CP57-CJ57</f>
        <v>2.2031756680125913E-3</v>
      </c>
      <c r="CQ58" s="175">
        <f>CQ57-CK57</f>
        <v>2.2613854469425432E-3</v>
      </c>
      <c r="CR58" s="176">
        <f>CR57-CL57</f>
        <v>2.1701153802687334E-3</v>
      </c>
      <c r="CS58" s="177">
        <f>CS57-CM57</f>
        <v>2.1783133496581231E-3</v>
      </c>
      <c r="CU58" s="174">
        <f>CU57-CO57</f>
        <v>2.032377679898334E-3</v>
      </c>
      <c r="CV58" s="175">
        <f>CV57-CP57</f>
        <v>2.1588738654955697E-3</v>
      </c>
      <c r="CW58" s="175">
        <f>CW57-CQ57</f>
        <v>2.2232803934285617E-3</v>
      </c>
      <c r="CX58" s="176">
        <f>CX57-CR57</f>
        <v>2.1134761186130668E-3</v>
      </c>
      <c r="CY58" s="177">
        <f>CY57-CS57</f>
        <v>2.1306532574199566E-3</v>
      </c>
      <c r="DA58" s="174">
        <f>DA57-CU57</f>
        <v>2.0367709170665549E-3</v>
      </c>
      <c r="DB58" s="175">
        <f>DB57-CV57</f>
        <v>2.1610241722432866E-3</v>
      </c>
      <c r="DC58" s="175">
        <f>DC57-CW57</f>
        <v>2.2255495055003571E-3</v>
      </c>
      <c r="DD58" s="176">
        <f>DD57-CX57</f>
        <v>2.117211686792575E-3</v>
      </c>
      <c r="DE58" s="177">
        <f>DE57-CY57</f>
        <v>2.1332560619063412E-3</v>
      </c>
      <c r="DG58" s="174">
        <f>DG57-DA57</f>
        <v>2.0418902404709671E-3</v>
      </c>
      <c r="DH58" s="175">
        <f>DH57-DB57</f>
        <v>2.1636843554110885E-3</v>
      </c>
      <c r="DI58" s="175">
        <f>DI57-DC57</f>
        <v>2.228207720203379E-3</v>
      </c>
      <c r="DJ58" s="176">
        <f>DJ57-DD57</f>
        <v>2.1215199182587074E-3</v>
      </c>
      <c r="DK58" s="177">
        <f>DK57-DE57</f>
        <v>2.1364045105985441E-3</v>
      </c>
    </row>
    <row r="59" spans="2:115" ht="15.75" thickBot="1" x14ac:dyDescent="0.35">
      <c r="B59" s="1"/>
      <c r="AA59" s="103"/>
      <c r="AB59" s="103"/>
      <c r="AC59" s="103"/>
      <c r="AD59" s="103"/>
      <c r="AE59" s="103"/>
      <c r="AG59" s="103"/>
      <c r="AH59" s="103"/>
      <c r="AI59" s="103"/>
      <c r="AJ59" s="103"/>
      <c r="AK59" s="103"/>
      <c r="AM59" s="103"/>
      <c r="AN59" s="103"/>
      <c r="AO59" s="103"/>
      <c r="AP59" s="103"/>
      <c r="AQ59" s="103"/>
      <c r="AS59" s="103"/>
      <c r="AT59" s="103"/>
      <c r="AU59" s="103"/>
      <c r="AV59" s="103"/>
      <c r="AW59" s="103"/>
      <c r="AY59" s="103"/>
      <c r="AZ59" s="103"/>
      <c r="BA59" s="103"/>
      <c r="BB59" s="103"/>
      <c r="BC59" s="103"/>
      <c r="BE59" s="103"/>
      <c r="BF59" s="103"/>
      <c r="BG59" s="103"/>
      <c r="BH59" s="103"/>
      <c r="BI59" s="103"/>
      <c r="BK59" s="103"/>
      <c r="BL59" s="103"/>
      <c r="BM59" s="103"/>
      <c r="BN59" s="103"/>
      <c r="BO59" s="103"/>
      <c r="BQ59" s="103"/>
      <c r="BR59" s="103"/>
      <c r="BS59" s="103"/>
      <c r="BT59" s="103"/>
      <c r="BU59" s="103"/>
      <c r="BW59" s="103"/>
      <c r="BX59" s="103"/>
      <c r="BY59" s="103"/>
      <c r="BZ59" s="103"/>
      <c r="CA59" s="103"/>
      <c r="CC59" s="103"/>
      <c r="CD59" s="103"/>
      <c r="CE59" s="103"/>
      <c r="CF59" s="103"/>
      <c r="CG59" s="103"/>
      <c r="CI59" s="103"/>
      <c r="CJ59" s="103"/>
      <c r="CK59" s="103"/>
      <c r="CL59" s="103"/>
      <c r="CM59" s="103"/>
      <c r="CO59" s="103"/>
      <c r="CP59" s="103"/>
      <c r="CQ59" s="103"/>
      <c r="CR59" s="103"/>
      <c r="CS59" s="103"/>
      <c r="CU59" s="103"/>
      <c r="CV59" s="103"/>
      <c r="CW59" s="103"/>
      <c r="CX59" s="103"/>
      <c r="CY59" s="103"/>
      <c r="DA59" s="103"/>
      <c r="DB59" s="103"/>
      <c r="DC59" s="103"/>
      <c r="DD59" s="103"/>
      <c r="DE59" s="103"/>
      <c r="DG59" s="103"/>
      <c r="DH59" s="103"/>
      <c r="DI59" s="103"/>
      <c r="DJ59" s="103"/>
      <c r="DK59" s="103"/>
    </row>
    <row r="60" spans="2:115" ht="15" x14ac:dyDescent="0.3">
      <c r="B60" s="139" t="s">
        <v>62</v>
      </c>
      <c r="C60" s="126">
        <v>13</v>
      </c>
      <c r="D60" s="127">
        <v>45</v>
      </c>
      <c r="E60" s="127">
        <v>29</v>
      </c>
      <c r="F60" s="127">
        <v>71</v>
      </c>
      <c r="G60" s="201">
        <f>C60+D60+E60+F60</f>
        <v>158</v>
      </c>
      <c r="H60" s="129"/>
      <c r="I60" s="126">
        <v>59</v>
      </c>
      <c r="J60" s="127">
        <v>34</v>
      </c>
      <c r="K60" s="127">
        <v>22</v>
      </c>
      <c r="L60" s="127">
        <v>54</v>
      </c>
      <c r="M60" s="201">
        <f>I60+J60+K60+L60</f>
        <v>169</v>
      </c>
      <c r="N60" s="129"/>
      <c r="O60" s="126">
        <v>30</v>
      </c>
      <c r="P60" s="127">
        <v>36</v>
      </c>
      <c r="Q60" s="127">
        <v>19</v>
      </c>
      <c r="R60" s="127">
        <v>10</v>
      </c>
      <c r="S60" s="201">
        <f>O60+P60+Q60+R60</f>
        <v>95</v>
      </c>
      <c r="T60" s="129"/>
      <c r="U60" s="126">
        <v>19</v>
      </c>
      <c r="V60" s="252">
        <v>11</v>
      </c>
      <c r="W60" s="252">
        <v>13</v>
      </c>
      <c r="X60" s="258">
        <v>32</v>
      </c>
      <c r="Y60" s="201">
        <f>U60+V60+W60+X60</f>
        <v>75</v>
      </c>
      <c r="Z60" s="254"/>
      <c r="AA60" s="251">
        <v>25</v>
      </c>
      <c r="AB60" s="252">
        <v>14</v>
      </c>
      <c r="AC60" s="252">
        <v>24</v>
      </c>
      <c r="AD60" s="258">
        <v>30</v>
      </c>
      <c r="AE60" s="201">
        <f>AA60+AB60+AC60+AD60</f>
        <v>93</v>
      </c>
      <c r="AF60" s="254"/>
      <c r="AG60" s="251">
        <v>40</v>
      </c>
      <c r="AH60" s="252">
        <v>12</v>
      </c>
      <c r="AI60" s="252">
        <v>19</v>
      </c>
      <c r="AJ60" s="258">
        <f>AD60-7</f>
        <v>23</v>
      </c>
      <c r="AK60" s="201">
        <f>AG60+AH60+AI60+AJ60</f>
        <v>94</v>
      </c>
      <c r="AL60" s="254"/>
      <c r="AM60" s="251">
        <v>28</v>
      </c>
      <c r="AN60" s="252">
        <v>16</v>
      </c>
      <c r="AO60" s="252">
        <v>31</v>
      </c>
      <c r="AP60" s="258">
        <v>95</v>
      </c>
      <c r="AQ60" s="201">
        <f>AM60+AN60+AO60+AP60</f>
        <v>170</v>
      </c>
      <c r="AR60" s="254"/>
      <c r="AS60" s="251">
        <v>34</v>
      </c>
      <c r="AT60" s="199">
        <f>AN60*0.935</f>
        <v>14.96</v>
      </c>
      <c r="AU60" s="199">
        <v>23</v>
      </c>
      <c r="AV60" s="258">
        <v>219</v>
      </c>
      <c r="AW60" s="201">
        <f>AS60+AT60+AU60+AV60</f>
        <v>290.96000000000004</v>
      </c>
      <c r="AX60" s="254"/>
      <c r="AY60" s="251">
        <v>31</v>
      </c>
      <c r="AZ60" s="252">
        <v>20</v>
      </c>
      <c r="BA60" s="199">
        <v>32</v>
      </c>
      <c r="BB60" s="258">
        <v>45</v>
      </c>
      <c r="BC60" s="201">
        <f>AY60+AZ60+BA60+BB60</f>
        <v>128</v>
      </c>
      <c r="BD60" s="254"/>
      <c r="BE60" s="251">
        <v>35</v>
      </c>
      <c r="BF60" s="199">
        <f>AZ60*1.269</f>
        <v>25.38</v>
      </c>
      <c r="BG60" s="252">
        <v>31</v>
      </c>
      <c r="BH60" s="258">
        <v>35</v>
      </c>
      <c r="BI60" s="201">
        <f>BE60+BF60+BG60+BH60</f>
        <v>126.38</v>
      </c>
      <c r="BJ60" s="254"/>
      <c r="BK60" s="251">
        <v>34</v>
      </c>
      <c r="BL60" s="199">
        <f>BF60*0.9</f>
        <v>22.841999999999999</v>
      </c>
      <c r="BM60" s="252">
        <v>26</v>
      </c>
      <c r="BN60" s="258">
        <v>38</v>
      </c>
      <c r="BO60" s="201">
        <f>BK60+BL60+BM60+BN60</f>
        <v>120.842</v>
      </c>
      <c r="BP60" s="254"/>
      <c r="BQ60" s="251">
        <f>BQ63*BQ40</f>
        <v>34.790107154251508</v>
      </c>
      <c r="BR60" s="252">
        <f>BR63*BR40</f>
        <v>24.50962013046238</v>
      </c>
      <c r="BS60" s="252">
        <f>BS63*BS40</f>
        <v>28.359394972283742</v>
      </c>
      <c r="BT60" s="258">
        <f>BT63*BT40</f>
        <v>37.728551861411475</v>
      </c>
      <c r="BU60" s="201">
        <f>BQ60+BR60+BS60+BT60</f>
        <v>125.38767411840911</v>
      </c>
      <c r="BV60" s="254"/>
      <c r="BW60" s="251">
        <f>BW63*BW40</f>
        <v>32.143008634540415</v>
      </c>
      <c r="BX60" s="252">
        <f>BX63*BX40</f>
        <v>26.317862297889665</v>
      </c>
      <c r="BY60" s="252">
        <f>BY63*BY40</f>
        <v>28.934130152204283</v>
      </c>
      <c r="BZ60" s="258">
        <f>BZ63*BZ40</f>
        <v>37.087436479789282</v>
      </c>
      <c r="CA60" s="201">
        <f>BW60+BX60+BY60+BZ60</f>
        <v>124.48243756442366</v>
      </c>
      <c r="CB60" s="254"/>
      <c r="CC60" s="251">
        <f>CC63*CC40</f>
        <v>30.228591042732855</v>
      </c>
      <c r="CD60" s="252">
        <f>CD63*CD40</f>
        <v>26.694951351433144</v>
      </c>
      <c r="CE60" s="252">
        <f>CE63*CE40</f>
        <v>30.733485210665645</v>
      </c>
      <c r="CF60" s="258">
        <f>CF63*CF40</f>
        <v>36.392644672525769</v>
      </c>
      <c r="CG60" s="201">
        <f>CC60+CD60+CE60+CF60</f>
        <v>124.04967227735742</v>
      </c>
      <c r="CH60" s="254"/>
      <c r="CI60" s="251">
        <f>CI63*CI40</f>
        <v>29.395844579666395</v>
      </c>
      <c r="CJ60" s="252">
        <f>CJ63*CJ40</f>
        <v>28.366480835739583</v>
      </c>
      <c r="CK60" s="252">
        <f>CK63*CK40</f>
        <v>29.863785261245209</v>
      </c>
      <c r="CL60" s="258">
        <f>CL63*CL40</f>
        <v>34.215410674743936</v>
      </c>
      <c r="CM60" s="201">
        <f>CI60+CJ60+CK60+CL60</f>
        <v>121.84152135139513</v>
      </c>
      <c r="CN60" s="254"/>
      <c r="CO60" s="251">
        <f>CO63*CO40</f>
        <v>27.398724017098498</v>
      </c>
      <c r="CP60" s="252">
        <f>CP63*CP40</f>
        <v>28.799965606750167</v>
      </c>
      <c r="CQ60" s="252">
        <f>CQ63*CQ40</f>
        <v>30.357986957321163</v>
      </c>
      <c r="CR60" s="258">
        <f>CR63*CR40</f>
        <v>32.11492438714577</v>
      </c>
      <c r="CS60" s="201">
        <f>CO60+CP60+CQ60+CR60</f>
        <v>118.6716009683156</v>
      </c>
      <c r="CT60" s="254"/>
      <c r="CU60" s="251">
        <f>CU63*CU40</f>
        <v>27.77149707503688</v>
      </c>
      <c r="CV60" s="252">
        <f>CV63*CV40</f>
        <v>29.158904824163994</v>
      </c>
      <c r="CW60" s="252">
        <f>CW63*CW40</f>
        <v>30.772425656932256</v>
      </c>
      <c r="CX60" s="258">
        <f>CX63*CX40</f>
        <v>32.555962049610706</v>
      </c>
      <c r="CY60" s="201">
        <f>CU60+CV60+CW60+CX60</f>
        <v>120.25878960574383</v>
      </c>
      <c r="CZ60" s="254"/>
      <c r="DA60" s="251">
        <f>DA63*DA40</f>
        <v>28.166255130342087</v>
      </c>
      <c r="DB60" s="252">
        <f>DB63*DB40</f>
        <v>29.539279347021282</v>
      </c>
      <c r="DC60" s="252">
        <f>DC63*DC40</f>
        <v>31.20984264849352</v>
      </c>
      <c r="DD60" s="258">
        <f>DD63*DD40</f>
        <v>33.02227027243817</v>
      </c>
      <c r="DE60" s="201">
        <f>DA60+DB60+DC60+DD60</f>
        <v>121.93764739829507</v>
      </c>
      <c r="DF60" s="254"/>
      <c r="DG60" s="251">
        <f>DG63*DG40</f>
        <v>28.583786657513688</v>
      </c>
      <c r="DH60" s="252">
        <f>DH63*DH40</f>
        <v>29.941846404897969</v>
      </c>
      <c r="DI60" s="252">
        <f>DI63*DI40</f>
        <v>31.671041194373725</v>
      </c>
      <c r="DJ60" s="258">
        <f>DJ63*DJ40</f>
        <v>33.514739918694175</v>
      </c>
      <c r="DK60" s="201">
        <f>DG60+DH60+DI60+DJ60</f>
        <v>123.71141417547956</v>
      </c>
    </row>
    <row r="61" spans="2:115" ht="15" x14ac:dyDescent="0.3">
      <c r="B61" s="5" t="s">
        <v>40</v>
      </c>
      <c r="C61" s="144" t="s">
        <v>35</v>
      </c>
      <c r="D61" s="107" t="s">
        <v>35</v>
      </c>
      <c r="E61" s="107" t="s">
        <v>35</v>
      </c>
      <c r="F61" s="107" t="s">
        <v>35</v>
      </c>
      <c r="G61" s="138" t="s">
        <v>35</v>
      </c>
      <c r="H61" s="107"/>
      <c r="I61" s="151">
        <f>I60/C60-1</f>
        <v>3.5384615384615383</v>
      </c>
      <c r="J61" s="133">
        <f>J60/D60-1</f>
        <v>-0.24444444444444446</v>
      </c>
      <c r="K61" s="133">
        <f>K60/E60-1</f>
        <v>-0.24137931034482762</v>
      </c>
      <c r="L61" s="133">
        <f>L60/F60-1</f>
        <v>-0.23943661971830987</v>
      </c>
      <c r="M61" s="153">
        <f>M60/G60-1</f>
        <v>6.9620253164556889E-2</v>
      </c>
      <c r="N61" s="107"/>
      <c r="O61" s="151">
        <f>O60/I60-1</f>
        <v>-0.49152542372881358</v>
      </c>
      <c r="P61" s="133">
        <f>P60/J60-1</f>
        <v>5.8823529411764719E-2</v>
      </c>
      <c r="Q61" s="133">
        <f>Q60/K60-1</f>
        <v>-0.13636363636363635</v>
      </c>
      <c r="R61" s="133">
        <f>R60/L60-1</f>
        <v>-0.81481481481481488</v>
      </c>
      <c r="S61" s="153">
        <f>S60/M60-1</f>
        <v>-0.43786982248520712</v>
      </c>
      <c r="T61" s="107"/>
      <c r="U61" s="151">
        <f>U60/O60-1</f>
        <v>-0.3666666666666667</v>
      </c>
      <c r="V61" s="133">
        <f>V60/P60-1</f>
        <v>-0.69444444444444442</v>
      </c>
      <c r="W61" s="133">
        <f>W60/Q60-1</f>
        <v>-0.31578947368421051</v>
      </c>
      <c r="X61" s="152">
        <f>X60/R60-1</f>
        <v>2.2000000000000002</v>
      </c>
      <c r="Y61" s="153">
        <f>Y60/S60-1</f>
        <v>-0.21052631578947367</v>
      </c>
      <c r="AA61" s="151">
        <f>AA60/U60-1</f>
        <v>0.31578947368421062</v>
      </c>
      <c r="AB61" s="133">
        <f>AB60/V60-1</f>
        <v>0.27272727272727271</v>
      </c>
      <c r="AC61" s="133">
        <f>AC60/W60-1</f>
        <v>0.84615384615384626</v>
      </c>
      <c r="AD61" s="152">
        <f>AD60/X60-1</f>
        <v>-6.25E-2</v>
      </c>
      <c r="AE61" s="153">
        <f>AE60/Y60-1</f>
        <v>0.24</v>
      </c>
      <c r="AG61" s="151">
        <f>AG60/AA60-1</f>
        <v>0.60000000000000009</v>
      </c>
      <c r="AH61" s="133">
        <f>AH60/AB60-1</f>
        <v>-0.1428571428571429</v>
      </c>
      <c r="AI61" s="133">
        <f>AI60/AC60-1</f>
        <v>-0.20833333333333337</v>
      </c>
      <c r="AJ61" s="152">
        <f>AJ60/AD60-1</f>
        <v>-0.23333333333333328</v>
      </c>
      <c r="AK61" s="153">
        <f>AK60/AE60-1</f>
        <v>1.0752688172043001E-2</v>
      </c>
      <c r="AM61" s="151">
        <f>AM60/AG60-1</f>
        <v>-0.30000000000000004</v>
      </c>
      <c r="AN61" s="133">
        <f>AN60/AH60-1</f>
        <v>0.33333333333333326</v>
      </c>
      <c r="AO61" s="133">
        <f>AO60/AI60-1</f>
        <v>0.63157894736842102</v>
      </c>
      <c r="AP61" s="133">
        <f>AP60/AJ60-1</f>
        <v>3.1304347826086953</v>
      </c>
      <c r="AQ61" s="153">
        <f>AQ60/AK60-1</f>
        <v>0.8085106382978724</v>
      </c>
      <c r="AS61" s="151">
        <f>AS60/AM60-1</f>
        <v>0.21428571428571419</v>
      </c>
      <c r="AT61" s="133">
        <f>AT60/AN60-1</f>
        <v>-6.4999999999999947E-2</v>
      </c>
      <c r="AU61" s="133">
        <f>AU60/AO60-1</f>
        <v>-0.25806451612903225</v>
      </c>
      <c r="AV61" s="133">
        <f>AV60/AP60-1</f>
        <v>1.3052631578947369</v>
      </c>
      <c r="AW61" s="153">
        <f>AW60/AQ60-1</f>
        <v>0.71152941176470619</v>
      </c>
      <c r="AY61" s="151">
        <f>AY60/AS60-1</f>
        <v>-8.8235294117647078E-2</v>
      </c>
      <c r="AZ61" s="133">
        <f>AZ60/AT60-1</f>
        <v>0.33689839572192515</v>
      </c>
      <c r="BA61" s="133">
        <f>BA60/AU60-1</f>
        <v>0.39130434782608692</v>
      </c>
      <c r="BB61" s="133">
        <f>BB60/AV60-1</f>
        <v>-0.79452054794520555</v>
      </c>
      <c r="BC61" s="153">
        <f>BC60/AW60-1</f>
        <v>-0.56007698652735782</v>
      </c>
      <c r="BE61" s="151">
        <f>BE60/AY60-1</f>
        <v>0.12903225806451624</v>
      </c>
      <c r="BF61" s="133">
        <f>BF60/AZ60-1</f>
        <v>0.26899999999999991</v>
      </c>
      <c r="BG61" s="133">
        <f>BG60/BA60-1</f>
        <v>-3.125E-2</v>
      </c>
      <c r="BH61" s="133">
        <f>BH60/BB60-1</f>
        <v>-0.22222222222222221</v>
      </c>
      <c r="BI61" s="153">
        <f>BI60/BC60-1</f>
        <v>-1.2656250000000036E-2</v>
      </c>
      <c r="BK61" s="151">
        <f>BK60/BE60-1</f>
        <v>-2.8571428571428581E-2</v>
      </c>
      <c r="BL61" s="133">
        <f>BL60/BF60-1</f>
        <v>-9.9999999999999978E-2</v>
      </c>
      <c r="BM61" s="133">
        <f>BM60/BG60-1</f>
        <v>-0.16129032258064513</v>
      </c>
      <c r="BN61" s="133">
        <f>BN60/BH60-1</f>
        <v>8.5714285714285632E-2</v>
      </c>
      <c r="BO61" s="153">
        <f>BO60/BI60-1</f>
        <v>-4.3820224719101075E-2</v>
      </c>
      <c r="BQ61" s="151">
        <f>BQ60/BK60-1</f>
        <v>2.323844571327971E-2</v>
      </c>
      <c r="BR61" s="133">
        <f>BR60/BL60-1</f>
        <v>7.3006747678066031E-2</v>
      </c>
      <c r="BS61" s="133">
        <f>BS60/BM60-1</f>
        <v>9.0745960472451648E-2</v>
      </c>
      <c r="BT61" s="152">
        <f>BT60/BN60-1</f>
        <v>-7.1433720681191026E-3</v>
      </c>
      <c r="BU61" s="153">
        <f>BU60/BO60-1</f>
        <v>3.7616673990906291E-2</v>
      </c>
      <c r="BW61" s="151">
        <f>BW60/BQ60-1</f>
        <v>-7.6087679407667697E-2</v>
      </c>
      <c r="BX61" s="133">
        <f>BX60/BR60-1</f>
        <v>7.3776833659688901E-2</v>
      </c>
      <c r="BY61" s="133">
        <f>BY60/BS60-1</f>
        <v>2.0266129812791966E-2</v>
      </c>
      <c r="BZ61" s="152">
        <f>BZ60/BT60-1</f>
        <v>-1.6992843615551534E-2</v>
      </c>
      <c r="CA61" s="153">
        <f>CA60/BU60-1</f>
        <v>-7.2195019195474552E-3</v>
      </c>
      <c r="CC61" s="151">
        <f>CC60/BW60-1</f>
        <v>-5.9559377704001104E-2</v>
      </c>
      <c r="CD61" s="133">
        <f>CD60/BX60-1</f>
        <v>1.4328255436373949E-2</v>
      </c>
      <c r="CE61" s="133">
        <f>CE60/BY60-1</f>
        <v>6.2187978314747427E-2</v>
      </c>
      <c r="CF61" s="152">
        <f>CF60/BZ60-1</f>
        <v>-1.8733886005902312E-2</v>
      </c>
      <c r="CG61" s="153">
        <f>CG60/CA60-1</f>
        <v>-3.4765168126007495E-3</v>
      </c>
      <c r="CI61" s="151">
        <f>CI60/CC60-1</f>
        <v>-2.7548305572338561E-2</v>
      </c>
      <c r="CJ61" s="133">
        <f>CJ60/CD60-1</f>
        <v>6.2615940456347774E-2</v>
      </c>
      <c r="CK61" s="133">
        <f>CK60/CE60-1</f>
        <v>-2.8298123153264076E-2</v>
      </c>
      <c r="CL61" s="152">
        <f>CL60/CF60-1</f>
        <v>-5.9826209866674307E-2</v>
      </c>
      <c r="CM61" s="153">
        <f>CM60/CG60-1</f>
        <v>-1.7800538166881874E-2</v>
      </c>
      <c r="CO61" s="151">
        <f>CO60/CI60-1</f>
        <v>-6.7938873372236364E-2</v>
      </c>
      <c r="CP61" s="133">
        <f>CP60/CJ60-1</f>
        <v>1.5281584399585713E-2</v>
      </c>
      <c r="CQ61" s="133">
        <f>CQ60/CK60-1</f>
        <v>1.6548528317918532E-2</v>
      </c>
      <c r="CR61" s="152">
        <f>CR60/CL60-1</f>
        <v>-6.1390065066459609E-2</v>
      </c>
      <c r="CS61" s="153">
        <f>CS60/CM60-1</f>
        <v>-2.6016749856047627E-2</v>
      </c>
      <c r="CU61" s="151">
        <f>CU60/CO60-1</f>
        <v>1.3605489719366037E-2</v>
      </c>
      <c r="CV61" s="133">
        <f>CV60/CP60-1</f>
        <v>1.2463182154970998E-2</v>
      </c>
      <c r="CW61" s="133">
        <f>CW60/CQ60-1</f>
        <v>1.3651718745176789E-2</v>
      </c>
      <c r="CX61" s="152">
        <f>CX60/CR60-1</f>
        <v>1.3733106052133959E-2</v>
      </c>
      <c r="CY61" s="153">
        <f>CY60/CS60-1</f>
        <v>1.3374629013827688E-2</v>
      </c>
      <c r="DA61" s="151">
        <f>DA60/CU60-1</f>
        <v>1.4214503965652048E-2</v>
      </c>
      <c r="DB61" s="133">
        <f>DB60/CV60-1</f>
        <v>1.3044883720806588E-2</v>
      </c>
      <c r="DC61" s="133">
        <f>DC60/CW60-1</f>
        <v>1.4214576271556423E-2</v>
      </c>
      <c r="DD61" s="152">
        <f>DD60/CX60-1</f>
        <v>1.4323281926575504E-2</v>
      </c>
      <c r="DE61" s="153">
        <f>DE60/CY60-1</f>
        <v>1.396037493854041E-2</v>
      </c>
      <c r="DG61" s="151">
        <f>DG60/DA60-1</f>
        <v>1.482382110221736E-2</v>
      </c>
      <c r="DH61" s="133">
        <f>DH60/DB60-1</f>
        <v>1.3628194958563933E-2</v>
      </c>
      <c r="DI61" s="133">
        <f>DI60/DC60-1</f>
        <v>1.4777342874635391E-2</v>
      </c>
      <c r="DJ61" s="152">
        <f>DJ60/DD60-1</f>
        <v>1.4913258300930377E-2</v>
      </c>
      <c r="DK61" s="153">
        <f>DK60/DE60-1</f>
        <v>1.4546506473023024E-2</v>
      </c>
    </row>
    <row r="62" spans="2:115" ht="15" x14ac:dyDescent="0.3">
      <c r="B62" s="105"/>
      <c r="C62" s="144"/>
      <c r="D62" s="107"/>
      <c r="E62" s="107"/>
      <c r="F62" s="107"/>
      <c r="G62" s="138"/>
      <c r="H62" s="107"/>
      <c r="I62" s="144"/>
      <c r="J62" s="107"/>
      <c r="K62" s="107"/>
      <c r="L62" s="107"/>
      <c r="M62" s="138"/>
      <c r="N62" s="107"/>
      <c r="O62" s="144"/>
      <c r="P62" s="107"/>
      <c r="Q62" s="107"/>
      <c r="R62" s="107"/>
      <c r="S62" s="138"/>
      <c r="T62" s="107"/>
      <c r="U62" s="144"/>
      <c r="V62" s="107"/>
      <c r="W62" s="107"/>
      <c r="X62" s="145"/>
      <c r="Y62" s="138"/>
      <c r="AA62" s="144"/>
      <c r="AB62" s="107"/>
      <c r="AC62" s="107"/>
      <c r="AD62" s="145"/>
      <c r="AE62" s="138"/>
      <c r="AG62" s="144"/>
      <c r="AH62" s="107"/>
      <c r="AI62" s="107"/>
      <c r="AJ62" s="145"/>
      <c r="AK62" s="138"/>
      <c r="AM62" s="144"/>
      <c r="AN62" s="107"/>
      <c r="AO62" s="107"/>
      <c r="AP62" s="107"/>
      <c r="AQ62" s="138"/>
      <c r="AS62" s="144"/>
      <c r="AT62" s="107"/>
      <c r="AU62" s="107"/>
      <c r="AV62" s="107"/>
      <c r="AW62" s="138"/>
      <c r="AY62" s="144"/>
      <c r="AZ62" s="107"/>
      <c r="BA62" s="107"/>
      <c r="BB62" s="107"/>
      <c r="BC62" s="138"/>
      <c r="BE62" s="144"/>
      <c r="BF62" s="107"/>
      <c r="BG62" s="107"/>
      <c r="BH62" s="107"/>
      <c r="BI62" s="138"/>
      <c r="BK62" s="144"/>
      <c r="BL62" s="107"/>
      <c r="BM62" s="107"/>
      <c r="BN62" s="145"/>
      <c r="BO62" s="138"/>
      <c r="BQ62" s="144"/>
      <c r="BR62" s="107"/>
      <c r="BS62" s="107"/>
      <c r="BT62" s="145"/>
      <c r="BU62" s="138"/>
      <c r="BW62" s="144"/>
      <c r="BX62" s="107"/>
      <c r="BY62" s="107"/>
      <c r="BZ62" s="145"/>
      <c r="CA62" s="138"/>
      <c r="CC62" s="144"/>
      <c r="CD62" s="107"/>
      <c r="CE62" s="107"/>
      <c r="CF62" s="145"/>
      <c r="CG62" s="138"/>
      <c r="CI62" s="144"/>
      <c r="CJ62" s="107"/>
      <c r="CK62" s="107"/>
      <c r="CL62" s="145"/>
      <c r="CM62" s="138"/>
      <c r="CO62" s="144"/>
      <c r="CP62" s="107"/>
      <c r="CQ62" s="107"/>
      <c r="CR62" s="145"/>
      <c r="CS62" s="138"/>
      <c r="CU62" s="144"/>
      <c r="CV62" s="107"/>
      <c r="CW62" s="107"/>
      <c r="CX62" s="145"/>
      <c r="CY62" s="138"/>
      <c r="DA62" s="144"/>
      <c r="DB62" s="107"/>
      <c r="DC62" s="107"/>
      <c r="DD62" s="145"/>
      <c r="DE62" s="138"/>
      <c r="DG62" s="144"/>
      <c r="DH62" s="107"/>
      <c r="DI62" s="107"/>
      <c r="DJ62" s="145"/>
      <c r="DK62" s="138"/>
    </row>
    <row r="63" spans="2:115" ht="15" x14ac:dyDescent="0.3">
      <c r="B63" s="105" t="s">
        <v>24</v>
      </c>
      <c r="C63" s="171">
        <f>C60/C40</f>
        <v>4.9056603773584909E-2</v>
      </c>
      <c r="D63" s="165">
        <f>D60/D40</f>
        <v>0.16187050359712229</v>
      </c>
      <c r="E63" s="165">
        <f>E60/E40</f>
        <v>0.10104529616724739</v>
      </c>
      <c r="F63" s="165">
        <f>F60/F40</f>
        <v>0.24652777777777779</v>
      </c>
      <c r="G63" s="173">
        <f>G60/G40</f>
        <v>0.14132379248658319</v>
      </c>
      <c r="H63" s="166"/>
      <c r="I63" s="171">
        <f>I60/I40</f>
        <v>0.22868217054263565</v>
      </c>
      <c r="J63" s="165">
        <f>J60/J40</f>
        <v>0.12056737588652482</v>
      </c>
      <c r="K63" s="165">
        <f>K60/K40</f>
        <v>7.2131147540983612E-2</v>
      </c>
      <c r="L63" s="165">
        <f>L60/L40</f>
        <v>0.19852941176470587</v>
      </c>
      <c r="M63" s="173">
        <f>M60/M40</f>
        <v>0.15129811996418979</v>
      </c>
      <c r="N63" s="166"/>
      <c r="O63" s="171">
        <f>O60/O40</f>
        <v>0.13761467889908258</v>
      </c>
      <c r="P63" s="165">
        <f>P60/P40</f>
        <v>0.15319148936170213</v>
      </c>
      <c r="Q63" s="165">
        <f>Q60/Q40</f>
        <v>7.5098814229249009E-2</v>
      </c>
      <c r="R63" s="165">
        <f>R60/R40</f>
        <v>3.937007874015748E-2</v>
      </c>
      <c r="S63" s="173">
        <f>S60/S40</f>
        <v>9.8958333333333329E-2</v>
      </c>
      <c r="T63" s="166"/>
      <c r="U63" s="171">
        <f>U60/U40</f>
        <v>8.2608695652173908E-2</v>
      </c>
      <c r="V63" s="165">
        <f>V60/V40</f>
        <v>4.6610169491525424E-2</v>
      </c>
      <c r="W63" s="165">
        <f>W60/W40</f>
        <v>5.4166666666666669E-2</v>
      </c>
      <c r="X63" s="165">
        <f>X60/X40</f>
        <v>0.13114754098360656</v>
      </c>
      <c r="Y63" s="173">
        <f>Y60/Y40</f>
        <v>7.8947368421052627E-2</v>
      </c>
      <c r="AA63" s="171">
        <f>AA60/AA40</f>
        <v>0.12886597938144329</v>
      </c>
      <c r="AB63" s="165">
        <f>AB60/AB40</f>
        <v>6.7307692307692304E-2</v>
      </c>
      <c r="AC63" s="165">
        <f>AC60/AC40</f>
        <v>0.11538461538461539</v>
      </c>
      <c r="AD63" s="165">
        <f>AD60/AD40</f>
        <v>0.15625</v>
      </c>
      <c r="AE63" s="173">
        <f>AE60/AE40</f>
        <v>0.11596009975062344</v>
      </c>
      <c r="AG63" s="171">
        <f>AG60/AG40</f>
        <v>0.22857142857142856</v>
      </c>
      <c r="AH63" s="165">
        <f>AH60/AH40</f>
        <v>6.5934065934065936E-2</v>
      </c>
      <c r="AI63" s="165">
        <f>AI60/AI40</f>
        <v>9.5477386934673364E-2</v>
      </c>
      <c r="AJ63" s="165">
        <f>AJ60/AJ40</f>
        <v>0.11057692307692307</v>
      </c>
      <c r="AK63" s="173">
        <f>AK60/AK40</f>
        <v>0.12303664921465969</v>
      </c>
      <c r="AM63" s="171">
        <f>AM60/AM40</f>
        <v>0.14659685863874344</v>
      </c>
      <c r="AN63" s="165">
        <f>AN60/AN40</f>
        <v>7.6923076923076927E-2</v>
      </c>
      <c r="AO63" s="165">
        <f>AO60/AO40</f>
        <v>0.15048543689320387</v>
      </c>
      <c r="AP63" s="165">
        <f>AP60/AP40</f>
        <v>0.45673076923076922</v>
      </c>
      <c r="AQ63" s="173">
        <f>AQ60/AQ40</f>
        <v>0.20910209102091021</v>
      </c>
      <c r="AS63" s="171">
        <f>AS60/AS40</f>
        <v>0.18279569892473119</v>
      </c>
      <c r="AT63" s="165">
        <f>AT60/AT40</f>
        <v>7.5175879396984932E-2</v>
      </c>
      <c r="AU63" s="165">
        <f>AU60/AU40</f>
        <v>0.1111111111111111</v>
      </c>
      <c r="AV63" s="165">
        <f>AV60/AV40</f>
        <v>0.99545454545454548</v>
      </c>
      <c r="AW63" s="173">
        <f>AW60/AW40</f>
        <v>0.35832512315270942</v>
      </c>
      <c r="AY63" s="171">
        <f>AY60/AY40</f>
        <v>0.14285714285714285</v>
      </c>
      <c r="AZ63" s="165">
        <f>AZ60/AZ40</f>
        <v>9.1324200913242004E-2</v>
      </c>
      <c r="BA63" s="165">
        <f>BA60/BA40</f>
        <v>0.15023474178403756</v>
      </c>
      <c r="BB63" s="165">
        <f>BB60/BB40</f>
        <v>0.19911504424778761</v>
      </c>
      <c r="BC63" s="173">
        <f>BC60/BC40</f>
        <v>0.1462857142857143</v>
      </c>
      <c r="BE63" s="171">
        <f>BE60/BE40</f>
        <v>0.1674641148325359</v>
      </c>
      <c r="BF63" s="165">
        <f>BF60/BF40</f>
        <v>0.11536363636363636</v>
      </c>
      <c r="BG63" s="165">
        <f>BG60/BG40</f>
        <v>0.13656387665198239</v>
      </c>
      <c r="BH63" s="165">
        <f>BH60/BH40</f>
        <v>0.15283842794759825</v>
      </c>
      <c r="BI63" s="173">
        <f>BI60/BI40</f>
        <v>0.14280225988700565</v>
      </c>
      <c r="BK63" s="171">
        <f>BK60/BK40</f>
        <v>0.15668202764976957</v>
      </c>
      <c r="BL63" s="165">
        <f>BL60/BL40</f>
        <v>9.8456896551724127E-2</v>
      </c>
      <c r="BM63" s="165">
        <f>BM60/BM40</f>
        <v>0.10317460317460317</v>
      </c>
      <c r="BN63" s="165">
        <f>BN60/BN40</f>
        <v>0.15702479338842976</v>
      </c>
      <c r="BO63" s="173">
        <f>BO60/BO40</f>
        <v>0.12814634146341464</v>
      </c>
      <c r="BQ63" s="171">
        <v>0.15</v>
      </c>
      <c r="BR63" s="165">
        <v>0.1</v>
      </c>
      <c r="BS63" s="165">
        <v>0.11</v>
      </c>
      <c r="BT63" s="172">
        <v>0.15</v>
      </c>
      <c r="BU63" s="173">
        <f>BU60/BU40</f>
        <v>0.12712076107678436</v>
      </c>
      <c r="BW63" s="171">
        <v>0.13500000000000001</v>
      </c>
      <c r="BX63" s="165">
        <v>0.105</v>
      </c>
      <c r="BY63" s="165">
        <v>0.11</v>
      </c>
      <c r="BZ63" s="172">
        <v>0.14499999999999999</v>
      </c>
      <c r="CA63" s="173">
        <f>CA60/CA40</f>
        <v>0.12354894636496562</v>
      </c>
      <c r="CC63" s="171">
        <v>0.125</v>
      </c>
      <c r="CD63" s="165">
        <v>0.105</v>
      </c>
      <c r="CE63" s="165">
        <v>0.115</v>
      </c>
      <c r="CF63" s="172">
        <v>0.14000000000000001</v>
      </c>
      <c r="CG63" s="173">
        <f>CG60/CG40</f>
        <v>0.12122968555958717</v>
      </c>
      <c r="CI63" s="171">
        <v>0.12</v>
      </c>
      <c r="CJ63" s="165">
        <v>0.11</v>
      </c>
      <c r="CK63" s="165">
        <v>0.11</v>
      </c>
      <c r="CL63" s="172">
        <v>0.13</v>
      </c>
      <c r="CM63" s="173">
        <f>CM60/CM40</f>
        <v>0.11743456685001059</v>
      </c>
      <c r="CO63" s="171">
        <v>0.11</v>
      </c>
      <c r="CP63" s="165">
        <v>0.11</v>
      </c>
      <c r="CQ63" s="165">
        <v>0.11</v>
      </c>
      <c r="CR63" s="172">
        <v>0.12</v>
      </c>
      <c r="CS63" s="173">
        <f>CS60/CS40</f>
        <v>0.11253791887720548</v>
      </c>
      <c r="CU63" s="171">
        <v>0.11</v>
      </c>
      <c r="CV63" s="165">
        <v>0.11</v>
      </c>
      <c r="CW63" s="165">
        <v>0.11</v>
      </c>
      <c r="CX63" s="172">
        <v>0.12</v>
      </c>
      <c r="CY63" s="173">
        <f>CY60/CY40</f>
        <v>0.11253883737642351</v>
      </c>
      <c r="DA63" s="171">
        <v>0.11</v>
      </c>
      <c r="DB63" s="165">
        <v>0.11</v>
      </c>
      <c r="DC63" s="165">
        <v>0.11</v>
      </c>
      <c r="DD63" s="172">
        <v>0.12</v>
      </c>
      <c r="DE63" s="173">
        <f>DE60/DE40</f>
        <v>0.112539767033025</v>
      </c>
      <c r="DG63" s="171">
        <v>0.11</v>
      </c>
      <c r="DH63" s="165">
        <v>0.11</v>
      </c>
      <c r="DI63" s="165">
        <v>0.11</v>
      </c>
      <c r="DJ63" s="172">
        <v>0.12</v>
      </c>
      <c r="DK63" s="173">
        <f>DK60/DK40</f>
        <v>0.11254070634781459</v>
      </c>
    </row>
    <row r="64" spans="2:115" ht="15.75" thickBot="1" x14ac:dyDescent="0.35">
      <c r="B64" s="140" t="s">
        <v>40</v>
      </c>
      <c r="C64" s="155" t="s">
        <v>35</v>
      </c>
      <c r="D64" s="106" t="s">
        <v>35</v>
      </c>
      <c r="E64" s="106" t="s">
        <v>35</v>
      </c>
      <c r="F64" s="106" t="s">
        <v>35</v>
      </c>
      <c r="G64" s="108" t="s">
        <v>35</v>
      </c>
      <c r="I64" s="174">
        <f>I63-C63</f>
        <v>0.17962556676905073</v>
      </c>
      <c r="J64" s="175">
        <f>J63-D63</f>
        <v>-4.1303127710597479E-2</v>
      </c>
      <c r="K64" s="175">
        <f>K63-E63</f>
        <v>-2.8914148626263778E-2</v>
      </c>
      <c r="L64" s="175">
        <f>L63-F63</f>
        <v>-4.7998366013071919E-2</v>
      </c>
      <c r="M64" s="177">
        <f>M63-G63</f>
        <v>9.9743274776065982E-3</v>
      </c>
      <c r="O64" s="174">
        <f>O63-I63</f>
        <v>-9.1067491643553072E-2</v>
      </c>
      <c r="P64" s="175">
        <f>P63-J63</f>
        <v>3.262411347517731E-2</v>
      </c>
      <c r="Q64" s="175">
        <f>Q63-K63</f>
        <v>2.9676666882653968E-3</v>
      </c>
      <c r="R64" s="175">
        <f>R63-L63</f>
        <v>-0.15915933302454838</v>
      </c>
      <c r="S64" s="177">
        <f>S63-M63</f>
        <v>-5.2339786630856464E-2</v>
      </c>
      <c r="U64" s="174">
        <f>U63-O63</f>
        <v>-5.5005983246908668E-2</v>
      </c>
      <c r="V64" s="175">
        <f>V63-P63</f>
        <v>-0.1065813198701767</v>
      </c>
      <c r="W64" s="175">
        <f>W63-Q63</f>
        <v>-2.093214756258234E-2</v>
      </c>
      <c r="X64" s="175">
        <f>X63-R63</f>
        <v>9.1777462243449084E-2</v>
      </c>
      <c r="Y64" s="177">
        <f>Y63-S63</f>
        <v>-2.0010964912280702E-2</v>
      </c>
      <c r="AA64" s="174">
        <f>AA63-U63</f>
        <v>4.6257283729269377E-2</v>
      </c>
      <c r="AB64" s="175">
        <f>AB63-V63</f>
        <v>2.069752281616688E-2</v>
      </c>
      <c r="AC64" s="175">
        <f>AC63-W63</f>
        <v>6.1217948717948723E-2</v>
      </c>
      <c r="AD64" s="175">
        <f>AD63-X63</f>
        <v>2.5102459016393436E-2</v>
      </c>
      <c r="AE64" s="177">
        <f>AE63-Y63</f>
        <v>3.7012731329570808E-2</v>
      </c>
      <c r="AG64" s="174">
        <f>AG63-AA63</f>
        <v>9.9705449189985279E-2</v>
      </c>
      <c r="AH64" s="175">
        <f>AH63-AB63</f>
        <v>-1.3736263736263687E-3</v>
      </c>
      <c r="AI64" s="175">
        <f>AI63-AC63</f>
        <v>-1.9907228449942027E-2</v>
      </c>
      <c r="AJ64" s="175">
        <f>AJ63-AD63</f>
        <v>-4.5673076923076927E-2</v>
      </c>
      <c r="AK64" s="177">
        <f>AK63-AE63</f>
        <v>7.0765494640362553E-3</v>
      </c>
      <c r="AM64" s="174">
        <f>AM63-AG63</f>
        <v>-8.1974569932685121E-2</v>
      </c>
      <c r="AN64" s="175">
        <f>AN63-AH63</f>
        <v>1.0989010989010992E-2</v>
      </c>
      <c r="AO64" s="175">
        <f>AO63-AI63</f>
        <v>5.5008049958530508E-2</v>
      </c>
      <c r="AP64" s="175">
        <f>AP63-AJ63</f>
        <v>0.34615384615384615</v>
      </c>
      <c r="AQ64" s="177">
        <f>AQ63-AK63</f>
        <v>8.6065441806250517E-2</v>
      </c>
      <c r="AS64" s="174">
        <f>AS63-AM63</f>
        <v>3.6198840285987743E-2</v>
      </c>
      <c r="AT64" s="175">
        <f>AT63-AN63</f>
        <v>-1.7471975260919953E-3</v>
      </c>
      <c r="AU64" s="175">
        <f>AU63-AO63</f>
        <v>-3.9374325782092767E-2</v>
      </c>
      <c r="AV64" s="175">
        <f>AV63-AP63</f>
        <v>0.53872377622377621</v>
      </c>
      <c r="AW64" s="177">
        <f>AW63-AQ63</f>
        <v>0.14922303213179922</v>
      </c>
      <c r="AY64" s="174">
        <f>AY63-AS63</f>
        <v>-3.9938556067588338E-2</v>
      </c>
      <c r="AZ64" s="175">
        <f>AZ63-AT63</f>
        <v>1.6148321516257072E-2</v>
      </c>
      <c r="BA64" s="175">
        <f>BA63-AU63</f>
        <v>3.9123630672926457E-2</v>
      </c>
      <c r="BB64" s="175">
        <f>BB63-AV63</f>
        <v>-0.79633950120675789</v>
      </c>
      <c r="BC64" s="177">
        <f>BC63-AW63</f>
        <v>-0.21203940886699513</v>
      </c>
      <c r="BE64" s="174">
        <f>BE63-AY63</f>
        <v>2.4606971975393049E-2</v>
      </c>
      <c r="BF64" s="175">
        <f>BF63-AZ63</f>
        <v>2.4039435450394359E-2</v>
      </c>
      <c r="BG64" s="175">
        <f>BG63-BA63</f>
        <v>-1.3670865132055177E-2</v>
      </c>
      <c r="BH64" s="175">
        <f>BH63-BB63</f>
        <v>-4.6276616300189366E-2</v>
      </c>
      <c r="BI64" s="177">
        <f>BI63-BC63</f>
        <v>-3.4834543987086464E-3</v>
      </c>
      <c r="BK64" s="174">
        <f>BK63-BE63</f>
        <v>-1.0782087182766326E-2</v>
      </c>
      <c r="BL64" s="175">
        <f>BL63-BF63</f>
        <v>-1.6906739811912236E-2</v>
      </c>
      <c r="BM64" s="175">
        <f>BM63-BG63</f>
        <v>-3.3389273477379217E-2</v>
      </c>
      <c r="BN64" s="175">
        <f>BN63-BH63</f>
        <v>4.1863654408315076E-3</v>
      </c>
      <c r="BO64" s="177">
        <f>BO63-BI63</f>
        <v>-1.4655918423591013E-2</v>
      </c>
      <c r="BQ64" s="174">
        <f>BQ63-BK63</f>
        <v>-6.6820276497695785E-3</v>
      </c>
      <c r="BR64" s="175">
        <f>BR63-BL63</f>
        <v>1.5431034482758788E-3</v>
      </c>
      <c r="BS64" s="175">
        <f>BS63-BM63</f>
        <v>6.8253968253968317E-3</v>
      </c>
      <c r="BT64" s="176">
        <f>BT63-BN63</f>
        <v>-7.024793388429762E-3</v>
      </c>
      <c r="BU64" s="177">
        <f>BU63-BO63</f>
        <v>-1.0255803866302815E-3</v>
      </c>
      <c r="BW64" s="174">
        <f>BW63-BQ63</f>
        <v>-1.4999999999999986E-2</v>
      </c>
      <c r="BX64" s="175">
        <f>BX63-BR63</f>
        <v>4.9999999999999906E-3</v>
      </c>
      <c r="BY64" s="175">
        <f>BY63-BS63</f>
        <v>0</v>
      </c>
      <c r="BZ64" s="176">
        <f>BZ63-BT63</f>
        <v>-5.0000000000000044E-3</v>
      </c>
      <c r="CA64" s="177">
        <f>CA63-BU63</f>
        <v>-3.5718147118187354E-3</v>
      </c>
      <c r="CC64" s="174">
        <f>CC63-BW63</f>
        <v>-1.0000000000000009E-2</v>
      </c>
      <c r="CD64" s="175">
        <f>CD63-BX63</f>
        <v>0</v>
      </c>
      <c r="CE64" s="175">
        <f>CE63-BY63</f>
        <v>5.0000000000000044E-3</v>
      </c>
      <c r="CF64" s="176">
        <f>CF63-BZ63</f>
        <v>-4.9999999999999767E-3</v>
      </c>
      <c r="CG64" s="177">
        <f>CG63-CA63</f>
        <v>-2.319260805378448E-3</v>
      </c>
      <c r="CI64" s="174">
        <f>CI63-CC63</f>
        <v>-5.0000000000000044E-3</v>
      </c>
      <c r="CJ64" s="175">
        <f>CJ63-CD63</f>
        <v>5.0000000000000044E-3</v>
      </c>
      <c r="CK64" s="175">
        <f>CK63-CE63</f>
        <v>-5.0000000000000044E-3</v>
      </c>
      <c r="CL64" s="176">
        <f>CL63-CF63</f>
        <v>-1.0000000000000009E-2</v>
      </c>
      <c r="CM64" s="177">
        <f>CM63-CG63</f>
        <v>-3.7951187095765782E-3</v>
      </c>
      <c r="CO64" s="174">
        <f>CO63-CI63</f>
        <v>-9.999999999999995E-3</v>
      </c>
      <c r="CP64" s="175">
        <f>CP63-CJ63</f>
        <v>0</v>
      </c>
      <c r="CQ64" s="175">
        <f>CQ63-CK63</f>
        <v>0</v>
      </c>
      <c r="CR64" s="176">
        <f>CR63-CL63</f>
        <v>-1.0000000000000009E-2</v>
      </c>
      <c r="CS64" s="177">
        <f>CS63-CM63</f>
        <v>-4.8966479728051182E-3</v>
      </c>
      <c r="CU64" s="174">
        <f>CU63-CO63</f>
        <v>0</v>
      </c>
      <c r="CV64" s="175">
        <f>CV63-CP63</f>
        <v>0</v>
      </c>
      <c r="CW64" s="175">
        <f>CW63-CQ63</f>
        <v>0</v>
      </c>
      <c r="CX64" s="176">
        <f>CX63-CR63</f>
        <v>0</v>
      </c>
      <c r="CY64" s="177">
        <f>CY63-CS63</f>
        <v>9.1849921803055512E-7</v>
      </c>
      <c r="DA64" s="174">
        <f>DA63-CU63</f>
        <v>0</v>
      </c>
      <c r="DB64" s="175">
        <f>DB63-CV63</f>
        <v>0</v>
      </c>
      <c r="DC64" s="175">
        <f>DC63-CW63</f>
        <v>0</v>
      </c>
      <c r="DD64" s="176">
        <f>DD63-CX63</f>
        <v>0</v>
      </c>
      <c r="DE64" s="177">
        <f>DE63-CY63</f>
        <v>9.296566014921348E-7</v>
      </c>
      <c r="DG64" s="174">
        <f>DG63-DA63</f>
        <v>0</v>
      </c>
      <c r="DH64" s="175">
        <f>DH63-DB63</f>
        <v>0</v>
      </c>
      <c r="DI64" s="175">
        <f>DI63-DC63</f>
        <v>0</v>
      </c>
      <c r="DJ64" s="176">
        <f>DJ63-DD63</f>
        <v>0</v>
      </c>
      <c r="DK64" s="177">
        <f>DK63-DE63</f>
        <v>9.3931478958864112E-7</v>
      </c>
    </row>
    <row r="65" spans="1:115" ht="15.75" thickBot="1" x14ac:dyDescent="0.35">
      <c r="B65" s="1"/>
      <c r="AA65" s="103"/>
      <c r="AB65" s="103"/>
      <c r="AC65" s="103"/>
      <c r="AD65" s="103"/>
      <c r="AE65" s="103"/>
      <c r="AG65" s="103"/>
      <c r="AH65" s="103"/>
      <c r="AI65" s="103"/>
      <c r="AJ65" s="103"/>
      <c r="AK65" s="103"/>
      <c r="AM65" s="103"/>
      <c r="AN65" s="103"/>
      <c r="AO65" s="103"/>
      <c r="AP65" s="103"/>
      <c r="AQ65" s="103"/>
      <c r="AS65" s="103"/>
      <c r="AT65" s="103"/>
      <c r="AU65" s="103"/>
      <c r="AV65" s="103"/>
      <c r="AW65" s="103"/>
      <c r="AY65" s="103"/>
      <c r="AZ65" s="103"/>
      <c r="BA65" s="103"/>
      <c r="BB65" s="103"/>
      <c r="BC65" s="103"/>
      <c r="BE65" s="103"/>
      <c r="BF65" s="103"/>
      <c r="BG65" s="103"/>
      <c r="BH65" s="103"/>
      <c r="BI65" s="103"/>
      <c r="BK65" s="103"/>
      <c r="BL65" s="103"/>
      <c r="BM65" s="103"/>
      <c r="BN65" s="103"/>
      <c r="BO65" s="103"/>
      <c r="BQ65" s="103"/>
      <c r="BR65" s="103"/>
      <c r="BS65" s="103"/>
      <c r="BT65" s="103"/>
      <c r="BU65" s="103"/>
      <c r="BW65" s="103"/>
      <c r="BX65" s="103"/>
      <c r="BY65" s="103"/>
      <c r="BZ65" s="103"/>
      <c r="CA65" s="103"/>
      <c r="CC65" s="103"/>
      <c r="CD65" s="103"/>
      <c r="CE65" s="103"/>
      <c r="CF65" s="103"/>
      <c r="CG65" s="103"/>
      <c r="CI65" s="103"/>
      <c r="CJ65" s="103"/>
      <c r="CK65" s="103"/>
      <c r="CL65" s="103"/>
      <c r="CM65" s="103"/>
      <c r="CO65" s="103"/>
      <c r="CP65" s="103"/>
      <c r="CQ65" s="103"/>
      <c r="CR65" s="103"/>
      <c r="CS65" s="103"/>
      <c r="CU65" s="103"/>
      <c r="CV65" s="103"/>
      <c r="CW65" s="103"/>
      <c r="CX65" s="103"/>
      <c r="CY65" s="103"/>
      <c r="DA65" s="103"/>
      <c r="DB65" s="103"/>
      <c r="DC65" s="103"/>
      <c r="DD65" s="103"/>
      <c r="DE65" s="103"/>
      <c r="DG65" s="103"/>
      <c r="DH65" s="103"/>
      <c r="DI65" s="103"/>
      <c r="DJ65" s="103"/>
      <c r="DK65" s="103"/>
    </row>
    <row r="66" spans="1:115" ht="15" x14ac:dyDescent="0.3">
      <c r="B66" s="42" t="s">
        <v>38</v>
      </c>
      <c r="C66" s="198">
        <f>C54-C60</f>
        <v>97</v>
      </c>
      <c r="D66" s="199">
        <f>D54-D60</f>
        <v>75</v>
      </c>
      <c r="E66" s="199">
        <f>E54-E60</f>
        <v>100</v>
      </c>
      <c r="F66" s="199">
        <f>F54-F60</f>
        <v>45</v>
      </c>
      <c r="G66" s="201">
        <f>C66+D66+E66+F66</f>
        <v>317</v>
      </c>
      <c r="H66" s="197"/>
      <c r="I66" s="198">
        <f>I54-I60</f>
        <v>53</v>
      </c>
      <c r="J66" s="199">
        <f>J54-J60</f>
        <v>99</v>
      </c>
      <c r="K66" s="199">
        <f>K54-K60</f>
        <v>110</v>
      </c>
      <c r="L66" s="199">
        <f>L54-L60</f>
        <v>50</v>
      </c>
      <c r="M66" s="201">
        <f>I66+J66+K66+L66</f>
        <v>312</v>
      </c>
      <c r="N66" s="197"/>
      <c r="O66" s="198">
        <f>O54-O60</f>
        <v>65</v>
      </c>
      <c r="P66" s="199">
        <f>P54-P60</f>
        <v>68</v>
      </c>
      <c r="Q66" s="199">
        <f>Q54-Q60</f>
        <v>99</v>
      </c>
      <c r="R66" s="199">
        <f>R54-R60</f>
        <v>89</v>
      </c>
      <c r="S66" s="201">
        <f>O66+P66+Q66+R66</f>
        <v>321</v>
      </c>
      <c r="T66" s="197"/>
      <c r="U66" s="198">
        <f>U54-U60</f>
        <v>85</v>
      </c>
      <c r="V66" s="199">
        <f>V54-V60</f>
        <v>99</v>
      </c>
      <c r="W66" s="199">
        <f>W54-W60</f>
        <v>105</v>
      </c>
      <c r="X66" s="199">
        <f>X54-X60</f>
        <v>66</v>
      </c>
      <c r="Y66" s="201">
        <f>U66+V66+W66+X66</f>
        <v>355</v>
      </c>
      <c r="Z66" s="259"/>
      <c r="AA66" s="198">
        <f>AA54-AA60</f>
        <v>64</v>
      </c>
      <c r="AB66" s="199">
        <f>AB54-AB60</f>
        <v>79</v>
      </c>
      <c r="AC66" s="199">
        <f>AC54-AC60</f>
        <v>67</v>
      </c>
      <c r="AD66" s="199">
        <f>AD54-AD60</f>
        <v>36</v>
      </c>
      <c r="AE66" s="201">
        <f>AA66+AB66+AC66+AD66</f>
        <v>246</v>
      </c>
      <c r="AF66" s="259"/>
      <c r="AG66" s="198">
        <f>AG54-AG60</f>
        <v>37</v>
      </c>
      <c r="AH66" s="199">
        <f>AH54-AH60</f>
        <v>65</v>
      </c>
      <c r="AI66" s="199">
        <f>AI54-AI60</f>
        <v>65</v>
      </c>
      <c r="AJ66" s="199">
        <f>AJ54-AJ60</f>
        <v>41</v>
      </c>
      <c r="AK66" s="201">
        <f>AG66+AH66+AI66+AJ66</f>
        <v>208</v>
      </c>
      <c r="AL66" s="259"/>
      <c r="AM66" s="198">
        <f>AM54-AM60</f>
        <v>35</v>
      </c>
      <c r="AN66" s="199">
        <f>AN54-AN60</f>
        <v>64</v>
      </c>
      <c r="AO66" s="199">
        <f>AO54-AO60</f>
        <v>49</v>
      </c>
      <c r="AP66" s="199">
        <f>AP54-AP60</f>
        <v>-32</v>
      </c>
      <c r="AQ66" s="201">
        <f>AM66+AN66+AO66+AP66</f>
        <v>116</v>
      </c>
      <c r="AR66" s="259"/>
      <c r="AS66" s="198">
        <f>AS54-AS60</f>
        <v>30</v>
      </c>
      <c r="AT66" s="199">
        <f>AT54-AT60</f>
        <v>67.759999999999991</v>
      </c>
      <c r="AU66" s="199">
        <f>AU54-AU60</f>
        <v>60.599999999999994</v>
      </c>
      <c r="AV66" s="199">
        <f>AV54-AV60</f>
        <v>-157.88999999999999</v>
      </c>
      <c r="AW66" s="201">
        <f>AS66+AT66+AU66+AV66</f>
        <v>0.46999999999999886</v>
      </c>
      <c r="AX66" s="259"/>
      <c r="AY66" s="198">
        <f>AY54-AY60</f>
        <v>24</v>
      </c>
      <c r="AZ66" s="199">
        <f>AZ54-AZ60</f>
        <v>50</v>
      </c>
      <c r="BA66" s="199">
        <f>BA54-BA60</f>
        <v>38</v>
      </c>
      <c r="BB66" s="199">
        <f>BB54-BB60</f>
        <v>15</v>
      </c>
      <c r="BC66" s="201">
        <f>AY66+AZ66+BA66+BB66</f>
        <v>127</v>
      </c>
      <c r="BD66" s="259"/>
      <c r="BE66" s="198">
        <f>BE54-BE60</f>
        <v>25</v>
      </c>
      <c r="BF66" s="199">
        <f>BF54-BF60</f>
        <v>44.13000000000001</v>
      </c>
      <c r="BG66" s="199">
        <f>BG54-BG60</f>
        <v>40.47</v>
      </c>
      <c r="BH66" s="199">
        <f>BH54-BH60</f>
        <v>25.480000000000004</v>
      </c>
      <c r="BI66" s="201">
        <f>BE66+BF66+BG66+BH66</f>
        <v>135.08000000000001</v>
      </c>
      <c r="BJ66" s="259"/>
      <c r="BK66" s="198">
        <f>BK54-BK60</f>
        <v>19</v>
      </c>
      <c r="BL66" s="199">
        <f>BL54-BL60</f>
        <v>45.277799999999999</v>
      </c>
      <c r="BM66" s="199">
        <f>BM54-BM60</f>
        <v>56.833730000000003</v>
      </c>
      <c r="BN66" s="199">
        <f>BN54-BN60</f>
        <v>23.931520000000006</v>
      </c>
      <c r="BO66" s="201">
        <f>BK66+BL66+BM66+BN66</f>
        <v>145.04304999999999</v>
      </c>
      <c r="BP66" s="259"/>
      <c r="BQ66" s="198">
        <f>BQ54-BQ60</f>
        <v>23.808774929208447</v>
      </c>
      <c r="BR66" s="199">
        <f>BR54-BR60</f>
        <v>48.903354671036155</v>
      </c>
      <c r="BS66" s="199">
        <f>BS54-BS60</f>
        <v>57.486361079495069</v>
      </c>
      <c r="BT66" s="199">
        <f>BT54-BT60</f>
        <v>27.711727709901297</v>
      </c>
      <c r="BU66" s="201">
        <f>BQ66+BR66+BS66+BT66</f>
        <v>157.91021838964099</v>
      </c>
      <c r="BV66" s="259"/>
      <c r="BW66" s="198">
        <f>BW54-BW60</f>
        <v>28.614767383355009</v>
      </c>
      <c r="BX66" s="199">
        <f>BX54-BX60</f>
        <v>49.338590053966414</v>
      </c>
      <c r="BY66" s="199">
        <f>BY54-BY60</f>
        <v>59.307413462694974</v>
      </c>
      <c r="BZ66" s="199">
        <f>BZ54-BZ60</f>
        <v>29.989876855319132</v>
      </c>
      <c r="CA66" s="201">
        <f>BW66+BX66+BY66+BZ66</f>
        <v>167.25064775533551</v>
      </c>
      <c r="CB66" s="259"/>
      <c r="CC66" s="198">
        <f>CC54-CC60</f>
        <v>32.155343373385278</v>
      </c>
      <c r="CD66" s="199">
        <f>CD54-CD60</f>
        <v>50.725500526288002</v>
      </c>
      <c r="CE66" s="199">
        <f>CE54-CE60</f>
        <v>59.633139733793016</v>
      </c>
      <c r="CF66" s="199">
        <f>CF54-CF60</f>
        <v>32.490054591416587</v>
      </c>
      <c r="CG66" s="201">
        <f>CC66+CD66+CE66+CF66</f>
        <v>175.00403822488289</v>
      </c>
      <c r="CH66" s="259"/>
      <c r="CI66" s="198">
        <f>CI54-CI60</f>
        <v>34.369485697495868</v>
      </c>
      <c r="CJ66" s="199">
        <f>CJ54-CJ60</f>
        <v>50.705653189150055</v>
      </c>
      <c r="CK66" s="199">
        <f>CK54-CK60</f>
        <v>62.58952979731508</v>
      </c>
      <c r="CL66" s="199">
        <f>CL54-CL60</f>
        <v>36.221155331477689</v>
      </c>
      <c r="CM66" s="201">
        <f>CI66+CJ66+CK66+CL66</f>
        <v>183.88582401543869</v>
      </c>
      <c r="CN66" s="259"/>
      <c r="CO66" s="198">
        <f>CO54-CO60</f>
        <v>37.960767883080578</v>
      </c>
      <c r="CP66" s="199">
        <f>CP54-CP60</f>
        <v>52.057346666663364</v>
      </c>
      <c r="CQ66" s="199">
        <f>CQ54-CQ60</f>
        <v>64.249395402696237</v>
      </c>
      <c r="CR66" s="199">
        <f>CR54-CR60</f>
        <v>40.087683729805356</v>
      </c>
      <c r="CS66" s="201">
        <f>CO66+CP66+CQ66+CR66</f>
        <v>194.35519368224553</v>
      </c>
      <c r="CT66" s="259"/>
      <c r="CU66" s="198">
        <f>CU54-CU60</f>
        <v>38.990353363822777</v>
      </c>
      <c r="CV66" s="199">
        <f>CV54-CV60</f>
        <v>53.278423202232275</v>
      </c>
      <c r="CW66" s="199">
        <f>CW54-CW60</f>
        <v>65.74847126574781</v>
      </c>
      <c r="CX66" s="199">
        <f>CX54-CX60</f>
        <v>41.211597544437218</v>
      </c>
      <c r="CY66" s="201">
        <f>CU66+CV66+CW66+CX66</f>
        <v>199.22884537624009</v>
      </c>
      <c r="CZ66" s="259"/>
      <c r="DA66" s="198">
        <f>DA54-DA60</f>
        <v>40.066111071718261</v>
      </c>
      <c r="DB66" s="199">
        <f>DB54-DB60</f>
        <v>54.553753098638424</v>
      </c>
      <c r="DC66" s="199">
        <f>DC54-DC60</f>
        <v>67.314503833230276</v>
      </c>
      <c r="DD66" s="199">
        <f>DD54-DD60</f>
        <v>42.384509012587664</v>
      </c>
      <c r="DE66" s="201">
        <f>DA66+DB66+DC66+DD66</f>
        <v>204.31887701617464</v>
      </c>
      <c r="DF66" s="259"/>
      <c r="DG66" s="198">
        <f>DG54-DG60</f>
        <v>41.190634434613173</v>
      </c>
      <c r="DH66" s="199">
        <f>DH54-DH60</f>
        <v>55.886174141937119</v>
      </c>
      <c r="DI66" s="199">
        <f>DI54-DI60</f>
        <v>68.950775686775174</v>
      </c>
      <c r="DJ66" s="199">
        <f>DJ54-DJ60</f>
        <v>43.609118379223588</v>
      </c>
      <c r="DK66" s="201">
        <f>DG66+DH66+DI66+DJ66</f>
        <v>209.63670264254907</v>
      </c>
    </row>
    <row r="67" spans="1:115" ht="15.75" thickBot="1" x14ac:dyDescent="0.35">
      <c r="B67" s="41" t="s">
        <v>23</v>
      </c>
      <c r="C67" s="155" t="s">
        <v>35</v>
      </c>
      <c r="D67" s="106" t="s">
        <v>35</v>
      </c>
      <c r="E67" s="106" t="s">
        <v>35</v>
      </c>
      <c r="F67" s="106" t="s">
        <v>35</v>
      </c>
      <c r="G67" s="108" t="s">
        <v>35</v>
      </c>
      <c r="I67" s="109">
        <f>I66/C66-1</f>
        <v>-0.45360824742268047</v>
      </c>
      <c r="J67" s="110">
        <f>J66/D66-1</f>
        <v>0.32000000000000006</v>
      </c>
      <c r="K67" s="110">
        <f>K66/E66-1</f>
        <v>0.10000000000000009</v>
      </c>
      <c r="L67" s="110">
        <f>L66/F66-1</f>
        <v>0.11111111111111116</v>
      </c>
      <c r="M67" s="122">
        <f>M66/G66-1</f>
        <v>-1.5772870662460581E-2</v>
      </c>
      <c r="O67" s="109">
        <f>O66/I66-1</f>
        <v>0.22641509433962259</v>
      </c>
      <c r="P67" s="110">
        <f>P66/J66-1</f>
        <v>-0.31313131313131315</v>
      </c>
      <c r="Q67" s="110">
        <f>Q66/K66-1</f>
        <v>-9.9999999999999978E-2</v>
      </c>
      <c r="R67" s="110">
        <f>R66/L66-1</f>
        <v>0.78</v>
      </c>
      <c r="S67" s="122">
        <f>S66/M66-1</f>
        <v>2.8846153846153744E-2</v>
      </c>
      <c r="T67" s="107"/>
      <c r="U67" s="109">
        <f>U66/O66-1</f>
        <v>0.30769230769230771</v>
      </c>
      <c r="V67" s="110">
        <f>V66/P66-1</f>
        <v>0.45588235294117641</v>
      </c>
      <c r="W67" s="110">
        <f>W66/Q66-1</f>
        <v>6.0606060606060552E-2</v>
      </c>
      <c r="X67" s="120">
        <f>X66/R66-1</f>
        <v>-0.2584269662921348</v>
      </c>
      <c r="Y67" s="122">
        <f>Y66/S66-1</f>
        <v>0.10591900311526481</v>
      </c>
      <c r="AA67" s="109">
        <f>AA66/U66-1</f>
        <v>-0.24705882352941178</v>
      </c>
      <c r="AB67" s="110">
        <f>AB66/V66-1</f>
        <v>-0.20202020202020199</v>
      </c>
      <c r="AC67" s="110">
        <f>AC66/W66-1</f>
        <v>-0.36190476190476195</v>
      </c>
      <c r="AD67" s="120">
        <f>AD66/X66-1</f>
        <v>-0.45454545454545459</v>
      </c>
      <c r="AE67" s="122">
        <f>AE66/Y66-1</f>
        <v>-0.3070422535211268</v>
      </c>
      <c r="AG67" s="109">
        <f>AG66/AA66-1</f>
        <v>-0.421875</v>
      </c>
      <c r="AH67" s="110">
        <f>AH66/AB66-1</f>
        <v>-0.17721518987341767</v>
      </c>
      <c r="AI67" s="110">
        <f>AI66/AC66-1</f>
        <v>-2.9850746268656692E-2</v>
      </c>
      <c r="AJ67" s="120">
        <f>AJ66/AD66-1</f>
        <v>0.13888888888888884</v>
      </c>
      <c r="AK67" s="122">
        <f>AK66/AE66-1</f>
        <v>-0.15447154471544711</v>
      </c>
      <c r="AM67" s="109">
        <f>AM66/AG66-1</f>
        <v>-5.4054054054054057E-2</v>
      </c>
      <c r="AN67" s="110">
        <f>AN66/AH66-1</f>
        <v>-1.538461538461533E-2</v>
      </c>
      <c r="AO67" s="110">
        <f>AO66/AI66-1</f>
        <v>-0.24615384615384617</v>
      </c>
      <c r="AP67" s="120">
        <f>AP66/AJ66-1</f>
        <v>-1.7804878048780488</v>
      </c>
      <c r="AQ67" s="122">
        <f>AQ66/AK66-1</f>
        <v>-0.44230769230769229</v>
      </c>
      <c r="AS67" s="109">
        <f>AS66/AM66-1</f>
        <v>-0.1428571428571429</v>
      </c>
      <c r="AT67" s="110">
        <f>AT66/AN66-1</f>
        <v>5.8749999999999858E-2</v>
      </c>
      <c r="AU67" s="110">
        <f>AU66/AO66-1</f>
        <v>0.23673469387755097</v>
      </c>
      <c r="AV67" s="120">
        <f>AV66/AP66-1</f>
        <v>3.9340624999999996</v>
      </c>
      <c r="AW67" s="122">
        <f>AW66/AQ66-1</f>
        <v>-0.99594827586206902</v>
      </c>
      <c r="AY67" s="109">
        <f>AY66/AS66-1</f>
        <v>-0.19999999999999996</v>
      </c>
      <c r="AZ67" s="110">
        <f>AZ66/AT66-1</f>
        <v>-0.26210153482880749</v>
      </c>
      <c r="BA67" s="110">
        <f>BA66/AU66-1</f>
        <v>-0.3729372937293729</v>
      </c>
      <c r="BB67" s="120">
        <f>BB66/AV66-1</f>
        <v>-1.0950028500855025</v>
      </c>
      <c r="BC67" s="122">
        <f>BC66/AW66-1</f>
        <v>269.21276595744746</v>
      </c>
      <c r="BE67" s="109">
        <f>BE66/AY66-1</f>
        <v>4.1666666666666741E-2</v>
      </c>
      <c r="BF67" s="110">
        <f>BF66/AZ66-1</f>
        <v>-0.11739999999999984</v>
      </c>
      <c r="BG67" s="110">
        <f>BG66/BA66-1</f>
        <v>6.4999999999999947E-2</v>
      </c>
      <c r="BH67" s="120">
        <f>BH66/BB66-1</f>
        <v>0.69866666666666699</v>
      </c>
      <c r="BI67" s="122">
        <f>BI66/BC66-1</f>
        <v>6.3622047244094482E-2</v>
      </c>
      <c r="BK67" s="109">
        <f>BK66/BE66-1</f>
        <v>-0.24</v>
      </c>
      <c r="BL67" s="110">
        <f>BL66/BF66-1</f>
        <v>2.6009517335146004E-2</v>
      </c>
      <c r="BM67" s="110">
        <f>BM66/BG66-1</f>
        <v>0.40434222881146531</v>
      </c>
      <c r="BN67" s="120">
        <f>BN66/BH66-1</f>
        <v>-6.0772370486656069E-2</v>
      </c>
      <c r="BO67" s="122">
        <f>BO66/BI66-1</f>
        <v>7.3756662718388988E-2</v>
      </c>
      <c r="BQ67" s="109">
        <f>BQ66/BK66-1</f>
        <v>0.25309341732676027</v>
      </c>
      <c r="BR67" s="110">
        <f>BR66/BL66-1</f>
        <v>8.0073560796596999E-2</v>
      </c>
      <c r="BS67" s="110">
        <f>BS66/BM66-1</f>
        <v>1.1483164654071842E-2</v>
      </c>
      <c r="BT67" s="120">
        <f>BT66/BN66-1</f>
        <v>0.15795936530154742</v>
      </c>
      <c r="BU67" s="122">
        <f>BU66/BO66-1</f>
        <v>8.871275383164523E-2</v>
      </c>
      <c r="BW67" s="109">
        <f>BW66/BQ66-1</f>
        <v>0.20185803210943898</v>
      </c>
      <c r="BX67" s="110">
        <f>BX66/BR66-1</f>
        <v>8.8999085207550621E-3</v>
      </c>
      <c r="BY67" s="110">
        <f>BY66/BS66-1</f>
        <v>3.1677990205044582E-2</v>
      </c>
      <c r="BZ67" s="120">
        <f>BZ66/BT66-1</f>
        <v>8.2208845629060612E-2</v>
      </c>
      <c r="CA67" s="122">
        <f>CA66/BU66-1</f>
        <v>5.9150252978861451E-2</v>
      </c>
      <c r="CC67" s="109">
        <f>CC66/BW66-1</f>
        <v>0.12373247500483942</v>
      </c>
      <c r="CD67" s="110">
        <f>CD66/BX66-1</f>
        <v>2.811005484357354E-2</v>
      </c>
      <c r="CE67" s="110">
        <f>CE66/BY66-1</f>
        <v>5.4921678771731042E-3</v>
      </c>
      <c r="CF67" s="120">
        <f>CF66/BZ66-1</f>
        <v>8.3367389208002463E-2</v>
      </c>
      <c r="CG67" s="122">
        <f>CG66/CA66-1</f>
        <v>4.635790996091993E-2</v>
      </c>
      <c r="CI67" s="109">
        <f>CI66/CC66-1</f>
        <v>6.8857679372294145E-2</v>
      </c>
      <c r="CJ67" s="110">
        <f>CJ66/CD66-1</f>
        <v>-3.9126941936551418E-4</v>
      </c>
      <c r="CK67" s="110">
        <f>CK66/CE66-1</f>
        <v>4.9576293931857807E-2</v>
      </c>
      <c r="CL67" s="120">
        <f>CL66/CF66-1</f>
        <v>0.11483824163985257</v>
      </c>
      <c r="CM67" s="122">
        <f>CM66/CG66-1</f>
        <v>5.0751890531477661E-2</v>
      </c>
      <c r="CO67" s="109">
        <f>CO66/CI66-1</f>
        <v>0.10449042552435883</v>
      </c>
      <c r="CP67" s="110">
        <f>CP66/CJ66-1</f>
        <v>2.66576484572838E-2</v>
      </c>
      <c r="CQ67" s="110">
        <f>CQ66/CK66-1</f>
        <v>2.6519860602185918E-2</v>
      </c>
      <c r="CR67" s="120">
        <f>CR66/CL66-1</f>
        <v>0.10674779318724537</v>
      </c>
      <c r="CS67" s="122">
        <f>CS66/CM66-1</f>
        <v>5.6934077016876916E-2</v>
      </c>
      <c r="CU67" s="109">
        <f>CU66/CO66-1</f>
        <v>2.7122356531704694E-2</v>
      </c>
      <c r="CV67" s="110">
        <f>CV66/CP66-1</f>
        <v>2.3456372899444577E-2</v>
      </c>
      <c r="CW67" s="110">
        <f>CW66/CQ66-1</f>
        <v>2.3332139604673507E-2</v>
      </c>
      <c r="CX67" s="120">
        <f>CX66/CR66-1</f>
        <v>2.8036386991254991E-2</v>
      </c>
      <c r="CY67" s="122">
        <f>CY66/CS66-1</f>
        <v>2.5076004410577113E-2</v>
      </c>
      <c r="DA67" s="109">
        <f>DA66/CU66-1</f>
        <v>2.7590355436317493E-2</v>
      </c>
      <c r="DB67" s="110">
        <f>DB66/CV66-1</f>
        <v>2.3937080336730254E-2</v>
      </c>
      <c r="DC67" s="110">
        <f>DC66/CW66-1</f>
        <v>2.3818539615206191E-2</v>
      </c>
      <c r="DD67" s="120">
        <f>DD66/CX66-1</f>
        <v>2.8460713440815466E-2</v>
      </c>
      <c r="DE67" s="122">
        <f>DE66/CY66-1</f>
        <v>2.5548668067227442E-2</v>
      </c>
      <c r="DG67" s="109">
        <f>DG66/DA66-1</f>
        <v>2.8066696088422827E-2</v>
      </c>
      <c r="DH67" s="110">
        <f>DH66/DB66-1</f>
        <v>2.4424003255826499E-2</v>
      </c>
      <c r="DI67" s="110">
        <f>DI66/DC66-1</f>
        <v>2.4307864729995021E-2</v>
      </c>
      <c r="DJ67" s="120">
        <f>DJ66/DD66-1</f>
        <v>2.8892852487030884E-2</v>
      </c>
      <c r="DK67" s="122">
        <f>DK66/DE66-1</f>
        <v>2.6027089146312354E-2</v>
      </c>
    </row>
    <row r="68" spans="1:115" ht="15.75" thickBot="1" x14ac:dyDescent="0.35">
      <c r="B68" s="1"/>
      <c r="AA68" s="103"/>
      <c r="AB68" s="103"/>
      <c r="AC68" s="103"/>
      <c r="AD68" s="103"/>
      <c r="AE68" s="103"/>
      <c r="AG68" s="103"/>
      <c r="AH68" s="103"/>
      <c r="AI68" s="103"/>
      <c r="AJ68" s="103"/>
      <c r="AK68" s="103"/>
      <c r="AM68" s="103"/>
      <c r="AN68" s="103"/>
      <c r="AO68" s="103"/>
      <c r="AP68" s="103"/>
      <c r="AQ68" s="103"/>
      <c r="AS68" s="103"/>
      <c r="AT68" s="103"/>
      <c r="AU68" s="103"/>
      <c r="AV68" s="103"/>
      <c r="AW68" s="103"/>
      <c r="AY68" s="103"/>
      <c r="AZ68" s="103"/>
      <c r="BA68" s="103"/>
      <c r="BB68" s="103"/>
      <c r="BC68" s="103"/>
      <c r="BE68" s="103"/>
      <c r="BF68" s="103"/>
      <c r="BG68" s="103"/>
      <c r="BH68" s="103"/>
      <c r="BI68" s="103"/>
      <c r="BK68" s="103"/>
      <c r="BL68" s="103"/>
      <c r="BM68" s="103"/>
      <c r="BN68" s="103"/>
      <c r="BO68" s="103"/>
      <c r="BQ68" s="103"/>
      <c r="BR68" s="103"/>
      <c r="BS68" s="103"/>
      <c r="BT68" s="103"/>
      <c r="BU68" s="103"/>
      <c r="BW68" s="103"/>
      <c r="BX68" s="103"/>
      <c r="BY68" s="103"/>
      <c r="BZ68" s="103"/>
      <c r="CA68" s="103"/>
      <c r="CC68" s="103"/>
      <c r="CD68" s="103"/>
      <c r="CE68" s="103"/>
      <c r="CF68" s="103"/>
      <c r="CG68" s="103"/>
      <c r="CI68" s="103"/>
      <c r="CJ68" s="103"/>
      <c r="CK68" s="103"/>
      <c r="CL68" s="103"/>
      <c r="CM68" s="103"/>
      <c r="CO68" s="103"/>
      <c r="CP68" s="103"/>
      <c r="CQ68" s="103"/>
      <c r="CR68" s="103"/>
      <c r="CS68" s="103"/>
      <c r="CU68" s="103"/>
      <c r="CV68" s="103"/>
      <c r="CW68" s="103"/>
      <c r="CX68" s="103"/>
      <c r="CY68" s="103"/>
      <c r="DA68" s="103"/>
      <c r="DB68" s="103"/>
      <c r="DC68" s="103"/>
      <c r="DD68" s="103"/>
      <c r="DE68" s="103"/>
      <c r="DG68" s="103"/>
      <c r="DH68" s="103"/>
      <c r="DI68" s="103"/>
      <c r="DJ68" s="103"/>
      <c r="DK68" s="103"/>
    </row>
    <row r="69" spans="1:115" ht="15" x14ac:dyDescent="0.3">
      <c r="B69" s="42" t="s">
        <v>150</v>
      </c>
      <c r="C69" s="111">
        <f>C75-C72</f>
        <v>51818.126754022895</v>
      </c>
      <c r="D69" s="112">
        <f>D75-D72</f>
        <v>52569.484116142179</v>
      </c>
      <c r="E69" s="112">
        <f>E75-E72</f>
        <v>55671.292506039455</v>
      </c>
      <c r="F69" s="112">
        <f>F75-F72</f>
        <v>53741.443270813688</v>
      </c>
      <c r="G69" s="113">
        <f>C69+D69+E69+F69</f>
        <v>213800.34664701822</v>
      </c>
      <c r="I69" s="111">
        <f>I75-I72</f>
        <v>50379.754715806514</v>
      </c>
      <c r="J69" s="112">
        <f>J75-J72</f>
        <v>52700.765411154272</v>
      </c>
      <c r="K69" s="112">
        <f>K75-K72</f>
        <v>53897.376561430021</v>
      </c>
      <c r="L69" s="112">
        <f>L75-L72</f>
        <v>52022.238835830634</v>
      </c>
      <c r="M69" s="113">
        <f>I69+J69+K69+L69</f>
        <v>209000.13552422146</v>
      </c>
      <c r="O69" s="111">
        <f>O75-O72</f>
        <v>47179.469076532048</v>
      </c>
      <c r="P69" s="112">
        <f>P75-P72</f>
        <v>49692.139700543688</v>
      </c>
      <c r="Q69" s="112">
        <f>Q75-Q72</f>
        <v>49890.651370520907</v>
      </c>
      <c r="R69" s="112">
        <f>R75-R72</f>
        <v>47122.886866059824</v>
      </c>
      <c r="S69" s="113">
        <f>O69+P69+Q69+R69</f>
        <v>193885.14701365647</v>
      </c>
      <c r="U69" s="111">
        <f>U75-U72</f>
        <v>44259.076736322793</v>
      </c>
      <c r="V69" s="112">
        <f>V75-V72</f>
        <v>46812.672388215506</v>
      </c>
      <c r="W69" s="112">
        <f>W75-W72</f>
        <v>47754.903733164596</v>
      </c>
      <c r="X69" s="112">
        <f>X75-X72</f>
        <v>45599.82130694118</v>
      </c>
      <c r="Y69" s="113">
        <f>U69+V69+W69+X69</f>
        <v>184426.47416464408</v>
      </c>
      <c r="AA69" s="111">
        <f>AA75-AA72</f>
        <v>38093.032758972964</v>
      </c>
      <c r="AB69" s="112">
        <f>AB75-AB72</f>
        <v>40202.169835450593</v>
      </c>
      <c r="AC69" s="112">
        <f>AC75-AC72</f>
        <v>40777.131788278086</v>
      </c>
      <c r="AD69" s="112">
        <f>AD75-AD72</f>
        <v>39516.434844600852</v>
      </c>
      <c r="AE69" s="113">
        <f>AA69+AB69+AC69+AD69</f>
        <v>158588.76922730249</v>
      </c>
      <c r="AG69" s="111">
        <f>AG75-AG72</f>
        <v>37262.34161055494</v>
      </c>
      <c r="AH69" s="112">
        <f>AH75-AH72</f>
        <v>38000.898908091054</v>
      </c>
      <c r="AI69" s="112">
        <f>AI75-AI72</f>
        <v>39436.340742207947</v>
      </c>
      <c r="AJ69" s="112">
        <f>AJ75-AJ72</f>
        <v>38504.538520105634</v>
      </c>
      <c r="AK69" s="113">
        <f>AG69+AH69+AI69+AJ69</f>
        <v>153204.11978095956</v>
      </c>
      <c r="AM69" s="111">
        <f ca="1">AM75-AM72</f>
        <v>36258.790440112236</v>
      </c>
      <c r="AN69" s="112">
        <f>AN75-AN72</f>
        <v>37310.983021373366</v>
      </c>
      <c r="AO69" s="112">
        <f>AO75-AO72</f>
        <v>37991.203918904423</v>
      </c>
      <c r="AP69" s="112">
        <f>AP75-AP72</f>
        <v>36992.843646318419</v>
      </c>
      <c r="AQ69" s="113">
        <f ca="1">AM69+AN69+AO69+AP69</f>
        <v>148553.82102670844</v>
      </c>
      <c r="AS69" s="111">
        <f>AS75-AS72</f>
        <v>35750.332332233767</v>
      </c>
      <c r="AT69" s="112">
        <f>AT75-AT72</f>
        <v>37815.756055019199</v>
      </c>
      <c r="AU69" s="112">
        <f>AU75-AU72</f>
        <v>39277.395827479195</v>
      </c>
      <c r="AV69" s="112">
        <f>AV75-AV72</f>
        <v>38275.180349812326</v>
      </c>
      <c r="AW69" s="113">
        <f>AS69+AT69+AU69+AV69</f>
        <v>151118.66456454448</v>
      </c>
      <c r="AY69" s="111">
        <f>AY75-AY72</f>
        <v>42642.078461424375</v>
      </c>
      <c r="AZ69" s="112">
        <f>AZ75-AZ72</f>
        <v>39761.769939999991</v>
      </c>
      <c r="BA69" s="112">
        <f>BA75-BA72</f>
        <v>40672.478433600001</v>
      </c>
      <c r="BB69" s="112">
        <f>BB75-BB72</f>
        <v>40054.397169599994</v>
      </c>
      <c r="BC69" s="113">
        <f>AY69+AZ69+BA69+BB69</f>
        <v>163130.72400462435</v>
      </c>
      <c r="BE69" s="111">
        <f>BE75-BE72</f>
        <v>36160.227107400002</v>
      </c>
      <c r="BF69" s="112">
        <f>BF75-BF72</f>
        <v>37152.351931800004</v>
      </c>
      <c r="BG69" s="112">
        <f>BG75-BG72</f>
        <v>36740.922127800004</v>
      </c>
      <c r="BH69" s="112">
        <f>BH75-BH72</f>
        <v>35595.291888000007</v>
      </c>
      <c r="BI69" s="113">
        <f>BE69+BF69+BG69+BH69</f>
        <v>145648.79305500002</v>
      </c>
      <c r="BK69" s="111">
        <f>BK75-BK72</f>
        <v>34618.485439999997</v>
      </c>
      <c r="BL69" s="112">
        <f>BL75-BL72</f>
        <v>35092.763999999996</v>
      </c>
      <c r="BM69" s="112">
        <f>BM75-BM72</f>
        <v>35115.458106000006</v>
      </c>
      <c r="BN69" s="112">
        <f>BN75-BN72</f>
        <v>36458.593470000007</v>
      </c>
      <c r="BO69" s="113">
        <f>BK69+BL69+BM69+BN69</f>
        <v>141285.30101599998</v>
      </c>
      <c r="BQ69" s="111">
        <f>BQ75-BQ72</f>
        <v>35233.731698959753</v>
      </c>
      <c r="BR69" s="112">
        <f>BR75-BR72</f>
        <v>37132.075594146241</v>
      </c>
      <c r="BS69" s="112">
        <f>BS75-BS72</f>
        <v>36804.602431490872</v>
      </c>
      <c r="BT69" s="112">
        <f>BT75-BT72</f>
        <v>36800.45670734845</v>
      </c>
      <c r="BU69" s="113">
        <f>BQ69+BR69+BS69+BT69</f>
        <v>145970.86643194529</v>
      </c>
      <c r="BW69" s="111">
        <f>BW75-BW72</f>
        <v>35167.007465082366</v>
      </c>
      <c r="BX69" s="112">
        <f>BX75-BX72</f>
        <v>37237.905184477269</v>
      </c>
      <c r="BY69" s="112">
        <f>BY75-BY72</f>
        <v>36644.349714316981</v>
      </c>
      <c r="BZ69" s="112">
        <f>BZ75-BZ72</f>
        <v>36355.538451914057</v>
      </c>
      <c r="CA69" s="113">
        <f>BW69+BX69+BY69+BZ69</f>
        <v>145404.80081579069</v>
      </c>
      <c r="CC69" s="111">
        <f>CC75-CC72</f>
        <v>34435.609775435267</v>
      </c>
      <c r="CD69" s="112">
        <f>CD75-CD72</f>
        <v>36462.95037101327</v>
      </c>
      <c r="CE69" s="112">
        <f>CE75-CE72</f>
        <v>35880.951736098767</v>
      </c>
      <c r="CF69" s="112">
        <f>CF75-CF72</f>
        <v>35597.058359946284</v>
      </c>
      <c r="CG69" s="113">
        <f>CC69+CD69+CE69+CF69</f>
        <v>142376.57024249359</v>
      </c>
      <c r="CI69" s="111">
        <f>CI75-CI72</f>
        <v>33732.140848362236</v>
      </c>
      <c r="CJ69" s="112">
        <f>CJ75-CJ72</f>
        <v>35767.362106052715</v>
      </c>
      <c r="CK69" s="112">
        <f>CK75-CK72</f>
        <v>35244.426810066005</v>
      </c>
      <c r="CL69" s="112">
        <f>CL75-CL72</f>
        <v>34980.25528078663</v>
      </c>
      <c r="CM69" s="113">
        <f>CI69+CJ69+CK69+CL69</f>
        <v>139724.1850452676</v>
      </c>
      <c r="CO69" s="111">
        <f>CO75-CO72</f>
        <v>33146.45846985047</v>
      </c>
      <c r="CP69" s="112">
        <f>CP75-CP72</f>
        <v>35145.08435478669</v>
      </c>
      <c r="CQ69" s="112">
        <f>CQ75-CQ72</f>
        <v>34629.604468116733</v>
      </c>
      <c r="CR69" s="112">
        <f>CR75-CR72</f>
        <v>34368.423033852603</v>
      </c>
      <c r="CS69" s="113">
        <f>CO69+CP69+CQ69+CR69</f>
        <v>137289.57032660648</v>
      </c>
      <c r="CU69" s="111">
        <f>CU75-CU72</f>
        <v>32565.55810728588</v>
      </c>
      <c r="CV69" s="112">
        <f>CV75-CV72</f>
        <v>34527.952642701173</v>
      </c>
      <c r="CW69" s="112">
        <f>CW75-CW72</f>
        <v>34019.951482555363</v>
      </c>
      <c r="CX69" s="112">
        <f>CX75-CX72</f>
        <v>33761.81849198191</v>
      </c>
      <c r="CY69" s="113">
        <f>CU69+CV69+CW69+CX69</f>
        <v>134875.28072452432</v>
      </c>
      <c r="DA69" s="111">
        <f>DA75-DA72</f>
        <v>31989.679953852305</v>
      </c>
      <c r="DB69" s="112">
        <f>DB75-DB72</f>
        <v>33916.218257421475</v>
      </c>
      <c r="DC69" s="112">
        <f>DC75-DC72</f>
        <v>33415.711032106352</v>
      </c>
      <c r="DD69" s="112">
        <f>DD75-DD72</f>
        <v>33160.678641893006</v>
      </c>
      <c r="DE69" s="113">
        <f>DA69+DB69+DC69+DD69</f>
        <v>132482.28788527314</v>
      </c>
      <c r="DG69" s="111">
        <f>DG75-DG72</f>
        <v>31419.045487328178</v>
      </c>
      <c r="DH69" s="112">
        <f>DH75-DH72</f>
        <v>33310.112777880138</v>
      </c>
      <c r="DI69" s="112">
        <f>DI75-DI72</f>
        <v>32817.107052350017</v>
      </c>
      <c r="DJ69" s="112">
        <f>DJ75-DJ72</f>
        <v>32565.221546166635</v>
      </c>
      <c r="DK69" s="113">
        <f>DG69+DH69+DI69+DJ69</f>
        <v>130111.48686372497</v>
      </c>
    </row>
    <row r="70" spans="1:115" ht="15" x14ac:dyDescent="0.3">
      <c r="B70" s="40" t="s">
        <v>23</v>
      </c>
      <c r="C70" s="144" t="s">
        <v>35</v>
      </c>
      <c r="D70" s="107" t="s">
        <v>35</v>
      </c>
      <c r="E70" s="107" t="s">
        <v>35</v>
      </c>
      <c r="F70" s="107" t="s">
        <v>35</v>
      </c>
      <c r="G70" s="138" t="s">
        <v>35</v>
      </c>
      <c r="I70" s="151">
        <f>I69/C69-1</f>
        <v>-2.7758086374759072E-2</v>
      </c>
      <c r="J70" s="133">
        <f>J69/D69-1</f>
        <v>2.4972909135279053E-3</v>
      </c>
      <c r="K70" s="133">
        <f>K69/E69-1</f>
        <v>-3.1864105623504169E-2</v>
      </c>
      <c r="L70" s="133">
        <f>L69/F69-1</f>
        <v>-3.1990291483606881E-2</v>
      </c>
      <c r="M70" s="153">
        <f>M69/G69-1</f>
        <v>-2.2451839756470804E-2</v>
      </c>
      <c r="N70" s="107"/>
      <c r="O70" s="151">
        <f>O69/I69-1</f>
        <v>-6.3523247727730325E-2</v>
      </c>
      <c r="P70" s="133">
        <f>P69/J69-1</f>
        <v>-5.7088842773691417E-2</v>
      </c>
      <c r="Q70" s="133">
        <f>Q69/K69-1</f>
        <v>-7.4339892709664901E-2</v>
      </c>
      <c r="R70" s="152">
        <f>R69/L69-1</f>
        <v>-9.4178030000438007E-2</v>
      </c>
      <c r="S70" s="153">
        <f>S69/M69-1</f>
        <v>-7.2320472293728622E-2</v>
      </c>
      <c r="T70" s="107"/>
      <c r="U70" s="151">
        <f>U69/O69-1</f>
        <v>-6.1899644005572574E-2</v>
      </c>
      <c r="V70" s="133">
        <f>V69/P69-1</f>
        <v>-5.7946132520767191E-2</v>
      </c>
      <c r="W70" s="133">
        <f>W69/Q69-1</f>
        <v>-4.2808573924899118E-2</v>
      </c>
      <c r="X70" s="152">
        <f>X69/R69-1</f>
        <v>-3.2321142875812003E-2</v>
      </c>
      <c r="Y70" s="153">
        <f>Y69/S69-1</f>
        <v>-4.8784927544481604E-2</v>
      </c>
      <c r="AA70" s="151">
        <f>AA69/U69-1</f>
        <v>-0.13931704933847944</v>
      </c>
      <c r="AB70" s="133">
        <f>AB69/V69-1</f>
        <v>-0.14121181755966195</v>
      </c>
      <c r="AC70" s="133">
        <f>AC69/W69-1</f>
        <v>-0.14611634406961693</v>
      </c>
      <c r="AD70" s="152">
        <f>AD69/X69-1</f>
        <v>-0.13340812064573415</v>
      </c>
      <c r="AE70" s="153">
        <f>AE69/Y69-1</f>
        <v>-0.14009759203158301</v>
      </c>
      <c r="AG70" s="151">
        <f>AG69/AA69-1</f>
        <v>-2.1806905049384651E-2</v>
      </c>
      <c r="AH70" s="133">
        <f>AH69/AB69-1</f>
        <v>-5.4755027809927803E-2</v>
      </c>
      <c r="AI70" s="133">
        <f>AI69/AC69-1</f>
        <v>-3.2880955262664324E-2</v>
      </c>
      <c r="AJ70" s="152">
        <f>AJ69/AD69-1</f>
        <v>-2.5606974122906578E-2</v>
      </c>
      <c r="AK70" s="153">
        <f>AK69/AE69-1</f>
        <v>-3.3953535755266495E-2</v>
      </c>
      <c r="AM70" s="151">
        <f ca="1">AM69/AG69-1</f>
        <v>-2.693204793545334E-2</v>
      </c>
      <c r="AN70" s="133">
        <f>AN69/AH69-1</f>
        <v>-1.8155251758289137E-2</v>
      </c>
      <c r="AO70" s="133">
        <f>AO69/AI69-1</f>
        <v>-3.6644800103292074E-2</v>
      </c>
      <c r="AP70" s="152">
        <f>AP69/AJ69-1</f>
        <v>-3.9260173784393393E-2</v>
      </c>
      <c r="AQ70" s="153">
        <f ca="1">AQ69/AK69-1</f>
        <v>-3.0353614255933858E-2</v>
      </c>
      <c r="AS70" s="151">
        <f ca="1">AS69/AM69-1</f>
        <v>-1.4023030048900154E-2</v>
      </c>
      <c r="AT70" s="133">
        <f>AT69/AN69-1</f>
        <v>1.3528805535803601E-2</v>
      </c>
      <c r="AU70" s="133">
        <f>AU69/AO69-1</f>
        <v>3.385499210081E-2</v>
      </c>
      <c r="AV70" s="152">
        <f>AV69/AP69-1</f>
        <v>3.4664453367091452E-2</v>
      </c>
      <c r="AW70" s="153">
        <f ca="1">AW69/AQ69-1</f>
        <v>1.7265416130729516E-2</v>
      </c>
      <c r="AY70" s="151">
        <f>AY69/AS69-1</f>
        <v>0.19277432347046375</v>
      </c>
      <c r="AZ70" s="133">
        <f>AZ69/AT69-1</f>
        <v>5.1460398732990686E-2</v>
      </c>
      <c r="BA70" s="133">
        <f>BA69/AU69-1</f>
        <v>3.5518714434340959E-2</v>
      </c>
      <c r="BB70" s="152">
        <f>BB69/AV69-1</f>
        <v>4.6484870966686076E-2</v>
      </c>
      <c r="BC70" s="153">
        <f>BC69/AW69-1</f>
        <v>7.9487596549990602E-2</v>
      </c>
      <c r="BE70" s="151">
        <f>BE69/AY69-1</f>
        <v>-0.15200599004310023</v>
      </c>
      <c r="BF70" s="133">
        <f>BF69/AZ69-1</f>
        <v>-6.5626304164466687E-2</v>
      </c>
      <c r="BG70" s="133">
        <f>BG69/BA69-1</f>
        <v>-9.6663799630958613E-2</v>
      </c>
      <c r="BH70" s="152">
        <f>BH69/BB69-1</f>
        <v>-0.111326236236163</v>
      </c>
      <c r="BI70" s="153">
        <f>BI69/BC69-1</f>
        <v>-0.10716516496995854</v>
      </c>
      <c r="BK70" s="151">
        <f>BK69/BE69-1</f>
        <v>-4.2636393372775472E-2</v>
      </c>
      <c r="BL70" s="133">
        <f>BL69/BF69-1</f>
        <v>-5.543627320232003E-2</v>
      </c>
      <c r="BM70" s="133">
        <f>BM69/BG69-1</f>
        <v>-4.4241241854136582E-2</v>
      </c>
      <c r="BN70" s="152">
        <f>BN69/BH69-1</f>
        <v>2.4253251938946452E-2</v>
      </c>
      <c r="BO70" s="153">
        <f>BO69/BI69-1</f>
        <v>-2.995899895546883E-2</v>
      </c>
      <c r="BQ70" s="151">
        <f>BQ69/BK69-1</f>
        <v>1.7772188792779087E-2</v>
      </c>
      <c r="BR70" s="133">
        <f>BR69/BL69-1</f>
        <v>5.8112025434823078E-2</v>
      </c>
      <c r="BS70" s="133">
        <f>BS69/BM69-1</f>
        <v>4.8102585487906468E-2</v>
      </c>
      <c r="BT70" s="152">
        <f>BT69/BN69-1</f>
        <v>9.3767533196185138E-3</v>
      </c>
      <c r="BU70" s="153">
        <f>BU69/BO69-1</f>
        <v>3.3163856269907921E-2</v>
      </c>
      <c r="BW70" s="151">
        <f>BW69/BQ69-1</f>
        <v>-1.8937600606000471E-3</v>
      </c>
      <c r="BX70" s="133">
        <f>BX69/BR69-1</f>
        <v>2.8500855025650473E-3</v>
      </c>
      <c r="BY70" s="133">
        <f>BY69/BS69-1</f>
        <v>-4.3541488451666055E-3</v>
      </c>
      <c r="BZ70" s="152">
        <f>BZ69/BT69-1</f>
        <v>-1.2090019941126129E-2</v>
      </c>
      <c r="CA70" s="153">
        <f>CA69/BU69-1</f>
        <v>-3.8779355770867108E-3</v>
      </c>
      <c r="CC70" s="151">
        <f>CC69/BW69-1</f>
        <v>-2.0797837017360932E-2</v>
      </c>
      <c r="CD70" s="133">
        <f>CD69/BX69-1</f>
        <v>-2.0810913224706296E-2</v>
      </c>
      <c r="CE70" s="133">
        <f>CE69/BY69-1</f>
        <v>-2.0832624515641274E-2</v>
      </c>
      <c r="CF70" s="152">
        <f>CF69/BZ69-1</f>
        <v>-2.0862848530519895E-2</v>
      </c>
      <c r="CG70" s="153">
        <f>CG69/CA69-1</f>
        <v>-2.082620763762455E-2</v>
      </c>
      <c r="CI70" s="151">
        <f>CI69/CC69-1</f>
        <v>-2.0428531153087071E-2</v>
      </c>
      <c r="CJ70" s="133">
        <f>CJ69/CD69-1</f>
        <v>-1.9076576576576798E-2</v>
      </c>
      <c r="CK70" s="133">
        <f>CK69/CE69-1</f>
        <v>-1.7739911993258861E-2</v>
      </c>
      <c r="CL70" s="152">
        <f>CL69/CF69-1</f>
        <v>-1.7327360955580517E-2</v>
      </c>
      <c r="CM70" s="153">
        <f>CM69/CG69-1</f>
        <v>-1.8629365721540281E-2</v>
      </c>
      <c r="CO70" s="151">
        <f>CO69/CI69-1</f>
        <v>-1.736273962404622E-2</v>
      </c>
      <c r="CP70" s="133">
        <f>CP69/CJ69-1</f>
        <v>-1.7397921306607111E-2</v>
      </c>
      <c r="CQ70" s="133">
        <f>CQ69/CK69-1</f>
        <v>-1.744452662721907E-2</v>
      </c>
      <c r="CR70" s="152">
        <f>CR69/CL69-1</f>
        <v>-1.7490788504053167E-2</v>
      </c>
      <c r="CS70" s="153">
        <f>CS69/CM69-1</f>
        <v>-1.7424433127825045E-2</v>
      </c>
      <c r="CU70" s="151">
        <f>CU69/CO69-1</f>
        <v>-1.7525261804152259E-2</v>
      </c>
      <c r="CV70" s="133">
        <f>CV69/CP69-1</f>
        <v>-1.755954562110662E-2</v>
      </c>
      <c r="CW70" s="133">
        <f>CW69/CQ69-1</f>
        <v>-1.7604965315808685E-2</v>
      </c>
      <c r="CX70" s="152">
        <f>CX69/CR69-1</f>
        <v>-1.7650054565296558E-2</v>
      </c>
      <c r="CY70" s="153">
        <f>CY69/CS69-1</f>
        <v>-1.7585382460872045E-2</v>
      </c>
      <c r="DA70" s="151">
        <f>DA69/CU69-1</f>
        <v>-1.7683656811173565E-2</v>
      </c>
      <c r="DB70" s="133">
        <f>DB69/CV69-1</f>
        <v>-1.7717076700434209E-2</v>
      </c>
      <c r="DC70" s="133">
        <f>DC69/CW69-1</f>
        <v>-1.7761355443403626E-2</v>
      </c>
      <c r="DD70" s="152">
        <f>DD69/CX69-1</f>
        <v>-1.7805316091953682E-2</v>
      </c>
      <c r="DE70" s="153">
        <f>DE69/CY69-1</f>
        <v>-1.7742264011585185E-2</v>
      </c>
      <c r="DG70" s="151">
        <f>DG69/DA69-1</f>
        <v>-1.7838079885366565E-2</v>
      </c>
      <c r="DH70" s="133">
        <f>DH69/DB69-1</f>
        <v>-1.7870668095748221E-2</v>
      </c>
      <c r="DI70" s="133">
        <f>DI69/DC69-1</f>
        <v>-1.7913848344606187E-2</v>
      </c>
      <c r="DJ70" s="152">
        <f>DJ69/DD69-1</f>
        <v>-1.7956722241929901E-2</v>
      </c>
      <c r="DK70" s="153">
        <f>DK69/DE69-1</f>
        <v>-1.7895230067291878E-2</v>
      </c>
    </row>
    <row r="71" spans="1:115" ht="15" x14ac:dyDescent="0.3">
      <c r="B71" s="40"/>
      <c r="C71" s="144"/>
      <c r="D71" s="107"/>
      <c r="E71" s="107"/>
      <c r="F71" s="107"/>
      <c r="G71" s="138"/>
      <c r="I71" s="144"/>
      <c r="J71" s="107"/>
      <c r="K71" s="107"/>
      <c r="L71" s="107"/>
      <c r="M71" s="138"/>
      <c r="O71" s="144"/>
      <c r="P71" s="107"/>
      <c r="Q71" s="107"/>
      <c r="R71" s="107"/>
      <c r="S71" s="138"/>
      <c r="U71" s="144"/>
      <c r="V71" s="107"/>
      <c r="W71" s="107"/>
      <c r="X71" s="107"/>
      <c r="Y71" s="138"/>
      <c r="AA71" s="144"/>
      <c r="AB71" s="107"/>
      <c r="AC71" s="107"/>
      <c r="AD71" s="107"/>
      <c r="AE71" s="138"/>
      <c r="AG71" s="144"/>
      <c r="AH71" s="107"/>
      <c r="AI71" s="107"/>
      <c r="AJ71" s="107"/>
      <c r="AK71" s="138"/>
      <c r="AM71" s="144"/>
      <c r="AN71" s="107"/>
      <c r="AO71" s="107"/>
      <c r="AP71" s="107"/>
      <c r="AQ71" s="138"/>
      <c r="AS71" s="144"/>
      <c r="AT71" s="107"/>
      <c r="AU71" s="107"/>
      <c r="AV71" s="107"/>
      <c r="AW71" s="138"/>
      <c r="AY71" s="144"/>
      <c r="AZ71" s="107"/>
      <c r="BA71" s="107"/>
      <c r="BB71" s="107"/>
      <c r="BC71" s="138"/>
      <c r="BE71" s="144"/>
      <c r="BF71" s="107"/>
      <c r="BG71" s="107"/>
      <c r="BH71" s="107"/>
      <c r="BI71" s="138"/>
      <c r="BK71" s="144"/>
      <c r="BL71" s="107"/>
      <c r="BM71" s="107"/>
      <c r="BN71" s="107"/>
      <c r="BO71" s="138"/>
      <c r="BQ71" s="144"/>
      <c r="BR71" s="107"/>
      <c r="BS71" s="107"/>
      <c r="BT71" s="107"/>
      <c r="BU71" s="138"/>
      <c r="BW71" s="144"/>
      <c r="BX71" s="107"/>
      <c r="BY71" s="107"/>
      <c r="BZ71" s="107"/>
      <c r="CA71" s="138"/>
      <c r="CC71" s="144"/>
      <c r="CD71" s="107"/>
      <c r="CE71" s="107"/>
      <c r="CF71" s="107"/>
      <c r="CG71" s="138"/>
      <c r="CI71" s="144"/>
      <c r="CJ71" s="107"/>
      <c r="CK71" s="107"/>
      <c r="CL71" s="107"/>
      <c r="CM71" s="138"/>
      <c r="CO71" s="144"/>
      <c r="CP71" s="107"/>
      <c r="CQ71" s="107"/>
      <c r="CR71" s="107"/>
      <c r="CS71" s="138"/>
      <c r="CU71" s="144"/>
      <c r="CV71" s="107"/>
      <c r="CW71" s="107"/>
      <c r="CX71" s="107"/>
      <c r="CY71" s="138"/>
      <c r="DA71" s="144"/>
      <c r="DB71" s="107"/>
      <c r="DC71" s="107"/>
      <c r="DD71" s="107"/>
      <c r="DE71" s="138"/>
      <c r="DG71" s="144"/>
      <c r="DH71" s="107"/>
      <c r="DI71" s="107"/>
      <c r="DJ71" s="107"/>
      <c r="DK71" s="138"/>
    </row>
    <row r="72" spans="1:115" ht="15" x14ac:dyDescent="0.3">
      <c r="B72" s="39" t="s">
        <v>151</v>
      </c>
      <c r="C72" s="116">
        <f>C75*C15</f>
        <v>7742.9384804861793</v>
      </c>
      <c r="D72" s="117">
        <f>D75*D15</f>
        <v>10767.243734631533</v>
      </c>
      <c r="E72" s="117">
        <f>E75*E15</f>
        <v>9824.3457363599027</v>
      </c>
      <c r="F72" s="117">
        <f>F75*F15</f>
        <v>10236.465384916894</v>
      </c>
      <c r="G72" s="118">
        <f>C72+D72+E72+F72</f>
        <v>38570.993336394502</v>
      </c>
      <c r="I72" s="116">
        <f>I75*I15</f>
        <v>10318.744941791696</v>
      </c>
      <c r="J72" s="117">
        <f>J75*J15</f>
        <v>10794.132674573768</v>
      </c>
      <c r="K72" s="117">
        <f>K75*K15</f>
        <v>11039.221705353139</v>
      </c>
      <c r="L72" s="117">
        <f>L75*L15</f>
        <v>11419.515842011602</v>
      </c>
      <c r="M72" s="118">
        <f>I72+J72+K72+L72</f>
        <v>43571.615163730203</v>
      </c>
      <c r="O72" s="116">
        <f>O75*O15</f>
        <v>11066.78904264332</v>
      </c>
      <c r="P72" s="117">
        <f>P75*P15</f>
        <v>10908.030665973005</v>
      </c>
      <c r="Q72" s="117">
        <f>Q75*Q15</f>
        <v>11702.745383208608</v>
      </c>
      <c r="R72" s="117">
        <f>R75*R15</f>
        <v>13291.070654529694</v>
      </c>
      <c r="S72" s="118">
        <f>O72+P72+Q72+R72</f>
        <v>46968.63574635463</v>
      </c>
      <c r="U72" s="116">
        <f>U75*U15</f>
        <v>11064.7691840807</v>
      </c>
      <c r="V72" s="117">
        <f>V75*V15</f>
        <v>11703.168097053878</v>
      </c>
      <c r="W72" s="117">
        <f>W75*W15</f>
        <v>12694.341498689324</v>
      </c>
      <c r="X72" s="117">
        <f>X75*X15</f>
        <v>12861.488060932128</v>
      </c>
      <c r="Y72" s="118">
        <f>U72+V72+W72+X72</f>
        <v>48323.766840756027</v>
      </c>
      <c r="AA72" s="116">
        <f>AA75*AA15</f>
        <v>10125.996049853573</v>
      </c>
      <c r="AB72" s="117">
        <f>AB75*AB15</f>
        <v>10686.652741069143</v>
      </c>
      <c r="AC72" s="117">
        <f>AC75*AC15</f>
        <v>11501.242299257921</v>
      </c>
      <c r="AD72" s="117">
        <f>AD75*AD15</f>
        <v>11145.661110015624</v>
      </c>
      <c r="AE72" s="118">
        <f>AA72+AB72+AC72+AD72</f>
        <v>43459.55220019626</v>
      </c>
      <c r="AG72" s="116">
        <f>AG75*AG15</f>
        <v>11130.309831724204</v>
      </c>
      <c r="AH72" s="117">
        <f>AH75*AH15</f>
        <v>11350.917855663563</v>
      </c>
      <c r="AI72" s="117">
        <f>AI75*AI15</f>
        <v>11779.686195724453</v>
      </c>
      <c r="AJ72" s="117">
        <f>AJ75*AJ15</f>
        <v>12159.327953717566</v>
      </c>
      <c r="AK72" s="118">
        <f>AG72+AH72+AI72+AJ72</f>
        <v>46420.24183682978</v>
      </c>
      <c r="AM72" s="116">
        <f ca="1">AM75*AM15</f>
        <v>12739.575019498894</v>
      </c>
      <c r="AN72" s="117">
        <f>AN75*AN15</f>
        <v>11782.41569096001</v>
      </c>
      <c r="AO72" s="117">
        <f>AO75*AO15</f>
        <v>12663.734639634808</v>
      </c>
      <c r="AP72" s="117">
        <f>AP75*AP15</f>
        <v>12997.485605463227</v>
      </c>
      <c r="AQ72" s="118">
        <f ca="1">AM72+AN72+AO72+AP72</f>
        <v>50183.210955556933</v>
      </c>
      <c r="AS72" s="116">
        <f>AS75*AS15</f>
        <v>12560.927576190243</v>
      </c>
      <c r="AT72" s="117">
        <f>AT75*AT15</f>
        <v>13286.616992304043</v>
      </c>
      <c r="AU72" s="117">
        <f>AU75*AU15</f>
        <v>13800.166101546745</v>
      </c>
      <c r="AV72" s="117">
        <f>AV75*AV15</f>
        <v>14156.573554040178</v>
      </c>
      <c r="AW72" s="118">
        <f>AS72+AT72+AU72+AV72</f>
        <v>53804.28422408121</v>
      </c>
      <c r="AY72" s="116">
        <f>AY75*AY15</f>
        <v>14214.026153808125</v>
      </c>
      <c r="AZ72" s="117">
        <f>AZ75*AZ15</f>
        <v>14706.40806</v>
      </c>
      <c r="BA72" s="117">
        <f>BA75*BA15</f>
        <v>15817.0749464</v>
      </c>
      <c r="BB72" s="117">
        <f>BB75*BB15</f>
        <v>15576.710010400002</v>
      </c>
      <c r="BC72" s="118">
        <f>AY72+AZ72+BA72+BB72</f>
        <v>60314.219170608121</v>
      </c>
      <c r="BE72" s="116">
        <f>BE75*BE15</f>
        <v>17810.261112600001</v>
      </c>
      <c r="BF72" s="117">
        <f>BF75*BF15</f>
        <v>18298.919608200002</v>
      </c>
      <c r="BG72" s="117">
        <f>BG75*BG15</f>
        <v>18927.141702200002</v>
      </c>
      <c r="BH72" s="117">
        <f>BH75*BH15</f>
        <v>19166.695631999999</v>
      </c>
      <c r="BI72" s="118">
        <f>BE72+BF72+BG72+BH72</f>
        <v>74203.018055000008</v>
      </c>
      <c r="BK72" s="116">
        <f>BK75*BK15</f>
        <v>19472.89806</v>
      </c>
      <c r="BL72" s="117">
        <f>BL75*BL15</f>
        <v>20610.035999999996</v>
      </c>
      <c r="BM72" s="117">
        <f>BM75*BM15</f>
        <v>23410.305404000002</v>
      </c>
      <c r="BN72" s="117">
        <f>BN75*BN15</f>
        <v>24305.728980000004</v>
      </c>
      <c r="BO72" s="118">
        <f>BK72+BL72+BM72+BN72</f>
        <v>87798.968443999998</v>
      </c>
      <c r="BQ72" s="116">
        <f>BQ75*BQ15</f>
        <v>24652.870197900193</v>
      </c>
      <c r="BR72" s="117">
        <f>BR75*BR15</f>
        <v>23329.196257377964</v>
      </c>
      <c r="BS72" s="117">
        <f>BS75*BS15</f>
        <v>25107.015612179825</v>
      </c>
      <c r="BT72" s="117">
        <f>BT75*BT15</f>
        <v>25850.076906625258</v>
      </c>
      <c r="BU72" s="118">
        <f>BQ72+BR72+BS72+BT72</f>
        <v>98939.158974083228</v>
      </c>
      <c r="BW72" s="116">
        <f>BW75*BW15</f>
        <v>26328.616427326062</v>
      </c>
      <c r="BX72" s="117">
        <f>BX75*BX15</f>
        <v>24799.427649102676</v>
      </c>
      <c r="BY72" s="117">
        <f>BY75*BY15</f>
        <v>26512.707803640191</v>
      </c>
      <c r="BZ72" s="117">
        <f>BZ75*BZ15</f>
        <v>27361.659601440551</v>
      </c>
      <c r="CA72" s="118">
        <f>BW72+BX72+BY72+BZ72</f>
        <v>105002.41148150948</v>
      </c>
      <c r="CC72" s="116">
        <f>CC75*CC15</f>
        <v>27907.30934193487</v>
      </c>
      <c r="CD72" s="117">
        <f>CD75*CD15</f>
        <v>26286.077688544905</v>
      </c>
      <c r="CE72" s="117">
        <f>CE75*CE15</f>
        <v>28101.440662812114</v>
      </c>
      <c r="CF72" s="117">
        <f>CF75*CF15</f>
        <v>29000.369395581081</v>
      </c>
      <c r="CG72" s="118">
        <f>CC72+CD72+CE72+CF72</f>
        <v>111295.19708887296</v>
      </c>
      <c r="CI72" s="116">
        <f>CI75*CI15</f>
        <v>29309.99192143308</v>
      </c>
      <c r="CJ72" s="117">
        <f>CJ75*CJ15</f>
        <v>27645.375760006587</v>
      </c>
      <c r="CK72" s="117">
        <f>CK75*CK15</f>
        <v>29594.887135786426</v>
      </c>
      <c r="CL72" s="117">
        <f>CL75*CL15</f>
        <v>30554.416812688072</v>
      </c>
      <c r="CM72" s="118">
        <f>CI72+CJ72+CK72+CL72</f>
        <v>117104.67162991416</v>
      </c>
      <c r="CO72" s="116">
        <f>CO75*CO15</f>
        <v>30879.519350361938</v>
      </c>
      <c r="CP72" s="117">
        <f>CP75*CP15</f>
        <v>29124.721479962995</v>
      </c>
      <c r="CQ72" s="117">
        <f>CQ75*CQ15</f>
        <v>31177.075332661167</v>
      </c>
      <c r="CR72" s="117">
        <f>CR75*CR15</f>
        <v>32186.387432130687</v>
      </c>
      <c r="CS72" s="118">
        <f>CO72+CP72+CQ72+CR72</f>
        <v>123367.70359511679</v>
      </c>
      <c r="CU72" s="116">
        <f>CU75*CU15</f>
        <v>32214.946515506472</v>
      </c>
      <c r="CV72" s="117">
        <f>CV75*CV15</f>
        <v>30383.199734604706</v>
      </c>
      <c r="CW72" s="117">
        <f>CW75*CW15</f>
        <v>32522.732085427579</v>
      </c>
      <c r="CX72" s="117">
        <f>CX75*CX15</f>
        <v>33574.066820437751</v>
      </c>
      <c r="CY72" s="118">
        <f>CU72+CV72+CW72+CX72</f>
        <v>128694.94515597651</v>
      </c>
      <c r="DA72" s="116">
        <f>DA75*DA15</f>
        <v>33602.707743144361</v>
      </c>
      <c r="DB72" s="117">
        <f>DB75*DB15</f>
        <v>31690.974435192962</v>
      </c>
      <c r="DC72" s="117">
        <f>DC75*DC15</f>
        <v>33921.068875560581</v>
      </c>
      <c r="DD72" s="117">
        <f>DD75*DD15</f>
        <v>35016.039223354332</v>
      </c>
      <c r="DE72" s="118">
        <f>DA72+DB72+DC72+DD72</f>
        <v>134230.79027725224</v>
      </c>
      <c r="DG72" s="116">
        <f>DG75*DG15</f>
        <v>35044.741192576555</v>
      </c>
      <c r="DH72" s="117">
        <f>DH75*DH15</f>
        <v>33049.870738055361</v>
      </c>
      <c r="DI72" s="117">
        <f>DI75*DI15</f>
        <v>35374.035414224672</v>
      </c>
      <c r="DJ72" s="117">
        <f>DJ75*DJ15</f>
        <v>36514.313310307509</v>
      </c>
      <c r="DK72" s="118">
        <f>DG72+DH72+DI72+DJ72</f>
        <v>139982.96065516409</v>
      </c>
    </row>
    <row r="73" spans="1:115" ht="15" x14ac:dyDescent="0.3">
      <c r="B73" s="40" t="s">
        <v>23</v>
      </c>
      <c r="C73" s="144" t="s">
        <v>35</v>
      </c>
      <c r="D73" s="107" t="s">
        <v>35</v>
      </c>
      <c r="E73" s="107" t="s">
        <v>35</v>
      </c>
      <c r="F73" s="107" t="s">
        <v>35</v>
      </c>
      <c r="G73" s="138" t="s">
        <v>35</v>
      </c>
      <c r="I73" s="151">
        <f>I72/C72-1</f>
        <v>0.33266523656323588</v>
      </c>
      <c r="J73" s="133">
        <f>J72/D72-1</f>
        <v>2.4972909135279053E-3</v>
      </c>
      <c r="K73" s="133">
        <f>K72/E72-1</f>
        <v>0.12365973283055176</v>
      </c>
      <c r="L73" s="133">
        <f>L72/F72-1</f>
        <v>0.11557216408291637</v>
      </c>
      <c r="M73" s="153">
        <f>M72/G72-1</f>
        <v>0.129647214001545</v>
      </c>
      <c r="N73" s="107"/>
      <c r="O73" s="151">
        <f>O72/I72-1</f>
        <v>7.2493709755533375E-2</v>
      </c>
      <c r="P73" s="133">
        <f>P72/J72-1</f>
        <v>1.0551842823604662E-2</v>
      </c>
      <c r="Q73" s="133">
        <f>Q72/K72-1</f>
        <v>6.0106019750804984E-2</v>
      </c>
      <c r="R73" s="152">
        <f>R72/L72-1</f>
        <v>0.16389090732137457</v>
      </c>
      <c r="S73" s="153">
        <f>S72/M72-1</f>
        <v>7.7964072937378059E-2</v>
      </c>
      <c r="T73" s="107"/>
      <c r="U73" s="151">
        <f>U72/O72-1</f>
        <v>-1.8251532172852691E-4</v>
      </c>
      <c r="V73" s="133">
        <f>V72/P72-1</f>
        <v>7.289468240690411E-2</v>
      </c>
      <c r="W73" s="133">
        <f>W72/Q72-1</f>
        <v>8.4731922554128314E-2</v>
      </c>
      <c r="X73" s="152">
        <f>X72/R72-1</f>
        <v>-3.2321142875812003E-2</v>
      </c>
      <c r="Y73" s="153">
        <f>Y72/S72-1</f>
        <v>2.8851830010978574E-2</v>
      </c>
      <c r="AA73" s="151">
        <f>AA72/U72-1</f>
        <v>-8.484344486623141E-2</v>
      </c>
      <c r="AB73" s="133">
        <f>AB72/V72-1</f>
        <v>-8.6858135126729463E-2</v>
      </c>
      <c r="AC73" s="133">
        <f>AC72/W72-1</f>
        <v>-9.3986694745417765E-2</v>
      </c>
      <c r="AD73" s="152">
        <f>AD72/X72-1</f>
        <v>-0.13340812064573426</v>
      </c>
      <c r="AE73" s="153">
        <f>AE72/Y72-1</f>
        <v>-0.10065884674489634</v>
      </c>
      <c r="AG73" s="151">
        <f>AG72/AA72-1</f>
        <v>9.9181727597568381E-2</v>
      </c>
      <c r="AH73" s="133">
        <f>AH72/AB72-1</f>
        <v>6.2158388663798192E-2</v>
      </c>
      <c r="AI73" s="133">
        <f>AI72/AC72-1</f>
        <v>2.4209897437296624E-2</v>
      </c>
      <c r="AJ73" s="152">
        <f>AJ72/AD72-1</f>
        <v>9.0947215575310159E-2</v>
      </c>
      <c r="AK73" s="153">
        <f>AK72/AE72-1</f>
        <v>6.8125175864562904E-2</v>
      </c>
      <c r="AM73" s="151">
        <f ca="1">AM72/AG72-1</f>
        <v>0.14458404232269229</v>
      </c>
      <c r="AN73" s="133">
        <f>AN72/AH72-1</f>
        <v>3.801435626469174E-2</v>
      </c>
      <c r="AO73" s="133">
        <f>AO72/AI72-1</f>
        <v>7.5048556406471123E-2</v>
      </c>
      <c r="AP73" s="152">
        <f>AP72/AJ72-1</f>
        <v>6.8931248086733676E-2</v>
      </c>
      <c r="AQ73" s="153">
        <f ca="1">AQ72/AK72-1</f>
        <v>8.1063108890174096E-2</v>
      </c>
      <c r="AS73" s="151">
        <f ca="1">AS72/AM72-1</f>
        <v>-1.4023030048900154E-2</v>
      </c>
      <c r="AT73" s="133">
        <f>AT72/AN72-1</f>
        <v>0.12766493228533116</v>
      </c>
      <c r="AU73" s="133">
        <f>AU72/AO72-1</f>
        <v>8.9739045727880828E-2</v>
      </c>
      <c r="AV73" s="152">
        <f>AV72/AP72-1</f>
        <v>8.9177859761564449E-2</v>
      </c>
      <c r="AW73" s="153">
        <f ca="1">AW72/AQ72-1</f>
        <v>7.2157066069988174E-2</v>
      </c>
      <c r="AY73" s="151">
        <f>AY72/AS72-1</f>
        <v>0.13160640944633739</v>
      </c>
      <c r="AZ73" s="133">
        <f>AZ72/AT72-1</f>
        <v>0.10685873375580379</v>
      </c>
      <c r="BA73" s="133">
        <f>BA72/AU72-1</f>
        <v>0.14615105572006093</v>
      </c>
      <c r="BB73" s="152">
        <f>BB72/AV72-1</f>
        <v>0.10031639725098085</v>
      </c>
      <c r="BC73" s="153">
        <f>BC72/AW72-1</f>
        <v>0.12099287334470765</v>
      </c>
      <c r="BE73" s="151">
        <f>BE72/AY72-1</f>
        <v>0.25300607441392642</v>
      </c>
      <c r="BF73" s="133">
        <f>BF72/AZ72-1</f>
        <v>0.24428205266323899</v>
      </c>
      <c r="BG73" s="133">
        <f>BG72/BA72-1</f>
        <v>0.19662717451483402</v>
      </c>
      <c r="BH73" s="152">
        <f>BH72/BB72-1</f>
        <v>0.23047136521146605</v>
      </c>
      <c r="BI73" s="153">
        <f>BI72/BC72-1</f>
        <v>0.23027403944508129</v>
      </c>
      <c r="BK73" s="151">
        <f>BK72/BE72-1</f>
        <v>9.3352755295864398E-2</v>
      </c>
      <c r="BL73" s="133">
        <f>BL72/BF72-1</f>
        <v>0.12629796956779638</v>
      </c>
      <c r="BM73" s="133">
        <f>BM72/BG72-1</f>
        <v>0.2368642752475878</v>
      </c>
      <c r="BN73" s="152">
        <f>BN72/BH72-1</f>
        <v>0.268123073829172</v>
      </c>
      <c r="BO73" s="153">
        <f>BO72/BI72-1</f>
        <v>0.18322638007692005</v>
      </c>
      <c r="BQ73" s="151">
        <f>BQ72/BK72-1</f>
        <v>0.26600930801053013</v>
      </c>
      <c r="BR73" s="133">
        <f>BR72/BL72-1</f>
        <v>0.13193379465120625</v>
      </c>
      <c r="BS73" s="133">
        <f>BS72/BM72-1</f>
        <v>7.247706422018374E-2</v>
      </c>
      <c r="BT73" s="152">
        <f>BT72/BN72-1</f>
        <v>6.3538432766037323E-2</v>
      </c>
      <c r="BU73" s="153">
        <f>BU72/BO72-1</f>
        <v>0.12688293185572763</v>
      </c>
      <c r="BW73" s="151">
        <f>BW72/BQ72-1</f>
        <v>6.7973676735157529E-2</v>
      </c>
      <c r="BX73" s="133">
        <f>BX72/BR72-1</f>
        <v>6.3021090632719323E-2</v>
      </c>
      <c r="BY73" s="133">
        <f>BY72/BS72-1</f>
        <v>5.5988023952095789E-2</v>
      </c>
      <c r="BZ73" s="152">
        <f>BZ72/BT72-1</f>
        <v>5.847497863450779E-2</v>
      </c>
      <c r="CA73" s="153">
        <f>CA72/BU72-1</f>
        <v>6.1282636423203307E-2</v>
      </c>
      <c r="CC73" s="151">
        <f>CC72/BW72-1</f>
        <v>5.9961104259558029E-2</v>
      </c>
      <c r="CD73" s="133">
        <f>CD72/BX72-1</f>
        <v>5.9946949602122102E-2</v>
      </c>
      <c r="CE73" s="133">
        <f>CE72/BY72-1</f>
        <v>5.9923447689254505E-2</v>
      </c>
      <c r="CF73" s="152">
        <f>CF72/BZ72-1</f>
        <v>5.9890730972117501E-2</v>
      </c>
      <c r="CG73" s="153">
        <f>CG72/CA72-1</f>
        <v>5.992991511886947E-2</v>
      </c>
      <c r="CI73" s="151">
        <f>CI72/CC72-1</f>
        <v>5.0262193402875743E-2</v>
      </c>
      <c r="CJ73" s="133">
        <f>CJ72/CD72-1</f>
        <v>5.1711711711711406E-2</v>
      </c>
      <c r="CK73" s="133">
        <f>CK72/CE72-1</f>
        <v>5.3144836625784064E-2</v>
      </c>
      <c r="CL73" s="152">
        <f>CL72/CF72-1</f>
        <v>5.3587159387831429E-2</v>
      </c>
      <c r="CM73" s="153">
        <f>CM72/CG72-1</f>
        <v>5.2198789282902558E-2</v>
      </c>
      <c r="CO73" s="151">
        <f>CO72/CI72-1</f>
        <v>5.3549227619579476E-2</v>
      </c>
      <c r="CP73" s="133">
        <f>CP72/CJ72-1</f>
        <v>5.3511507052709906E-2</v>
      </c>
      <c r="CQ73" s="133">
        <f>CQ72/CK72-1</f>
        <v>5.3461538461538671E-2</v>
      </c>
      <c r="CR73" s="152">
        <f>CR72/CL72-1</f>
        <v>5.3411938098747225E-2</v>
      </c>
      <c r="CS73" s="153">
        <f>CS72/CM72-1</f>
        <v>5.3482340866773503E-2</v>
      </c>
      <c r="CU73" s="151">
        <f>CU72/CO72-1</f>
        <v>4.3246371486312718E-2</v>
      </c>
      <c r="CV73" s="133">
        <f>CV72/CP72-1</f>
        <v>4.3209967020886753E-2</v>
      </c>
      <c r="CW73" s="133">
        <f>CW72/CQ72-1</f>
        <v>4.3161737860533123E-2</v>
      </c>
      <c r="CX73" s="152">
        <f>CX72/CR72-1</f>
        <v>4.311385958530356E-2</v>
      </c>
      <c r="CY73" s="153">
        <f>CY72/CS72-1</f>
        <v>4.3181816679860763E-2</v>
      </c>
      <c r="DA73" s="151">
        <f>DA72/CU72-1</f>
        <v>4.3078178849991211E-2</v>
      </c>
      <c r="DB73" s="133">
        <f>DB72/CV72-1</f>
        <v>4.3042691751085549E-2</v>
      </c>
      <c r="DC73" s="133">
        <f>DC72/CW72-1</f>
        <v>4.2995674116798943E-2</v>
      </c>
      <c r="DD73" s="152">
        <f>DD72/CX72-1</f>
        <v>4.2948994252873796E-2</v>
      </c>
      <c r="DE73" s="153">
        <f>DE72/CY72-1</f>
        <v>4.3015249080423201E-2</v>
      </c>
      <c r="DG73" s="151">
        <f>DG72/DA72-1</f>
        <v>4.2914203833064546E-2</v>
      </c>
      <c r="DH73" s="133">
        <f>DH72/DB72-1</f>
        <v>4.2879599857091666E-2</v>
      </c>
      <c r="DI73" s="133">
        <f>DI72/DC72-1</f>
        <v>4.2833748665005222E-2</v>
      </c>
      <c r="DJ73" s="152">
        <f>DJ72/DD72-1</f>
        <v>4.2788222774033491E-2</v>
      </c>
      <c r="DK73" s="153">
        <f>DK72/DE72-1</f>
        <v>4.2852838503228741E-2</v>
      </c>
    </row>
    <row r="74" spans="1:115" ht="15" x14ac:dyDescent="0.3">
      <c r="B74" s="40"/>
      <c r="C74" s="144"/>
      <c r="D74" s="107"/>
      <c r="E74" s="107"/>
      <c r="F74" s="107"/>
      <c r="G74" s="138"/>
      <c r="I74" s="144"/>
      <c r="J74" s="107"/>
      <c r="K74" s="107"/>
      <c r="L74" s="107"/>
      <c r="M74" s="138"/>
      <c r="O74" s="144"/>
      <c r="P74" s="107"/>
      <c r="Q74" s="107"/>
      <c r="R74" s="107"/>
      <c r="S74" s="138"/>
      <c r="U74" s="144"/>
      <c r="V74" s="107"/>
      <c r="W74" s="107"/>
      <c r="X74" s="107"/>
      <c r="Y74" s="138"/>
      <c r="AA74" s="144"/>
      <c r="AB74" s="107"/>
      <c r="AC74" s="107"/>
      <c r="AD74" s="107"/>
      <c r="AE74" s="138"/>
      <c r="AG74" s="144"/>
      <c r="AH74" s="107"/>
      <c r="AI74" s="107"/>
      <c r="AJ74" s="107"/>
      <c r="AK74" s="138"/>
      <c r="AM74" s="144"/>
      <c r="AN74" s="107"/>
      <c r="AO74" s="107"/>
      <c r="AP74" s="107"/>
      <c r="AQ74" s="138"/>
      <c r="AS74" s="144"/>
      <c r="AT74" s="107"/>
      <c r="AU74" s="107"/>
      <c r="AV74" s="107"/>
      <c r="AW74" s="138"/>
      <c r="AY74" s="144"/>
      <c r="AZ74" s="107"/>
      <c r="BA74" s="107"/>
      <c r="BB74" s="107"/>
      <c r="BC74" s="138"/>
      <c r="BE74" s="144"/>
      <c r="BF74" s="107"/>
      <c r="BG74" s="107"/>
      <c r="BH74" s="107"/>
      <c r="BI74" s="138"/>
      <c r="BK74" s="144"/>
      <c r="BL74" s="107"/>
      <c r="BM74" s="107"/>
      <c r="BN74" s="107"/>
      <c r="BO74" s="138"/>
      <c r="BQ74" s="144"/>
      <c r="BR74" s="107"/>
      <c r="BS74" s="107"/>
      <c r="BT74" s="107"/>
      <c r="BU74" s="138"/>
      <c r="BW74" s="144"/>
      <c r="BX74" s="107"/>
      <c r="BY74" s="107"/>
      <c r="BZ74" s="107"/>
      <c r="CA74" s="138"/>
      <c r="CC74" s="144"/>
      <c r="CD74" s="107"/>
      <c r="CE74" s="107"/>
      <c r="CF74" s="107"/>
      <c r="CG74" s="138"/>
      <c r="CI74" s="144"/>
      <c r="CJ74" s="107"/>
      <c r="CK74" s="107"/>
      <c r="CL74" s="107"/>
      <c r="CM74" s="138"/>
      <c r="CO74" s="144"/>
      <c r="CP74" s="107"/>
      <c r="CQ74" s="107"/>
      <c r="CR74" s="107"/>
      <c r="CS74" s="138"/>
      <c r="CU74" s="144"/>
      <c r="CV74" s="107"/>
      <c r="CW74" s="107"/>
      <c r="CX74" s="107"/>
      <c r="CY74" s="138"/>
      <c r="DA74" s="144"/>
      <c r="DB74" s="107"/>
      <c r="DC74" s="107"/>
      <c r="DD74" s="107"/>
      <c r="DE74" s="138"/>
      <c r="DG74" s="144"/>
      <c r="DH74" s="107"/>
      <c r="DI74" s="107"/>
      <c r="DJ74" s="107"/>
      <c r="DK74" s="138"/>
    </row>
    <row r="75" spans="1:115" ht="15.75" thickBot="1" x14ac:dyDescent="0.35">
      <c r="B75" s="76" t="s">
        <v>152</v>
      </c>
      <c r="C75" s="124">
        <f>C25</f>
        <v>59561.065234509071</v>
      </c>
      <c r="D75" s="124">
        <f>D25</f>
        <v>63336.727850773714</v>
      </c>
      <c r="E75" s="124">
        <f>E25</f>
        <v>65495.638242399356</v>
      </c>
      <c r="F75" s="124">
        <f>F25</f>
        <v>63977.908655730578</v>
      </c>
      <c r="G75" s="121">
        <f>G25</f>
        <v>252371.3399834127</v>
      </c>
      <c r="I75" s="123">
        <f>I25</f>
        <v>60698.499657598208</v>
      </c>
      <c r="J75" s="124">
        <f>J25</f>
        <v>63494.89808572804</v>
      </c>
      <c r="K75" s="124">
        <f>K25</f>
        <v>64936.598266783163</v>
      </c>
      <c r="L75" s="124">
        <f>L25</f>
        <v>63441.75467784224</v>
      </c>
      <c r="M75" s="121">
        <f>M25</f>
        <v>252571.75068795163</v>
      </c>
      <c r="O75" s="123">
        <f>O25</f>
        <v>58246.258119175371</v>
      </c>
      <c r="P75" s="124">
        <f>P25</f>
        <v>60600.170366516693</v>
      </c>
      <c r="Q75" s="124">
        <f>Q25</f>
        <v>61593.396753729518</v>
      </c>
      <c r="R75" s="124">
        <f>R25</f>
        <v>60413.957520589516</v>
      </c>
      <c r="S75" s="121">
        <f>S25</f>
        <v>240853.78276001112</v>
      </c>
      <c r="U75" s="123">
        <f>U25</f>
        <v>55323.845920403495</v>
      </c>
      <c r="V75" s="124">
        <f>V25</f>
        <v>58515.840485269386</v>
      </c>
      <c r="W75" s="124">
        <f>W25</f>
        <v>60449.245231853922</v>
      </c>
      <c r="X75" s="124">
        <f>X25</f>
        <v>58461.309367873306</v>
      </c>
      <c r="Y75" s="121">
        <f>Y25</f>
        <v>232750.24100540011</v>
      </c>
      <c r="AA75" s="123">
        <f>AA25</f>
        <v>48219.028808826537</v>
      </c>
      <c r="AB75" s="124">
        <f>AB25</f>
        <v>50888.822576519735</v>
      </c>
      <c r="AC75" s="124">
        <f>AC25</f>
        <v>52278.374087536009</v>
      </c>
      <c r="AD75" s="124">
        <f>AD25</f>
        <v>50662.095954616474</v>
      </c>
      <c r="AE75" s="121">
        <f>AE25</f>
        <v>202048.32142749874</v>
      </c>
      <c r="AG75" s="123">
        <f>AG25</f>
        <v>48392.651442279144</v>
      </c>
      <c r="AH75" s="124">
        <f>AH25</f>
        <v>49351.816763754621</v>
      </c>
      <c r="AI75" s="124">
        <f>AI25</f>
        <v>51216.026937932402</v>
      </c>
      <c r="AJ75" s="124">
        <f>AJ25</f>
        <v>50663.866473823196</v>
      </c>
      <c r="AK75" s="121">
        <f>AK25</f>
        <v>199624.36161778937</v>
      </c>
      <c r="AM75" s="123">
        <f ca="1">AM25</f>
        <v>48998.36545961113</v>
      </c>
      <c r="AN75" s="124">
        <f>AN25</f>
        <v>49093.398712333379</v>
      </c>
      <c r="AO75" s="124">
        <f>AO25</f>
        <v>50654.93855853923</v>
      </c>
      <c r="AP75" s="124">
        <f>AP25</f>
        <v>49990.329251781644</v>
      </c>
      <c r="AQ75" s="121">
        <f ca="1">AQ25</f>
        <v>198737.03198226535</v>
      </c>
      <c r="AS75" s="123">
        <f>AS25</f>
        <v>48311.259908424006</v>
      </c>
      <c r="AT75" s="124">
        <f>AT25</f>
        <v>51102.373047323243</v>
      </c>
      <c r="AU75" s="124">
        <f>AU25</f>
        <v>53077.561929025942</v>
      </c>
      <c r="AV75" s="124">
        <f>AV25</f>
        <v>52431.753903852506</v>
      </c>
      <c r="AW75" s="121">
        <f>AW25</f>
        <v>204922.94878862571</v>
      </c>
      <c r="AY75" s="123">
        <f>AY25</f>
        <v>56856.1046152325</v>
      </c>
      <c r="AZ75" s="124">
        <f>AZ25</f>
        <v>54468.177999999993</v>
      </c>
      <c r="BA75" s="124">
        <f>BA25</f>
        <v>56489.553379999998</v>
      </c>
      <c r="BB75" s="124">
        <f>BB25</f>
        <v>55631.107179999999</v>
      </c>
      <c r="BC75" s="121">
        <f>BC25</f>
        <v>223444.94317523247</v>
      </c>
      <c r="BE75" s="123">
        <f>BE25</f>
        <v>53970.488219999999</v>
      </c>
      <c r="BF75" s="124">
        <f>BF25</f>
        <v>55451.271540000002</v>
      </c>
      <c r="BG75" s="124">
        <f>BG25</f>
        <v>55668.063830000006</v>
      </c>
      <c r="BH75" s="124">
        <f>BH25</f>
        <v>54761.987520000002</v>
      </c>
      <c r="BI75" s="121">
        <f>BI25</f>
        <v>219851.81111000001</v>
      </c>
      <c r="BK75" s="123">
        <f>BK25</f>
        <v>54091.383499999996</v>
      </c>
      <c r="BL75" s="124">
        <f>BL25</f>
        <v>55702.799999999996</v>
      </c>
      <c r="BM75" s="124">
        <f>BM25</f>
        <v>58525.763510000004</v>
      </c>
      <c r="BN75" s="124">
        <f>BN25</f>
        <v>60764.322450000007</v>
      </c>
      <c r="BO75" s="121">
        <f>BO25</f>
        <v>229084.26946000001</v>
      </c>
      <c r="BQ75" s="123">
        <f>BQ25</f>
        <v>59886.601896859946</v>
      </c>
      <c r="BR75" s="124">
        <f>BR25</f>
        <v>60461.271851524201</v>
      </c>
      <c r="BS75" s="124">
        <f>BS25</f>
        <v>61911.6180436707</v>
      </c>
      <c r="BT75" s="124">
        <f>BT25</f>
        <v>62650.533613973712</v>
      </c>
      <c r="BU75" s="121">
        <f>BU25</f>
        <v>244910.02540602855</v>
      </c>
      <c r="BW75" s="123">
        <f>BW25</f>
        <v>61495.623892408425</v>
      </c>
      <c r="BX75" s="124">
        <f>BX25</f>
        <v>62037.332833579945</v>
      </c>
      <c r="BY75" s="124">
        <f>BY25</f>
        <v>63157.057517957168</v>
      </c>
      <c r="BZ75" s="124">
        <f>BZ25</f>
        <v>63717.198053354608</v>
      </c>
      <c r="CA75" s="121">
        <f>CA25</f>
        <v>250407.21229730014</v>
      </c>
      <c r="CC75" s="123">
        <f>CC25</f>
        <v>62342.919117370133</v>
      </c>
      <c r="CD75" s="124">
        <f>CD25</f>
        <v>62749.028059558172</v>
      </c>
      <c r="CE75" s="124">
        <f>CE25</f>
        <v>63982.392398910881</v>
      </c>
      <c r="CF75" s="124">
        <f>CF25</f>
        <v>64597.427755527366</v>
      </c>
      <c r="CG75" s="121">
        <f>CG25</f>
        <v>253671.76733136657</v>
      </c>
      <c r="CI75" s="123">
        <f>CI25</f>
        <v>63042.132769795317</v>
      </c>
      <c r="CJ75" s="124">
        <f>CJ25</f>
        <v>63412.737866059302</v>
      </c>
      <c r="CK75" s="124">
        <f>CK25</f>
        <v>64839.313945852431</v>
      </c>
      <c r="CL75" s="124">
        <f>CL25</f>
        <v>65534.672093474706</v>
      </c>
      <c r="CM75" s="121">
        <f>CM25</f>
        <v>256828.85667518177</v>
      </c>
      <c r="CO75" s="123">
        <f>CO25</f>
        <v>64025.977820212407</v>
      </c>
      <c r="CP75" s="124">
        <f>CP25</f>
        <v>64269.805834749684</v>
      </c>
      <c r="CQ75" s="124">
        <f>CQ25</f>
        <v>65806.6798007779</v>
      </c>
      <c r="CR75" s="124">
        <f>CR25</f>
        <v>66554.81046598329</v>
      </c>
      <c r="CS75" s="121">
        <f>CS25</f>
        <v>260657.27392172327</v>
      </c>
      <c r="CU75" s="123">
        <f>CU25</f>
        <v>64780.504622792352</v>
      </c>
      <c r="CV75" s="124">
        <f>CV25</f>
        <v>64911.15237730588</v>
      </c>
      <c r="CW75" s="124">
        <f>CW25</f>
        <v>66542.683567982938</v>
      </c>
      <c r="CX75" s="124">
        <f>CX25</f>
        <v>67335.885312419661</v>
      </c>
      <c r="CY75" s="121">
        <f>CY25</f>
        <v>263570.22588050086</v>
      </c>
      <c r="DA75" s="123">
        <f>DA25</f>
        <v>65592.387696996666</v>
      </c>
      <c r="DB75" s="124">
        <f>DB25</f>
        <v>65607.192692614437</v>
      </c>
      <c r="DC75" s="124">
        <f>DC25</f>
        <v>67336.779907666933</v>
      </c>
      <c r="DD75" s="124">
        <f>DD25</f>
        <v>68176.717865247338</v>
      </c>
      <c r="DE75" s="121">
        <f>DE25</f>
        <v>266713.07816252537</v>
      </c>
      <c r="DG75" s="123">
        <f>DG25</f>
        <v>66463.786679904733</v>
      </c>
      <c r="DH75" s="124">
        <f>DH25</f>
        <v>66359.983515935499</v>
      </c>
      <c r="DI75" s="124">
        <f>DI25</f>
        <v>68191.142466574689</v>
      </c>
      <c r="DJ75" s="124">
        <f>DJ25</f>
        <v>69079.534856474143</v>
      </c>
      <c r="DK75" s="121">
        <f>DK25</f>
        <v>270094.44751888904</v>
      </c>
    </row>
    <row r="77" spans="1:115" x14ac:dyDescent="0.2">
      <c r="A77" s="278"/>
      <c r="B77" s="278"/>
      <c r="C77" s="279"/>
      <c r="D77" s="279"/>
      <c r="E77" s="279"/>
      <c r="F77" s="279"/>
      <c r="G77" s="279"/>
      <c r="H77" s="279"/>
      <c r="I77" s="279"/>
      <c r="J77" s="279"/>
      <c r="K77" s="279"/>
      <c r="L77" s="279"/>
      <c r="M77" s="279"/>
      <c r="N77" s="279"/>
      <c r="O77" s="279"/>
      <c r="P77" s="279"/>
      <c r="Q77" s="279"/>
      <c r="R77" s="279"/>
      <c r="S77" s="279"/>
      <c r="T77" s="279"/>
      <c r="U77" s="279"/>
      <c r="V77" s="279"/>
      <c r="W77" s="279"/>
      <c r="X77" s="279"/>
      <c r="Y77" s="279"/>
      <c r="Z77" s="278"/>
      <c r="AA77" s="278"/>
      <c r="AB77" s="278"/>
      <c r="AC77" s="278"/>
      <c r="AD77" s="278"/>
      <c r="AE77" s="278"/>
      <c r="AF77" s="278"/>
      <c r="AG77" s="278"/>
      <c r="AH77" s="278"/>
      <c r="AI77" s="278"/>
      <c r="AJ77" s="278"/>
      <c r="AK77" s="278"/>
      <c r="AL77" s="278"/>
      <c r="AM77" s="278"/>
      <c r="AN77" s="278"/>
      <c r="AO77" s="278"/>
      <c r="AP77" s="278"/>
      <c r="AQ77" s="278"/>
      <c r="AR77" s="278"/>
      <c r="AS77" s="278"/>
      <c r="AT77" s="278"/>
      <c r="AU77" s="278"/>
      <c r="AV77" s="278"/>
      <c r="AW77" s="278"/>
      <c r="AX77" s="278"/>
      <c r="AY77" s="278"/>
      <c r="AZ77" s="278"/>
      <c r="BA77" s="278"/>
      <c r="BB77" s="278"/>
      <c r="BC77" s="278"/>
      <c r="BD77" s="278"/>
      <c r="BE77" s="278"/>
      <c r="BF77" s="278"/>
      <c r="BG77" s="278"/>
      <c r="BH77" s="278"/>
      <c r="BI77" s="278"/>
      <c r="BJ77" s="278"/>
      <c r="BK77" s="278"/>
      <c r="BL77" s="278"/>
      <c r="BM77" s="278"/>
      <c r="BN77" s="278"/>
      <c r="BO77" s="278"/>
      <c r="BP77" s="278"/>
      <c r="BQ77" s="278"/>
      <c r="BR77" s="278"/>
      <c r="BS77" s="278"/>
      <c r="BT77" s="278"/>
      <c r="BU77" s="278"/>
      <c r="BV77" s="278"/>
      <c r="BW77" s="278"/>
      <c r="BX77" s="278"/>
      <c r="BY77" s="278"/>
      <c r="BZ77" s="278"/>
      <c r="CA77" s="278"/>
      <c r="CB77" s="278"/>
      <c r="CC77" s="278"/>
      <c r="CD77" s="278"/>
      <c r="CE77" s="278"/>
      <c r="CF77" s="278"/>
      <c r="CG77" s="278"/>
      <c r="CH77" s="278"/>
      <c r="CI77" s="278"/>
      <c r="CJ77" s="278"/>
      <c r="CK77" s="278"/>
      <c r="CL77" s="278"/>
      <c r="CM77" s="278"/>
      <c r="CN77" s="278"/>
      <c r="CO77" s="278"/>
      <c r="CP77" s="278"/>
      <c r="CQ77" s="278"/>
      <c r="CR77" s="278"/>
      <c r="CS77" s="278"/>
      <c r="CT77" s="278"/>
      <c r="CU77" s="278"/>
      <c r="CV77" s="278"/>
      <c r="CW77" s="278"/>
      <c r="CX77" s="278"/>
      <c r="CY77" s="278"/>
      <c r="CZ77" s="278"/>
      <c r="DA77" s="278"/>
      <c r="DB77" s="278"/>
      <c r="DC77" s="278"/>
      <c r="DD77" s="278"/>
      <c r="DE77" s="278"/>
      <c r="DF77" s="278"/>
      <c r="DG77" s="278"/>
      <c r="DH77" s="278"/>
      <c r="DI77" s="278"/>
      <c r="DJ77" s="278"/>
      <c r="DK77" s="278"/>
    </row>
    <row r="78" spans="1:115" ht="13.5" thickBot="1" x14ac:dyDescent="0.25"/>
    <row r="79" spans="1:115" x14ac:dyDescent="0.2">
      <c r="B79" s="281" t="s">
        <v>144</v>
      </c>
      <c r="C79" s="712">
        <v>2007</v>
      </c>
      <c r="D79" s="713"/>
      <c r="E79" s="713"/>
      <c r="F79" s="713"/>
      <c r="G79" s="714"/>
      <c r="H79" s="129"/>
      <c r="I79" s="712">
        <v>2008</v>
      </c>
      <c r="J79" s="713"/>
      <c r="K79" s="713"/>
      <c r="L79" s="713"/>
      <c r="M79" s="714"/>
      <c r="N79" s="129"/>
      <c r="O79" s="712">
        <v>2009</v>
      </c>
      <c r="P79" s="713"/>
      <c r="Q79" s="713"/>
      <c r="R79" s="713"/>
      <c r="S79" s="714"/>
      <c r="T79" s="129"/>
      <c r="U79" s="712">
        <v>2010</v>
      </c>
      <c r="V79" s="713"/>
      <c r="W79" s="713"/>
      <c r="X79" s="713"/>
      <c r="Y79" s="714"/>
      <c r="AA79" s="712">
        <v>2011</v>
      </c>
      <c r="AB79" s="713"/>
      <c r="AC79" s="713"/>
      <c r="AD79" s="713"/>
      <c r="AE79" s="714"/>
      <c r="AG79" s="712">
        <v>2012</v>
      </c>
      <c r="AH79" s="713"/>
      <c r="AI79" s="713"/>
      <c r="AJ79" s="713"/>
      <c r="AK79" s="714"/>
      <c r="AM79" s="712">
        <v>2013</v>
      </c>
      <c r="AN79" s="713"/>
      <c r="AO79" s="713"/>
      <c r="AP79" s="713"/>
      <c r="AQ79" s="714"/>
      <c r="AS79" s="712">
        <v>2014</v>
      </c>
      <c r="AT79" s="713"/>
      <c r="AU79" s="713"/>
      <c r="AV79" s="713"/>
      <c r="AW79" s="714"/>
      <c r="AY79" s="712">
        <v>2015</v>
      </c>
      <c r="AZ79" s="713"/>
      <c r="BA79" s="713"/>
      <c r="BB79" s="713"/>
      <c r="BC79" s="714"/>
      <c r="BE79" s="712">
        <v>2016</v>
      </c>
      <c r="BF79" s="713"/>
      <c r="BG79" s="713"/>
      <c r="BH79" s="713"/>
      <c r="BI79" s="714"/>
      <c r="BK79" s="712">
        <v>2017</v>
      </c>
      <c r="BL79" s="713"/>
      <c r="BM79" s="713"/>
      <c r="BN79" s="713"/>
      <c r="BO79" s="714"/>
      <c r="BQ79" s="712">
        <v>2018</v>
      </c>
      <c r="BR79" s="713"/>
      <c r="BS79" s="713"/>
      <c r="BT79" s="713"/>
      <c r="BU79" s="714"/>
      <c r="BW79" s="712">
        <v>2019</v>
      </c>
      <c r="BX79" s="713"/>
      <c r="BY79" s="713"/>
      <c r="BZ79" s="713"/>
      <c r="CA79" s="714"/>
      <c r="CC79" s="712">
        <v>2020</v>
      </c>
      <c r="CD79" s="713"/>
      <c r="CE79" s="713"/>
      <c r="CF79" s="713"/>
      <c r="CG79" s="714"/>
      <c r="CI79" s="712">
        <v>2021</v>
      </c>
      <c r="CJ79" s="713"/>
      <c r="CK79" s="713"/>
      <c r="CL79" s="713"/>
      <c r="CM79" s="714"/>
      <c r="CO79" s="712">
        <v>2022</v>
      </c>
      <c r="CP79" s="713"/>
      <c r="CQ79" s="713"/>
      <c r="CR79" s="713"/>
      <c r="CS79" s="714"/>
      <c r="CU79" s="712">
        <v>2023</v>
      </c>
      <c r="CV79" s="713"/>
      <c r="CW79" s="713"/>
      <c r="CX79" s="713"/>
      <c r="CY79" s="714"/>
      <c r="DA79" s="712">
        <v>2024</v>
      </c>
      <c r="DB79" s="713"/>
      <c r="DC79" s="713"/>
      <c r="DD79" s="713"/>
      <c r="DE79" s="714"/>
      <c r="DG79" s="712">
        <v>2025</v>
      </c>
      <c r="DH79" s="713"/>
      <c r="DI79" s="713"/>
      <c r="DJ79" s="713"/>
      <c r="DK79" s="714"/>
    </row>
    <row r="80" spans="1:115" ht="13.5" thickBot="1" x14ac:dyDescent="0.25">
      <c r="C80" s="130" t="s">
        <v>20</v>
      </c>
      <c r="D80" s="131" t="s">
        <v>19</v>
      </c>
      <c r="E80" s="131" t="s">
        <v>22</v>
      </c>
      <c r="F80" s="131" t="s">
        <v>21</v>
      </c>
      <c r="G80" s="132" t="s">
        <v>39</v>
      </c>
      <c r="H80" s="129"/>
      <c r="I80" s="130" t="s">
        <v>20</v>
      </c>
      <c r="J80" s="131" t="s">
        <v>19</v>
      </c>
      <c r="K80" s="131" t="s">
        <v>22</v>
      </c>
      <c r="L80" s="131" t="s">
        <v>21</v>
      </c>
      <c r="M80" s="132" t="s">
        <v>39</v>
      </c>
      <c r="N80" s="129"/>
      <c r="O80" s="130" t="s">
        <v>20</v>
      </c>
      <c r="P80" s="131" t="s">
        <v>19</v>
      </c>
      <c r="Q80" s="131" t="s">
        <v>22</v>
      </c>
      <c r="R80" s="131" t="s">
        <v>21</v>
      </c>
      <c r="S80" s="132" t="s">
        <v>39</v>
      </c>
      <c r="T80" s="129"/>
      <c r="U80" s="130" t="s">
        <v>20</v>
      </c>
      <c r="V80" s="131" t="s">
        <v>19</v>
      </c>
      <c r="W80" s="131" t="s">
        <v>22</v>
      </c>
      <c r="X80" s="131" t="s">
        <v>21</v>
      </c>
      <c r="Y80" s="132" t="s">
        <v>39</v>
      </c>
      <c r="AA80" s="130" t="s">
        <v>20</v>
      </c>
      <c r="AB80" s="131" t="s">
        <v>19</v>
      </c>
      <c r="AC80" s="131" t="s">
        <v>22</v>
      </c>
      <c r="AD80" s="131" t="s">
        <v>21</v>
      </c>
      <c r="AE80" s="132" t="s">
        <v>39</v>
      </c>
      <c r="AG80" s="130" t="s">
        <v>20</v>
      </c>
      <c r="AH80" s="131" t="s">
        <v>19</v>
      </c>
      <c r="AI80" s="131" t="s">
        <v>22</v>
      </c>
      <c r="AJ80" s="131" t="s">
        <v>21</v>
      </c>
      <c r="AK80" s="132" t="s">
        <v>39</v>
      </c>
      <c r="AM80" s="130" t="s">
        <v>20</v>
      </c>
      <c r="AN80" s="131" t="s">
        <v>19</v>
      </c>
      <c r="AO80" s="131" t="s">
        <v>22</v>
      </c>
      <c r="AP80" s="131" t="s">
        <v>21</v>
      </c>
      <c r="AQ80" s="132" t="s">
        <v>39</v>
      </c>
      <c r="AS80" s="130" t="s">
        <v>20</v>
      </c>
      <c r="AT80" s="131" t="s">
        <v>19</v>
      </c>
      <c r="AU80" s="131" t="s">
        <v>22</v>
      </c>
      <c r="AV80" s="131" t="s">
        <v>21</v>
      </c>
      <c r="AW80" s="132" t="s">
        <v>39</v>
      </c>
      <c r="AY80" s="130" t="s">
        <v>20</v>
      </c>
      <c r="AZ80" s="131" t="s">
        <v>19</v>
      </c>
      <c r="BA80" s="131" t="s">
        <v>22</v>
      </c>
      <c r="BB80" s="131" t="s">
        <v>21</v>
      </c>
      <c r="BC80" s="132" t="s">
        <v>39</v>
      </c>
      <c r="BE80" s="130" t="s">
        <v>20</v>
      </c>
      <c r="BF80" s="131" t="s">
        <v>19</v>
      </c>
      <c r="BG80" s="131" t="s">
        <v>22</v>
      </c>
      <c r="BH80" s="131" t="s">
        <v>21</v>
      </c>
      <c r="BI80" s="132" t="s">
        <v>39</v>
      </c>
      <c r="BK80" s="130" t="s">
        <v>20</v>
      </c>
      <c r="BL80" s="131" t="s">
        <v>19</v>
      </c>
      <c r="BM80" s="131" t="s">
        <v>22</v>
      </c>
      <c r="BN80" s="131" t="s">
        <v>21</v>
      </c>
      <c r="BO80" s="132" t="s">
        <v>39</v>
      </c>
      <c r="BQ80" s="130" t="s">
        <v>20</v>
      </c>
      <c r="BR80" s="131" t="s">
        <v>19</v>
      </c>
      <c r="BS80" s="131" t="s">
        <v>22</v>
      </c>
      <c r="BT80" s="131" t="s">
        <v>21</v>
      </c>
      <c r="BU80" s="132" t="s">
        <v>39</v>
      </c>
      <c r="BW80" s="130" t="s">
        <v>20</v>
      </c>
      <c r="BX80" s="131" t="s">
        <v>19</v>
      </c>
      <c r="BY80" s="131" t="s">
        <v>22</v>
      </c>
      <c r="BZ80" s="131" t="s">
        <v>21</v>
      </c>
      <c r="CA80" s="132" t="s">
        <v>39</v>
      </c>
      <c r="CC80" s="130" t="s">
        <v>20</v>
      </c>
      <c r="CD80" s="131" t="s">
        <v>19</v>
      </c>
      <c r="CE80" s="131" t="s">
        <v>22</v>
      </c>
      <c r="CF80" s="131" t="s">
        <v>21</v>
      </c>
      <c r="CG80" s="132" t="s">
        <v>39</v>
      </c>
      <c r="CI80" s="130" t="s">
        <v>20</v>
      </c>
      <c r="CJ80" s="131" t="s">
        <v>19</v>
      </c>
      <c r="CK80" s="131" t="s">
        <v>22</v>
      </c>
      <c r="CL80" s="131" t="s">
        <v>21</v>
      </c>
      <c r="CM80" s="132" t="s">
        <v>39</v>
      </c>
      <c r="CO80" s="130" t="s">
        <v>20</v>
      </c>
      <c r="CP80" s="131" t="s">
        <v>19</v>
      </c>
      <c r="CQ80" s="131" t="s">
        <v>22</v>
      </c>
      <c r="CR80" s="131" t="s">
        <v>21</v>
      </c>
      <c r="CS80" s="132" t="s">
        <v>39</v>
      </c>
      <c r="CU80" s="130" t="s">
        <v>20</v>
      </c>
      <c r="CV80" s="131" t="s">
        <v>19</v>
      </c>
      <c r="CW80" s="131" t="s">
        <v>22</v>
      </c>
      <c r="CX80" s="131" t="s">
        <v>21</v>
      </c>
      <c r="CY80" s="132" t="s">
        <v>39</v>
      </c>
      <c r="DA80" s="130" t="s">
        <v>20</v>
      </c>
      <c r="DB80" s="131" t="s">
        <v>19</v>
      </c>
      <c r="DC80" s="131" t="s">
        <v>22</v>
      </c>
      <c r="DD80" s="131" t="s">
        <v>21</v>
      </c>
      <c r="DE80" s="132" t="s">
        <v>39</v>
      </c>
      <c r="DG80" s="130" t="s">
        <v>20</v>
      </c>
      <c r="DH80" s="131" t="s">
        <v>19</v>
      </c>
      <c r="DI80" s="131" t="s">
        <v>22</v>
      </c>
      <c r="DJ80" s="131" t="s">
        <v>21</v>
      </c>
      <c r="DK80" s="132" t="s">
        <v>39</v>
      </c>
    </row>
    <row r="81" spans="2:115" ht="15.75" thickBot="1" x14ac:dyDescent="0.35">
      <c r="G81" s="2"/>
      <c r="H81" s="2"/>
      <c r="I81" s="2"/>
      <c r="J81" s="2"/>
      <c r="K81" s="2"/>
      <c r="L81" s="1"/>
      <c r="M81" s="1"/>
      <c r="N81" s="1"/>
      <c r="O81" s="1"/>
      <c r="P81" s="1"/>
      <c r="Q81" s="1"/>
      <c r="R81" s="1"/>
      <c r="S81" s="1"/>
      <c r="U81" s="1"/>
    </row>
    <row r="82" spans="2:115" ht="15" x14ac:dyDescent="0.3">
      <c r="B82" s="104" t="s">
        <v>146</v>
      </c>
      <c r="C82" s="111"/>
      <c r="D82" s="112"/>
      <c r="E82" s="112"/>
      <c r="F82" s="112"/>
      <c r="G82" s="113"/>
      <c r="H82" s="2"/>
      <c r="I82" s="111"/>
      <c r="J82" s="112"/>
      <c r="K82" s="112"/>
      <c r="L82" s="112"/>
      <c r="M82" s="113"/>
      <c r="N82" s="1"/>
      <c r="O82" s="111">
        <v>2011</v>
      </c>
      <c r="P82" s="112">
        <f>O84</f>
        <v>1966</v>
      </c>
      <c r="Q82" s="112">
        <f>P84</f>
        <v>1918</v>
      </c>
      <c r="R82" s="112">
        <f>Q84</f>
        <v>1870</v>
      </c>
      <c r="S82" s="113">
        <f>O82</f>
        <v>2011</v>
      </c>
      <c r="U82" s="111">
        <f>S84</f>
        <v>1821</v>
      </c>
      <c r="V82" s="112">
        <f>U84</f>
        <v>1771</v>
      </c>
      <c r="W82" s="112">
        <f>V84</f>
        <v>1729</v>
      </c>
      <c r="X82" s="112">
        <f>W84</f>
        <v>1690</v>
      </c>
      <c r="Y82" s="113">
        <f>U82</f>
        <v>1821</v>
      </c>
      <c r="AA82" s="111">
        <f>Y84</f>
        <v>1652</v>
      </c>
      <c r="AB82" s="112">
        <f>AA84</f>
        <v>1546</v>
      </c>
      <c r="AC82" s="112">
        <f>AB84</f>
        <v>1523</v>
      </c>
      <c r="AD82" s="112">
        <f>AC84</f>
        <v>1506</v>
      </c>
      <c r="AE82" s="113">
        <f>AA82</f>
        <v>1652</v>
      </c>
      <c r="AG82" s="111">
        <f>AE84</f>
        <v>1486</v>
      </c>
      <c r="AH82" s="112">
        <f>AG84</f>
        <v>1643</v>
      </c>
      <c r="AI82" s="112">
        <f>AH84</f>
        <v>1635</v>
      </c>
      <c r="AJ82" s="112">
        <f>AI84</f>
        <v>1620</v>
      </c>
      <c r="AK82" s="113">
        <f>AG82</f>
        <v>1486</v>
      </c>
      <c r="AM82" s="111">
        <f>AK84</f>
        <v>1611</v>
      </c>
      <c r="AN82" s="112">
        <f>AM84</f>
        <v>1626</v>
      </c>
      <c r="AO82" s="112">
        <f>AN84</f>
        <v>1597</v>
      </c>
      <c r="AP82" s="112">
        <f>AO84</f>
        <v>1597</v>
      </c>
      <c r="AQ82" s="113">
        <f>AM82</f>
        <v>1611</v>
      </c>
      <c r="AS82" s="111">
        <f>AQ84</f>
        <v>1596</v>
      </c>
      <c r="AT82" s="112">
        <f>AS84</f>
        <v>1595</v>
      </c>
      <c r="AU82" s="112">
        <f>AT84</f>
        <v>1611</v>
      </c>
      <c r="AV82" s="112">
        <f>AU84</f>
        <v>1611</v>
      </c>
      <c r="AW82" s="113">
        <f>AS82</f>
        <v>1596</v>
      </c>
      <c r="AY82" s="111">
        <f>AY84+1</f>
        <v>1711</v>
      </c>
      <c r="AZ82" s="112">
        <f>AY84</f>
        <v>1710</v>
      </c>
      <c r="BA82" s="112">
        <f>AZ84</f>
        <v>1671</v>
      </c>
      <c r="BB82" s="112">
        <f>BA84</f>
        <v>1677</v>
      </c>
      <c r="BC82" s="113">
        <f>AY82</f>
        <v>1711</v>
      </c>
      <c r="BE82" s="111">
        <f>BC84</f>
        <v>1674</v>
      </c>
      <c r="BF82" s="112">
        <f>BE84</f>
        <v>1659</v>
      </c>
      <c r="BG82" s="112">
        <f>BF84</f>
        <v>1655</v>
      </c>
      <c r="BH82" s="112">
        <f>BG84</f>
        <v>1650</v>
      </c>
      <c r="BI82" s="113">
        <f>BE82</f>
        <v>1674</v>
      </c>
      <c r="BK82" s="111">
        <f>BI84</f>
        <v>1629</v>
      </c>
      <c r="BL82" s="112">
        <f>BK84</f>
        <v>1630</v>
      </c>
      <c r="BM82" s="112">
        <f>BL84</f>
        <v>1637</v>
      </c>
      <c r="BN82" s="112">
        <f>BM84</f>
        <v>1634</v>
      </c>
      <c r="BO82" s="113">
        <f>BK82</f>
        <v>1629</v>
      </c>
      <c r="BQ82" s="111">
        <f>BO84</f>
        <v>1632</v>
      </c>
      <c r="BR82" s="112">
        <f>BQ84</f>
        <v>1629</v>
      </c>
      <c r="BS82" s="112">
        <f>BR84</f>
        <v>1626</v>
      </c>
      <c r="BT82" s="112">
        <f>BS84</f>
        <v>1623</v>
      </c>
      <c r="BU82" s="113">
        <f>BQ82</f>
        <v>1632</v>
      </c>
      <c r="BW82" s="111">
        <f>BU84</f>
        <v>1620</v>
      </c>
      <c r="BX82" s="112">
        <f>BW84</f>
        <v>1617</v>
      </c>
      <c r="BY82" s="112">
        <f>BX84</f>
        <v>1614</v>
      </c>
      <c r="BZ82" s="112">
        <f>BY84</f>
        <v>1611</v>
      </c>
      <c r="CA82" s="113">
        <f>BW82</f>
        <v>1620</v>
      </c>
      <c r="CC82" s="111">
        <f>CA84</f>
        <v>1608</v>
      </c>
      <c r="CD82" s="112">
        <f>CC84</f>
        <v>1605</v>
      </c>
      <c r="CE82" s="112">
        <f>CD84</f>
        <v>1602</v>
      </c>
      <c r="CF82" s="112">
        <f>CE84</f>
        <v>1599</v>
      </c>
      <c r="CG82" s="113">
        <f>CC82</f>
        <v>1608</v>
      </c>
      <c r="CI82" s="111">
        <f>CG84</f>
        <v>1596</v>
      </c>
      <c r="CJ82" s="112">
        <f>CI84</f>
        <v>1593</v>
      </c>
      <c r="CK82" s="112">
        <f>CJ84</f>
        <v>1590</v>
      </c>
      <c r="CL82" s="112">
        <f>CK84</f>
        <v>1587</v>
      </c>
      <c r="CM82" s="113">
        <f>CI82</f>
        <v>1596</v>
      </c>
      <c r="CO82" s="111">
        <f>CM84</f>
        <v>1584</v>
      </c>
      <c r="CP82" s="112">
        <f>CO84</f>
        <v>1581</v>
      </c>
      <c r="CQ82" s="112">
        <f>CP84</f>
        <v>1578</v>
      </c>
      <c r="CR82" s="112">
        <f>CQ84</f>
        <v>1575</v>
      </c>
      <c r="CS82" s="113">
        <f>CO82</f>
        <v>1584</v>
      </c>
      <c r="CU82" s="111">
        <f>CS84</f>
        <v>1572</v>
      </c>
      <c r="CV82" s="112">
        <f>CU84</f>
        <v>1569</v>
      </c>
      <c r="CW82" s="112">
        <f>CV84</f>
        <v>1566</v>
      </c>
      <c r="CX82" s="112">
        <f>CW84</f>
        <v>1563</v>
      </c>
      <c r="CY82" s="113">
        <f>CU82</f>
        <v>1572</v>
      </c>
      <c r="DA82" s="111">
        <f>CY84</f>
        <v>1560</v>
      </c>
      <c r="DB82" s="112">
        <f>DA84</f>
        <v>1557</v>
      </c>
      <c r="DC82" s="112">
        <f>DB84</f>
        <v>1554</v>
      </c>
      <c r="DD82" s="112">
        <f>DC84</f>
        <v>1551</v>
      </c>
      <c r="DE82" s="113">
        <f>DA82</f>
        <v>1560</v>
      </c>
      <c r="DG82" s="111">
        <f>DE84</f>
        <v>1548</v>
      </c>
      <c r="DH82" s="112">
        <f>DG84</f>
        <v>1545</v>
      </c>
      <c r="DI82" s="112">
        <f>DH84</f>
        <v>1542</v>
      </c>
      <c r="DJ82" s="112">
        <f>DI84</f>
        <v>1539</v>
      </c>
      <c r="DK82" s="113">
        <f>DG82</f>
        <v>1548</v>
      </c>
    </row>
    <row r="83" spans="2:115" ht="15" x14ac:dyDescent="0.3">
      <c r="B83" s="105" t="s">
        <v>26</v>
      </c>
      <c r="C83" s="116"/>
      <c r="D83" s="117"/>
      <c r="E83" s="117"/>
      <c r="F83" s="117"/>
      <c r="G83" s="118"/>
      <c r="H83" s="2"/>
      <c r="I83" s="116"/>
      <c r="J83" s="117"/>
      <c r="K83" s="117"/>
      <c r="L83" s="117"/>
      <c r="M83" s="118"/>
      <c r="N83" s="1"/>
      <c r="O83" s="116">
        <f>O84-O82</f>
        <v>-45</v>
      </c>
      <c r="P83" s="117">
        <f>P84-P82</f>
        <v>-48</v>
      </c>
      <c r="Q83" s="117">
        <f>Q84-Q82</f>
        <v>-48</v>
      </c>
      <c r="R83" s="117">
        <f>R84-R82</f>
        <v>-49</v>
      </c>
      <c r="S83" s="118">
        <f>S84-S82</f>
        <v>-190</v>
      </c>
      <c r="U83" s="116">
        <f>U84-U82</f>
        <v>-50</v>
      </c>
      <c r="V83" s="117">
        <f>V84-V82</f>
        <v>-42</v>
      </c>
      <c r="W83" s="117">
        <v>-39</v>
      </c>
      <c r="X83" s="117">
        <v>-38</v>
      </c>
      <c r="Y83" s="118">
        <f>Y84-Y82</f>
        <v>-169</v>
      </c>
      <c r="AA83" s="116">
        <v>-106</v>
      </c>
      <c r="AB83" s="117">
        <v>-23</v>
      </c>
      <c r="AC83" s="117">
        <v>-17</v>
      </c>
      <c r="AD83" s="117">
        <v>-20</v>
      </c>
      <c r="AE83" s="118">
        <f>AE84-AE82</f>
        <v>-166</v>
      </c>
      <c r="AG83" s="116">
        <f>AG84-AG82</f>
        <v>157</v>
      </c>
      <c r="AH83" s="117">
        <f>AH84-AH82</f>
        <v>-8</v>
      </c>
      <c r="AI83" s="117">
        <f>AI84-AI82</f>
        <v>-15</v>
      </c>
      <c r="AJ83" s="117">
        <f>AJ84-AJ82</f>
        <v>-9</v>
      </c>
      <c r="AK83" s="118">
        <f>AK84-AK82</f>
        <v>125</v>
      </c>
      <c r="AM83" s="116">
        <v>15</v>
      </c>
      <c r="AN83" s="117">
        <v>-29</v>
      </c>
      <c r="AO83" s="117">
        <v>0</v>
      </c>
      <c r="AP83" s="117">
        <v>-1</v>
      </c>
      <c r="AQ83" s="118">
        <f>AQ84-AQ82</f>
        <v>-15</v>
      </c>
      <c r="AS83" s="116">
        <v>-1</v>
      </c>
      <c r="AT83" s="117">
        <v>16</v>
      </c>
      <c r="AU83" s="117">
        <v>0</v>
      </c>
      <c r="AV83" s="117">
        <v>34</v>
      </c>
      <c r="AW83" s="118">
        <f>AW84-AW82</f>
        <v>49</v>
      </c>
      <c r="AY83" s="116">
        <v>-1</v>
      </c>
      <c r="AZ83" s="117">
        <f>AZ84-AZ82</f>
        <v>-39</v>
      </c>
      <c r="BA83" s="117">
        <f>BA84-BA82</f>
        <v>6</v>
      </c>
      <c r="BB83" s="117">
        <f>BB84-BB82</f>
        <v>-3</v>
      </c>
      <c r="BC83" s="118">
        <f>BC84-BC82</f>
        <v>-37</v>
      </c>
      <c r="BE83" s="116">
        <f>BE84-BE82</f>
        <v>-15</v>
      </c>
      <c r="BF83" s="117">
        <v>-4</v>
      </c>
      <c r="BG83" s="117">
        <v>-5</v>
      </c>
      <c r="BH83" s="117">
        <v>-21</v>
      </c>
      <c r="BI83" s="118">
        <f>BI84-BI82</f>
        <v>-45</v>
      </c>
      <c r="BK83" s="116">
        <v>1</v>
      </c>
      <c r="BL83" s="117">
        <v>7</v>
      </c>
      <c r="BM83" s="117">
        <v>-3</v>
      </c>
      <c r="BN83" s="117">
        <v>-2</v>
      </c>
      <c r="BO83" s="118">
        <f>BO84-BO82</f>
        <v>3</v>
      </c>
      <c r="BQ83" s="116">
        <v>-3</v>
      </c>
      <c r="BR83" s="117">
        <f>BQ83</f>
        <v>-3</v>
      </c>
      <c r="BS83" s="117">
        <f>BR83</f>
        <v>-3</v>
      </c>
      <c r="BT83" s="117">
        <f>BS83</f>
        <v>-3</v>
      </c>
      <c r="BU83" s="118">
        <f>BU84-BU82</f>
        <v>-12</v>
      </c>
      <c r="BW83" s="116">
        <v>-3</v>
      </c>
      <c r="BX83" s="117">
        <f>BW83</f>
        <v>-3</v>
      </c>
      <c r="BY83" s="117">
        <f>BX83</f>
        <v>-3</v>
      </c>
      <c r="BZ83" s="117">
        <f>BY83</f>
        <v>-3</v>
      </c>
      <c r="CA83" s="118">
        <f>CA84-CA82</f>
        <v>-12</v>
      </c>
      <c r="CC83" s="116">
        <v>-3</v>
      </c>
      <c r="CD83" s="117">
        <f>CC83</f>
        <v>-3</v>
      </c>
      <c r="CE83" s="117">
        <f>CD83</f>
        <v>-3</v>
      </c>
      <c r="CF83" s="117">
        <f>CE83</f>
        <v>-3</v>
      </c>
      <c r="CG83" s="118">
        <f>CG84-CG82</f>
        <v>-12</v>
      </c>
      <c r="CI83" s="116">
        <v>-3</v>
      </c>
      <c r="CJ83" s="117">
        <f>CI83</f>
        <v>-3</v>
      </c>
      <c r="CK83" s="117">
        <f>CJ83</f>
        <v>-3</v>
      </c>
      <c r="CL83" s="117">
        <f>CK83</f>
        <v>-3</v>
      </c>
      <c r="CM83" s="118">
        <f>CM84-CM82</f>
        <v>-12</v>
      </c>
      <c r="CO83" s="116">
        <v>-3</v>
      </c>
      <c r="CP83" s="117">
        <f>CO83</f>
        <v>-3</v>
      </c>
      <c r="CQ83" s="117">
        <f>CP83</f>
        <v>-3</v>
      </c>
      <c r="CR83" s="117">
        <f>CQ83</f>
        <v>-3</v>
      </c>
      <c r="CS83" s="118">
        <f>CS84-CS82</f>
        <v>-12</v>
      </c>
      <c r="CU83" s="116">
        <v>-3</v>
      </c>
      <c r="CV83" s="117">
        <f>CU83</f>
        <v>-3</v>
      </c>
      <c r="CW83" s="117">
        <f>CV83</f>
        <v>-3</v>
      </c>
      <c r="CX83" s="117">
        <f>CW83</f>
        <v>-3</v>
      </c>
      <c r="CY83" s="118">
        <f>CY84-CY82</f>
        <v>-12</v>
      </c>
      <c r="DA83" s="116">
        <v>-3</v>
      </c>
      <c r="DB83" s="117">
        <f>DA83</f>
        <v>-3</v>
      </c>
      <c r="DC83" s="117">
        <f>DB83</f>
        <v>-3</v>
      </c>
      <c r="DD83" s="117">
        <f>DC83</f>
        <v>-3</v>
      </c>
      <c r="DE83" s="118">
        <f>DE84-DE82</f>
        <v>-12</v>
      </c>
      <c r="DG83" s="116">
        <v>-3</v>
      </c>
      <c r="DH83" s="117">
        <f>DG83</f>
        <v>-3</v>
      </c>
      <c r="DI83" s="117">
        <f>DH83</f>
        <v>-3</v>
      </c>
      <c r="DJ83" s="117">
        <f>DI83</f>
        <v>-3</v>
      </c>
      <c r="DK83" s="118">
        <f>DK84-DK82</f>
        <v>-12</v>
      </c>
    </row>
    <row r="84" spans="2:115" ht="15.75" thickBot="1" x14ac:dyDescent="0.35">
      <c r="B84" s="5" t="s">
        <v>147</v>
      </c>
      <c r="C84" s="116"/>
      <c r="D84" s="117"/>
      <c r="E84" s="117"/>
      <c r="F84" s="117"/>
      <c r="G84" s="121"/>
      <c r="H84" s="2"/>
      <c r="I84" s="116"/>
      <c r="J84" s="117"/>
      <c r="K84" s="117"/>
      <c r="L84" s="117"/>
      <c r="M84" s="121"/>
      <c r="N84" s="1"/>
      <c r="O84" s="116">
        <v>1966</v>
      </c>
      <c r="P84" s="117">
        <v>1918</v>
      </c>
      <c r="Q84" s="117">
        <v>1870</v>
      </c>
      <c r="R84" s="117">
        <v>1821</v>
      </c>
      <c r="S84" s="121">
        <f>R84</f>
        <v>1821</v>
      </c>
      <c r="U84" s="116">
        <v>1771</v>
      </c>
      <c r="V84" s="117">
        <v>1729</v>
      </c>
      <c r="W84" s="117">
        <f>W82+W83</f>
        <v>1690</v>
      </c>
      <c r="X84" s="117">
        <f>X82+X83</f>
        <v>1652</v>
      </c>
      <c r="Y84" s="121">
        <f>X84</f>
        <v>1652</v>
      </c>
      <c r="AA84" s="116">
        <f>AA82+AA83</f>
        <v>1546</v>
      </c>
      <c r="AB84" s="117">
        <f>AB82+AB83</f>
        <v>1523</v>
      </c>
      <c r="AC84" s="117">
        <f>AC82+AC83</f>
        <v>1506</v>
      </c>
      <c r="AD84" s="117">
        <f>AD82+AD83</f>
        <v>1486</v>
      </c>
      <c r="AE84" s="121">
        <f>AD84</f>
        <v>1486</v>
      </c>
      <c r="AG84" s="116">
        <v>1643</v>
      </c>
      <c r="AH84" s="117">
        <v>1635</v>
      </c>
      <c r="AI84" s="117">
        <v>1620</v>
      </c>
      <c r="AJ84" s="117">
        <v>1611</v>
      </c>
      <c r="AK84" s="121">
        <f>AJ84</f>
        <v>1611</v>
      </c>
      <c r="AM84" s="116">
        <f>AM82+AM83</f>
        <v>1626</v>
      </c>
      <c r="AN84" s="117">
        <f>AN82+AN83</f>
        <v>1597</v>
      </c>
      <c r="AO84" s="117">
        <f>AO82+AO83</f>
        <v>1597</v>
      </c>
      <c r="AP84" s="117">
        <f>AP82+AP83</f>
        <v>1596</v>
      </c>
      <c r="AQ84" s="121">
        <f>AP84</f>
        <v>1596</v>
      </c>
      <c r="AS84" s="116">
        <f>AS82+AS83</f>
        <v>1595</v>
      </c>
      <c r="AT84" s="117">
        <f>AT82+AT83</f>
        <v>1611</v>
      </c>
      <c r="AU84" s="117">
        <f>AU82+AU83</f>
        <v>1611</v>
      </c>
      <c r="AV84" s="117">
        <f>AV82+AV83</f>
        <v>1645</v>
      </c>
      <c r="AW84" s="121">
        <f>AV84</f>
        <v>1645</v>
      </c>
      <c r="AY84" s="116">
        <v>1710</v>
      </c>
      <c r="AZ84" s="117">
        <v>1671</v>
      </c>
      <c r="BA84" s="117">
        <v>1677</v>
      </c>
      <c r="BB84" s="117">
        <v>1674</v>
      </c>
      <c r="BC84" s="121">
        <f>BB84</f>
        <v>1674</v>
      </c>
      <c r="BE84" s="116">
        <v>1659</v>
      </c>
      <c r="BF84" s="117">
        <f>BF82+BF83</f>
        <v>1655</v>
      </c>
      <c r="BG84" s="117">
        <f>BG82+BG83</f>
        <v>1650</v>
      </c>
      <c r="BH84" s="117">
        <f>BH82+BH83</f>
        <v>1629</v>
      </c>
      <c r="BI84" s="121">
        <f>BH84</f>
        <v>1629</v>
      </c>
      <c r="BK84" s="116">
        <f>BK82+BK83</f>
        <v>1630</v>
      </c>
      <c r="BL84" s="117">
        <f>BL82+BL83</f>
        <v>1637</v>
      </c>
      <c r="BM84" s="117">
        <f>BM82+BM83</f>
        <v>1634</v>
      </c>
      <c r="BN84" s="117">
        <f>BN82+BN83</f>
        <v>1632</v>
      </c>
      <c r="BO84" s="121">
        <f>BN84</f>
        <v>1632</v>
      </c>
      <c r="BQ84" s="116">
        <f>BQ82+BQ83</f>
        <v>1629</v>
      </c>
      <c r="BR84" s="117">
        <f>BR82+BR83</f>
        <v>1626</v>
      </c>
      <c r="BS84" s="117">
        <f>BS82+BS83</f>
        <v>1623</v>
      </c>
      <c r="BT84" s="117">
        <f>BT82+BT83</f>
        <v>1620</v>
      </c>
      <c r="BU84" s="121">
        <f>BT84</f>
        <v>1620</v>
      </c>
      <c r="BW84" s="116">
        <f>BW82+BW83</f>
        <v>1617</v>
      </c>
      <c r="BX84" s="117">
        <f>BX82+BX83</f>
        <v>1614</v>
      </c>
      <c r="BY84" s="117">
        <f>BY82+BY83</f>
        <v>1611</v>
      </c>
      <c r="BZ84" s="117">
        <f>BZ82+BZ83</f>
        <v>1608</v>
      </c>
      <c r="CA84" s="121">
        <f>BZ84</f>
        <v>1608</v>
      </c>
      <c r="CC84" s="116">
        <f>CC82+CC83</f>
        <v>1605</v>
      </c>
      <c r="CD84" s="117">
        <f>CD82+CD83</f>
        <v>1602</v>
      </c>
      <c r="CE84" s="117">
        <f>CE82+CE83</f>
        <v>1599</v>
      </c>
      <c r="CF84" s="117">
        <f>CF82+CF83</f>
        <v>1596</v>
      </c>
      <c r="CG84" s="121">
        <f>CF84</f>
        <v>1596</v>
      </c>
      <c r="CI84" s="116">
        <f>CI82+CI83</f>
        <v>1593</v>
      </c>
      <c r="CJ84" s="117">
        <f>CJ82+CJ83</f>
        <v>1590</v>
      </c>
      <c r="CK84" s="117">
        <f>CK82+CK83</f>
        <v>1587</v>
      </c>
      <c r="CL84" s="117">
        <f>CL82+CL83</f>
        <v>1584</v>
      </c>
      <c r="CM84" s="121">
        <f>CL84</f>
        <v>1584</v>
      </c>
      <c r="CO84" s="116">
        <f>CO82+CO83</f>
        <v>1581</v>
      </c>
      <c r="CP84" s="117">
        <f>CP82+CP83</f>
        <v>1578</v>
      </c>
      <c r="CQ84" s="117">
        <f>CQ82+CQ83</f>
        <v>1575</v>
      </c>
      <c r="CR84" s="117">
        <f>CR82+CR83</f>
        <v>1572</v>
      </c>
      <c r="CS84" s="121">
        <f>CR84</f>
        <v>1572</v>
      </c>
      <c r="CU84" s="116">
        <f>CU82+CU83</f>
        <v>1569</v>
      </c>
      <c r="CV84" s="117">
        <f>CV82+CV83</f>
        <v>1566</v>
      </c>
      <c r="CW84" s="117">
        <f>CW82+CW83</f>
        <v>1563</v>
      </c>
      <c r="CX84" s="117">
        <f>CX82+CX83</f>
        <v>1560</v>
      </c>
      <c r="CY84" s="121">
        <f>CX84</f>
        <v>1560</v>
      </c>
      <c r="DA84" s="116">
        <f>DA82+DA83</f>
        <v>1557</v>
      </c>
      <c r="DB84" s="117">
        <f>DB82+DB83</f>
        <v>1554</v>
      </c>
      <c r="DC84" s="117">
        <f>DC82+DC83</f>
        <v>1551</v>
      </c>
      <c r="DD84" s="117">
        <f>DD82+DD83</f>
        <v>1548</v>
      </c>
      <c r="DE84" s="121">
        <f>DD84</f>
        <v>1548</v>
      </c>
      <c r="DG84" s="116">
        <f>DG82+DG83</f>
        <v>1545</v>
      </c>
      <c r="DH84" s="117">
        <f>DH82+DH83</f>
        <v>1542</v>
      </c>
      <c r="DI84" s="117">
        <f>DI82+DI83</f>
        <v>1539</v>
      </c>
      <c r="DJ84" s="117">
        <f>DJ82+DJ83</f>
        <v>1536</v>
      </c>
      <c r="DK84" s="121">
        <f>DJ84</f>
        <v>1536</v>
      </c>
    </row>
    <row r="85" spans="2:115" ht="15" x14ac:dyDescent="0.3">
      <c r="B85" s="38" t="s">
        <v>28</v>
      </c>
      <c r="C85" s="112">
        <f>C84-C83/2</f>
        <v>0</v>
      </c>
      <c r="D85" s="112">
        <f>D84-D83/2</f>
        <v>0</v>
      </c>
      <c r="E85" s="112">
        <f>E84-E83/2</f>
        <v>0</v>
      </c>
      <c r="F85" s="112">
        <f>F84-F83/2</f>
        <v>0</v>
      </c>
      <c r="G85" s="118">
        <f>(C85+D85+E85+F85)/4</f>
        <v>0</v>
      </c>
      <c r="H85" s="2"/>
      <c r="I85" s="111">
        <f>I84-I83/2</f>
        <v>0</v>
      </c>
      <c r="J85" s="112">
        <f>J84-J83/2</f>
        <v>0</v>
      </c>
      <c r="K85" s="112">
        <f>K84-K83/2</f>
        <v>0</v>
      </c>
      <c r="L85" s="112">
        <f>L84-L83/2</f>
        <v>0</v>
      </c>
      <c r="M85" s="113">
        <f>(I85+J85+K85+L85)/4</f>
        <v>0</v>
      </c>
      <c r="N85" s="1"/>
      <c r="O85" s="111">
        <f>O84-O83/2</f>
        <v>1988.5</v>
      </c>
      <c r="P85" s="112">
        <f>P84-P83/2</f>
        <v>1942</v>
      </c>
      <c r="Q85" s="112">
        <f>Q84-Q83/2</f>
        <v>1894</v>
      </c>
      <c r="R85" s="112">
        <f>R84-R83/2</f>
        <v>1845.5</v>
      </c>
      <c r="S85" s="113">
        <f>(O85+P85+Q85+R85)/4</f>
        <v>1917.5</v>
      </c>
      <c r="U85" s="111">
        <f>U84-U83/2</f>
        <v>1796</v>
      </c>
      <c r="V85" s="112">
        <f>V84-V83/2</f>
        <v>1750</v>
      </c>
      <c r="W85" s="112">
        <f>W84-W83/2</f>
        <v>1709.5</v>
      </c>
      <c r="X85" s="115">
        <f>X84-X83/2</f>
        <v>1671</v>
      </c>
      <c r="Y85" s="113">
        <f>(U85+V85+W85+X85)/4</f>
        <v>1731.625</v>
      </c>
      <c r="AA85" s="111">
        <f>AA84-AA83/2</f>
        <v>1599</v>
      </c>
      <c r="AB85" s="112">
        <f>AB84-AB83/2</f>
        <v>1534.5</v>
      </c>
      <c r="AC85" s="112">
        <f>AC84-AC83/2</f>
        <v>1514.5</v>
      </c>
      <c r="AD85" s="115">
        <f>AD84-AD83/2</f>
        <v>1496</v>
      </c>
      <c r="AE85" s="113">
        <f>(AA85+AB85+AC85+AD85)/4</f>
        <v>1536</v>
      </c>
      <c r="AG85" s="111">
        <f>AG84-AG83/2</f>
        <v>1564.5</v>
      </c>
      <c r="AH85" s="112">
        <f>AH84-AH83/2</f>
        <v>1639</v>
      </c>
      <c r="AI85" s="112">
        <f>AI84-AI83/2</f>
        <v>1627.5</v>
      </c>
      <c r="AJ85" s="115">
        <f>AJ84-AJ83/2</f>
        <v>1615.5</v>
      </c>
      <c r="AK85" s="113">
        <f>(AG85+AH85+AI85+AJ85)/4</f>
        <v>1611.625</v>
      </c>
      <c r="AM85" s="111">
        <f>AM84-AM83/2</f>
        <v>1618.5</v>
      </c>
      <c r="AN85" s="112">
        <f>AN84-AN83/2</f>
        <v>1611.5</v>
      </c>
      <c r="AO85" s="112">
        <f>AO84-AO83/2</f>
        <v>1597</v>
      </c>
      <c r="AP85" s="115">
        <f>AP84-AP83/2</f>
        <v>1596.5</v>
      </c>
      <c r="AQ85" s="113">
        <f>(AM85+AN85+AO85+AP85)/4</f>
        <v>1605.875</v>
      </c>
      <c r="AS85" s="111">
        <f>AS84-AS83/2</f>
        <v>1595.5</v>
      </c>
      <c r="AT85" s="112">
        <f>AT84-AT83/2</f>
        <v>1603</v>
      </c>
      <c r="AU85" s="112">
        <f>AU84-AU83/2</f>
        <v>1611</v>
      </c>
      <c r="AV85" s="115">
        <f>AV84-AV83/2</f>
        <v>1628</v>
      </c>
      <c r="AW85" s="113">
        <f>(AS85+AT85+AU85+AV85)/4</f>
        <v>1609.375</v>
      </c>
      <c r="AY85" s="111">
        <f>AY84-AY83/2</f>
        <v>1710.5</v>
      </c>
      <c r="AZ85" s="112">
        <f>AZ84-AZ83/2</f>
        <v>1690.5</v>
      </c>
      <c r="BA85" s="112">
        <f>BA84-BA83/2</f>
        <v>1674</v>
      </c>
      <c r="BB85" s="115">
        <f>BB84-BB83/2</f>
        <v>1675.5</v>
      </c>
      <c r="BC85" s="113">
        <f>(AY85+AZ85+BA85+BB85)/4</f>
        <v>1687.625</v>
      </c>
      <c r="BE85" s="111">
        <f>BE84-BE83/2</f>
        <v>1666.5</v>
      </c>
      <c r="BF85" s="112">
        <f>BF84-BF83/2</f>
        <v>1657</v>
      </c>
      <c r="BG85" s="112">
        <f>BG84-BG83/2</f>
        <v>1652.5</v>
      </c>
      <c r="BH85" s="115">
        <f>BH84-BH83/2</f>
        <v>1639.5</v>
      </c>
      <c r="BI85" s="113">
        <f>(BE85+BF85+BG85+BH85)/4</f>
        <v>1653.875</v>
      </c>
      <c r="BK85" s="111">
        <f>BK84-BK83/2</f>
        <v>1629.5</v>
      </c>
      <c r="BL85" s="112">
        <f>BL84-BL83/2</f>
        <v>1633.5</v>
      </c>
      <c r="BM85" s="112">
        <f>BM84-BM83/2</f>
        <v>1635.5</v>
      </c>
      <c r="BN85" s="115">
        <f>BN84-BN83/2</f>
        <v>1633</v>
      </c>
      <c r="BO85" s="113">
        <f>(BK85+BL85+BM85+BN85)/4</f>
        <v>1632.875</v>
      </c>
      <c r="BQ85" s="111">
        <f>BQ84-BQ83/2</f>
        <v>1630.5</v>
      </c>
      <c r="BR85" s="112">
        <f>BR84-BR83/2</f>
        <v>1627.5</v>
      </c>
      <c r="BS85" s="112">
        <f>BS84-BS83/2</f>
        <v>1624.5</v>
      </c>
      <c r="BT85" s="115">
        <f>BT84-BT83/2</f>
        <v>1621.5</v>
      </c>
      <c r="BU85" s="113">
        <f>(BQ85+BR85+BS85+BT85)/4</f>
        <v>1626</v>
      </c>
      <c r="BW85" s="111">
        <f>BW84-BW83/2</f>
        <v>1618.5</v>
      </c>
      <c r="BX85" s="112">
        <f>BX84-BX83/2</f>
        <v>1615.5</v>
      </c>
      <c r="BY85" s="112">
        <f>BY84-BY83/2</f>
        <v>1612.5</v>
      </c>
      <c r="BZ85" s="115">
        <f>BZ84-BZ83/2</f>
        <v>1609.5</v>
      </c>
      <c r="CA85" s="113">
        <f>(BW85+BX85+BY85+BZ85)/4</f>
        <v>1614</v>
      </c>
      <c r="CC85" s="111">
        <f>CC84-CC83/2</f>
        <v>1606.5</v>
      </c>
      <c r="CD85" s="112">
        <f>CD84-CD83/2</f>
        <v>1603.5</v>
      </c>
      <c r="CE85" s="112">
        <f>CE84-CE83/2</f>
        <v>1600.5</v>
      </c>
      <c r="CF85" s="115">
        <f>CF84-CF83/2</f>
        <v>1597.5</v>
      </c>
      <c r="CG85" s="113">
        <f>(CC85+CD85+CE85+CF85)/4</f>
        <v>1602</v>
      </c>
      <c r="CI85" s="111">
        <f>CI84-CI83/2</f>
        <v>1594.5</v>
      </c>
      <c r="CJ85" s="112">
        <f>CJ84-CJ83/2</f>
        <v>1591.5</v>
      </c>
      <c r="CK85" s="112">
        <f>CK84-CK83/2</f>
        <v>1588.5</v>
      </c>
      <c r="CL85" s="115">
        <f>CL84-CL83/2</f>
        <v>1585.5</v>
      </c>
      <c r="CM85" s="113">
        <f>(CI85+CJ85+CK85+CL85)/4</f>
        <v>1590</v>
      </c>
      <c r="CO85" s="111">
        <f>CO84-CO83/2</f>
        <v>1582.5</v>
      </c>
      <c r="CP85" s="112">
        <f>CP84-CP83/2</f>
        <v>1579.5</v>
      </c>
      <c r="CQ85" s="112">
        <f>CQ84-CQ83/2</f>
        <v>1576.5</v>
      </c>
      <c r="CR85" s="115">
        <f>CR84-CR83/2</f>
        <v>1573.5</v>
      </c>
      <c r="CS85" s="113">
        <f>(CO85+CP85+CQ85+CR85)/4</f>
        <v>1578</v>
      </c>
      <c r="CU85" s="111">
        <f>CU84-CU83/2</f>
        <v>1570.5</v>
      </c>
      <c r="CV85" s="112">
        <f>CV84-CV83/2</f>
        <v>1567.5</v>
      </c>
      <c r="CW85" s="112">
        <f>CW84-CW83/2</f>
        <v>1564.5</v>
      </c>
      <c r="CX85" s="115">
        <f>CX84-CX83/2</f>
        <v>1561.5</v>
      </c>
      <c r="CY85" s="113">
        <f>(CU85+CV85+CW85+CX85)/4</f>
        <v>1566</v>
      </c>
      <c r="DA85" s="111">
        <f>DA84-DA83/2</f>
        <v>1558.5</v>
      </c>
      <c r="DB85" s="112">
        <f>DB84-DB83/2</f>
        <v>1555.5</v>
      </c>
      <c r="DC85" s="112">
        <f>DC84-DC83/2</f>
        <v>1552.5</v>
      </c>
      <c r="DD85" s="115">
        <f>DD84-DD83/2</f>
        <v>1549.5</v>
      </c>
      <c r="DE85" s="113">
        <f>(DA85+DB85+DC85+DD85)/4</f>
        <v>1554</v>
      </c>
      <c r="DG85" s="111">
        <f>DG84-DG83/2</f>
        <v>1546.5</v>
      </c>
      <c r="DH85" s="112">
        <f>DH84-DH83/2</f>
        <v>1543.5</v>
      </c>
      <c r="DI85" s="112">
        <f>DI84-DI83/2</f>
        <v>1540.5</v>
      </c>
      <c r="DJ85" s="115">
        <f>DJ84-DJ83/2</f>
        <v>1537.5</v>
      </c>
      <c r="DK85" s="113">
        <f>(DG85+DH85+DI85+DJ85)/4</f>
        <v>1542</v>
      </c>
    </row>
    <row r="86" spans="2:115" ht="15.75" thickBot="1" x14ac:dyDescent="0.35">
      <c r="B86" s="41" t="s">
        <v>56</v>
      </c>
      <c r="C86" s="106" t="s">
        <v>35</v>
      </c>
      <c r="D86" s="106" t="s">
        <v>35</v>
      </c>
      <c r="E86" s="106" t="s">
        <v>35</v>
      </c>
      <c r="F86" s="106" t="s">
        <v>35</v>
      </c>
      <c r="G86" s="122" t="s">
        <v>35</v>
      </c>
      <c r="H86" s="2"/>
      <c r="I86" s="155" t="s">
        <v>35</v>
      </c>
      <c r="J86" s="106" t="s">
        <v>35</v>
      </c>
      <c r="K86" s="106" t="s">
        <v>35</v>
      </c>
      <c r="L86" s="106" t="s">
        <v>35</v>
      </c>
      <c r="M86" s="122" t="s">
        <v>35</v>
      </c>
      <c r="N86" s="1"/>
      <c r="O86" s="155" t="s">
        <v>35</v>
      </c>
      <c r="P86" s="106" t="s">
        <v>35</v>
      </c>
      <c r="Q86" s="106" t="s">
        <v>35</v>
      </c>
      <c r="R86" s="106" t="s">
        <v>35</v>
      </c>
      <c r="S86" s="122" t="s">
        <v>35</v>
      </c>
      <c r="U86" s="109">
        <f>U85/O85-1</f>
        <v>-9.6806638169474435E-2</v>
      </c>
      <c r="V86" s="110">
        <f>V85/P85-1</f>
        <v>-9.8867147270854772E-2</v>
      </c>
      <c r="W86" s="110">
        <f>W85/Q85-1</f>
        <v>-9.7412882787750843E-2</v>
      </c>
      <c r="X86" s="120">
        <f>X85/R85-1</f>
        <v>-9.4554321322134927E-2</v>
      </c>
      <c r="Y86" s="122">
        <f>Y85/S85-1</f>
        <v>-9.6936114732724898E-2</v>
      </c>
      <c r="AA86" s="109">
        <f>AA85/U85-1</f>
        <v>-0.10968819599109136</v>
      </c>
      <c r="AB86" s="110">
        <f>AB85/V85-1</f>
        <v>-0.12314285714285711</v>
      </c>
      <c r="AC86" s="110">
        <f>AC85/W85-1</f>
        <v>-0.11406844106463876</v>
      </c>
      <c r="AD86" s="120">
        <f>AD85/X85-1</f>
        <v>-0.10472770795930586</v>
      </c>
      <c r="AE86" s="122">
        <f>AE85/Y85-1</f>
        <v>-0.11297191943983254</v>
      </c>
      <c r="AG86" s="109">
        <f>AG85/AA85-1</f>
        <v>-2.157598499061919E-2</v>
      </c>
      <c r="AH86" s="110">
        <f>AH85/AB85-1</f>
        <v>6.8100358422939156E-2</v>
      </c>
      <c r="AI86" s="110">
        <f>AI85/AC85-1</f>
        <v>7.461208319577417E-2</v>
      </c>
      <c r="AJ86" s="120">
        <f>AJ85/AD85-1</f>
        <v>7.9879679144384985E-2</v>
      </c>
      <c r="AK86" s="122">
        <f>AK85/AE85-1</f>
        <v>4.9235026041666741E-2</v>
      </c>
      <c r="AM86" s="109">
        <f>AM85/AG85-1</f>
        <v>3.4515819750719157E-2</v>
      </c>
      <c r="AN86" s="110">
        <f>AN85/AH85-1</f>
        <v>-1.6778523489932917E-2</v>
      </c>
      <c r="AO86" s="110">
        <f>AO85/AI85-1</f>
        <v>-1.8740399385560713E-2</v>
      </c>
      <c r="AP86" s="120">
        <f>AP85/AJ85-1</f>
        <v>-1.1761064685855804E-2</v>
      </c>
      <c r="AQ86" s="122">
        <f>AQ85/AK85-1</f>
        <v>-3.5678275032963169E-3</v>
      </c>
      <c r="AS86" s="109">
        <f>AS85/AM85-1</f>
        <v>-1.421068890948407E-2</v>
      </c>
      <c r="AT86" s="110">
        <f>AT85/AN85-1</f>
        <v>-5.2745888923363404E-3</v>
      </c>
      <c r="AU86" s="110">
        <f>AU85/AO85-1</f>
        <v>8.7664370695053062E-3</v>
      </c>
      <c r="AV86" s="120">
        <f>AV85/AP85-1</f>
        <v>1.9730660820544976E-2</v>
      </c>
      <c r="AW86" s="122">
        <f>AW85/AQ85-1</f>
        <v>2.1794971588697809E-3</v>
      </c>
      <c r="AY86" s="109">
        <f>AY85/AS85-1</f>
        <v>7.2077718583516193E-2</v>
      </c>
      <c r="AZ86" s="110">
        <f>AZ85/AT85-1</f>
        <v>5.4585152838428019E-2</v>
      </c>
      <c r="BA86" s="110">
        <f>BA85/AU85-1</f>
        <v>3.9106145251396551E-2</v>
      </c>
      <c r="BB86" s="120">
        <f>BB85/AV85-1</f>
        <v>2.9176904176904106E-2</v>
      </c>
      <c r="BC86" s="122">
        <f>BC85/AW85-1</f>
        <v>4.8621359223300908E-2</v>
      </c>
      <c r="BE86" s="109">
        <f>BE85/AY85-1</f>
        <v>-2.5723472668810254E-2</v>
      </c>
      <c r="BF86" s="110">
        <f>BF85/AZ85-1</f>
        <v>-1.9816622301094378E-2</v>
      </c>
      <c r="BG86" s="110">
        <f>BG85/BA85-1</f>
        <v>-1.2843488649940227E-2</v>
      </c>
      <c r="BH86" s="120">
        <f>BH85/BB85-1</f>
        <v>-2.14861235452104E-2</v>
      </c>
      <c r="BI86" s="122">
        <f>BI85/BC85-1</f>
        <v>-1.9998518628249751E-2</v>
      </c>
      <c r="BK86" s="109">
        <f>BK85/BE85-1</f>
        <v>-2.2202220222022229E-2</v>
      </c>
      <c r="BL86" s="110">
        <f>BL85/BF85-1</f>
        <v>-1.4182257091128525E-2</v>
      </c>
      <c r="BM86" s="110">
        <f>BM85/BG85-1</f>
        <v>-1.0287443267776086E-2</v>
      </c>
      <c r="BN86" s="120">
        <f>BN85/BH85-1</f>
        <v>-3.9646233607807391E-3</v>
      </c>
      <c r="BO86" s="122">
        <f>BO85/BI85-1</f>
        <v>-1.2697452951402011E-2</v>
      </c>
      <c r="BQ86" s="109">
        <f>BQ85/BK85-1</f>
        <v>6.1368517950288748E-4</v>
      </c>
      <c r="BR86" s="110">
        <f>BR85/BL85-1</f>
        <v>-3.6730945821854544E-3</v>
      </c>
      <c r="BS86" s="110">
        <f>BS85/BM85-1</f>
        <v>-6.7257719351879741E-3</v>
      </c>
      <c r="BT86" s="120">
        <f>BT85/BN85-1</f>
        <v>-7.0422535211267512E-3</v>
      </c>
      <c r="BU86" s="122">
        <f>BU85/BO85-1</f>
        <v>-4.2103651534869391E-3</v>
      </c>
      <c r="BW86" s="109">
        <f>BW85/BQ85-1</f>
        <v>-7.3597056117755688E-3</v>
      </c>
      <c r="BX86" s="110">
        <f>BX85/BR85-1</f>
        <v>-7.3732718894009563E-3</v>
      </c>
      <c r="BY86" s="110">
        <f>BY85/BS85-1</f>
        <v>-7.3868882733149066E-3</v>
      </c>
      <c r="BZ86" s="120">
        <f>BZ85/BT85-1</f>
        <v>-7.4005550416281762E-3</v>
      </c>
      <c r="CA86" s="122">
        <f>CA85/BU85-1</f>
        <v>-7.3800738007380184E-3</v>
      </c>
      <c r="CC86" s="109">
        <f>CC85/BW85-1</f>
        <v>-7.4142724745134281E-3</v>
      </c>
      <c r="CD86" s="110">
        <f>CD85/BX85-1</f>
        <v>-7.4280408542246601E-3</v>
      </c>
      <c r="CE86" s="110">
        <f>CE85/BY85-1</f>
        <v>-7.4418604651163012E-3</v>
      </c>
      <c r="CF86" s="120">
        <f>CF85/BZ85-1</f>
        <v>-7.45573159366264E-3</v>
      </c>
      <c r="CG86" s="122">
        <f>CG85/CA85-1</f>
        <v>-7.4349442379182396E-3</v>
      </c>
      <c r="CI86" s="109">
        <f>CI85/CC85-1</f>
        <v>-7.4696545284780314E-3</v>
      </c>
      <c r="CJ86" s="110">
        <f>CJ85/CD85-1</f>
        <v>-7.4836295603367686E-3</v>
      </c>
      <c r="CK86" s="110">
        <f>CK85/CE85-1</f>
        <v>-7.4976569821930683E-3</v>
      </c>
      <c r="CL86" s="120">
        <f>CL85/CF85-1</f>
        <v>-7.5117370892018309E-3</v>
      </c>
      <c r="CM86" s="122">
        <f>CM85/CG85-1</f>
        <v>-7.4906367041198685E-3</v>
      </c>
      <c r="CO86" s="109">
        <f>CO85/CI85-1</f>
        <v>-7.5258701787394022E-3</v>
      </c>
      <c r="CP86" s="110">
        <f>CP85/CJ85-1</f>
        <v>-7.5400565504241124E-3</v>
      </c>
      <c r="CQ86" s="110">
        <f>CQ85/CK85-1</f>
        <v>-7.5542965061378142E-3</v>
      </c>
      <c r="CR86" s="120">
        <f>CR85/CL85-1</f>
        <v>-7.5685903500473106E-3</v>
      </c>
      <c r="CS86" s="122">
        <f>CS85/CM85-1</f>
        <v>-7.547169811320753E-3</v>
      </c>
      <c r="CU86" s="109">
        <f>CU85/CO85-1</f>
        <v>-7.5829383886255597E-3</v>
      </c>
      <c r="CV86" s="110">
        <f>CV85/CP85-1</f>
        <v>-7.5973409306742123E-3</v>
      </c>
      <c r="CW86" s="110">
        <f>CW85/CQ85-1</f>
        <v>-7.6117982873453727E-3</v>
      </c>
      <c r="CX86" s="120">
        <f>CX85/CR85-1</f>
        <v>-7.6263107721639134E-3</v>
      </c>
      <c r="CY86" s="122">
        <f>CY85/CS85-1</f>
        <v>-7.6045627376425395E-3</v>
      </c>
      <c r="DA86" s="109">
        <f>DA85/CU85-1</f>
        <v>-7.6408787010505685E-3</v>
      </c>
      <c r="DB86" s="110">
        <f>DB85/CV85-1</f>
        <v>-7.6555023923444709E-3</v>
      </c>
      <c r="DC86" s="110">
        <f>DC85/CW85-1</f>
        <v>-7.6701821668264669E-3</v>
      </c>
      <c r="DD86" s="120">
        <f>DD85/CX85-1</f>
        <v>-7.684918347742542E-3</v>
      </c>
      <c r="DE86" s="122">
        <f>DE85/CY85-1</f>
        <v>-7.6628352490420992E-3</v>
      </c>
      <c r="DG86" s="109">
        <f>DG85/DA85-1</f>
        <v>-7.6997112608276908E-3</v>
      </c>
      <c r="DH86" s="110">
        <f>DH85/DB85-1</f>
        <v>-7.7145612343297865E-3</v>
      </c>
      <c r="DI86" s="110">
        <f>DI85/DC85-1</f>
        <v>-7.7294685990337841E-3</v>
      </c>
      <c r="DJ86" s="120">
        <f>DJ85/DD85-1</f>
        <v>-7.7444336882865894E-3</v>
      </c>
      <c r="DK86" s="122">
        <f>DK85/DE85-1</f>
        <v>-7.7220077220077066E-3</v>
      </c>
    </row>
    <row r="87" spans="2:115" ht="13.5" thickBot="1" x14ac:dyDescent="0.25">
      <c r="AA87" s="103"/>
      <c r="AB87" s="103"/>
      <c r="AC87" s="103"/>
      <c r="AD87" s="103"/>
      <c r="AE87" s="103"/>
      <c r="AG87" s="103"/>
      <c r="AH87" s="103"/>
      <c r="AI87" s="103"/>
      <c r="AJ87" s="103"/>
      <c r="AK87" s="103"/>
      <c r="AM87" s="103"/>
      <c r="AN87" s="103"/>
      <c r="AO87" s="103"/>
      <c r="AP87" s="103"/>
      <c r="AQ87" s="103"/>
      <c r="AS87" s="103"/>
      <c r="AT87" s="103"/>
      <c r="AU87" s="103"/>
      <c r="AV87" s="103"/>
      <c r="AW87" s="103"/>
      <c r="AY87" s="103"/>
      <c r="AZ87" s="103"/>
      <c r="BA87" s="103"/>
      <c r="BB87" s="103"/>
      <c r="BC87" s="103"/>
      <c r="BE87" s="103"/>
      <c r="BF87" s="103"/>
      <c r="BG87" s="103"/>
      <c r="BH87" s="103"/>
      <c r="BI87" s="103"/>
      <c r="BK87" s="103"/>
      <c r="BL87" s="103"/>
      <c r="BM87" s="103"/>
      <c r="BN87" s="103"/>
      <c r="BO87" s="103"/>
      <c r="BQ87" s="103"/>
      <c r="BR87" s="103"/>
      <c r="BS87" s="103"/>
      <c r="BT87" s="103"/>
      <c r="BU87" s="103"/>
      <c r="BW87" s="103"/>
      <c r="BX87" s="103"/>
      <c r="BY87" s="103"/>
      <c r="BZ87" s="103"/>
      <c r="CA87" s="103"/>
      <c r="CC87" s="103"/>
      <c r="CD87" s="103"/>
      <c r="CE87" s="103"/>
      <c r="CF87" s="103"/>
      <c r="CG87" s="103"/>
      <c r="CI87" s="103"/>
      <c r="CJ87" s="103"/>
      <c r="CK87" s="103"/>
      <c r="CL87" s="103"/>
      <c r="CM87" s="103"/>
      <c r="CO87" s="103"/>
      <c r="CP87" s="103"/>
      <c r="CQ87" s="103"/>
      <c r="CR87" s="103"/>
      <c r="CS87" s="103"/>
      <c r="CU87" s="103"/>
      <c r="CV87" s="103"/>
      <c r="CW87" s="103"/>
      <c r="CX87" s="103"/>
      <c r="CY87" s="103"/>
      <c r="DA87" s="103"/>
      <c r="DB87" s="103"/>
      <c r="DC87" s="103"/>
      <c r="DD87" s="103"/>
      <c r="DE87" s="103"/>
      <c r="DG87" s="103"/>
      <c r="DH87" s="103"/>
      <c r="DI87" s="103"/>
      <c r="DJ87" s="103"/>
      <c r="DK87" s="103"/>
    </row>
    <row r="88" spans="2:115" ht="15" x14ac:dyDescent="0.3">
      <c r="B88" s="335" t="s">
        <v>96</v>
      </c>
      <c r="C88" s="221"/>
      <c r="D88" s="222"/>
      <c r="E88" s="222"/>
      <c r="F88" s="222"/>
      <c r="G88" s="224"/>
      <c r="I88" s="221"/>
      <c r="J88" s="222"/>
      <c r="K88" s="222"/>
      <c r="L88" s="222"/>
      <c r="M88" s="224"/>
      <c r="O88" s="336">
        <f>O94*1000/(O85*3)</f>
        <v>30.84401978040399</v>
      </c>
      <c r="P88" s="337">
        <f>P94*1000/(P85*3)</f>
        <v>32.097493992447646</v>
      </c>
      <c r="Q88" s="337">
        <f>Q94*1000/(Q85*3)</f>
        <v>34.494896163322771</v>
      </c>
      <c r="R88" s="337">
        <f>R94*1000/(R85*3)</f>
        <v>35.220807369276621</v>
      </c>
      <c r="S88" s="338">
        <f>S94*1000/(S85*12)</f>
        <v>33.116036505867015</v>
      </c>
      <c r="U88" s="336">
        <f>U94*1000/(U85*3)</f>
        <v>33.778767631774315</v>
      </c>
      <c r="V88" s="337">
        <f>V94*1000/(V85*3)</f>
        <v>33.333333333333336</v>
      </c>
      <c r="W88" s="337">
        <f>W94*1000/(W85*3)</f>
        <v>32.173150043872475</v>
      </c>
      <c r="X88" s="337">
        <f>X94*1000/(X85*3)</f>
        <v>34.410532615200481</v>
      </c>
      <c r="Y88" s="338">
        <f>Y94*1000/(Y85*12)</f>
        <v>33.422363386991989</v>
      </c>
      <c r="AA88" s="336">
        <f>AA94*1000/(AA85*3)</f>
        <v>32.93725244944757</v>
      </c>
      <c r="AB88" s="337">
        <f>AB94*1000/(AB85*3)</f>
        <v>35.190615835777123</v>
      </c>
      <c r="AC88" s="337">
        <f>AC94*1000/(AC85*3)</f>
        <v>34.774953229888851</v>
      </c>
      <c r="AD88" s="337">
        <f>AD94*1000/(AD85*3)</f>
        <v>34.982174688057043</v>
      </c>
      <c r="AE88" s="338">
        <f>AE94*1000/(AE85*12)</f>
        <v>34.450954861111114</v>
      </c>
      <c r="AG88" s="336">
        <f>AG94*1000/(AG85*3)</f>
        <v>34.089698519228719</v>
      </c>
      <c r="AH88" s="337">
        <f>AH94*1000/(AH85*3)</f>
        <v>30.709782387634736</v>
      </c>
      <c r="AI88" s="337">
        <f>AI94*1000/(AI85*3)</f>
        <v>33.384536610343062</v>
      </c>
      <c r="AJ88" s="337">
        <f>AJ94*1000/(AJ85*3)</f>
        <v>39.203548952852572</v>
      </c>
      <c r="AK88" s="338">
        <f>AK94*1000/(AK85*12)</f>
        <v>34.333876263605575</v>
      </c>
      <c r="AM88" s="336">
        <f>AM94*1000/(AM85*3)</f>
        <v>41.602306662547626</v>
      </c>
      <c r="AN88" s="337">
        <f>AN94*1000/(AN85*3)</f>
        <v>36.611852311511015</v>
      </c>
      <c r="AO88" s="337">
        <f>AO94*1000/(AO85*3)</f>
        <v>35.900647046545608</v>
      </c>
      <c r="AP88" s="337">
        <f>AP94*1000/(AP85*3)</f>
        <v>41.340432195427496</v>
      </c>
      <c r="AQ88" s="338">
        <f>AQ94*1000/(AQ85*12)</f>
        <v>38.867699333177654</v>
      </c>
      <c r="AS88" s="336">
        <f>AS94*1000/(AS85*3)</f>
        <v>37.605766217486682</v>
      </c>
      <c r="AT88" s="337">
        <f>AT94*1000/(AT85*3)</f>
        <v>33.894780619671451</v>
      </c>
      <c r="AU88" s="337">
        <f>AU94*1000/(AU85*3)</f>
        <v>33.726463894061659</v>
      </c>
      <c r="AV88" s="337">
        <f>AV94*1000/(AV85*3)</f>
        <v>36.036036036036037</v>
      </c>
      <c r="AW88" s="338">
        <f>AW94*1000/(AW85*12)</f>
        <v>35.313915857605181</v>
      </c>
      <c r="AY88" s="336">
        <f>AY94*1000/(AY85*3)</f>
        <v>44.431452791581407</v>
      </c>
      <c r="AZ88" s="337">
        <f>AZ94*1000/(AZ85*3)</f>
        <v>46.140195208518193</v>
      </c>
      <c r="BA88" s="337">
        <f>BA94*1000/(BA85*3)</f>
        <v>43.608124253285546</v>
      </c>
      <c r="BB88" s="337">
        <f>BB94*1000/(BB85*3)</f>
        <v>58.092111807420672</v>
      </c>
      <c r="BC88" s="338">
        <f>BC94*1000/(BC85*12)</f>
        <v>48.045823766140778</v>
      </c>
      <c r="BE88" s="336">
        <f>BE94*1000/(BE85*3)</f>
        <v>38.803880388038806</v>
      </c>
      <c r="BF88" s="337">
        <f>BF94*1000/(BF85*3)</f>
        <v>37.819352243009455</v>
      </c>
      <c r="BG88" s="337">
        <f>BG94*1000/(BG85*3)</f>
        <v>37.922339889056985</v>
      </c>
      <c r="BH88" s="337">
        <f>BH94*1000/(BH85*3)</f>
        <v>44.322456033343499</v>
      </c>
      <c r="BI88" s="338">
        <f>BI94*1000/(BI85*12)</f>
        <v>39.704733832161843</v>
      </c>
      <c r="BK88" s="336">
        <f>BK94*1000/(BK85*3)</f>
        <v>40.503221847192393</v>
      </c>
      <c r="BL88" s="337">
        <f>BL94*1000/(BL85*3)</f>
        <v>45.301499846954393</v>
      </c>
      <c r="BM88" s="337">
        <f>BM94*1000/(BM85*3)</f>
        <v>43.004178131050644</v>
      </c>
      <c r="BN88" s="337">
        <f>BN94*1000/(BN85*3)</f>
        <v>47.560726678914065</v>
      </c>
      <c r="BO88" s="338">
        <f>BO94*1000/(BO85*12)</f>
        <v>44.094005971063311</v>
      </c>
      <c r="BQ88" s="336">
        <f>BQ91/BQ23</f>
        <v>42.807886161795132</v>
      </c>
      <c r="BR88" s="337">
        <f>BR91/BR23</f>
        <v>47.483716934743327</v>
      </c>
      <c r="BS88" s="337">
        <f>BS91/BS23</f>
        <v>43.782434217479782</v>
      </c>
      <c r="BT88" s="337">
        <f>BT91/BT23</f>
        <v>48.286108936188427</v>
      </c>
      <c r="BU88" s="338">
        <f>BU94*1000/(BU85*12)</f>
        <v>45.587099896129644</v>
      </c>
      <c r="BW88" s="336">
        <f>BW91/BW23</f>
        <v>42.593846730986158</v>
      </c>
      <c r="BX88" s="337">
        <f>BX91/BX23</f>
        <v>47.246298350069608</v>
      </c>
      <c r="BY88" s="337">
        <f>BY91/BY23</f>
        <v>43.563522046392379</v>
      </c>
      <c r="BZ88" s="337">
        <f>BZ91/BZ23</f>
        <v>48.044678391507489</v>
      </c>
      <c r="CA88" s="338">
        <f>CA94*1000/(CA85*12)</f>
        <v>45.359142671867659</v>
      </c>
      <c r="CC88" s="336">
        <f>CC91/CC23</f>
        <v>42.380877497331227</v>
      </c>
      <c r="CD88" s="337">
        <f>CD91/CD23</f>
        <v>47.010066858319263</v>
      </c>
      <c r="CE88" s="337">
        <f>CE91/CE23</f>
        <v>43.345704436160418</v>
      </c>
      <c r="CF88" s="337">
        <f>CF91/CF23</f>
        <v>47.804454999549954</v>
      </c>
      <c r="CG88" s="338">
        <f>CG94*1000/(CG85*12)</f>
        <v>45.13232501851332</v>
      </c>
      <c r="CI88" s="336">
        <f>CI91/CI23</f>
        <v>42.168973109844565</v>
      </c>
      <c r="CJ88" s="337">
        <f>CJ91/CJ23</f>
        <v>46.775016524027663</v>
      </c>
      <c r="CK88" s="337">
        <f>CK91/CK23</f>
        <v>43.128975913979609</v>
      </c>
      <c r="CL88" s="337">
        <f>CL91/CL23</f>
        <v>47.565432724552203</v>
      </c>
      <c r="CM88" s="338">
        <f>CM94*1000/(CM85*12)</f>
        <v>44.906641233611843</v>
      </c>
      <c r="CO88" s="336">
        <f>CO91/CO23</f>
        <v>41.958128244295345</v>
      </c>
      <c r="CP88" s="337">
        <f>CP91/CP23</f>
        <v>46.541141441407525</v>
      </c>
      <c r="CQ88" s="337">
        <f>CQ91/CQ23</f>
        <v>42.913331034409715</v>
      </c>
      <c r="CR88" s="337">
        <f>CR91/CR23</f>
        <v>47.327605560929442</v>
      </c>
      <c r="CS88" s="338">
        <f>CS94*1000/(CS85*12)</f>
        <v>44.682085643087767</v>
      </c>
      <c r="CU88" s="336">
        <f>CU91/CU23</f>
        <v>41.748337603073864</v>
      </c>
      <c r="CV88" s="337">
        <f>CV91/CV23</f>
        <v>46.308435734200486</v>
      </c>
      <c r="CW88" s="337">
        <f>CW91/CW23</f>
        <v>42.698764379237666</v>
      </c>
      <c r="CX88" s="337">
        <f>CX91/CX23</f>
        <v>47.090967533124797</v>
      </c>
      <c r="CY88" s="338">
        <f>CY94*1000/(CY85*12)</f>
        <v>44.458652601098095</v>
      </c>
      <c r="DA88" s="336">
        <f>DA91/DA23</f>
        <v>41.539595915058491</v>
      </c>
      <c r="DB88" s="337">
        <f>DB91/DB23</f>
        <v>46.076893555529487</v>
      </c>
      <c r="DC88" s="337">
        <f>DC91/DC23</f>
        <v>42.485270557341472</v>
      </c>
      <c r="DD88" s="337">
        <f>DD91/DD23</f>
        <v>46.855512695459176</v>
      </c>
      <c r="DE88" s="338">
        <f>DE94*1000/(DE85*12)</f>
        <v>44.236336489886</v>
      </c>
      <c r="DG88" s="336">
        <f>DG91/DG23</f>
        <v>41.331897935483198</v>
      </c>
      <c r="DH88" s="337">
        <f>DH91/DH23</f>
        <v>45.846509087751841</v>
      </c>
      <c r="DI88" s="337">
        <f>DI91/DI23</f>
        <v>42.272844204554765</v>
      </c>
      <c r="DJ88" s="337">
        <f>DJ91/DJ23</f>
        <v>46.621235131981877</v>
      </c>
      <c r="DK88" s="338">
        <f>DK94*1000/(DK85*12)</f>
        <v>44.015131719634979</v>
      </c>
    </row>
    <row r="89" spans="2:115" ht="15.75" thickBot="1" x14ac:dyDescent="0.35">
      <c r="B89" s="41" t="s">
        <v>56</v>
      </c>
      <c r="C89" s="155"/>
      <c r="D89" s="106"/>
      <c r="E89" s="106"/>
      <c r="F89" s="106"/>
      <c r="G89" s="108"/>
      <c r="I89" s="155"/>
      <c r="J89" s="106"/>
      <c r="K89" s="106"/>
      <c r="L89" s="106"/>
      <c r="M89" s="108"/>
      <c r="O89" s="155" t="s">
        <v>35</v>
      </c>
      <c r="P89" s="106" t="s">
        <v>35</v>
      </c>
      <c r="Q89" s="106" t="s">
        <v>35</v>
      </c>
      <c r="R89" s="106" t="s">
        <v>35</v>
      </c>
      <c r="S89" s="122" t="s">
        <v>35</v>
      </c>
      <c r="U89" s="109">
        <f>U88/O88-1</f>
        <v>9.5148034279074256E-2</v>
      </c>
      <c r="V89" s="110">
        <f>V88/P88-1</f>
        <v>3.8502673796791509E-2</v>
      </c>
      <c r="W89" s="110">
        <f>W88/Q88-1</f>
        <v>-6.7306946177125404E-2</v>
      </c>
      <c r="X89" s="110">
        <f>X88/R88-1</f>
        <v>-2.3005570133038722E-2</v>
      </c>
      <c r="Y89" s="122">
        <f>Y88/S88-1</f>
        <v>9.2501070008998987E-3</v>
      </c>
      <c r="AA89" s="109">
        <f>AA88/U88-1</f>
        <v>-2.4912548364706022E-2</v>
      </c>
      <c r="AB89" s="110">
        <f>AB88/V88-1</f>
        <v>5.5718475073313734E-2</v>
      </c>
      <c r="AC89" s="110">
        <f>AC88/W88-1</f>
        <v>8.0868773572636332E-2</v>
      </c>
      <c r="AD89" s="110">
        <f>AD88/X88-1</f>
        <v>1.661241571727512E-2</v>
      </c>
      <c r="AE89" s="122">
        <f>AE88/Y88-1</f>
        <v>3.0775545768838564E-2</v>
      </c>
      <c r="AG89" s="109">
        <f>AG88/AA88-1</f>
        <v>3.4989137954051674E-2</v>
      </c>
      <c r="AH89" s="110">
        <f>AH88/AB88-1</f>
        <v>-0.12733035048471286</v>
      </c>
      <c r="AI89" s="110">
        <f>AI88/AC88-1</f>
        <v>-3.9983277917128413E-2</v>
      </c>
      <c r="AJ89" s="110">
        <f>AJ88/AD88-1</f>
        <v>0.12067215095797668</v>
      </c>
      <c r="AK89" s="122">
        <f>AK88/AE88-1</f>
        <v>-3.3984137153103555E-3</v>
      </c>
      <c r="AM89" s="109">
        <f>AM88/AG88-1</f>
        <v>0.22037766450417062</v>
      </c>
      <c r="AN89" s="110">
        <f>AN88/AH88-1</f>
        <v>0.19218859480595807</v>
      </c>
      <c r="AO89" s="110">
        <f>AO88/AI88-1</f>
        <v>7.5367541133490423E-2</v>
      </c>
      <c r="AP89" s="110">
        <f>AP88/AJ88-1</f>
        <v>5.4507392816522948E-2</v>
      </c>
      <c r="AQ89" s="122">
        <f>AQ88/AK88-1</f>
        <v>0.13205101092468263</v>
      </c>
      <c r="AS89" s="109">
        <f>AS88/AM88-1</f>
        <v>-9.606535708412578E-2</v>
      </c>
      <c r="AT89" s="110">
        <f>AT88/AN88-1</f>
        <v>-7.4212898837278996E-2</v>
      </c>
      <c r="AU89" s="110">
        <f>AU88/AO88-1</f>
        <v>-6.0561113276456968E-2</v>
      </c>
      <c r="AV89" s="110">
        <f>AV88/AP88-1</f>
        <v>-0.12831012831012822</v>
      </c>
      <c r="AW89" s="122">
        <f>AW88/AQ88-1</f>
        <v>-9.1432823052095213E-2</v>
      </c>
      <c r="AY89" s="109">
        <f>AY88/AS88-1</f>
        <v>0.1815063821494689</v>
      </c>
      <c r="AZ89" s="110">
        <f>AZ88/AT88-1</f>
        <v>0.36127729299241707</v>
      </c>
      <c r="BA89" s="110">
        <f>BA88/AU88-1</f>
        <v>0.29299426083514746</v>
      </c>
      <c r="BB89" s="110">
        <f>BB88/AV88-1</f>
        <v>0.61205610265592347</v>
      </c>
      <c r="BC89" s="122">
        <f>BC88/AW88-1</f>
        <v>0.36053514880292337</v>
      </c>
      <c r="BE89" s="109">
        <f>BE88/AY88-1</f>
        <v>-0.12665740258236347</v>
      </c>
      <c r="BF89" s="110">
        <f>BF88/AZ88-1</f>
        <v>-0.18033826965631439</v>
      </c>
      <c r="BG89" s="110">
        <f>BG88/BA88-1</f>
        <v>-0.13038360309203578</v>
      </c>
      <c r="BH89" s="110">
        <f>BH88/BB88-1</f>
        <v>-0.23703142037122915</v>
      </c>
      <c r="BI89" s="122">
        <f>BI88/BC88-1</f>
        <v>-0.17360697101538991</v>
      </c>
      <c r="BK89" s="109">
        <f>BK88/BE88-1</f>
        <v>4.3793080541434826E-2</v>
      </c>
      <c r="BL89" s="110">
        <f>BL88/BF88-1</f>
        <v>0.19783912627239508</v>
      </c>
      <c r="BM89" s="110">
        <f>BM88/BG88-1</f>
        <v>0.13400645257810395</v>
      </c>
      <c r="BN89" s="110">
        <f>BN88/BH88-1</f>
        <v>7.3061624634123135E-2</v>
      </c>
      <c r="BO89" s="122">
        <f>BO88/BI88-1</f>
        <v>0.1105478293206954</v>
      </c>
      <c r="BQ89" s="109">
        <f>BQ88/BK88-1</f>
        <v>5.6900765161290279E-2</v>
      </c>
      <c r="BR89" s="110">
        <f>BR88/BL88-1</f>
        <v>4.8170967741935522E-2</v>
      </c>
      <c r="BS89" s="110">
        <f>BS88/BM88-1</f>
        <v>1.8097220322580876E-2</v>
      </c>
      <c r="BT89" s="110">
        <f>BT88/BN88-1</f>
        <v>1.5251706774193519E-2</v>
      </c>
      <c r="BU89" s="122">
        <f>BU88/BO88-1</f>
        <v>3.3861607540176308E-2</v>
      </c>
      <c r="BW89" s="109">
        <f>BW88/BQ88-1</f>
        <v>-5.0000000000000044E-3</v>
      </c>
      <c r="BX89" s="110">
        <f>BX88/BR88-1</f>
        <v>-5.0000000000000044E-3</v>
      </c>
      <c r="BY89" s="110">
        <f>BY88/BS88-1</f>
        <v>-5.0000000000001155E-3</v>
      </c>
      <c r="BZ89" s="110">
        <f>BZ88/BT88-1</f>
        <v>-4.9999999999998934E-3</v>
      </c>
      <c r="CA89" s="122">
        <f>CA88/BU88-1</f>
        <v>-5.0004765554594321E-3</v>
      </c>
      <c r="CC89" s="109">
        <f>CC88/BW88-1</f>
        <v>-5.0000000000000044E-3</v>
      </c>
      <c r="CD89" s="110">
        <f>CD88/BX88-1</f>
        <v>-4.9999999999998934E-3</v>
      </c>
      <c r="CE89" s="110">
        <f>CE88/BY88-1</f>
        <v>-5.0000000000000044E-3</v>
      </c>
      <c r="CF89" s="110">
        <f>CF88/BZ88-1</f>
        <v>-5.0000000000000044E-3</v>
      </c>
      <c r="CG89" s="122">
        <f>CG88/CA88-1</f>
        <v>-5.0004836950988674E-3</v>
      </c>
      <c r="CI89" s="109">
        <f>CI88/CC88-1</f>
        <v>-5.0000000000001155E-3</v>
      </c>
      <c r="CJ89" s="110">
        <f>CJ88/CD88-1</f>
        <v>-5.0000000000001155E-3</v>
      </c>
      <c r="CK89" s="110">
        <f>CK88/CE88-1</f>
        <v>-5.0000000000001155E-3</v>
      </c>
      <c r="CL89" s="110">
        <f>CL88/CF88-1</f>
        <v>-5.0000000000000044E-3</v>
      </c>
      <c r="CM89" s="122">
        <f>CM88/CG88-1</f>
        <v>-5.0004909963956568E-3</v>
      </c>
      <c r="CO89" s="109">
        <f>CO88/CI88-1</f>
        <v>-4.9999999999998934E-3</v>
      </c>
      <c r="CP89" s="110">
        <f>CP88/CJ88-1</f>
        <v>-5.0000000000000044E-3</v>
      </c>
      <c r="CQ89" s="110">
        <f>CQ88/CK88-1</f>
        <v>-4.9999999999998934E-3</v>
      </c>
      <c r="CR89" s="110">
        <f>CR88/CL88-1</f>
        <v>-5.0000000000000044E-3</v>
      </c>
      <c r="CS89" s="122">
        <f>CS88/CM88-1</f>
        <v>-5.0004984642672001E-3</v>
      </c>
      <c r="CU89" s="109">
        <f>CU88/CO88-1</f>
        <v>-5.0000000000001155E-3</v>
      </c>
      <c r="CV89" s="110">
        <f>CV88/CP88-1</f>
        <v>-5.0000000000000044E-3</v>
      </c>
      <c r="CW89" s="110">
        <f>CW88/CQ88-1</f>
        <v>-5.0000000000000044E-3</v>
      </c>
      <c r="CX89" s="110">
        <f>CX88/CR88-1</f>
        <v>-5.0000000000000044E-3</v>
      </c>
      <c r="CY89" s="122">
        <f>CY88/CS88-1</f>
        <v>-5.0005061038200793E-3</v>
      </c>
      <c r="DA89" s="109">
        <f>DA88/CU88-1</f>
        <v>-5.0000000000001155E-3</v>
      </c>
      <c r="DB89" s="110">
        <f>DB88/CV88-1</f>
        <v>-4.9999999999998934E-3</v>
      </c>
      <c r="DC89" s="110">
        <f>DC88/CW88-1</f>
        <v>-5.0000000000001155E-3</v>
      </c>
      <c r="DD89" s="110">
        <f>DD88/CX88-1</f>
        <v>-4.9999999999998934E-3</v>
      </c>
      <c r="DE89" s="122">
        <f>DE88/CY88-1</f>
        <v>-5.0005139203567195E-3</v>
      </c>
      <c r="DG89" s="109">
        <f>DG88/DA88-1</f>
        <v>-5.0000000000000044E-3</v>
      </c>
      <c r="DH89" s="110">
        <f>DH88/DB88-1</f>
        <v>-5.0000000000000044E-3</v>
      </c>
      <c r="DI89" s="110">
        <f>DI88/DC88-1</f>
        <v>-5.0000000000000044E-3</v>
      </c>
      <c r="DJ89" s="110">
        <f>DJ88/DD88-1</f>
        <v>-5.0000000000001155E-3</v>
      </c>
      <c r="DK89" s="122">
        <f>DK88/DE88-1</f>
        <v>-5.0005219193862693E-3</v>
      </c>
    </row>
    <row r="90" spans="2:115" ht="13.5" thickBot="1" x14ac:dyDescent="0.25">
      <c r="AA90" s="103"/>
      <c r="AB90" s="103"/>
      <c r="AC90" s="103"/>
      <c r="AD90" s="103"/>
      <c r="AE90" s="103"/>
      <c r="AG90" s="103"/>
      <c r="AH90" s="103"/>
      <c r="AI90" s="103"/>
      <c r="AJ90" s="103"/>
      <c r="AK90" s="103"/>
      <c r="AM90" s="103"/>
      <c r="AN90" s="103"/>
      <c r="AO90" s="103"/>
      <c r="AP90" s="103"/>
      <c r="AQ90" s="103"/>
      <c r="AS90" s="103"/>
      <c r="AT90" s="103"/>
      <c r="AU90" s="103"/>
      <c r="AV90" s="103"/>
      <c r="AW90" s="103"/>
      <c r="AY90" s="103"/>
      <c r="AZ90" s="103"/>
      <c r="BA90" s="103"/>
      <c r="BB90" s="103"/>
      <c r="BC90" s="103"/>
      <c r="BE90" s="103"/>
      <c r="BF90" s="103"/>
      <c r="BG90" s="103"/>
      <c r="BH90" s="103"/>
      <c r="BI90" s="103"/>
      <c r="BK90" s="103"/>
      <c r="BL90" s="103"/>
      <c r="BM90" s="103"/>
      <c r="BN90" s="103"/>
      <c r="BO90" s="103"/>
      <c r="BQ90" s="103"/>
      <c r="BR90" s="103"/>
      <c r="BS90" s="103"/>
      <c r="BT90" s="103"/>
      <c r="BU90" s="103"/>
      <c r="BW90" s="103"/>
      <c r="BX90" s="103"/>
      <c r="BY90" s="103"/>
      <c r="BZ90" s="103"/>
      <c r="CA90" s="103"/>
      <c r="CC90" s="103"/>
      <c r="CD90" s="103"/>
      <c r="CE90" s="103"/>
      <c r="CF90" s="103"/>
      <c r="CG90" s="103"/>
      <c r="CI90" s="103"/>
      <c r="CJ90" s="103"/>
      <c r="CK90" s="103"/>
      <c r="CL90" s="103"/>
      <c r="CM90" s="103"/>
      <c r="CO90" s="103"/>
      <c r="CP90" s="103"/>
      <c r="CQ90" s="103"/>
      <c r="CR90" s="103"/>
      <c r="CS90" s="103"/>
      <c r="CU90" s="103"/>
      <c r="CV90" s="103"/>
      <c r="CW90" s="103"/>
      <c r="CX90" s="103"/>
      <c r="CY90" s="103"/>
      <c r="DA90" s="103"/>
      <c r="DB90" s="103"/>
      <c r="DC90" s="103"/>
      <c r="DD90" s="103"/>
      <c r="DE90" s="103"/>
      <c r="DG90" s="103"/>
      <c r="DH90" s="103"/>
      <c r="DI90" s="103"/>
      <c r="DJ90" s="103"/>
      <c r="DK90" s="103"/>
    </row>
    <row r="91" spans="2:115" ht="15" x14ac:dyDescent="0.3">
      <c r="B91" s="335" t="s">
        <v>140</v>
      </c>
      <c r="C91" s="221"/>
      <c r="D91" s="222"/>
      <c r="E91" s="222"/>
      <c r="F91" s="222"/>
      <c r="G91" s="224"/>
      <c r="I91" s="221"/>
      <c r="J91" s="222"/>
      <c r="K91" s="222"/>
      <c r="L91" s="222"/>
      <c r="M91" s="224"/>
      <c r="O91" s="111">
        <f>O88*O23</f>
        <v>9073.4784725371792</v>
      </c>
      <c r="P91" s="112">
        <f>P88*P23</f>
        <v>9175.0641711347798</v>
      </c>
      <c r="Q91" s="112">
        <f>Q88*Q23</f>
        <v>9359.7261029349847</v>
      </c>
      <c r="R91" s="112">
        <f>R88*R23</f>
        <v>9541.8312118759823</v>
      </c>
      <c r="S91" s="113">
        <f>(O91+P91+Q91+R91)/4</f>
        <v>9287.5249896207315</v>
      </c>
      <c r="U91" s="111">
        <f>U88*U23</f>
        <v>9071.7055137931802</v>
      </c>
      <c r="V91" s="112">
        <f>V88*V23</f>
        <v>9157.408526646228</v>
      </c>
      <c r="W91" s="112">
        <f>W88*W23</f>
        <v>9088.0497050620506</v>
      </c>
      <c r="X91" s="112">
        <f>X88*X23</f>
        <v>9489.0792109930644</v>
      </c>
      <c r="Y91" s="113">
        <f>(U91+V91+W91+X91)/4</f>
        <v>9201.5607391236317</v>
      </c>
      <c r="AA91" s="111">
        <f>AA88*AA23</f>
        <v>8972.8944900762981</v>
      </c>
      <c r="AB91" s="112">
        <f>AB88*AB23</f>
        <v>9375.9633802373173</v>
      </c>
      <c r="AC91" s="112">
        <f>AC88*AC23</f>
        <v>9568.3053359405149</v>
      </c>
      <c r="AD91" s="112">
        <f>AD88*AD23</f>
        <v>10612.396950583841</v>
      </c>
      <c r="AE91" s="113">
        <f>(AA91+AB91+AC91+AD91)/4</f>
        <v>9632.3900392094929</v>
      </c>
      <c r="AG91" s="111">
        <f>AG88*AG23</f>
        <v>10120.803056524017</v>
      </c>
      <c r="AH91" s="112">
        <f>AH88*AH23</f>
        <v>9021.3306741031447</v>
      </c>
      <c r="AI91" s="112">
        <f>AI88*AI23</f>
        <v>9446.5377146172414</v>
      </c>
      <c r="AJ91" s="112">
        <f>AJ88*AJ23</f>
        <v>11096.10820920287</v>
      </c>
      <c r="AK91" s="113">
        <f>(AG91+AH91+AI91+AJ91)/4</f>
        <v>9921.1949136118164</v>
      </c>
      <c r="AM91" s="111">
        <f>AM88*AM23</f>
        <v>12330.518612581656</v>
      </c>
      <c r="AN91" s="112">
        <f>AN88*AN23</f>
        <v>10827.71242847033</v>
      </c>
      <c r="AO91" s="112">
        <f>AO88*AO23</f>
        <v>10697.323943262181</v>
      </c>
      <c r="AP91" s="112">
        <f>AP88*AP23</f>
        <v>12301.320338454612</v>
      </c>
      <c r="AQ91" s="113">
        <f>(AM91+AN91+AO91+AP91)/4</f>
        <v>11539.218830692194</v>
      </c>
      <c r="AS91" s="111">
        <f>AS88*AS23</f>
        <v>11571.859527314842</v>
      </c>
      <c r="AT91" s="112">
        <f>AT88*AT23</f>
        <v>10371.87858433313</v>
      </c>
      <c r="AU91" s="112">
        <f>AU88*AU23</f>
        <v>10530.108682259501</v>
      </c>
      <c r="AV91" s="112">
        <f>AV88*AV23</f>
        <v>11114.309253598836</v>
      </c>
      <c r="AW91" s="113">
        <f>(AS91+AT91+AU91+AV91)/4</f>
        <v>10897.039011876579</v>
      </c>
      <c r="AY91" s="111">
        <f>AY88*AY23</f>
        <v>13729.344174591937</v>
      </c>
      <c r="AZ91" s="112">
        <f>AZ88*AZ23</f>
        <v>14118.945874001774</v>
      </c>
      <c r="BA91" s="112">
        <f>BA88*BA23</f>
        <v>13609.963882915174</v>
      </c>
      <c r="BB91" s="112">
        <f>BB88*BB23</f>
        <v>18155.778080175074</v>
      </c>
      <c r="BC91" s="113">
        <f>(AY91+AZ91+BA91+BB91)/4</f>
        <v>14903.508002920989</v>
      </c>
      <c r="BE91" s="111">
        <f>BE88*BE23</f>
        <v>12105.574389438945</v>
      </c>
      <c r="BF91" s="112">
        <f>BF88*BF23</f>
        <v>11848.198704486018</v>
      </c>
      <c r="BG91" s="112">
        <f>BG88*BG23</f>
        <v>11793.649371659103</v>
      </c>
      <c r="BH91" s="112">
        <f>BH88*BH23</f>
        <v>13712.914034766698</v>
      </c>
      <c r="BI91" s="113">
        <f>(BE91+BF91+BG91+BH91)/4</f>
        <v>12365.084125087691</v>
      </c>
      <c r="BK91" s="111">
        <f>BK88*BK23</f>
        <v>12519.287462411783</v>
      </c>
      <c r="BL91" s="112">
        <f>BL88*BL23</f>
        <v>14019.002142638505</v>
      </c>
      <c r="BM91" s="112">
        <f>BM88*BM23</f>
        <v>13177.237482930806</v>
      </c>
      <c r="BN91" s="112">
        <f>BN88*BN23</f>
        <v>14820.48888140437</v>
      </c>
      <c r="BO91" s="113">
        <f>(BK91+BL91+BM91+BN91)/4</f>
        <v>13634.003992346366</v>
      </c>
      <c r="BQ91" s="111">
        <f>BK91*(1+BQ92)</f>
        <v>13270.444710156491</v>
      </c>
      <c r="BR91" s="112">
        <f>BL91*(1+BR92)</f>
        <v>14719.952249770431</v>
      </c>
      <c r="BS91" s="112">
        <f>BM91*(1+BS92)</f>
        <v>13572.554607418731</v>
      </c>
      <c r="BT91" s="112">
        <f>BN91*(1+BT92)</f>
        <v>14968.693770218413</v>
      </c>
      <c r="BU91" s="113">
        <f>(BQ91+BR91+BS91+BT91)/4</f>
        <v>14132.911334391018</v>
      </c>
      <c r="BW91" s="111">
        <f>BQ91*(1+BW92)</f>
        <v>13204.092486605708</v>
      </c>
      <c r="BX91" s="112">
        <f>BR91*(1+BX92)</f>
        <v>14646.352488521579</v>
      </c>
      <c r="BY91" s="112">
        <f>BS91*(1+BY92)</f>
        <v>13504.691834381638</v>
      </c>
      <c r="BZ91" s="112">
        <f>BT91*(1+BZ92)</f>
        <v>14893.850301367322</v>
      </c>
      <c r="CA91" s="113">
        <f>(BW91+BX91+BY91+BZ91)/4</f>
        <v>14062.246777719061</v>
      </c>
      <c r="CC91" s="111">
        <f>BW91*(1+CC92)</f>
        <v>13138.072024172679</v>
      </c>
      <c r="CD91" s="112">
        <f>BX91*(1+CD92)</f>
        <v>14573.120726078971</v>
      </c>
      <c r="CE91" s="112">
        <f>BY91*(1+CE92)</f>
        <v>13437.168375209729</v>
      </c>
      <c r="CF91" s="112">
        <f>BZ91*(1+CF92)</f>
        <v>14819.381049860485</v>
      </c>
      <c r="CG91" s="113">
        <f>(CC91+CD91+CE91+CF91)/4</f>
        <v>13991.935543830466</v>
      </c>
      <c r="CI91" s="111">
        <f>CC91*(1+CI92)</f>
        <v>13072.381664051816</v>
      </c>
      <c r="CJ91" s="112">
        <f>CD91*(1+CJ92)</f>
        <v>14500.255122448576</v>
      </c>
      <c r="CK91" s="112">
        <f>CE91*(1+CK92)</f>
        <v>13369.982533333679</v>
      </c>
      <c r="CL91" s="112">
        <f>CF91*(1+CL92)</f>
        <v>14745.284144611183</v>
      </c>
      <c r="CM91" s="113">
        <f>(CI91+CJ91+CK91+CL91)/4</f>
        <v>13921.975866111314</v>
      </c>
      <c r="CO91" s="111">
        <f>CI91*(1+CO92)</f>
        <v>13007.019755731557</v>
      </c>
      <c r="CP91" s="112">
        <f>CJ91*(1+CP92)</f>
        <v>14427.753846836333</v>
      </c>
      <c r="CQ91" s="112">
        <f>CK91*(1+CQ92)</f>
        <v>13303.132620667011</v>
      </c>
      <c r="CR91" s="112">
        <f>CL91*(1+CR92)</f>
        <v>14671.557723888127</v>
      </c>
      <c r="CS91" s="113">
        <f>(CO91+CP91+CQ91+CR91)/4</f>
        <v>13852.365986780758</v>
      </c>
      <c r="CU91" s="111">
        <f>CO91*(1+CU92)</f>
        <v>12941.984656952898</v>
      </c>
      <c r="CV91" s="112">
        <f>CP91*(1+CV92)</f>
        <v>14355.615077602151</v>
      </c>
      <c r="CW91" s="112">
        <f>CQ91*(1+CW92)</f>
        <v>13236.616957563676</v>
      </c>
      <c r="CX91" s="112">
        <f>CR91*(1+CX92)</f>
        <v>14598.199935268687</v>
      </c>
      <c r="CY91" s="113">
        <f>(CU91+CV91+CW91+CX91)/4</f>
        <v>13783.104156846854</v>
      </c>
      <c r="DA91" s="111">
        <f>CU91*(1+DA92)</f>
        <v>12877.274733668133</v>
      </c>
      <c r="DB91" s="112">
        <f>CV91*(1+DB92)</f>
        <v>14283.837002214141</v>
      </c>
      <c r="DC91" s="112">
        <f>CW91*(1+DC92)</f>
        <v>13170.433872775857</v>
      </c>
      <c r="DD91" s="112">
        <f>CX91*(1+DD92)</f>
        <v>14525.208935592344</v>
      </c>
      <c r="DE91" s="113">
        <f>(DA91+DB91+DC91+DD91)/4</f>
        <v>13714.188636062619</v>
      </c>
      <c r="DG91" s="111">
        <f>DA91*(1+DG92)</f>
        <v>12812.888359999792</v>
      </c>
      <c r="DH91" s="112">
        <f>DB91*(1+DH92)</f>
        <v>14212.41781720307</v>
      </c>
      <c r="DI91" s="112">
        <f>DC91*(1+DI92)</f>
        <v>13104.581703411977</v>
      </c>
      <c r="DJ91" s="112">
        <f>DD91*(1+DJ92)</f>
        <v>14452.582890914382</v>
      </c>
      <c r="DK91" s="113">
        <f>(DG91+DH91+DI91+DJ91)/4</f>
        <v>13645.617692882304</v>
      </c>
    </row>
    <row r="92" spans="2:115" ht="15.75" thickBot="1" x14ac:dyDescent="0.35">
      <c r="B92" s="41" t="s">
        <v>56</v>
      </c>
      <c r="C92" s="155"/>
      <c r="D92" s="106"/>
      <c r="E92" s="106"/>
      <c r="F92" s="106"/>
      <c r="G92" s="108"/>
      <c r="I92" s="155"/>
      <c r="J92" s="106"/>
      <c r="K92" s="106"/>
      <c r="L92" s="106"/>
      <c r="M92" s="108"/>
      <c r="O92" s="155" t="s">
        <v>35</v>
      </c>
      <c r="P92" s="106" t="s">
        <v>35</v>
      </c>
      <c r="Q92" s="106" t="s">
        <v>35</v>
      </c>
      <c r="R92" s="106" t="s">
        <v>35</v>
      </c>
      <c r="S92" s="122" t="s">
        <v>35</v>
      </c>
      <c r="U92" s="109">
        <f>U91/O91-1</f>
        <v>-1.9540011577312555E-4</v>
      </c>
      <c r="V92" s="110">
        <f>V91/P91-1</f>
        <v>-1.9243074663278792E-3</v>
      </c>
      <c r="W92" s="110">
        <f>W91/Q91-1</f>
        <v>-2.9026105559621374E-2</v>
      </c>
      <c r="X92" s="110">
        <f>X91/R91-1</f>
        <v>-5.528498640518964E-3</v>
      </c>
      <c r="Y92" s="122">
        <f>Y91/S91-1</f>
        <v>-9.2558836281106949E-3</v>
      </c>
      <c r="AA92" s="109">
        <f>AA91/U91-1</f>
        <v>-1.0892221266072144E-2</v>
      </c>
      <c r="AB92" s="110">
        <f>AB91/V91-1</f>
        <v>2.386645227797124E-2</v>
      </c>
      <c r="AC92" s="110">
        <f>AC91/W91-1</f>
        <v>5.2844740782058253E-2</v>
      </c>
      <c r="AD92" s="110">
        <f>AD91/X91-1</f>
        <v>0.11838005718082933</v>
      </c>
      <c r="AE92" s="122">
        <f>AE91/Y91-1</f>
        <v>4.6821328718077204E-2</v>
      </c>
      <c r="AG92" s="109">
        <f>AG91/AA91-1</f>
        <v>0.12793068810931252</v>
      </c>
      <c r="AH92" s="110">
        <f>AH91/AB91-1</f>
        <v>-3.7823601879852564E-2</v>
      </c>
      <c r="AI92" s="110">
        <f>AI91/AC91-1</f>
        <v>-1.2726142932112494E-2</v>
      </c>
      <c r="AJ92" s="110">
        <f>AJ91/AD91-1</f>
        <v>4.5579830915806197E-2</v>
      </c>
      <c r="AK92" s="122">
        <f>AK91/AE91-1</f>
        <v>2.9982680645895599E-2</v>
      </c>
      <c r="AM92" s="109">
        <f>AM91/AG91-1</f>
        <v>0.21833401398253915</v>
      </c>
      <c r="AN92" s="110">
        <f>AN91/AH91-1</f>
        <v>0.20023451302507178</v>
      </c>
      <c r="AO92" s="110">
        <f>AO91/AI91-1</f>
        <v>0.13240684221368393</v>
      </c>
      <c r="AP92" s="110">
        <f>AP91/AJ91-1</f>
        <v>0.10861575126422851</v>
      </c>
      <c r="AQ92" s="122">
        <f>AQ91/AK91-1</f>
        <v>0.1630876049880301</v>
      </c>
      <c r="AS92" s="109">
        <f>AS91/AM91-1</f>
        <v>-6.1526940520790663E-2</v>
      </c>
      <c r="AT92" s="110">
        <f>AT91/AN91-1</f>
        <v>-4.209881331338583E-2</v>
      </c>
      <c r="AU92" s="110">
        <f>AU91/AO91-1</f>
        <v>-1.5631503905984112E-2</v>
      </c>
      <c r="AV92" s="110">
        <f>AV91/AP91-1</f>
        <v>-9.6494608074314869E-2</v>
      </c>
      <c r="AW92" s="122">
        <f>AW91/AQ91-1</f>
        <v>-5.5651931750140271E-2</v>
      </c>
      <c r="AY92" s="109">
        <f>AY91/AS91-1</f>
        <v>0.18644234681422223</v>
      </c>
      <c r="AZ92" s="110">
        <f>AZ91/AT91-1</f>
        <v>0.36127180425430772</v>
      </c>
      <c r="BA92" s="110">
        <f>BA91/AU91-1</f>
        <v>0.29248085595207862</v>
      </c>
      <c r="BB92" s="110">
        <f>BB91/AV91-1</f>
        <v>0.63354983795292497</v>
      </c>
      <c r="BC92" s="122">
        <f>BC91/AW91-1</f>
        <v>0.36766583901166161</v>
      </c>
      <c r="BE92" s="109">
        <f>BE91/AY91-1</f>
        <v>-0.1182700181817864</v>
      </c>
      <c r="BF92" s="110">
        <f>BF91/AZ91-1</f>
        <v>-0.16082979492803684</v>
      </c>
      <c r="BG92" s="110">
        <f>BG91/BA91-1</f>
        <v>-0.13345476350132879</v>
      </c>
      <c r="BH92" s="110">
        <f>BH91/BB91-1</f>
        <v>-0.2447079946554146</v>
      </c>
      <c r="BI92" s="122">
        <f>BI91/BC91-1</f>
        <v>-0.17032391818998482</v>
      </c>
      <c r="BK92" s="109">
        <f>BK91/BE91-1</f>
        <v>3.4175418667764079E-2</v>
      </c>
      <c r="BL92" s="110">
        <f>BL91/BF91-1</f>
        <v>0.18321801417210937</v>
      </c>
      <c r="BM92" s="110">
        <f>BM91/BG91-1</f>
        <v>0.11731636812915225</v>
      </c>
      <c r="BN92" s="110">
        <f>BN91/BH91-1</f>
        <v>8.07687442530165E-2</v>
      </c>
      <c r="BO92" s="122">
        <f>BO91/BI91-1</f>
        <v>0.10262120778330552</v>
      </c>
      <c r="BQ92" s="174">
        <v>0.06</v>
      </c>
      <c r="BR92" s="175">
        <v>0.05</v>
      </c>
      <c r="BS92" s="175">
        <v>0.03</v>
      </c>
      <c r="BT92" s="175">
        <v>0.01</v>
      </c>
      <c r="BU92" s="122">
        <f>BU91/BO91-1</f>
        <v>3.6592870467451855E-2</v>
      </c>
      <c r="BW92" s="174">
        <v>-5.0000000000000001E-3</v>
      </c>
      <c r="BX92" s="175">
        <f>BW92</f>
        <v>-5.0000000000000001E-3</v>
      </c>
      <c r="BY92" s="175">
        <f>BX92</f>
        <v>-5.0000000000000001E-3</v>
      </c>
      <c r="BZ92" s="175">
        <f>BY92</f>
        <v>-5.0000000000000001E-3</v>
      </c>
      <c r="CA92" s="122">
        <f>CA91/BU91-1</f>
        <v>-5.0000000000001155E-3</v>
      </c>
      <c r="CC92" s="174">
        <v>-5.0000000000000001E-3</v>
      </c>
      <c r="CD92" s="175">
        <f>CC92</f>
        <v>-5.0000000000000001E-3</v>
      </c>
      <c r="CE92" s="175">
        <f>CD92</f>
        <v>-5.0000000000000001E-3</v>
      </c>
      <c r="CF92" s="175">
        <f>CE92</f>
        <v>-5.0000000000000001E-3</v>
      </c>
      <c r="CG92" s="122">
        <f>CG91/CA91-1</f>
        <v>-5.0000000000000044E-3</v>
      </c>
      <c r="CI92" s="174">
        <v>-5.0000000000000001E-3</v>
      </c>
      <c r="CJ92" s="175">
        <f>CI92</f>
        <v>-5.0000000000000001E-3</v>
      </c>
      <c r="CK92" s="175">
        <f>CJ92</f>
        <v>-5.0000000000000001E-3</v>
      </c>
      <c r="CL92" s="175">
        <f>CK92</f>
        <v>-5.0000000000000001E-3</v>
      </c>
      <c r="CM92" s="122">
        <f>CM91/CG91-1</f>
        <v>-5.0000000000000044E-3</v>
      </c>
      <c r="CO92" s="174">
        <v>-5.0000000000000001E-3</v>
      </c>
      <c r="CP92" s="175">
        <f>CO92</f>
        <v>-5.0000000000000001E-3</v>
      </c>
      <c r="CQ92" s="175">
        <f>CP92</f>
        <v>-5.0000000000000001E-3</v>
      </c>
      <c r="CR92" s="175">
        <f>CQ92</f>
        <v>-5.0000000000000001E-3</v>
      </c>
      <c r="CS92" s="122">
        <f>CS91/CM91-1</f>
        <v>-4.9999999999998934E-3</v>
      </c>
      <c r="CU92" s="174">
        <v>-5.0000000000000001E-3</v>
      </c>
      <c r="CV92" s="175">
        <f>CU92</f>
        <v>-5.0000000000000001E-3</v>
      </c>
      <c r="CW92" s="175">
        <f>CV92</f>
        <v>-5.0000000000000001E-3</v>
      </c>
      <c r="CX92" s="175">
        <f>CW92</f>
        <v>-5.0000000000000001E-3</v>
      </c>
      <c r="CY92" s="122">
        <f>CY91/CS91-1</f>
        <v>-5.0000000000001155E-3</v>
      </c>
      <c r="DA92" s="174">
        <v>-5.0000000000000001E-3</v>
      </c>
      <c r="DB92" s="175">
        <f>DA92</f>
        <v>-5.0000000000000001E-3</v>
      </c>
      <c r="DC92" s="175">
        <f>DB92</f>
        <v>-5.0000000000000001E-3</v>
      </c>
      <c r="DD92" s="175">
        <f>DC92</f>
        <v>-5.0000000000000001E-3</v>
      </c>
      <c r="DE92" s="122">
        <f>DE91/CY91-1</f>
        <v>-5.0000000000000044E-3</v>
      </c>
      <c r="DG92" s="174">
        <v>-5.0000000000000001E-3</v>
      </c>
      <c r="DH92" s="175">
        <f>DG92</f>
        <v>-5.0000000000000001E-3</v>
      </c>
      <c r="DI92" s="175">
        <f>DH92</f>
        <v>-5.0000000000000001E-3</v>
      </c>
      <c r="DJ92" s="175">
        <f>DI92</f>
        <v>-5.0000000000000001E-3</v>
      </c>
      <c r="DK92" s="122">
        <f>DK91/DE91-1</f>
        <v>-5.0000000000001155E-3</v>
      </c>
    </row>
    <row r="93" spans="2:115" ht="13.5" thickBot="1" x14ac:dyDescent="0.25">
      <c r="X93" s="441">
        <f>X94-139</f>
        <v>33.5</v>
      </c>
      <c r="AA93" s="103"/>
      <c r="AB93" s="103"/>
      <c r="AC93" s="103"/>
      <c r="AD93" s="103"/>
      <c r="AE93" s="103"/>
      <c r="AG93" s="103"/>
      <c r="AH93" s="103"/>
      <c r="AI93" s="103"/>
      <c r="AJ93" s="103"/>
      <c r="AK93" s="103"/>
      <c r="AM93" s="103"/>
      <c r="AN93" s="103"/>
      <c r="AO93" s="103"/>
      <c r="AP93" s="103"/>
      <c r="AQ93" s="103"/>
      <c r="AS93" s="103"/>
      <c r="AT93" s="103"/>
      <c r="AU93" s="103"/>
      <c r="AV93" s="103"/>
      <c r="AW93" s="103"/>
      <c r="AY93" s="103"/>
      <c r="AZ93" s="103"/>
      <c r="BA93" s="103"/>
      <c r="BB93" s="103"/>
      <c r="BC93" s="103"/>
      <c r="BE93" s="103"/>
      <c r="BF93" s="103"/>
      <c r="BG93" s="103"/>
      <c r="BH93" s="103"/>
      <c r="BI93" s="103"/>
      <c r="BK93" s="103"/>
      <c r="BL93" s="103"/>
      <c r="BM93" s="103"/>
      <c r="BN93" s="103"/>
      <c r="BO93" s="103"/>
      <c r="BQ93" s="103"/>
      <c r="BR93" s="103"/>
      <c r="BS93" s="103"/>
      <c r="BT93" s="103"/>
      <c r="BU93" s="103"/>
      <c r="BW93" s="103"/>
      <c r="BX93" s="103"/>
      <c r="BY93" s="103"/>
      <c r="BZ93" s="103"/>
      <c r="CA93" s="103"/>
      <c r="CC93" s="103"/>
      <c r="CD93" s="103"/>
      <c r="CE93" s="103"/>
      <c r="CF93" s="103"/>
      <c r="CG93" s="103"/>
      <c r="CI93" s="103"/>
      <c r="CJ93" s="103"/>
      <c r="CK93" s="103"/>
      <c r="CL93" s="103"/>
      <c r="CM93" s="103"/>
      <c r="CO93" s="103"/>
      <c r="CP93" s="103"/>
      <c r="CQ93" s="103"/>
      <c r="CR93" s="103"/>
      <c r="CS93" s="103"/>
      <c r="CU93" s="103"/>
      <c r="CV93" s="103"/>
      <c r="CW93" s="103"/>
      <c r="CX93" s="103"/>
      <c r="CY93" s="103"/>
      <c r="DA93" s="103"/>
      <c r="DB93" s="103"/>
      <c r="DC93" s="103"/>
      <c r="DD93" s="103"/>
      <c r="DE93" s="103"/>
      <c r="DG93" s="103"/>
      <c r="DH93" s="103"/>
      <c r="DI93" s="103"/>
      <c r="DJ93" s="103"/>
      <c r="DK93" s="103"/>
    </row>
    <row r="94" spans="2:115" x14ac:dyDescent="0.2">
      <c r="B94" s="244" t="s">
        <v>106</v>
      </c>
      <c r="C94" s="221"/>
      <c r="D94" s="222"/>
      <c r="E94" s="222"/>
      <c r="F94" s="222"/>
      <c r="G94" s="167">
        <f>C94+D94+E94+F94</f>
        <v>0</v>
      </c>
      <c r="H94" s="129"/>
      <c r="I94" s="126"/>
      <c r="J94" s="127"/>
      <c r="K94" s="127"/>
      <c r="L94" s="127"/>
      <c r="M94" s="167">
        <f>I94+J94+K94+L94</f>
        <v>0</v>
      </c>
      <c r="N94" s="129"/>
      <c r="O94" s="126">
        <v>184</v>
      </c>
      <c r="P94" s="127">
        <v>187</v>
      </c>
      <c r="Q94" s="127">
        <v>196</v>
      </c>
      <c r="R94" s="127">
        <v>195</v>
      </c>
      <c r="S94" s="167">
        <f>O94+P94+Q94+R94</f>
        <v>762</v>
      </c>
      <c r="T94" s="129"/>
      <c r="U94" s="126">
        <v>182</v>
      </c>
      <c r="V94" s="127">
        <v>175</v>
      </c>
      <c r="W94" s="252">
        <v>165</v>
      </c>
      <c r="X94" s="252">
        <v>172.5</v>
      </c>
      <c r="Y94" s="253">
        <f>U94+V94+W94+X94</f>
        <v>694.5</v>
      </c>
      <c r="Z94" s="226"/>
      <c r="AA94" s="251">
        <v>158</v>
      </c>
      <c r="AB94" s="252">
        <v>162</v>
      </c>
      <c r="AC94" s="252">
        <v>158</v>
      </c>
      <c r="AD94" s="252">
        <v>157</v>
      </c>
      <c r="AE94" s="253">
        <f>AA94+AB94+AC94+AD94</f>
        <v>635</v>
      </c>
      <c r="AF94" s="226"/>
      <c r="AG94" s="251">
        <v>160</v>
      </c>
      <c r="AH94" s="252">
        <v>151</v>
      </c>
      <c r="AI94" s="252">
        <v>163</v>
      </c>
      <c r="AJ94" s="252">
        <v>190</v>
      </c>
      <c r="AK94" s="253">
        <f>AG94+AH94+AI94+AJ94</f>
        <v>664</v>
      </c>
      <c r="AL94" s="226"/>
      <c r="AM94" s="251">
        <v>202</v>
      </c>
      <c r="AN94" s="252">
        <v>177</v>
      </c>
      <c r="AO94" s="252">
        <v>172</v>
      </c>
      <c r="AP94" s="252">
        <v>198</v>
      </c>
      <c r="AQ94" s="253">
        <f>AM94+AN94+AO94+AP94</f>
        <v>749</v>
      </c>
      <c r="AR94" s="226"/>
      <c r="AS94" s="251">
        <v>180</v>
      </c>
      <c r="AT94" s="252">
        <v>163</v>
      </c>
      <c r="AU94" s="252">
        <v>163</v>
      </c>
      <c r="AV94" s="252">
        <v>176</v>
      </c>
      <c r="AW94" s="253">
        <f>AS94+AT94+AU94+AV94</f>
        <v>682</v>
      </c>
      <c r="AX94" s="226"/>
      <c r="AY94" s="251">
        <v>228</v>
      </c>
      <c r="AZ94" s="252">
        <v>234</v>
      </c>
      <c r="BA94" s="252">
        <v>219</v>
      </c>
      <c r="BB94" s="252">
        <v>292</v>
      </c>
      <c r="BC94" s="253">
        <f>AY94+AZ94+BA94+BB94</f>
        <v>973</v>
      </c>
      <c r="BD94" s="226"/>
      <c r="BE94" s="251">
        <v>194</v>
      </c>
      <c r="BF94" s="252">
        <v>188</v>
      </c>
      <c r="BG94" s="252">
        <v>188</v>
      </c>
      <c r="BH94" s="252">
        <v>218</v>
      </c>
      <c r="BI94" s="253">
        <f>BE94+BF94+BG94+BH94</f>
        <v>788</v>
      </c>
      <c r="BJ94" s="226"/>
      <c r="BK94" s="251">
        <v>198</v>
      </c>
      <c r="BL94" s="252">
        <v>222</v>
      </c>
      <c r="BM94" s="252">
        <v>211</v>
      </c>
      <c r="BN94" s="252">
        <v>233</v>
      </c>
      <c r="BO94" s="253">
        <f>BK94+BL94+BM94+BN94</f>
        <v>864</v>
      </c>
      <c r="BP94" s="226"/>
      <c r="BQ94" s="251">
        <f>BQ88*3*BQ85/1000</f>
        <v>209.39477516042089</v>
      </c>
      <c r="BR94" s="252">
        <f>BR88*3*BR85/1000</f>
        <v>231.83924793388434</v>
      </c>
      <c r="BS94" s="252">
        <f>BS88*3*BS85/1000</f>
        <v>213.3736931588877</v>
      </c>
      <c r="BT94" s="252">
        <f>BT88*3*BT85/1000</f>
        <v>234.88777692008856</v>
      </c>
      <c r="BU94" s="253">
        <f>BQ94+BR94+BS94+BT94</f>
        <v>889.49549317328149</v>
      </c>
      <c r="BV94" s="226"/>
      <c r="BW94" s="251">
        <f>BW88*3*BW85/1000</f>
        <v>206.81442280230328</v>
      </c>
      <c r="BX94" s="252">
        <f>BX88*3*BX85/1000</f>
        <v>228.97918495361239</v>
      </c>
      <c r="BY94" s="252">
        <f>BY88*3*BY85/1000</f>
        <v>210.73853789942311</v>
      </c>
      <c r="BZ94" s="252">
        <f>BZ88*3*BZ85/1000</f>
        <v>231.98372961339393</v>
      </c>
      <c r="CA94" s="253">
        <f>BW94+BX94+BY94+BZ94</f>
        <v>878.51587526873277</v>
      </c>
      <c r="CB94" s="226"/>
      <c r="CC94" s="251">
        <f>CC88*3*CC85/1000</f>
        <v>204.25463909838786</v>
      </c>
      <c r="CD94" s="252">
        <f>CD88*3*CD85/1000</f>
        <v>226.14192662194483</v>
      </c>
      <c r="CE94" s="252">
        <f>CE88*3*CE85/1000</f>
        <v>208.12439985022422</v>
      </c>
      <c r="CF94" s="252">
        <f>CF88*3*CF85/1000</f>
        <v>229.10285058534313</v>
      </c>
      <c r="CG94" s="253">
        <f>CC94+CD94+CE94+CF94</f>
        <v>867.62381615590004</v>
      </c>
      <c r="CH94" s="226"/>
      <c r="CI94" s="251">
        <f>CI88*3*CI85/1000</f>
        <v>201.71528287094148</v>
      </c>
      <c r="CJ94" s="252">
        <f>CJ88*3*CJ85/1000</f>
        <v>223.32731639397011</v>
      </c>
      <c r="CK94" s="252">
        <f>CK88*3*CK85/1000</f>
        <v>205.53113471806981</v>
      </c>
      <c r="CL94" s="252">
        <f>CL88*3*CL85/1000</f>
        <v>226.24498075433252</v>
      </c>
      <c r="CM94" s="253">
        <f>CI94+CJ94+CK94+CL94</f>
        <v>856.81871473731394</v>
      </c>
      <c r="CN94" s="226"/>
      <c r="CO94" s="251">
        <f>CO88*3*CO85/1000</f>
        <v>199.19621383979216</v>
      </c>
      <c r="CP94" s="252">
        <f>CP88*3*CP85/1000</f>
        <v>220.53519872010955</v>
      </c>
      <c r="CQ94" s="252">
        <f>CQ88*3*CQ85/1000</f>
        <v>202.95859912724077</v>
      </c>
      <c r="CR94" s="252">
        <f>CR88*3*CR85/1000</f>
        <v>223.40996205036743</v>
      </c>
      <c r="CS94" s="253">
        <f>CO94+CP94+CQ94+CR94</f>
        <v>846.09997373750991</v>
      </c>
      <c r="CT94" s="226"/>
      <c r="CU94" s="251">
        <f>CU88*3*CU85/1000</f>
        <v>196.69729261688252</v>
      </c>
      <c r="CV94" s="252">
        <f>CV88*3*CV85/1000</f>
        <v>217.76541904007777</v>
      </c>
      <c r="CW94" s="252">
        <f>CW88*3*CW85/1000</f>
        <v>200.40665061395197</v>
      </c>
      <c r="CX94" s="252">
        <f>CX88*3*CX85/1000</f>
        <v>220.59763740892313</v>
      </c>
      <c r="CY94" s="253">
        <f>CU94+CV94+CW94+CX94</f>
        <v>835.46699967983534</v>
      </c>
      <c r="CZ94" s="226"/>
      <c r="DA94" s="251">
        <f>DA88*3*DA85/1000</f>
        <v>194.21838070085596</v>
      </c>
      <c r="DB94" s="252">
        <f>DB88*3*DB85/1000</f>
        <v>215.01782377687832</v>
      </c>
      <c r="DC94" s="252">
        <f>DC88*3*DC85/1000</f>
        <v>197.8751476208179</v>
      </c>
      <c r="DD94" s="252">
        <f>DD88*3*DD85/1000</f>
        <v>217.80785076484199</v>
      </c>
      <c r="DE94" s="253">
        <f>DA94+DB94+DC94+DD94</f>
        <v>824.91920286339416</v>
      </c>
      <c r="DF94" s="226"/>
      <c r="DG94" s="251">
        <f>DG88*3*DG85/1000</f>
        <v>191.75934047167431</v>
      </c>
      <c r="DH94" s="252">
        <f>DH88*3*DH85/1000</f>
        <v>212.29226033083492</v>
      </c>
      <c r="DI94" s="252">
        <f>DI88*3*DI85/1000</f>
        <v>195.36394949134987</v>
      </c>
      <c r="DJ94" s="252">
        <f>DJ88*3*DJ85/1000</f>
        <v>215.04044704626639</v>
      </c>
      <c r="DK94" s="253">
        <f>DG94+DH94+DI94+DJ94</f>
        <v>814.45599734012558</v>
      </c>
    </row>
    <row r="95" spans="2:115" ht="15.75" thickBot="1" x14ac:dyDescent="0.35">
      <c r="B95" s="41" t="s">
        <v>56</v>
      </c>
      <c r="C95" s="155"/>
      <c r="D95" s="106"/>
      <c r="E95" s="106"/>
      <c r="F95" s="106"/>
      <c r="G95" s="108"/>
      <c r="I95" s="155"/>
      <c r="J95" s="106"/>
      <c r="K95" s="106"/>
      <c r="L95" s="106"/>
      <c r="M95" s="108"/>
      <c r="O95" s="155" t="s">
        <v>35</v>
      </c>
      <c r="P95" s="106" t="s">
        <v>35</v>
      </c>
      <c r="Q95" s="106" t="s">
        <v>35</v>
      </c>
      <c r="R95" s="106" t="s">
        <v>35</v>
      </c>
      <c r="S95" s="108" t="s">
        <v>35</v>
      </c>
      <c r="U95" s="109">
        <f>U94/O94-1</f>
        <v>-1.0869565217391353E-2</v>
      </c>
      <c r="V95" s="110">
        <f>V94/P94-1</f>
        <v>-6.4171122994652441E-2</v>
      </c>
      <c r="W95" s="110">
        <f>W94/Q94-1</f>
        <v>-0.15816326530612246</v>
      </c>
      <c r="X95" s="110">
        <f>X94/R94-1</f>
        <v>-0.11538461538461542</v>
      </c>
      <c r="Y95" s="122">
        <f>Y94/S94-1</f>
        <v>-8.8582677165354284E-2</v>
      </c>
      <c r="AA95" s="109">
        <f>AA94/U94-1</f>
        <v>-0.13186813186813184</v>
      </c>
      <c r="AB95" s="110">
        <f>AB94/V94-1</f>
        <v>-7.4285714285714288E-2</v>
      </c>
      <c r="AC95" s="110">
        <f>AC94/W94-1</f>
        <v>-4.2424242424242475E-2</v>
      </c>
      <c r="AD95" s="110">
        <f>AD94/X94-1</f>
        <v>-8.9855072463768115E-2</v>
      </c>
      <c r="AE95" s="122">
        <f>AE94/Y94-1</f>
        <v>-8.5673146148308121E-2</v>
      </c>
      <c r="AG95" s="109">
        <f>AG94/AA94-1</f>
        <v>1.2658227848101333E-2</v>
      </c>
      <c r="AH95" s="110">
        <f>AH94/AB94-1</f>
        <v>-6.7901234567901203E-2</v>
      </c>
      <c r="AI95" s="110">
        <f>AI94/AC94-1</f>
        <v>3.1645569620253111E-2</v>
      </c>
      <c r="AJ95" s="110">
        <f>AJ94/AD94-1</f>
        <v>0.21019108280254772</v>
      </c>
      <c r="AK95" s="122">
        <f>AK94/AE94-1</f>
        <v>4.5669291338582774E-2</v>
      </c>
      <c r="AM95" s="109">
        <f>AM94/AG94-1</f>
        <v>0.26249999999999996</v>
      </c>
      <c r="AN95" s="110">
        <f>AN94/AH94-1</f>
        <v>0.17218543046357615</v>
      </c>
      <c r="AO95" s="110">
        <f>AO94/AI94-1</f>
        <v>5.5214723926380271E-2</v>
      </c>
      <c r="AP95" s="110">
        <f>AP94/AJ94-1</f>
        <v>4.2105263157894646E-2</v>
      </c>
      <c r="AQ95" s="122">
        <f>AQ94/AK94-1</f>
        <v>0.12801204819277112</v>
      </c>
      <c r="AS95" s="109">
        <f>AS94/AM94-1</f>
        <v>-0.1089108910891089</v>
      </c>
      <c r="AT95" s="110">
        <f>AT94/AN94-1</f>
        <v>-7.9096045197740161E-2</v>
      </c>
      <c r="AU95" s="110">
        <f>AU94/AO94-1</f>
        <v>-5.2325581395348819E-2</v>
      </c>
      <c r="AV95" s="110">
        <f>AV94/AP94-1</f>
        <v>-0.11111111111111116</v>
      </c>
      <c r="AW95" s="122">
        <f>AW94/AQ94-1</f>
        <v>-8.9452603471295022E-2</v>
      </c>
      <c r="AY95" s="109">
        <f>AY94/AS94-1</f>
        <v>0.26666666666666661</v>
      </c>
      <c r="AZ95" s="110">
        <f>AZ94/AT94-1</f>
        <v>0.4355828220858895</v>
      </c>
      <c r="BA95" s="110">
        <f>BA94/AU94-1</f>
        <v>0.34355828220858897</v>
      </c>
      <c r="BB95" s="110">
        <f>BB94/AV94-1</f>
        <v>0.65909090909090917</v>
      </c>
      <c r="BC95" s="122">
        <f>BC94/AW94-1</f>
        <v>0.42668621700879772</v>
      </c>
      <c r="BE95" s="109">
        <f>BE94/AY94-1</f>
        <v>-0.14912280701754388</v>
      </c>
      <c r="BF95" s="110">
        <f>BF94/AZ94-1</f>
        <v>-0.19658119658119655</v>
      </c>
      <c r="BG95" s="110">
        <f>BG94/BA94-1</f>
        <v>-0.14155251141552516</v>
      </c>
      <c r="BH95" s="110">
        <f>BH94/BB94-1</f>
        <v>-0.25342465753424659</v>
      </c>
      <c r="BI95" s="122">
        <f>BI94/BC94-1</f>
        <v>-0.19013360739979446</v>
      </c>
      <c r="BK95" s="109">
        <f>BK94/BE94-1</f>
        <v>2.0618556701030855E-2</v>
      </c>
      <c r="BL95" s="110">
        <f>BL94/BF94-1</f>
        <v>0.18085106382978733</v>
      </c>
      <c r="BM95" s="110">
        <f>BM94/BG94-1</f>
        <v>0.12234042553191493</v>
      </c>
      <c r="BN95" s="110">
        <f>BN94/BH94-1</f>
        <v>6.8807339449541205E-2</v>
      </c>
      <c r="BO95" s="122">
        <f>BO94/BI94-1</f>
        <v>9.6446700507614169E-2</v>
      </c>
      <c r="BQ95" s="109">
        <f>BQ94/BK94-1</f>
        <v>5.7549369497075231E-2</v>
      </c>
      <c r="BR95" s="110">
        <f>BR94/BL94-1</f>
        <v>4.4320936639118624E-2</v>
      </c>
      <c r="BS95" s="110">
        <f>BS94/BM94-1</f>
        <v>1.1249730610842112E-2</v>
      </c>
      <c r="BT95" s="110">
        <f>BT94/BN94-1</f>
        <v>8.1020468673329571E-3</v>
      </c>
      <c r="BU95" s="122">
        <f>BU94/BO94-1</f>
        <v>2.9508672654261048E-2</v>
      </c>
      <c r="BW95" s="109">
        <f>BW94/BQ94-1</f>
        <v>-1.2322907083716639E-2</v>
      </c>
      <c r="BX95" s="110">
        <f>BX94/BR94-1</f>
        <v>-1.2336405529953964E-2</v>
      </c>
      <c r="BY95" s="110">
        <f>BY94/BS94-1</f>
        <v>-1.2349953831948479E-2</v>
      </c>
      <c r="BZ95" s="110">
        <f>BZ94/BT94-1</f>
        <v>-1.2363552266419608E-2</v>
      </c>
      <c r="CA95" s="122">
        <f>CA94/BU94-1</f>
        <v>-1.234364647017927E-2</v>
      </c>
      <c r="CC95" s="109">
        <f>CC94/BW94-1</f>
        <v>-1.2377201112140801E-2</v>
      </c>
      <c r="CD95" s="110">
        <f>CD94/BX94-1</f>
        <v>-1.2390900649953629E-2</v>
      </c>
      <c r="CE95" s="110">
        <f>CE94/BY94-1</f>
        <v>-1.2404651162790659E-2</v>
      </c>
      <c r="CF95" s="110">
        <f>CF94/BZ94-1</f>
        <v>-1.2418452935694435E-2</v>
      </c>
      <c r="CG95" s="122">
        <f>CG94/CA94-1</f>
        <v>-1.2398249615581447E-2</v>
      </c>
      <c r="CI95" s="109">
        <f>CI94/CC94-1</f>
        <v>-1.2432306255835801E-2</v>
      </c>
      <c r="CJ95" s="110">
        <f>CJ94/CD94-1</f>
        <v>-1.2446211412535102E-2</v>
      </c>
      <c r="CK95" s="110">
        <f>CK94/CE94-1</f>
        <v>-1.2460168697282281E-2</v>
      </c>
      <c r="CL95" s="110">
        <f>CL94/CF94-1</f>
        <v>-1.2474178403755976E-2</v>
      </c>
      <c r="CM95" s="122">
        <f>CM94/CG94-1</f>
        <v>-1.2453670839119302E-2</v>
      </c>
      <c r="CO95" s="109">
        <f>CO94/CI94-1</f>
        <v>-1.2488240827845609E-2</v>
      </c>
      <c r="CP95" s="110">
        <f>CP94/CJ94-1</f>
        <v>-1.2502356267672154E-2</v>
      </c>
      <c r="CQ95" s="110">
        <f>CQ94/CK94-1</f>
        <v>-1.2516525023606895E-2</v>
      </c>
      <c r="CR95" s="110">
        <f>CR94/CL94-1</f>
        <v>-1.253074739829696E-2</v>
      </c>
      <c r="CS95" s="122">
        <f>CS94/CM94-1</f>
        <v>-1.2509928664536929E-2</v>
      </c>
      <c r="CU95" s="109">
        <f>CU94/CO94-1</f>
        <v>-1.2545023696682533E-2</v>
      </c>
      <c r="CV95" s="110">
        <f>CV94/CP94-1</f>
        <v>-1.2559354226020947E-2</v>
      </c>
      <c r="CW95" s="110">
        <f>CW94/CQ94-1</f>
        <v>-1.2573739295908881E-2</v>
      </c>
      <c r="CX95" s="110">
        <f>CX94/CR94-1</f>
        <v>-1.2588179218303019E-2</v>
      </c>
      <c r="CY95" s="122">
        <f>CY94/CS94-1</f>
        <v>-1.2567042179076227E-2</v>
      </c>
      <c r="DA95" s="109">
        <f>DA94/CU94-1</f>
        <v>-1.260267430754558E-2</v>
      </c>
      <c r="DB95" s="110">
        <f>DB94/CV94-1</f>
        <v>-1.261722488038286E-2</v>
      </c>
      <c r="DC95" s="110">
        <f>DC94/CW94-1</f>
        <v>-1.2631831255992432E-2</v>
      </c>
      <c r="DD95" s="110">
        <f>DD94/CX94-1</f>
        <v>-1.2646493756003796E-2</v>
      </c>
      <c r="DE95" s="122">
        <f>DE94/CY94-1</f>
        <v>-1.2625031055066516E-2</v>
      </c>
      <c r="DG95" s="109">
        <f>DG94/DA94-1</f>
        <v>-1.2661212704523472E-2</v>
      </c>
      <c r="DH95" s="110">
        <f>DH94/DB94-1</f>
        <v>-1.2675988428157869E-2</v>
      </c>
      <c r="DI95" s="110">
        <f>DI94/DC94-1</f>
        <v>-1.2690821256038487E-2</v>
      </c>
      <c r="DJ95" s="110">
        <f>DJ94/DD94-1</f>
        <v>-1.2705711519845231E-2</v>
      </c>
      <c r="DK95" s="122">
        <f>DK94/DE94-1</f>
        <v>-1.2683915572518578E-2</v>
      </c>
    </row>
    <row r="96" spans="2:115" ht="13.5" thickBot="1" x14ac:dyDescent="0.25">
      <c r="X96" s="103" t="s">
        <v>353</v>
      </c>
      <c r="AA96" s="103"/>
      <c r="AB96" s="103"/>
      <c r="AC96" s="103"/>
      <c r="AD96" s="103"/>
      <c r="AE96" s="103"/>
      <c r="AG96" s="103"/>
      <c r="AH96" s="103"/>
      <c r="AI96" s="103"/>
      <c r="AJ96" s="103"/>
      <c r="AK96" s="103"/>
      <c r="AM96" s="103"/>
      <c r="AN96" s="103"/>
      <c r="AO96" s="103"/>
      <c r="AP96" s="103"/>
      <c r="AQ96" s="103"/>
      <c r="AS96" s="103"/>
      <c r="AT96" s="103"/>
      <c r="AU96" s="103"/>
      <c r="AV96" s="103"/>
      <c r="AW96" s="103"/>
      <c r="AY96" s="103"/>
      <c r="AZ96" s="103"/>
      <c r="BA96" s="103"/>
      <c r="BB96" s="103"/>
      <c r="BC96" s="103"/>
      <c r="BE96" s="103"/>
      <c r="BF96" s="103"/>
      <c r="BG96" s="103"/>
      <c r="BH96" s="103"/>
      <c r="BI96" s="103"/>
      <c r="BK96" s="103"/>
      <c r="BL96" s="103"/>
      <c r="BM96" s="103"/>
      <c r="BN96" s="103"/>
      <c r="BO96" s="103"/>
      <c r="BQ96" s="103"/>
      <c r="BR96" s="103"/>
      <c r="BS96" s="103"/>
      <c r="BT96" s="103"/>
      <c r="BU96" s="103"/>
      <c r="BW96" s="103"/>
      <c r="BX96" s="103"/>
      <c r="BY96" s="103"/>
      <c r="BZ96" s="103"/>
      <c r="CA96" s="103"/>
      <c r="CC96" s="103"/>
      <c r="CD96" s="103"/>
      <c r="CE96" s="103"/>
      <c r="CF96" s="103"/>
      <c r="CG96" s="103"/>
      <c r="CI96" s="103"/>
      <c r="CJ96" s="103"/>
      <c r="CK96" s="103"/>
      <c r="CL96" s="103"/>
      <c r="CM96" s="103"/>
      <c r="CO96" s="103"/>
      <c r="CP96" s="103"/>
      <c r="CQ96" s="103"/>
      <c r="CR96" s="103"/>
      <c r="CS96" s="103"/>
      <c r="CU96" s="103"/>
      <c r="CV96" s="103"/>
      <c r="CW96" s="103"/>
      <c r="CX96" s="103"/>
      <c r="CY96" s="103"/>
      <c r="DA96" s="103"/>
      <c r="DB96" s="103"/>
      <c r="DC96" s="103"/>
      <c r="DD96" s="103"/>
      <c r="DE96" s="103"/>
      <c r="DG96" s="103"/>
      <c r="DH96" s="103"/>
      <c r="DI96" s="103"/>
      <c r="DJ96" s="103"/>
      <c r="DK96" s="103"/>
    </row>
    <row r="97" spans="2:115" ht="15" x14ac:dyDescent="0.3">
      <c r="B97" s="42" t="s">
        <v>61</v>
      </c>
      <c r="C97" s="221"/>
      <c r="D97" s="222"/>
      <c r="E97" s="222"/>
      <c r="F97" s="222"/>
      <c r="G97" s="224"/>
      <c r="I97" s="221"/>
      <c r="J97" s="222"/>
      <c r="K97" s="222"/>
      <c r="L97" s="222"/>
      <c r="M97" s="224"/>
      <c r="O97" s="126">
        <v>80</v>
      </c>
      <c r="P97" s="127">
        <v>77</v>
      </c>
      <c r="Q97" s="127">
        <v>79</v>
      </c>
      <c r="R97" s="127">
        <v>70</v>
      </c>
      <c r="S97" s="167">
        <f>O97+P97+Q97+R97</f>
        <v>306</v>
      </c>
      <c r="T97" s="129"/>
      <c r="U97" s="126">
        <v>70</v>
      </c>
      <c r="V97" s="127">
        <v>70</v>
      </c>
      <c r="W97" s="252">
        <v>70</v>
      </c>
      <c r="X97" s="252">
        <f>X93+27</f>
        <v>60.5</v>
      </c>
      <c r="Y97" s="253">
        <f>U97+V97+W97+X97</f>
        <v>270.5</v>
      </c>
      <c r="Z97" s="226"/>
      <c r="AA97" s="251">
        <v>57</v>
      </c>
      <c r="AB97" s="252">
        <v>57</v>
      </c>
      <c r="AC97" s="252">
        <v>52</v>
      </c>
      <c r="AD97" s="258">
        <v>44</v>
      </c>
      <c r="AE97" s="253">
        <f>AA97+AB97+AC97+AD97</f>
        <v>210</v>
      </c>
      <c r="AF97" s="226"/>
      <c r="AG97" s="251">
        <v>45</v>
      </c>
      <c r="AH97" s="252">
        <v>38</v>
      </c>
      <c r="AI97" s="252">
        <f>AC97-5</f>
        <v>47</v>
      </c>
      <c r="AJ97" s="258">
        <f>AD97-2</f>
        <v>42</v>
      </c>
      <c r="AK97" s="253">
        <f>AG97+AH97+AI97+AJ97</f>
        <v>172</v>
      </c>
      <c r="AL97" s="226"/>
      <c r="AM97" s="251">
        <v>30</v>
      </c>
      <c r="AN97" s="252">
        <v>39</v>
      </c>
      <c r="AO97" s="252">
        <v>44</v>
      </c>
      <c r="AP97" s="258">
        <v>39</v>
      </c>
      <c r="AQ97" s="253">
        <f>AM97+AN97+AO97+AP97</f>
        <v>152</v>
      </c>
      <c r="AR97" s="226"/>
      <c r="AS97" s="251">
        <v>30</v>
      </c>
      <c r="AT97" s="199">
        <f>AN97*1.034</f>
        <v>40.326000000000001</v>
      </c>
      <c r="AU97" s="199">
        <f>AO97*1.04</f>
        <v>45.760000000000005</v>
      </c>
      <c r="AV97" s="199">
        <f>AP97*0.97</f>
        <v>37.83</v>
      </c>
      <c r="AW97" s="253">
        <f>AS97+AT97+AU97+AV97</f>
        <v>153.916</v>
      </c>
      <c r="AX97" s="226"/>
      <c r="AY97" s="251">
        <v>60</v>
      </c>
      <c r="AZ97" s="199">
        <v>75</v>
      </c>
      <c r="BA97" s="199">
        <v>72</v>
      </c>
      <c r="BB97" s="199">
        <v>64</v>
      </c>
      <c r="BC97" s="253">
        <f>AY97+AZ97+BA97+BB97</f>
        <v>271</v>
      </c>
      <c r="BD97" s="226"/>
      <c r="BE97" s="251">
        <v>66</v>
      </c>
      <c r="BF97" s="199">
        <f>AZ97*0.993</f>
        <v>74.474999999999994</v>
      </c>
      <c r="BG97" s="199">
        <f>BA97*1.021</f>
        <v>73.512</v>
      </c>
      <c r="BH97" s="199">
        <f>BB97*1.008</f>
        <v>64.512</v>
      </c>
      <c r="BI97" s="253">
        <f>BE97+BF97+BG97+BH97</f>
        <v>278.49900000000002</v>
      </c>
      <c r="BJ97" s="226"/>
      <c r="BK97" s="251">
        <v>56</v>
      </c>
      <c r="BL97" s="199">
        <f>BF97*0.98</f>
        <v>72.985499999999988</v>
      </c>
      <c r="BM97" s="199">
        <f>BG97*1.159</f>
        <v>85.200407999999996</v>
      </c>
      <c r="BN97" s="199">
        <f>BH97*1.024</f>
        <v>66.060288</v>
      </c>
      <c r="BO97" s="253">
        <f>BK97+BL97+BM97+BN97</f>
        <v>280.246196</v>
      </c>
      <c r="BP97" s="226"/>
      <c r="BQ97" s="251">
        <f>BQ100*BQ94</f>
        <v>58.699277753935156</v>
      </c>
      <c r="BR97" s="252">
        <f>BR100*BR94</f>
        <v>75.640687601239676</v>
      </c>
      <c r="BS97" s="252">
        <f>BS100*BS94</f>
        <v>85.625455405036618</v>
      </c>
      <c r="BT97" s="258">
        <f>BT100*BT94</f>
        <v>66.00829210714528</v>
      </c>
      <c r="BU97" s="253">
        <f>BQ97+BR97+BS97+BT97</f>
        <v>285.97371286735671</v>
      </c>
      <c r="BV97" s="226"/>
      <c r="BW97" s="251">
        <f>BW100*BW94</f>
        <v>57.458895951286379</v>
      </c>
      <c r="BX97" s="252">
        <f>BX100*BX94</f>
        <v>74.135105442042189</v>
      </c>
      <c r="BY97" s="252">
        <f>BY100*BY94</f>
        <v>84.041138639196305</v>
      </c>
      <c r="BZ97" s="258">
        <f>BZ100*BZ94</f>
        <v>64.612235813628018</v>
      </c>
      <c r="CA97" s="253">
        <f>BW97+BX97+BY97+BZ97</f>
        <v>280.24737584615286</v>
      </c>
      <c r="CB97" s="226"/>
      <c r="CC97" s="251">
        <f>CC100*CC94</f>
        <v>56.237079042669762</v>
      </c>
      <c r="CD97" s="252">
        <f>CD100*CD94</f>
        <v>72.651149899281137</v>
      </c>
      <c r="CE97" s="252">
        <f>CE100*CE94</f>
        <v>82.478326631427777</v>
      </c>
      <c r="CF97" s="258">
        <f>CF100*CF94</f>
        <v>63.237094677643128</v>
      </c>
      <c r="CG97" s="253">
        <f>CC97+CD97+CE97+CF97</f>
        <v>274.6036502510218</v>
      </c>
      <c r="CH97" s="226"/>
      <c r="CI97" s="251">
        <f>CI100*CI94</f>
        <v>55.033634245900295</v>
      </c>
      <c r="CJ97" s="252">
        <f>CJ100*CJ94</f>
        <v>71.18860003728598</v>
      </c>
      <c r="CK97" s="252">
        <f>CK100*CK94</f>
        <v>80.936804930935466</v>
      </c>
      <c r="CL97" s="258">
        <f>CL100*CL94</f>
        <v>61.882651425013165</v>
      </c>
      <c r="CM97" s="253">
        <f>CI97+CJ97+CK97+CL97</f>
        <v>269.04169063913491</v>
      </c>
      <c r="CN97" s="226"/>
      <c r="CO97" s="251">
        <f>CO100*CO94</f>
        <v>53.848370433206441</v>
      </c>
      <c r="CP97" s="252">
        <f>CP100*CP94</f>
        <v>69.747236800622744</v>
      </c>
      <c r="CQ97" s="252">
        <f>CQ100*CQ94</f>
        <v>79.416360888868525</v>
      </c>
      <c r="CR97" s="258">
        <f>CR100*CR94</f>
        <v>60.548690646543548</v>
      </c>
      <c r="CS97" s="253">
        <f>CO97+CP97+CQ97+CR97</f>
        <v>263.56065876924129</v>
      </c>
      <c r="CT97" s="226"/>
      <c r="CU97" s="251">
        <f>CU100*CU94</f>
        <v>52.681098118551915</v>
      </c>
      <c r="CV97" s="252">
        <f>CV100*CV94</f>
        <v>68.326842999757361</v>
      </c>
      <c r="CW97" s="252">
        <f>CW100*CW94</f>
        <v>77.9167836446872</v>
      </c>
      <c r="CX97" s="258">
        <f>CX100*CX94</f>
        <v>59.234998783728962</v>
      </c>
      <c r="CY97" s="253">
        <f>CU97+CV97+CW97+CX97</f>
        <v>258.15972354672544</v>
      </c>
      <c r="CZ97" s="226"/>
      <c r="DA97" s="251">
        <f>DA100*DA94</f>
        <v>51.531629445047813</v>
      </c>
      <c r="DB97" s="252">
        <f>DB100*DB94</f>
        <v>66.927203296820622</v>
      </c>
      <c r="DC97" s="252">
        <f>DC100*DC94</f>
        <v>76.437864112625789</v>
      </c>
      <c r="DD97" s="258">
        <f>DD100*DD94</f>
        <v>57.941364114561537</v>
      </c>
      <c r="DE97" s="253">
        <f>DA97+DB97+DC97+DD97</f>
        <v>252.83806096905576</v>
      </c>
      <c r="DF97" s="226"/>
      <c r="DG97" s="251">
        <f>DG100*DG94</f>
        <v>50.399778172454191</v>
      </c>
      <c r="DH97" s="252">
        <f>DH100*DH94</f>
        <v>65.548104191474067</v>
      </c>
      <c r="DI97" s="252">
        <f>DI100*DI94</f>
        <v>74.97939496825073</v>
      </c>
      <c r="DJ97" s="258">
        <f>DJ100*DJ94</f>
        <v>56.667576739439937</v>
      </c>
      <c r="DK97" s="253">
        <f>DG97+DH97+DI97+DJ97</f>
        <v>247.59485407161893</v>
      </c>
    </row>
    <row r="98" spans="2:115" ht="15.75" thickBot="1" x14ac:dyDescent="0.35">
      <c r="B98" s="41" t="s">
        <v>23</v>
      </c>
      <c r="C98" s="155"/>
      <c r="D98" s="106"/>
      <c r="E98" s="106"/>
      <c r="F98" s="106"/>
      <c r="G98" s="108"/>
      <c r="I98" s="155"/>
      <c r="J98" s="106"/>
      <c r="K98" s="106"/>
      <c r="L98" s="106"/>
      <c r="M98" s="108"/>
      <c r="O98" s="155" t="s">
        <v>35</v>
      </c>
      <c r="P98" s="106" t="s">
        <v>35</v>
      </c>
      <c r="Q98" s="106" t="s">
        <v>35</v>
      </c>
      <c r="R98" s="106" t="s">
        <v>35</v>
      </c>
      <c r="S98" s="108" t="s">
        <v>35</v>
      </c>
      <c r="U98" s="109">
        <f>U97/O97-1</f>
        <v>-0.125</v>
      </c>
      <c r="V98" s="110">
        <f>V97/P97-1</f>
        <v>-9.0909090909090939E-2</v>
      </c>
      <c r="W98" s="110">
        <f>W97/Q97-1</f>
        <v>-0.11392405063291144</v>
      </c>
      <c r="X98" s="110">
        <f>X97/R97-1</f>
        <v>-0.13571428571428568</v>
      </c>
      <c r="Y98" s="122">
        <f>Y97/S97-1</f>
        <v>-0.11601307189542487</v>
      </c>
      <c r="AA98" s="109">
        <f>AA97/U97-1</f>
        <v>-0.18571428571428572</v>
      </c>
      <c r="AB98" s="110">
        <f>AB97/V97-1</f>
        <v>-0.18571428571428572</v>
      </c>
      <c r="AC98" s="110">
        <f>AC97/W97-1</f>
        <v>-0.25714285714285712</v>
      </c>
      <c r="AD98" s="120">
        <f>AD97/X97-1</f>
        <v>-0.27272727272727271</v>
      </c>
      <c r="AE98" s="122">
        <f>AE97/Y97-1</f>
        <v>-0.22365988909426993</v>
      </c>
      <c r="AG98" s="109">
        <f>AG97/AA97-1</f>
        <v>-0.21052631578947367</v>
      </c>
      <c r="AH98" s="110">
        <f>AH97/AB97-1</f>
        <v>-0.33333333333333337</v>
      </c>
      <c r="AI98" s="110">
        <f>AI97/AC97-1</f>
        <v>-9.6153846153846145E-2</v>
      </c>
      <c r="AJ98" s="110">
        <f>AJ97/AD97-1</f>
        <v>-4.5454545454545414E-2</v>
      </c>
      <c r="AK98" s="122">
        <f>AK97/AE97-1</f>
        <v>-0.18095238095238098</v>
      </c>
      <c r="AM98" s="109">
        <f>AM97/AG97-1</f>
        <v>-0.33333333333333337</v>
      </c>
      <c r="AN98" s="110">
        <f>AN97/AH97-1</f>
        <v>2.6315789473684292E-2</v>
      </c>
      <c r="AO98" s="110">
        <f>AO97/AI97-1</f>
        <v>-6.3829787234042534E-2</v>
      </c>
      <c r="AP98" s="110">
        <f>AP97/AJ97-1</f>
        <v>-7.1428571428571397E-2</v>
      </c>
      <c r="AQ98" s="122">
        <f>AQ97/AK97-1</f>
        <v>-0.11627906976744184</v>
      </c>
      <c r="AS98" s="109">
        <f>AS97/AM97-1</f>
        <v>0</v>
      </c>
      <c r="AT98" s="110">
        <f>AT97/AN97-1</f>
        <v>3.400000000000003E-2</v>
      </c>
      <c r="AU98" s="110">
        <f>AU97/AO97-1</f>
        <v>4.0000000000000036E-2</v>
      </c>
      <c r="AV98" s="120">
        <f>AV97/AP97-1</f>
        <v>-3.0000000000000027E-2</v>
      </c>
      <c r="AW98" s="122">
        <f>AW97/AQ97-1</f>
        <v>1.2605263157894786E-2</v>
      </c>
      <c r="AY98" s="109">
        <f>AY97/AS97-1</f>
        <v>1</v>
      </c>
      <c r="AZ98" s="110">
        <f>AZ97/AT97-1</f>
        <v>0.85984228537420027</v>
      </c>
      <c r="BA98" s="110">
        <f>BA97/AU97-1</f>
        <v>0.57342657342657333</v>
      </c>
      <c r="BB98" s="120">
        <f>BB97/AV97-1</f>
        <v>0.69177901136664022</v>
      </c>
      <c r="BC98" s="122">
        <f>BC97/AW97-1</f>
        <v>0.76070064190857356</v>
      </c>
      <c r="BE98" s="109">
        <f>BE97/AY97-1</f>
        <v>0.10000000000000009</v>
      </c>
      <c r="BF98" s="110">
        <f>BF97/AZ97-1</f>
        <v>-7.0000000000001172E-3</v>
      </c>
      <c r="BG98" s="110">
        <f>BG97/BA97-1</f>
        <v>2.0999999999999908E-2</v>
      </c>
      <c r="BH98" s="120">
        <f>BH97/BB97-1</f>
        <v>8.0000000000000071E-3</v>
      </c>
      <c r="BI98" s="122">
        <f>BI97/BC97-1</f>
        <v>2.7671586715867225E-2</v>
      </c>
      <c r="BK98" s="109">
        <f>BK97/BE97-1</f>
        <v>-0.15151515151515149</v>
      </c>
      <c r="BL98" s="110">
        <f>BL97/BF97-1</f>
        <v>-2.0000000000000129E-2</v>
      </c>
      <c r="BM98" s="110">
        <f>BM97/BG97-1</f>
        <v>0.15900000000000003</v>
      </c>
      <c r="BN98" s="110">
        <f>BN97/BH97-1</f>
        <v>2.4000000000000021E-2</v>
      </c>
      <c r="BO98" s="122">
        <f>BO97/BI97-1</f>
        <v>6.2736167813886023E-3</v>
      </c>
      <c r="BQ98" s="109">
        <f>BQ97/BK97-1</f>
        <v>4.8201388463127826E-2</v>
      </c>
      <c r="BR98" s="110">
        <f>BR97/BL97-1</f>
        <v>3.6379658990343122E-2</v>
      </c>
      <c r="BS98" s="110">
        <f>BS97/BM97-1</f>
        <v>4.9887954179352878E-3</v>
      </c>
      <c r="BT98" s="120">
        <f>BT97/BN97-1</f>
        <v>-7.8709758054218426E-4</v>
      </c>
      <c r="BU98" s="122">
        <f>BU97/BO97-1</f>
        <v>2.0437447319915591E-2</v>
      </c>
      <c r="BW98" s="109">
        <f>BW97/BQ97-1</f>
        <v>-2.1131125460323474E-2</v>
      </c>
      <c r="BX98" s="110">
        <f>BX97/BR97-1</f>
        <v>-1.9904395464178881E-2</v>
      </c>
      <c r="BY98" s="110">
        <f>BY97/BS97-1</f>
        <v>-1.8502871118710851E-2</v>
      </c>
      <c r="BZ98" s="120">
        <f>BZ97/BT97-1</f>
        <v>-2.1149710876493644E-2</v>
      </c>
      <c r="CA98" s="122">
        <f>CA97/BU97-1</f>
        <v>-2.0023997883539368E-2</v>
      </c>
      <c r="CC98" s="109">
        <f>CC97/BW97-1</f>
        <v>-2.1264190485881795E-2</v>
      </c>
      <c r="CD98" s="110">
        <f>CD97/BX97-1</f>
        <v>-2.0016907427496511E-2</v>
      </c>
      <c r="CE98" s="110">
        <f>CE97/BY97-1</f>
        <v>-1.8595797642366074E-2</v>
      </c>
      <c r="CF98" s="120">
        <f>CF97/BZ97-1</f>
        <v>-2.1282983302906344E-2</v>
      </c>
      <c r="CG98" s="122">
        <f>CG97/CA97-1</f>
        <v>-2.0138370887830548E-2</v>
      </c>
      <c r="CI98" s="109">
        <f>CI97/CC97-1</f>
        <v>-2.1399489754017176E-2</v>
      </c>
      <c r="CJ98" s="110">
        <f>CJ97/CD97-1</f>
        <v>-2.0131131634155031E-2</v>
      </c>
      <c r="CK98" s="110">
        <f>CK97/CE97-1</f>
        <v>-1.8690021529909728E-2</v>
      </c>
      <c r="CL98" s="120">
        <f>CL97/CF97-1</f>
        <v>-2.1418492730166716E-2</v>
      </c>
      <c r="CM98" s="122">
        <f>CM97/CG97-1</f>
        <v>-2.0254499919438729E-2</v>
      </c>
      <c r="CO98" s="109">
        <f>CO97/CI97-1</f>
        <v>-2.1537080531477848E-2</v>
      </c>
      <c r="CP98" s="110">
        <f>CP97/CJ97-1</f>
        <v>-2.0247107485022897E-2</v>
      </c>
      <c r="CQ98" s="110">
        <f>CQ97/CK97-1</f>
        <v>-1.8785570339283297E-2</v>
      </c>
      <c r="CR98" s="120">
        <f>CR97/CL97-1</f>
        <v>-2.1556296437718947E-2</v>
      </c>
      <c r="CS98" s="122">
        <f>CS97/CM97-1</f>
        <v>-2.0372425763727886E-2</v>
      </c>
      <c r="CU98" s="109">
        <f>CU97/CO97-1</f>
        <v>-2.167702207632094E-2</v>
      </c>
      <c r="CV98" s="110">
        <f>CV97/CP97-1</f>
        <v>-2.0364875599669707E-2</v>
      </c>
      <c r="CW98" s="110">
        <f>CW97/CQ97-1</f>
        <v>-1.8882472420006291E-2</v>
      </c>
      <c r="CX98" s="120">
        <f>CX97/CR97-1</f>
        <v>-2.1696453693496709E-2</v>
      </c>
      <c r="CY98" s="122">
        <f>CY97/CS97-1</f>
        <v>-2.049219047993267E-2</v>
      </c>
      <c r="DA98" s="109">
        <f>DA97/CU97-1</f>
        <v>-2.1819375725945833E-2</v>
      </c>
      <c r="DB98" s="110">
        <f>DB97/CV97-1</f>
        <v>-2.0484477863871309E-2</v>
      </c>
      <c r="DC98" s="110">
        <f>DC97/CW97-1</f>
        <v>-1.8980756941989751E-2</v>
      </c>
      <c r="DD98" s="120">
        <f>DD97/CX97-1</f>
        <v>-2.183902584164088E-2</v>
      </c>
      <c r="DE98" s="122">
        <f>DE97/CY97-1</f>
        <v>-2.0613837451319172E-2</v>
      </c>
      <c r="DG98" s="109">
        <f>DG97/DA97-1</f>
        <v>-2.1964204989881053E-2</v>
      </c>
      <c r="DH98" s="110">
        <f>DH97/DB97-1</f>
        <v>-2.0605957479356785E-2</v>
      </c>
      <c r="DI98" s="110">
        <f>DI97/DC97-1</f>
        <v>-1.9080453925636953E-2</v>
      </c>
      <c r="DJ98" s="120">
        <f>DJ97/DD97-1</f>
        <v>-2.198407639494071E-2</v>
      </c>
      <c r="DK98" s="122">
        <f>DK97/DE97-1</f>
        <v>-2.0737411437744435E-2</v>
      </c>
    </row>
    <row r="99" spans="2:115" ht="15.75" thickBot="1" x14ac:dyDescent="0.35">
      <c r="B99" s="1"/>
      <c r="X99" s="246">
        <f>X94-139</f>
        <v>33.5</v>
      </c>
      <c r="AA99" s="103"/>
      <c r="AB99" s="103"/>
      <c r="AC99" s="103"/>
      <c r="AD99" s="103"/>
      <c r="AE99" s="103"/>
      <c r="AG99" s="103"/>
      <c r="AH99" s="103"/>
      <c r="AI99" s="103"/>
      <c r="AJ99" s="103"/>
      <c r="AK99" s="103"/>
      <c r="AM99" s="103"/>
      <c r="AN99" s="103"/>
      <c r="AO99" s="103"/>
      <c r="AP99" s="103"/>
      <c r="AQ99" s="103"/>
      <c r="AS99" s="103"/>
      <c r="AT99" s="103"/>
      <c r="AU99" s="103"/>
      <c r="AV99" s="103"/>
      <c r="AW99" s="103"/>
      <c r="AY99" s="103"/>
      <c r="AZ99" s="103"/>
      <c r="BA99" s="103"/>
      <c r="BB99" s="103"/>
      <c r="BC99" s="103"/>
      <c r="BE99" s="103"/>
      <c r="BF99" s="103"/>
      <c r="BG99" s="103"/>
      <c r="BH99" s="103"/>
      <c r="BI99" s="103"/>
      <c r="BK99" s="103"/>
      <c r="BL99" s="103"/>
      <c r="BM99" s="103"/>
      <c r="BN99" s="103"/>
      <c r="BO99" s="103"/>
      <c r="BQ99" s="103"/>
      <c r="BR99" s="103"/>
      <c r="BS99" s="103"/>
      <c r="BT99" s="103"/>
      <c r="BU99" s="103"/>
      <c r="BW99" s="103"/>
      <c r="BX99" s="103"/>
      <c r="BY99" s="103"/>
      <c r="BZ99" s="103"/>
      <c r="CA99" s="103"/>
      <c r="CC99" s="103"/>
      <c r="CD99" s="103"/>
      <c r="CE99" s="103"/>
      <c r="CF99" s="103"/>
      <c r="CG99" s="103"/>
      <c r="CI99" s="103"/>
      <c r="CJ99" s="103"/>
      <c r="CK99" s="103"/>
      <c r="CL99" s="103"/>
      <c r="CM99" s="103"/>
      <c r="CO99" s="103"/>
      <c r="CP99" s="103"/>
      <c r="CQ99" s="103"/>
      <c r="CR99" s="103"/>
      <c r="CS99" s="103"/>
      <c r="CU99" s="103"/>
      <c r="CV99" s="103"/>
      <c r="CW99" s="103"/>
      <c r="CX99" s="103"/>
      <c r="CY99" s="103"/>
      <c r="DA99" s="103"/>
      <c r="DB99" s="103"/>
      <c r="DC99" s="103"/>
      <c r="DD99" s="103"/>
      <c r="DE99" s="103"/>
      <c r="DG99" s="103"/>
      <c r="DH99" s="103"/>
      <c r="DI99" s="103"/>
      <c r="DJ99" s="103"/>
      <c r="DK99" s="103"/>
    </row>
    <row r="100" spans="2:115" ht="15" x14ac:dyDescent="0.3">
      <c r="B100" s="42" t="s">
        <v>36</v>
      </c>
      <c r="C100" s="221"/>
      <c r="D100" s="222"/>
      <c r="E100" s="222"/>
      <c r="F100" s="222"/>
      <c r="G100" s="223"/>
      <c r="I100" s="221"/>
      <c r="J100" s="222"/>
      <c r="K100" s="222"/>
      <c r="L100" s="222"/>
      <c r="M100" s="223"/>
      <c r="O100" s="209">
        <f>O97/O94</f>
        <v>0.43478260869565216</v>
      </c>
      <c r="P100" s="206">
        <f>P97/P94</f>
        <v>0.41176470588235292</v>
      </c>
      <c r="Q100" s="206">
        <f>Q97/Q94</f>
        <v>0.40306122448979592</v>
      </c>
      <c r="R100" s="206">
        <f>R97/R94</f>
        <v>0.35897435897435898</v>
      </c>
      <c r="S100" s="208">
        <f>S97/S94</f>
        <v>0.40157480314960631</v>
      </c>
      <c r="T100" s="129"/>
      <c r="U100" s="209">
        <f>U97/U94</f>
        <v>0.38461538461538464</v>
      </c>
      <c r="V100" s="206">
        <f>V97/V94</f>
        <v>0.4</v>
      </c>
      <c r="W100" s="206">
        <f>W97/W94</f>
        <v>0.42424242424242425</v>
      </c>
      <c r="X100" s="206">
        <f>X97/X94</f>
        <v>0.35072463768115941</v>
      </c>
      <c r="Y100" s="208">
        <f>Y97/Y94</f>
        <v>0.38948884089272856</v>
      </c>
      <c r="Z100" s="226"/>
      <c r="AA100" s="209">
        <f>AA97/AA94</f>
        <v>0.36075949367088606</v>
      </c>
      <c r="AB100" s="206">
        <f>AB97/AB94</f>
        <v>0.35185185185185186</v>
      </c>
      <c r="AC100" s="206">
        <f>AC97/AC94</f>
        <v>0.32911392405063289</v>
      </c>
      <c r="AD100" s="206">
        <f>AD97/AD94</f>
        <v>0.28025477707006369</v>
      </c>
      <c r="AE100" s="208">
        <f>AE97/AE94</f>
        <v>0.33070866141732286</v>
      </c>
      <c r="AF100" s="226"/>
      <c r="AG100" s="209">
        <f>AG97/AG94</f>
        <v>0.28125</v>
      </c>
      <c r="AH100" s="206">
        <f>AH97/AH94</f>
        <v>0.25165562913907286</v>
      </c>
      <c r="AI100" s="347">
        <f>AC100+AI101</f>
        <v>0.2791139240506329</v>
      </c>
      <c r="AJ100" s="347">
        <f>AD100+AJ101</f>
        <v>0.2302547770700637</v>
      </c>
      <c r="AK100" s="208">
        <f>AK97/AK94</f>
        <v>0.25903614457831325</v>
      </c>
      <c r="AL100" s="226"/>
      <c r="AM100" s="209">
        <f>AM97/AM94</f>
        <v>0.14851485148514851</v>
      </c>
      <c r="AN100" s="206">
        <f>AN97/AN94</f>
        <v>0.22033898305084745</v>
      </c>
      <c r="AO100" s="206">
        <f>AO97/AO94</f>
        <v>0.2558139534883721</v>
      </c>
      <c r="AP100" s="206">
        <f>AP97/AP94</f>
        <v>0.19696969696969696</v>
      </c>
      <c r="AQ100" s="208">
        <f>AQ97/AQ94</f>
        <v>0.20293724966622162</v>
      </c>
      <c r="AR100" s="226"/>
      <c r="AS100" s="209">
        <f>AS97/AS94</f>
        <v>0.16666666666666666</v>
      </c>
      <c r="AT100" s="347">
        <f>AT97/AT94</f>
        <v>0.24739877300613497</v>
      </c>
      <c r="AU100" s="347">
        <f>AU97/AU94</f>
        <v>0.28073619631901842</v>
      </c>
      <c r="AV100" s="347">
        <f>AV97/AV94</f>
        <v>0.21494318181818181</v>
      </c>
      <c r="AW100" s="208">
        <f>AW97/AW94</f>
        <v>0.22568328445747801</v>
      </c>
      <c r="AX100" s="226"/>
      <c r="AY100" s="209">
        <f>AY97/AY94</f>
        <v>0.26315789473684209</v>
      </c>
      <c r="AZ100" s="347">
        <f>AZ97/AZ94</f>
        <v>0.32051282051282054</v>
      </c>
      <c r="BA100" s="347">
        <f>BA97/BA94</f>
        <v>0.32876712328767121</v>
      </c>
      <c r="BB100" s="347">
        <f>BB97/BB94</f>
        <v>0.21917808219178081</v>
      </c>
      <c r="BC100" s="208">
        <f>BC97/BC94</f>
        <v>0.27852004110996914</v>
      </c>
      <c r="BD100" s="226"/>
      <c r="BE100" s="209">
        <f>BE97/BE94</f>
        <v>0.34020618556701032</v>
      </c>
      <c r="BF100" s="347">
        <f>BF97/BF94</f>
        <v>0.39614361702127654</v>
      </c>
      <c r="BG100" s="347">
        <f>BG97/BG94</f>
        <v>0.3910212765957447</v>
      </c>
      <c r="BH100" s="347">
        <f>BH97/BH94</f>
        <v>0.29592660550458716</v>
      </c>
      <c r="BI100" s="208">
        <f>BI97/BI94</f>
        <v>0.35342512690355332</v>
      </c>
      <c r="BJ100" s="226"/>
      <c r="BK100" s="209">
        <f>BK97/BK94</f>
        <v>0.28282828282828282</v>
      </c>
      <c r="BL100" s="347">
        <f>BL97/BL94</f>
        <v>0.32876351351351346</v>
      </c>
      <c r="BM100" s="347">
        <f>BM97/BM94</f>
        <v>0.40379340284360188</v>
      </c>
      <c r="BN100" s="347">
        <f>BN97/BN94</f>
        <v>0.28352054935622317</v>
      </c>
      <c r="BO100" s="208">
        <f>BO97/BO94</f>
        <v>0.32435902314814813</v>
      </c>
      <c r="BP100" s="226"/>
      <c r="BQ100" s="348">
        <f>BK100+BQ101</f>
        <v>0.28032828282828282</v>
      </c>
      <c r="BR100" s="347">
        <f>BL100+BR101</f>
        <v>0.32626351351351346</v>
      </c>
      <c r="BS100" s="347">
        <f>BM100+BS101</f>
        <v>0.40129340284360188</v>
      </c>
      <c r="BT100" s="347">
        <f>BN100+BT101</f>
        <v>0.28102054935622317</v>
      </c>
      <c r="BU100" s="208">
        <f>BU97/BU94</f>
        <v>0.32150102508911366</v>
      </c>
      <c r="BV100" s="226"/>
      <c r="BW100" s="348">
        <f>BQ100+BW101</f>
        <v>0.27782828282828281</v>
      </c>
      <c r="BX100" s="347">
        <f>BR100+BX101</f>
        <v>0.32376351351351346</v>
      </c>
      <c r="BY100" s="347">
        <f>BS100+BY101</f>
        <v>0.39879340284360187</v>
      </c>
      <c r="BZ100" s="347">
        <f>BT100+BZ101</f>
        <v>0.27852054935622317</v>
      </c>
      <c r="CA100" s="208">
        <f>CA97/CA94</f>
        <v>0.31900092387109891</v>
      </c>
      <c r="CB100" s="226"/>
      <c r="CC100" s="348">
        <f>BW100+CC101</f>
        <v>0.27532828282828281</v>
      </c>
      <c r="CD100" s="347">
        <f>BX100+CD101</f>
        <v>0.32126351351351345</v>
      </c>
      <c r="CE100" s="347">
        <f>BY100+CE101</f>
        <v>0.39629340284360187</v>
      </c>
      <c r="CF100" s="347">
        <f>BZ100+CF101</f>
        <v>0.27602054935622317</v>
      </c>
      <c r="CG100" s="208">
        <f>CG97/CG94</f>
        <v>0.31650082113661032</v>
      </c>
      <c r="CH100" s="226"/>
      <c r="CI100" s="348">
        <f>CC100+CI101</f>
        <v>0.27282828282828281</v>
      </c>
      <c r="CJ100" s="347">
        <f>CD100+CJ101</f>
        <v>0.31876351351351345</v>
      </c>
      <c r="CK100" s="347">
        <f>CE100+CK101</f>
        <v>0.39379340284360187</v>
      </c>
      <c r="CL100" s="347">
        <f>CF100+CL101</f>
        <v>0.27352054935622316</v>
      </c>
      <c r="CM100" s="208">
        <f>CM97/CM94</f>
        <v>0.31400071685131026</v>
      </c>
      <c r="CN100" s="226"/>
      <c r="CO100" s="348">
        <f>CI100+CO101</f>
        <v>0.27032828282828281</v>
      </c>
      <c r="CP100" s="347">
        <f>CJ100+CP101</f>
        <v>0.31626351351351345</v>
      </c>
      <c r="CQ100" s="347">
        <f>CK100+CQ101</f>
        <v>0.39129340284360187</v>
      </c>
      <c r="CR100" s="347">
        <f>CL100+CR101</f>
        <v>0.27102054935622316</v>
      </c>
      <c r="CS100" s="208">
        <f>CS97/CS94</f>
        <v>0.31150061097981679</v>
      </c>
      <c r="CT100" s="226"/>
      <c r="CU100" s="348">
        <f>CO100+CU101</f>
        <v>0.2678282828282828</v>
      </c>
      <c r="CV100" s="347">
        <f>CP100+CV101</f>
        <v>0.31376351351351345</v>
      </c>
      <c r="CW100" s="347">
        <f>CQ100+CW101</f>
        <v>0.38879340284360187</v>
      </c>
      <c r="CX100" s="347">
        <f>CR100+CX101</f>
        <v>0.26852054935622316</v>
      </c>
      <c r="CY100" s="208">
        <f>CY97/CY94</f>
        <v>0.3090005034856631</v>
      </c>
      <c r="CZ100" s="226"/>
      <c r="DA100" s="348">
        <f>CU100+DA101</f>
        <v>0.2653282828282828</v>
      </c>
      <c r="DB100" s="347">
        <f>CV100+DB101</f>
        <v>0.31126351351351345</v>
      </c>
      <c r="DC100" s="347">
        <f>CW100+DC101</f>
        <v>0.38629340284360186</v>
      </c>
      <c r="DD100" s="347">
        <f>CX100+DD101</f>
        <v>0.26602054935622316</v>
      </c>
      <c r="DE100" s="208">
        <f>DE97/DE94</f>
        <v>0.30650039433125609</v>
      </c>
      <c r="DF100" s="226"/>
      <c r="DG100" s="348">
        <f>DA100+DG101</f>
        <v>0.2628282828282828</v>
      </c>
      <c r="DH100" s="347">
        <f>DB100+DH101</f>
        <v>0.30876351351351344</v>
      </c>
      <c r="DI100" s="347">
        <f>DC100+DI101</f>
        <v>0.38379340284360186</v>
      </c>
      <c r="DJ100" s="347">
        <f>DD100+DJ101</f>
        <v>0.26352054935622315</v>
      </c>
      <c r="DK100" s="208">
        <f>DK97/DK94</f>
        <v>0.30400028347783242</v>
      </c>
    </row>
    <row r="101" spans="2:115" ht="15.75" thickBot="1" x14ac:dyDescent="0.35">
      <c r="B101" s="41" t="s">
        <v>37</v>
      </c>
      <c r="C101" s="155"/>
      <c r="D101" s="106"/>
      <c r="E101" s="106"/>
      <c r="F101" s="106"/>
      <c r="G101" s="154"/>
      <c r="I101" s="155"/>
      <c r="J101" s="106"/>
      <c r="K101" s="106"/>
      <c r="L101" s="106"/>
      <c r="M101" s="154"/>
      <c r="O101" s="155" t="s">
        <v>35</v>
      </c>
      <c r="P101" s="106" t="s">
        <v>35</v>
      </c>
      <c r="Q101" s="106" t="s">
        <v>35</v>
      </c>
      <c r="R101" s="106" t="s">
        <v>35</v>
      </c>
      <c r="S101" s="108" t="s">
        <v>35</v>
      </c>
      <c r="U101" s="174">
        <f>U100-O100</f>
        <v>-5.0167224080267525E-2</v>
      </c>
      <c r="V101" s="175">
        <f>V100-P100</f>
        <v>-1.1764705882352899E-2</v>
      </c>
      <c r="W101" s="175">
        <f>W100-Q100</f>
        <v>2.1181199752628332E-2</v>
      </c>
      <c r="X101" s="175">
        <f>X100-R100</f>
        <v>-8.2497212931995634E-3</v>
      </c>
      <c r="Y101" s="177">
        <f>Y100-S100</f>
        <v>-1.2085962256877747E-2</v>
      </c>
      <c r="AA101" s="174">
        <f>AA100-U100</f>
        <v>-2.3855890944498581E-2</v>
      </c>
      <c r="AB101" s="175">
        <f>AB100-V100</f>
        <v>-4.8148148148148162E-2</v>
      </c>
      <c r="AC101" s="175">
        <f>AC100-W100</f>
        <v>-9.5128500191791365E-2</v>
      </c>
      <c r="AD101" s="175">
        <f>AD100-X100</f>
        <v>-7.0469860611095725E-2</v>
      </c>
      <c r="AE101" s="177">
        <f>AE100-Y100</f>
        <v>-5.8780179475405703E-2</v>
      </c>
      <c r="AG101" s="174">
        <f>AG100-AA100</f>
        <v>-7.9509493670886056E-2</v>
      </c>
      <c r="AH101" s="175">
        <f>AH100-AB100</f>
        <v>-0.100196222712779</v>
      </c>
      <c r="AI101" s="175">
        <v>-0.05</v>
      </c>
      <c r="AJ101" s="175">
        <v>-0.05</v>
      </c>
      <c r="AK101" s="177">
        <f>AK100-AE100</f>
        <v>-7.1672516839009603E-2</v>
      </c>
      <c r="AM101" s="174">
        <f>AM100-AG100</f>
        <v>-0.13273514851485149</v>
      </c>
      <c r="AN101" s="175">
        <f>AN100-AH100</f>
        <v>-3.1316646088225403E-2</v>
      </c>
      <c r="AO101" s="175">
        <f>AO100-AI100</f>
        <v>-2.3299970562260797E-2</v>
      </c>
      <c r="AP101" s="175">
        <f>AP100-AJ100</f>
        <v>-3.3285080100366737E-2</v>
      </c>
      <c r="AQ101" s="177">
        <f>AQ100-AK100</f>
        <v>-5.6098894912091635E-2</v>
      </c>
      <c r="AS101" s="174">
        <f>AS100-AM100</f>
        <v>1.8151815181518149E-2</v>
      </c>
      <c r="AT101" s="175">
        <f>AT100-AN100</f>
        <v>2.7059789955287517E-2</v>
      </c>
      <c r="AU101" s="175">
        <f>AU100-AO100</f>
        <v>2.4922242830646313E-2</v>
      </c>
      <c r="AV101" s="175">
        <f>AV100-AP100</f>
        <v>1.797348484848485E-2</v>
      </c>
      <c r="AW101" s="177">
        <f>AW100-AQ100</f>
        <v>2.2746034791256392E-2</v>
      </c>
      <c r="AY101" s="174">
        <f>AY100-AS100</f>
        <v>9.6491228070175433E-2</v>
      </c>
      <c r="AZ101" s="175">
        <f>AZ100-AT100</f>
        <v>7.311404750668557E-2</v>
      </c>
      <c r="BA101" s="175">
        <f>BA100-AU100</f>
        <v>4.8030926968652798E-2</v>
      </c>
      <c r="BB101" s="175">
        <f>BB100-AV100</f>
        <v>4.2349003735989987E-3</v>
      </c>
      <c r="BC101" s="177">
        <f>BC100-AW100</f>
        <v>5.2836756652491129E-2</v>
      </c>
      <c r="BE101" s="174">
        <f>BE100-AY100</f>
        <v>7.7048290830168231E-2</v>
      </c>
      <c r="BF101" s="175">
        <f>BF100-AZ100</f>
        <v>7.5630796508456E-2</v>
      </c>
      <c r="BG101" s="175">
        <f>BG100-BA100</f>
        <v>6.225415330807349E-2</v>
      </c>
      <c r="BH101" s="175">
        <f>BH100-BB100</f>
        <v>7.6748523312806349E-2</v>
      </c>
      <c r="BI101" s="177">
        <f>BI100-BC100</f>
        <v>7.4905085793584181E-2</v>
      </c>
      <c r="BK101" s="174">
        <f>BK100-BE100</f>
        <v>-5.7377902738727504E-2</v>
      </c>
      <c r="BL101" s="175">
        <f>BL100-BF100</f>
        <v>-6.7380103507763078E-2</v>
      </c>
      <c r="BM101" s="175">
        <f>BM100-BG100</f>
        <v>1.2772126247857174E-2</v>
      </c>
      <c r="BN101" s="175">
        <f>BN100-BH100</f>
        <v>-1.2406056148363986E-2</v>
      </c>
      <c r="BO101" s="177">
        <f>BO100-BI100</f>
        <v>-2.9066103755405193E-2</v>
      </c>
      <c r="BQ101" s="174">
        <v>-2.5000000000000001E-3</v>
      </c>
      <c r="BR101" s="175">
        <f>BQ101</f>
        <v>-2.5000000000000001E-3</v>
      </c>
      <c r="BS101" s="175">
        <f>BR101</f>
        <v>-2.5000000000000001E-3</v>
      </c>
      <c r="BT101" s="175">
        <f>BS101</f>
        <v>-2.5000000000000001E-3</v>
      </c>
      <c r="BU101" s="177">
        <f>BU100-BO100</f>
        <v>-2.8579980590344722E-3</v>
      </c>
      <c r="BW101" s="174">
        <v>-2.5000000000000001E-3</v>
      </c>
      <c r="BX101" s="175">
        <f>BW101</f>
        <v>-2.5000000000000001E-3</v>
      </c>
      <c r="BY101" s="175">
        <f>BX101</f>
        <v>-2.5000000000000001E-3</v>
      </c>
      <c r="BZ101" s="175">
        <f>BY101</f>
        <v>-2.5000000000000001E-3</v>
      </c>
      <c r="CA101" s="177">
        <f>CA100-BU100</f>
        <v>-2.5001012180147497E-3</v>
      </c>
      <c r="CC101" s="174">
        <v>-2.5000000000000001E-3</v>
      </c>
      <c r="CD101" s="175">
        <f>CC101</f>
        <v>-2.5000000000000001E-3</v>
      </c>
      <c r="CE101" s="175">
        <f>CD101</f>
        <v>-2.5000000000000001E-3</v>
      </c>
      <c r="CF101" s="175">
        <f>CE101</f>
        <v>-2.5000000000000001E-3</v>
      </c>
      <c r="CG101" s="177">
        <f>CG100-CA100</f>
        <v>-2.5001027344885851E-3</v>
      </c>
      <c r="CI101" s="174">
        <v>-2.5000000000000001E-3</v>
      </c>
      <c r="CJ101" s="175">
        <f>CI101</f>
        <v>-2.5000000000000001E-3</v>
      </c>
      <c r="CK101" s="175">
        <f>CJ101</f>
        <v>-2.5000000000000001E-3</v>
      </c>
      <c r="CL101" s="175">
        <f>CK101</f>
        <v>-2.5000000000000001E-3</v>
      </c>
      <c r="CM101" s="177">
        <f>CM100-CG100</f>
        <v>-2.5001042853000643E-3</v>
      </c>
      <c r="CO101" s="174">
        <v>-2.5000000000000001E-3</v>
      </c>
      <c r="CP101" s="175">
        <f>CO101</f>
        <v>-2.5000000000000001E-3</v>
      </c>
      <c r="CQ101" s="175">
        <f>CP101</f>
        <v>-2.5000000000000001E-3</v>
      </c>
      <c r="CR101" s="175">
        <f>CQ101</f>
        <v>-2.5000000000000001E-3</v>
      </c>
      <c r="CS101" s="177">
        <f>CS100-CM100</f>
        <v>-2.5001058714934632E-3</v>
      </c>
      <c r="CU101" s="174">
        <v>-2.5000000000000001E-3</v>
      </c>
      <c r="CV101" s="175">
        <f>CU101</f>
        <v>-2.5000000000000001E-3</v>
      </c>
      <c r="CW101" s="175">
        <f>CV101</f>
        <v>-2.5000000000000001E-3</v>
      </c>
      <c r="CX101" s="175">
        <f>CW101</f>
        <v>-2.5000000000000001E-3</v>
      </c>
      <c r="CY101" s="177">
        <f>CY100-CS100</f>
        <v>-2.5001074941536916E-3</v>
      </c>
      <c r="DA101" s="174">
        <v>-2.5000000000000001E-3</v>
      </c>
      <c r="DB101" s="175">
        <f>DA101</f>
        <v>-2.5000000000000001E-3</v>
      </c>
      <c r="DC101" s="175">
        <f>DB101</f>
        <v>-2.5000000000000001E-3</v>
      </c>
      <c r="DD101" s="175">
        <f>DC101</f>
        <v>-2.5000000000000001E-3</v>
      </c>
      <c r="DE101" s="177">
        <f>DE100-CY100</f>
        <v>-2.5001091544070153E-3</v>
      </c>
      <c r="DG101" s="174">
        <v>-2.5000000000000001E-3</v>
      </c>
      <c r="DH101" s="175">
        <f>DG101</f>
        <v>-2.5000000000000001E-3</v>
      </c>
      <c r="DI101" s="175">
        <f>DH101</f>
        <v>-2.5000000000000001E-3</v>
      </c>
      <c r="DJ101" s="175">
        <f>DI101</f>
        <v>-2.5000000000000001E-3</v>
      </c>
      <c r="DK101" s="177">
        <f>DK100-DE100</f>
        <v>-2.5001108534236649E-3</v>
      </c>
    </row>
    <row r="102" spans="2:115" ht="15.75" thickBot="1" x14ac:dyDescent="0.35">
      <c r="B102" s="1"/>
      <c r="AA102" s="103"/>
      <c r="AB102" s="103"/>
      <c r="AC102" s="103"/>
      <c r="AD102" s="103"/>
      <c r="AE102" s="103"/>
      <c r="AG102" s="103"/>
      <c r="AH102" s="103"/>
      <c r="AI102" s="103"/>
      <c r="AJ102" s="103"/>
      <c r="AK102" s="103"/>
      <c r="AM102" s="103"/>
      <c r="AN102" s="103"/>
      <c r="AO102" s="103"/>
      <c r="AP102" s="103"/>
      <c r="AQ102" s="103"/>
      <c r="AS102" s="103"/>
      <c r="AT102" s="103"/>
      <c r="AU102" s="103"/>
      <c r="AV102" s="103"/>
      <c r="AW102" s="103"/>
      <c r="AY102" s="103"/>
      <c r="AZ102" s="103"/>
      <c r="BA102" s="103"/>
      <c r="BB102" s="103"/>
      <c r="BC102" s="103"/>
      <c r="BE102" s="103"/>
      <c r="BF102" s="103"/>
      <c r="BG102" s="103"/>
      <c r="BH102" s="103"/>
      <c r="BI102" s="103"/>
      <c r="BK102" s="103"/>
      <c r="BL102" s="103"/>
      <c r="BM102" s="103"/>
      <c r="BN102" s="103"/>
      <c r="BO102" s="103"/>
      <c r="BQ102" s="103"/>
      <c r="BR102" s="103"/>
      <c r="BS102" s="103"/>
      <c r="BT102" s="103"/>
      <c r="BU102" s="103"/>
      <c r="BW102" s="103"/>
      <c r="BX102" s="103"/>
      <c r="BY102" s="103"/>
      <c r="BZ102" s="103"/>
      <c r="CA102" s="103"/>
      <c r="CC102" s="103"/>
      <c r="CD102" s="103"/>
      <c r="CE102" s="103"/>
      <c r="CF102" s="103"/>
      <c r="CG102" s="103"/>
      <c r="CI102" s="103"/>
      <c r="CJ102" s="103"/>
      <c r="CK102" s="103"/>
      <c r="CL102" s="103"/>
      <c r="CM102" s="103"/>
      <c r="CO102" s="103"/>
      <c r="CP102" s="103"/>
      <c r="CQ102" s="103"/>
      <c r="CR102" s="103"/>
      <c r="CS102" s="103"/>
      <c r="CU102" s="103"/>
      <c r="CV102" s="103"/>
      <c r="CW102" s="103"/>
      <c r="CX102" s="103"/>
      <c r="CY102" s="103"/>
      <c r="DA102" s="103"/>
      <c r="DB102" s="103"/>
      <c r="DC102" s="103"/>
      <c r="DD102" s="103"/>
      <c r="DE102" s="103"/>
      <c r="DG102" s="103"/>
      <c r="DH102" s="103"/>
      <c r="DI102" s="103"/>
      <c r="DJ102" s="103"/>
      <c r="DK102" s="103"/>
    </row>
    <row r="103" spans="2:115" ht="15" x14ac:dyDescent="0.3">
      <c r="B103" s="139" t="s">
        <v>62</v>
      </c>
      <c r="C103" s="221"/>
      <c r="D103" s="222"/>
      <c r="E103" s="222"/>
      <c r="F103" s="222"/>
      <c r="G103" s="224"/>
      <c r="I103" s="221"/>
      <c r="J103" s="222"/>
      <c r="K103" s="222"/>
      <c r="L103" s="222"/>
      <c r="M103" s="224"/>
      <c r="O103" s="126">
        <v>56</v>
      </c>
      <c r="P103" s="127">
        <v>51</v>
      </c>
      <c r="Q103" s="127">
        <v>36</v>
      </c>
      <c r="R103" s="127">
        <v>44</v>
      </c>
      <c r="S103" s="167">
        <f>O103+P103+Q103+R103</f>
        <v>187</v>
      </c>
      <c r="T103" s="129"/>
      <c r="U103" s="126">
        <v>43</v>
      </c>
      <c r="V103" s="127">
        <v>37</v>
      </c>
      <c r="W103" s="252">
        <v>34</v>
      </c>
      <c r="X103" s="252">
        <v>42</v>
      </c>
      <c r="Y103" s="253">
        <f>U103+V103+W103+X103</f>
        <v>156</v>
      </c>
      <c r="Z103" s="226"/>
      <c r="AA103" s="251">
        <v>35</v>
      </c>
      <c r="AB103" s="252">
        <v>27</v>
      </c>
      <c r="AC103" s="252">
        <v>27</v>
      </c>
      <c r="AD103" s="252">
        <v>43</v>
      </c>
      <c r="AE103" s="253">
        <f>AA103+AB103+AC103+AD103</f>
        <v>132</v>
      </c>
      <c r="AF103" s="226"/>
      <c r="AG103" s="251">
        <v>71</v>
      </c>
      <c r="AH103" s="252">
        <v>26</v>
      </c>
      <c r="AI103" s="252">
        <f>AC103+3</f>
        <v>30</v>
      </c>
      <c r="AJ103" s="252">
        <f>AD103-7</f>
        <v>36</v>
      </c>
      <c r="AK103" s="253">
        <f>AG103+AH103+AI103+AJ103</f>
        <v>163</v>
      </c>
      <c r="AL103" s="226"/>
      <c r="AM103" s="251">
        <v>26</v>
      </c>
      <c r="AN103" s="252">
        <v>30</v>
      </c>
      <c r="AO103" s="252">
        <v>41</v>
      </c>
      <c r="AP103" s="252">
        <v>75</v>
      </c>
      <c r="AQ103" s="253">
        <f>AM103+AN103+AO103+AP103</f>
        <v>172</v>
      </c>
      <c r="AR103" s="226"/>
      <c r="AS103" s="251">
        <v>30</v>
      </c>
      <c r="AT103" s="199">
        <f>AN103*0.935</f>
        <v>28.05</v>
      </c>
      <c r="AU103" s="252">
        <v>21</v>
      </c>
      <c r="AV103" s="252">
        <f>AV106*AV94</f>
        <v>29.706666666666667</v>
      </c>
      <c r="AW103" s="253">
        <f>AS103+AT103+AU103+AV103</f>
        <v>108.75666666666666</v>
      </c>
      <c r="AX103" s="226"/>
      <c r="AY103" s="251">
        <v>32</v>
      </c>
      <c r="AZ103" s="252">
        <v>32</v>
      </c>
      <c r="BA103" s="199">
        <v>31</v>
      </c>
      <c r="BB103" s="252">
        <v>48</v>
      </c>
      <c r="BC103" s="253">
        <f>AY103+AZ103+BA103+BB103</f>
        <v>143</v>
      </c>
      <c r="BD103" s="226"/>
      <c r="BE103" s="251">
        <v>36</v>
      </c>
      <c r="BF103" s="199">
        <f>AZ103*1.269</f>
        <v>40.607999999999997</v>
      </c>
      <c r="BG103" s="252">
        <v>30</v>
      </c>
      <c r="BH103" s="252">
        <v>45</v>
      </c>
      <c r="BI103" s="253">
        <f>BE103+BF103+BG103+BH103</f>
        <v>151.608</v>
      </c>
      <c r="BJ103" s="226"/>
      <c r="BK103" s="251">
        <v>35</v>
      </c>
      <c r="BL103" s="252">
        <v>35</v>
      </c>
      <c r="BM103" s="252">
        <v>24</v>
      </c>
      <c r="BN103" s="252">
        <v>46</v>
      </c>
      <c r="BO103" s="253">
        <f>BK103+BL103+BM103+BN103</f>
        <v>140</v>
      </c>
      <c r="BP103" s="226"/>
      <c r="BQ103" s="251">
        <f>BQ106*BQ94</f>
        <v>35.967254056595529</v>
      </c>
      <c r="BR103" s="252">
        <f>BR106*BR94</f>
        <v>35.392036542699728</v>
      </c>
      <c r="BS103" s="252">
        <f>BS106*BS94</f>
        <v>23.203125068865774</v>
      </c>
      <c r="BT103" s="252">
        <f>BT106*BT94</f>
        <v>45.198255271296865</v>
      </c>
      <c r="BU103" s="253">
        <f>BQ103+BR103+BS103+BT103</f>
        <v>139.7606709394579</v>
      </c>
      <c r="BV103" s="226"/>
      <c r="BW103" s="251">
        <f>BW106*BW94</f>
        <v>34.489960812788155</v>
      </c>
      <c r="BX103" s="252">
        <f>BX106*BX94</f>
        <v>33.810530102609974</v>
      </c>
      <c r="BY103" s="252">
        <f>BY106*BY94</f>
        <v>21.862874856011238</v>
      </c>
      <c r="BZ103" s="252">
        <f>BZ106*BZ94</f>
        <v>43.479525631832239</v>
      </c>
      <c r="CA103" s="253">
        <f>BW103+BX103+BY103+BZ103</f>
        <v>133.64289140324161</v>
      </c>
      <c r="CB103" s="226"/>
      <c r="CC103" s="251">
        <f>CC106*CC94</f>
        <v>33.552435033712449</v>
      </c>
      <c r="CD103" s="252">
        <f>CD106*CD94</f>
        <v>32.260877550076543</v>
      </c>
      <c r="CE103" s="252">
        <f>CE106*CE94</f>
        <v>20.55105152075555</v>
      </c>
      <c r="CF103" s="252">
        <f>CF106*CF94</f>
        <v>41.794062936180296</v>
      </c>
      <c r="CG103" s="253">
        <f>CC103+CD103+CE103+CF103</f>
        <v>128.15842704072483</v>
      </c>
      <c r="CH103" s="226"/>
      <c r="CI103" s="251">
        <f>CI106*CI94</f>
        <v>33.1353008857443</v>
      </c>
      <c r="CJ103" s="252">
        <f>CJ106*CJ94</f>
        <v>31.859351847734381</v>
      </c>
      <c r="CK103" s="252">
        <f>CK106*CK94</f>
        <v>20.294981951900397</v>
      </c>
      <c r="CL103" s="252">
        <f>CL106*CL94</f>
        <v>41.272716338896579</v>
      </c>
      <c r="CM103" s="253">
        <f>CI103+CJ103+CK103+CL103</f>
        <v>126.56235102427567</v>
      </c>
      <c r="CN103" s="226"/>
      <c r="CO103" s="251">
        <f>CO106*CO94</f>
        <v>32.721499268380001</v>
      </c>
      <c r="CP103" s="252">
        <f>CP106*CP94</f>
        <v>31.461034880476888</v>
      </c>
      <c r="CQ103" s="252">
        <f>CQ106*CQ94</f>
        <v>20.040959302445785</v>
      </c>
      <c r="CR103" s="252">
        <f>CR106*CR94</f>
        <v>40.755538356012302</v>
      </c>
      <c r="CS103" s="253">
        <f>CO103+CP103+CQ103+CR103</f>
        <v>124.97903180731498</v>
      </c>
      <c r="CT103" s="226"/>
      <c r="CU103" s="251">
        <f>CU106*CU94</f>
        <v>32.311007284667191</v>
      </c>
      <c r="CV103" s="252">
        <f>CV106*CV94</f>
        <v>31.065904599095777</v>
      </c>
      <c r="CW103" s="252">
        <f>CW106*CW94</f>
        <v>19.788969504936912</v>
      </c>
      <c r="CX103" s="252">
        <f>CX106*CX94</f>
        <v>40.242500335048398</v>
      </c>
      <c r="CY103" s="253">
        <f>CU103+CV103+CW103+CX103</f>
        <v>123.40838172374828</v>
      </c>
      <c r="CZ103" s="226"/>
      <c r="DA103" s="251">
        <f>DA106*DA94</f>
        <v>31.903802183309796</v>
      </c>
      <c r="DB103" s="252">
        <f>DB106*DB94</f>
        <v>30.673939094656468</v>
      </c>
      <c r="DC103" s="252">
        <f>DC106*DC94</f>
        <v>19.538998581420568</v>
      </c>
      <c r="DD103" s="252">
        <f>DD106*DD94</f>
        <v>39.733573805835228</v>
      </c>
      <c r="DE103" s="253">
        <f>DA103+DB103+DC103+DD103</f>
        <v>121.85031366522207</v>
      </c>
      <c r="DF103" s="226"/>
      <c r="DG103" s="251">
        <f>DG106*DG94</f>
        <v>31.499861357783871</v>
      </c>
      <c r="DH103" s="252">
        <f>DH106*DH94</f>
        <v>30.285116597646581</v>
      </c>
      <c r="DI103" s="252">
        <f>DI106*DI94</f>
        <v>19.291032642901772</v>
      </c>
      <c r="DJ103" s="252">
        <f>DJ106*DJ94</f>
        <v>39.228730479405804</v>
      </c>
      <c r="DK103" s="253">
        <f>DG103+DH103+DI103+DJ103</f>
        <v>120.30474107773802</v>
      </c>
    </row>
    <row r="104" spans="2:115" ht="15" x14ac:dyDescent="0.3">
      <c r="B104" s="5" t="s">
        <v>40</v>
      </c>
      <c r="C104" s="144"/>
      <c r="D104" s="107"/>
      <c r="E104" s="107"/>
      <c r="F104" s="107"/>
      <c r="G104" s="138"/>
      <c r="I104" s="144"/>
      <c r="J104" s="107"/>
      <c r="K104" s="107"/>
      <c r="L104" s="107"/>
      <c r="M104" s="138"/>
      <c r="O104" s="144" t="s">
        <v>35</v>
      </c>
      <c r="P104" s="107" t="s">
        <v>35</v>
      </c>
      <c r="Q104" s="107" t="s">
        <v>35</v>
      </c>
      <c r="R104" s="107" t="s">
        <v>35</v>
      </c>
      <c r="S104" s="138" t="s">
        <v>35</v>
      </c>
      <c r="U104" s="151">
        <f>U103/O103-1</f>
        <v>-0.2321428571428571</v>
      </c>
      <c r="V104" s="133">
        <f>V103/P103-1</f>
        <v>-0.27450980392156865</v>
      </c>
      <c r="W104" s="133">
        <f>W103/Q103-1</f>
        <v>-5.555555555555558E-2</v>
      </c>
      <c r="X104" s="152">
        <f>X103/R103-1</f>
        <v>-4.5454545454545414E-2</v>
      </c>
      <c r="Y104" s="153">
        <f>Y103/S103-1</f>
        <v>-0.16577540106951871</v>
      </c>
      <c r="AA104" s="151">
        <f>AA103/U103-1</f>
        <v>-0.18604651162790697</v>
      </c>
      <c r="AB104" s="133">
        <f>AB103/V103-1</f>
        <v>-0.27027027027027029</v>
      </c>
      <c r="AC104" s="133">
        <f>AC103/W103-1</f>
        <v>-0.20588235294117652</v>
      </c>
      <c r="AD104" s="152">
        <f>AD103/X103-1</f>
        <v>2.3809523809523725E-2</v>
      </c>
      <c r="AE104" s="153">
        <f>AE103/Y103-1</f>
        <v>-0.15384615384615385</v>
      </c>
      <c r="AG104" s="151">
        <f>AG103/AA103-1</f>
        <v>1.0285714285714285</v>
      </c>
      <c r="AH104" s="133">
        <f>AH103/AB103-1</f>
        <v>-3.703703703703709E-2</v>
      </c>
      <c r="AI104" s="133">
        <f>AI103/AC103-1</f>
        <v>0.11111111111111116</v>
      </c>
      <c r="AJ104" s="152">
        <f>AJ103/AD103-1</f>
        <v>-0.16279069767441856</v>
      </c>
      <c r="AK104" s="153">
        <f>AK103/AE103-1</f>
        <v>0.23484848484848486</v>
      </c>
      <c r="AM104" s="151">
        <f>AM103/AG103-1</f>
        <v>-0.63380281690140849</v>
      </c>
      <c r="AN104" s="133">
        <f>AN103/AH103-1</f>
        <v>0.15384615384615374</v>
      </c>
      <c r="AO104" s="133">
        <f>AO103/AI103-1</f>
        <v>0.3666666666666667</v>
      </c>
      <c r="AP104" s="133">
        <f>AP103/AJ103-1</f>
        <v>1.0833333333333335</v>
      </c>
      <c r="AQ104" s="153">
        <f>AQ103/AK103-1</f>
        <v>5.5214723926380271E-2</v>
      </c>
      <c r="AS104" s="151">
        <f>AS103/AM103-1</f>
        <v>0.15384615384615374</v>
      </c>
      <c r="AT104" s="133">
        <f>AT103/AN103-1</f>
        <v>-6.4999999999999947E-2</v>
      </c>
      <c r="AU104" s="133">
        <f>AU103/AO103-1</f>
        <v>-0.48780487804878048</v>
      </c>
      <c r="AV104" s="152">
        <f>AV103/AP103-1</f>
        <v>-0.60391111111111107</v>
      </c>
      <c r="AW104" s="153">
        <f>AW103/AQ103-1</f>
        <v>-0.36769379844961247</v>
      </c>
      <c r="AY104" s="151">
        <f>AY103/AS103-1</f>
        <v>6.6666666666666652E-2</v>
      </c>
      <c r="AZ104" s="133">
        <f>AZ103/AT103-1</f>
        <v>0.14081996434937616</v>
      </c>
      <c r="BA104" s="133">
        <f>BA103/AU103-1</f>
        <v>0.47619047619047628</v>
      </c>
      <c r="BB104" s="133">
        <f>BB103/AV103-1</f>
        <v>0.61579892280071813</v>
      </c>
      <c r="BC104" s="153">
        <f>BC103/AW103-1</f>
        <v>0.31486192417323089</v>
      </c>
      <c r="BE104" s="151">
        <f>BE103/AY103-1</f>
        <v>0.125</v>
      </c>
      <c r="BF104" s="133">
        <f>BF103/AZ103-1</f>
        <v>0.26899999999999991</v>
      </c>
      <c r="BG104" s="133">
        <f>BG103/BA103-1</f>
        <v>-3.2258064516129004E-2</v>
      </c>
      <c r="BH104" s="133">
        <f>BH103/BB103-1</f>
        <v>-6.25E-2</v>
      </c>
      <c r="BI104" s="153">
        <f>BI103/BC103-1</f>
        <v>6.019580419580417E-2</v>
      </c>
      <c r="BK104" s="151">
        <f>BK103/BE103-1</f>
        <v>-2.777777777777779E-2</v>
      </c>
      <c r="BL104" s="133">
        <f>BL103/BF103-1</f>
        <v>-0.13810086682427103</v>
      </c>
      <c r="BM104" s="133">
        <f>BM103/BG103-1</f>
        <v>-0.19999999999999996</v>
      </c>
      <c r="BN104" s="133">
        <f>BN103/BH103-1</f>
        <v>2.2222222222222143E-2</v>
      </c>
      <c r="BO104" s="153">
        <f>BO103/BI103-1</f>
        <v>-7.6565880428473454E-2</v>
      </c>
      <c r="BQ104" s="151">
        <f>BQ103/BK103-1</f>
        <v>2.7635830188443622E-2</v>
      </c>
      <c r="BR104" s="133">
        <f>BR103/BL103-1</f>
        <v>1.1201044077135069E-2</v>
      </c>
      <c r="BS104" s="133">
        <f>BS103/BM103-1</f>
        <v>-3.3203122130592733E-2</v>
      </c>
      <c r="BT104" s="152">
        <f>BT103/BN103-1</f>
        <v>-1.7429233232676866E-2</v>
      </c>
      <c r="BU104" s="153">
        <f>BU103/BO103-1</f>
        <v>-1.7094932895864723E-3</v>
      </c>
      <c r="BW104" s="151">
        <f>BW103/BQ103-1</f>
        <v>-4.1073284090100692E-2</v>
      </c>
      <c r="BX104" s="133">
        <f>BX103/BR103-1</f>
        <v>-4.4685375428500707E-2</v>
      </c>
      <c r="BY104" s="133">
        <f>BY103/BS103-1</f>
        <v>-5.7761625163711194E-2</v>
      </c>
      <c r="BZ104" s="152">
        <f>BZ103/BT103-1</f>
        <v>-3.8026459852225858E-2</v>
      </c>
      <c r="CA104" s="153">
        <f>CA103/BU103-1</f>
        <v>-4.3773255344963347E-2</v>
      </c>
      <c r="CC104" s="151">
        <f>CC103/BW103-1</f>
        <v>-2.7182570144530072E-2</v>
      </c>
      <c r="CD104" s="133">
        <f>CD103/BX103-1</f>
        <v>-4.5833429639537293E-2</v>
      </c>
      <c r="CE104" s="133">
        <f>CE103/BY103-1</f>
        <v>-6.0002325581395399E-2</v>
      </c>
      <c r="CF104" s="152">
        <f>CF103/BZ103-1</f>
        <v>-3.8764514358408331E-2</v>
      </c>
      <c r="CG104" s="153">
        <f>CG103/CA103-1</f>
        <v>-4.1038204912586473E-2</v>
      </c>
      <c r="CI104" s="151">
        <f>CI103/CC103-1</f>
        <v>-1.2432306255835801E-2</v>
      </c>
      <c r="CJ104" s="133">
        <f>CJ103/CD103-1</f>
        <v>-1.2446211412535213E-2</v>
      </c>
      <c r="CK104" s="133">
        <f>CK103/CE103-1</f>
        <v>-1.2460168697282281E-2</v>
      </c>
      <c r="CL104" s="152">
        <f>CL103/CF103-1</f>
        <v>-1.2474178403755976E-2</v>
      </c>
      <c r="CM104" s="153">
        <f>CM103/CG103-1</f>
        <v>-1.2453929509777528E-2</v>
      </c>
      <c r="CO104" s="151">
        <f>CO103/CI103-1</f>
        <v>-1.2488240827845609E-2</v>
      </c>
      <c r="CP104" s="133">
        <f>CP103/CJ103-1</f>
        <v>-1.2502356267672154E-2</v>
      </c>
      <c r="CQ104" s="133">
        <f>CQ103/CK103-1</f>
        <v>-1.2516525023606895E-2</v>
      </c>
      <c r="CR104" s="152">
        <f>CR103/CL103-1</f>
        <v>-1.253074739829696E-2</v>
      </c>
      <c r="CS104" s="153">
        <f>CS103/CM103-1</f>
        <v>-1.2510191254719971E-2</v>
      </c>
      <c r="CU104" s="151">
        <f>CU103/CO103-1</f>
        <v>-1.2545023696682644E-2</v>
      </c>
      <c r="CV104" s="133">
        <f>CV103/CP103-1</f>
        <v>-1.2559354226020947E-2</v>
      </c>
      <c r="CW104" s="133">
        <f>CW103/CQ103-1</f>
        <v>-1.2573739295908881E-2</v>
      </c>
      <c r="CX104" s="152">
        <f>CX103/CR103-1</f>
        <v>-1.2588179218303019E-2</v>
      </c>
      <c r="CY104" s="153">
        <f>CY103/CS103-1</f>
        <v>-1.2567308778549613E-2</v>
      </c>
      <c r="DA104" s="151">
        <f>DA103/CU103-1</f>
        <v>-1.260267430754558E-2</v>
      </c>
      <c r="DB104" s="133">
        <f>DB103/CV103-1</f>
        <v>-1.2617224880382749E-2</v>
      </c>
      <c r="DC104" s="133">
        <f>DC103/CW103-1</f>
        <v>-1.2631831255992432E-2</v>
      </c>
      <c r="DD104" s="152">
        <f>DD103/CX103-1</f>
        <v>-1.2646493756003796E-2</v>
      </c>
      <c r="DE104" s="153">
        <f>DE103/CY103-1</f>
        <v>-1.2625301756358565E-2</v>
      </c>
      <c r="DG104" s="151">
        <f>DG103/DA103-1</f>
        <v>-1.2661212704523472E-2</v>
      </c>
      <c r="DH104" s="133">
        <f>DH103/DB103-1</f>
        <v>-1.267598842815798E-2</v>
      </c>
      <c r="DI104" s="133">
        <f>DI103/DC103-1</f>
        <v>-1.2690821256038376E-2</v>
      </c>
      <c r="DJ104" s="152">
        <f>DJ103/DD103-1</f>
        <v>-1.2705711519845231E-2</v>
      </c>
      <c r="DK104" s="153">
        <f>DK103/DE103-1</f>
        <v>-1.2684190471026979E-2</v>
      </c>
    </row>
    <row r="105" spans="2:115" ht="15" x14ac:dyDescent="0.3">
      <c r="B105" s="105"/>
      <c r="C105" s="144"/>
      <c r="D105" s="107"/>
      <c r="E105" s="107"/>
      <c r="F105" s="107"/>
      <c r="G105" s="138"/>
      <c r="I105" s="144"/>
      <c r="J105" s="107"/>
      <c r="K105" s="107"/>
      <c r="L105" s="107"/>
      <c r="M105" s="138"/>
      <c r="O105" s="144"/>
      <c r="P105" s="107"/>
      <c r="Q105" s="107"/>
      <c r="R105" s="107"/>
      <c r="S105" s="138"/>
      <c r="U105" s="144"/>
      <c r="V105" s="107"/>
      <c r="W105" s="107"/>
      <c r="X105" s="107"/>
      <c r="Y105" s="138"/>
      <c r="AA105" s="144"/>
      <c r="AB105" s="107"/>
      <c r="AC105" s="107"/>
      <c r="AD105" s="107"/>
      <c r="AE105" s="138"/>
      <c r="AG105" s="144"/>
      <c r="AH105" s="107"/>
      <c r="AI105" s="107"/>
      <c r="AJ105" s="107"/>
      <c r="AK105" s="138"/>
      <c r="AM105" s="144"/>
      <c r="AN105" s="107"/>
      <c r="AO105" s="107"/>
      <c r="AP105" s="107"/>
      <c r="AQ105" s="138"/>
      <c r="AS105" s="144"/>
      <c r="AT105" s="107"/>
      <c r="AU105" s="107"/>
      <c r="AV105" s="107"/>
      <c r="AW105" s="138"/>
      <c r="AY105" s="144"/>
      <c r="AZ105" s="107"/>
      <c r="BA105" s="107"/>
      <c r="BB105" s="107"/>
      <c r="BC105" s="138"/>
      <c r="BE105" s="144"/>
      <c r="BF105" s="107"/>
      <c r="BG105" s="107"/>
      <c r="BH105" s="107"/>
      <c r="BI105" s="138"/>
      <c r="BK105" s="144"/>
      <c r="BL105" s="107"/>
      <c r="BM105" s="107"/>
      <c r="BN105" s="107"/>
      <c r="BO105" s="138"/>
      <c r="BQ105" s="144"/>
      <c r="BR105" s="107"/>
      <c r="BS105" s="107"/>
      <c r="BT105" s="107"/>
      <c r="BU105" s="138"/>
      <c r="BW105" s="144"/>
      <c r="BX105" s="107"/>
      <c r="BY105" s="107"/>
      <c r="BZ105" s="107"/>
      <c r="CA105" s="138"/>
      <c r="CC105" s="144"/>
      <c r="CD105" s="107"/>
      <c r="CE105" s="107"/>
      <c r="CF105" s="107"/>
      <c r="CG105" s="138"/>
      <c r="CI105" s="144"/>
      <c r="CJ105" s="107"/>
      <c r="CK105" s="107"/>
      <c r="CL105" s="107"/>
      <c r="CM105" s="138"/>
      <c r="CO105" s="144"/>
      <c r="CP105" s="107"/>
      <c r="CQ105" s="107"/>
      <c r="CR105" s="107"/>
      <c r="CS105" s="138"/>
      <c r="CU105" s="144"/>
      <c r="CV105" s="107"/>
      <c r="CW105" s="107"/>
      <c r="CX105" s="107"/>
      <c r="CY105" s="138"/>
      <c r="DA105" s="144"/>
      <c r="DB105" s="107"/>
      <c r="DC105" s="107"/>
      <c r="DD105" s="107"/>
      <c r="DE105" s="138"/>
      <c r="DG105" s="144"/>
      <c r="DH105" s="107"/>
      <c r="DI105" s="107"/>
      <c r="DJ105" s="107"/>
      <c r="DK105" s="138"/>
    </row>
    <row r="106" spans="2:115" ht="15" x14ac:dyDescent="0.3">
      <c r="B106" s="105" t="s">
        <v>24</v>
      </c>
      <c r="C106" s="216"/>
      <c r="D106" s="166"/>
      <c r="E106" s="166"/>
      <c r="F106" s="166"/>
      <c r="G106" s="243"/>
      <c r="H106" s="129"/>
      <c r="I106" s="216"/>
      <c r="J106" s="166"/>
      <c r="K106" s="166"/>
      <c r="L106" s="166"/>
      <c r="M106" s="243"/>
      <c r="N106" s="129"/>
      <c r="O106" s="171">
        <f>O103/O94</f>
        <v>0.30434782608695654</v>
      </c>
      <c r="P106" s="165">
        <f>P103/P94</f>
        <v>0.27272727272727271</v>
      </c>
      <c r="Q106" s="165">
        <f>Q103/Q94</f>
        <v>0.18367346938775511</v>
      </c>
      <c r="R106" s="165">
        <f>R103/R94</f>
        <v>0.22564102564102564</v>
      </c>
      <c r="S106" s="173">
        <f>S103/S94</f>
        <v>0.24540682414698162</v>
      </c>
      <c r="T106" s="129"/>
      <c r="U106" s="171">
        <f>U103/U94</f>
        <v>0.23626373626373626</v>
      </c>
      <c r="V106" s="165">
        <f>V103/V94</f>
        <v>0.21142857142857144</v>
      </c>
      <c r="W106" s="165">
        <f>W103/W94</f>
        <v>0.20606060606060606</v>
      </c>
      <c r="X106" s="165">
        <f>X103/X94</f>
        <v>0.24347826086956523</v>
      </c>
      <c r="Y106" s="173">
        <f>Y103/Y94</f>
        <v>0.22462203023758098</v>
      </c>
      <c r="Z106" s="226"/>
      <c r="AA106" s="171">
        <f>AA103/AA94</f>
        <v>0.22151898734177214</v>
      </c>
      <c r="AB106" s="165">
        <f>AB103/AB94</f>
        <v>0.16666666666666666</v>
      </c>
      <c r="AC106" s="165">
        <f>AC103/AC94</f>
        <v>0.17088607594936708</v>
      </c>
      <c r="AD106" s="165">
        <f>AD103/AD94</f>
        <v>0.27388535031847133</v>
      </c>
      <c r="AE106" s="173">
        <f>AE103/AE94</f>
        <v>0.20787401574803149</v>
      </c>
      <c r="AF106" s="226"/>
      <c r="AG106" s="171">
        <f>AG103/AG94</f>
        <v>0.44374999999999998</v>
      </c>
      <c r="AH106" s="165">
        <f>AH103/AH94</f>
        <v>0.17218543046357615</v>
      </c>
      <c r="AI106" s="165">
        <f>AI103/AI94</f>
        <v>0.18404907975460122</v>
      </c>
      <c r="AJ106" s="165">
        <f>AJ103/AJ94</f>
        <v>0.18947368421052632</v>
      </c>
      <c r="AK106" s="173">
        <f>AK103/AK94</f>
        <v>0.24548192771084337</v>
      </c>
      <c r="AL106" s="226"/>
      <c r="AM106" s="171">
        <f>AM103/AM94</f>
        <v>0.12871287128712872</v>
      </c>
      <c r="AN106" s="349">
        <f>AH106+AN107</f>
        <v>0.14718543046357616</v>
      </c>
      <c r="AO106" s="165">
        <f>AO103/AO94</f>
        <v>0.23837209302325582</v>
      </c>
      <c r="AP106" s="165">
        <f>AP103/AP94</f>
        <v>0.37878787878787878</v>
      </c>
      <c r="AQ106" s="173">
        <f>AQ103/AQ94</f>
        <v>0.22963951935914553</v>
      </c>
      <c r="AR106" s="226"/>
      <c r="AS106" s="171">
        <f>AS103/AS94</f>
        <v>0.16666666666666666</v>
      </c>
      <c r="AT106" s="165">
        <f>AT103/AT94</f>
        <v>0.17208588957055215</v>
      </c>
      <c r="AU106" s="165">
        <f>AU103/AU94</f>
        <v>0.12883435582822086</v>
      </c>
      <c r="AV106" s="349">
        <f>AP106+AV107</f>
        <v>0.16878787878787879</v>
      </c>
      <c r="AW106" s="173">
        <f>AW103/AW94</f>
        <v>0.15946725317693058</v>
      </c>
      <c r="AX106" s="226"/>
      <c r="AY106" s="350">
        <f>AY103/AY94</f>
        <v>0.14035087719298245</v>
      </c>
      <c r="AZ106" s="165">
        <f>AZ103/AZ94</f>
        <v>0.13675213675213677</v>
      </c>
      <c r="BA106" s="165">
        <f>BA103/BA94</f>
        <v>0.14155251141552511</v>
      </c>
      <c r="BB106" s="165">
        <f>BB103/BB94</f>
        <v>0.16438356164383561</v>
      </c>
      <c r="BC106" s="173">
        <f>BC103/BC94</f>
        <v>0.14696813977389517</v>
      </c>
      <c r="BD106" s="226"/>
      <c r="BE106" s="350">
        <f>BE103/BE94</f>
        <v>0.18556701030927836</v>
      </c>
      <c r="BF106" s="165">
        <f>BF103/BF94</f>
        <v>0.216</v>
      </c>
      <c r="BG106" s="165">
        <f>BG103/BG94</f>
        <v>0.15957446808510639</v>
      </c>
      <c r="BH106" s="165">
        <f>BH103/BH94</f>
        <v>0.20642201834862386</v>
      </c>
      <c r="BI106" s="173">
        <f>BI103/BI94</f>
        <v>0.19239593908629443</v>
      </c>
      <c r="BJ106" s="226"/>
      <c r="BK106" s="350">
        <f>BK103/BK94</f>
        <v>0.17676767676767677</v>
      </c>
      <c r="BL106" s="165">
        <f>BL103/BL94</f>
        <v>0.15765765765765766</v>
      </c>
      <c r="BM106" s="165">
        <f>BM103/BM94</f>
        <v>0.11374407582938388</v>
      </c>
      <c r="BN106" s="165">
        <f>BN103/BN94</f>
        <v>0.19742489270386265</v>
      </c>
      <c r="BO106" s="173">
        <f>BO103/BO94</f>
        <v>0.16203703703703703</v>
      </c>
      <c r="BP106" s="226"/>
      <c r="BQ106" s="350">
        <f>BK106+BQ107</f>
        <v>0.17176767676767676</v>
      </c>
      <c r="BR106" s="349">
        <f>BL106+BR107</f>
        <v>0.15265765765765765</v>
      </c>
      <c r="BS106" s="349">
        <f>BM106+BS107</f>
        <v>0.10874407582938388</v>
      </c>
      <c r="BT106" s="349">
        <f>BN106+BT107</f>
        <v>0.19242489270386265</v>
      </c>
      <c r="BU106" s="173">
        <f>BU103/BU94</f>
        <v>0.15712352902526883</v>
      </c>
      <c r="BV106" s="226"/>
      <c r="BW106" s="350">
        <f>BQ106+BW107</f>
        <v>0.16676767676767676</v>
      </c>
      <c r="BX106" s="349">
        <f>BR106+BX107</f>
        <v>0.14765765765765765</v>
      </c>
      <c r="BY106" s="349">
        <f>BS106+BY107</f>
        <v>0.10374407582938387</v>
      </c>
      <c r="BZ106" s="349">
        <f>BT106+BZ107</f>
        <v>0.18742489270386264</v>
      </c>
      <c r="CA106" s="173">
        <f>CA103/CA94</f>
        <v>0.15212347911454763</v>
      </c>
      <c r="CB106" s="226"/>
      <c r="CC106" s="350">
        <f>BW106+CC107</f>
        <v>0.16426767676767676</v>
      </c>
      <c r="CD106" s="349">
        <f>BX106+CD107</f>
        <v>0.14265765765765764</v>
      </c>
      <c r="CE106" s="349">
        <f>BY106+CE107</f>
        <v>9.8744075829383868E-2</v>
      </c>
      <c r="CF106" s="349">
        <f>BZ106+CF107</f>
        <v>0.18242489270386264</v>
      </c>
      <c r="CG106" s="173">
        <f>CG103/CG94</f>
        <v>0.14771197453816381</v>
      </c>
      <c r="CH106" s="226"/>
      <c r="CI106" s="350">
        <f>CC106+CI107</f>
        <v>0.16426767676767676</v>
      </c>
      <c r="CJ106" s="349">
        <f>CD106+CJ107</f>
        <v>0.14265765765765764</v>
      </c>
      <c r="CK106" s="349">
        <f>CE106+CK107</f>
        <v>9.8744075829383868E-2</v>
      </c>
      <c r="CL106" s="349">
        <f>CF106+CL107</f>
        <v>0.18242489270386264</v>
      </c>
      <c r="CM106" s="173">
        <f>CM103/CM94</f>
        <v>0.1477119358475702</v>
      </c>
      <c r="CN106" s="226"/>
      <c r="CO106" s="350">
        <f>CI106+CO107</f>
        <v>0.16426767676767676</v>
      </c>
      <c r="CP106" s="349">
        <f>CJ106+CP107</f>
        <v>0.14265765765765764</v>
      </c>
      <c r="CQ106" s="349">
        <f>CK106+CQ107</f>
        <v>9.8744075829383868E-2</v>
      </c>
      <c r="CR106" s="349">
        <f>CL106+CR107</f>
        <v>0.18242489270386264</v>
      </c>
      <c r="CS106" s="173">
        <f>CS103/CS94</f>
        <v>0.14771189656848741</v>
      </c>
      <c r="CT106" s="226"/>
      <c r="CU106" s="350">
        <f>CO106+CU107</f>
        <v>0.16426767676767676</v>
      </c>
      <c r="CV106" s="349">
        <f>CP106+CV107</f>
        <v>0.14265765765765764</v>
      </c>
      <c r="CW106" s="349">
        <f>CQ106+CW107</f>
        <v>9.8744075829383868E-2</v>
      </c>
      <c r="CX106" s="349">
        <f>CR106+CX107</f>
        <v>0.18242489270386264</v>
      </c>
      <c r="CY106" s="173">
        <f>CY103/CY94</f>
        <v>0.14771185668738609</v>
      </c>
      <c r="CZ106" s="226"/>
      <c r="DA106" s="350">
        <f>CU106+DA107</f>
        <v>0.16426767676767676</v>
      </c>
      <c r="DB106" s="349">
        <f>CV106+DB107</f>
        <v>0.14265765765765764</v>
      </c>
      <c r="DC106" s="349">
        <f>CW106+DC107</f>
        <v>9.8744075829383868E-2</v>
      </c>
      <c r="DD106" s="349">
        <f>CX106+DD107</f>
        <v>0.18242489270386264</v>
      </c>
      <c r="DE106" s="173">
        <f>DE103/DE94</f>
        <v>0.14771181619031892</v>
      </c>
      <c r="DF106" s="226"/>
      <c r="DG106" s="350">
        <f>DA106+DG107</f>
        <v>0.16426767676767676</v>
      </c>
      <c r="DH106" s="349">
        <f>DB106+DH107</f>
        <v>0.14265765765765764</v>
      </c>
      <c r="DI106" s="349">
        <f>DC106+DI107</f>
        <v>9.8744075829383868E-2</v>
      </c>
      <c r="DJ106" s="349">
        <f>DD106+DJ107</f>
        <v>0.18242489270386264</v>
      </c>
      <c r="DK106" s="173">
        <f>DK103/DK94</f>
        <v>0.14771177506290431</v>
      </c>
    </row>
    <row r="107" spans="2:115" ht="15.75" thickBot="1" x14ac:dyDescent="0.35">
      <c r="B107" s="140" t="s">
        <v>40</v>
      </c>
      <c r="C107" s="155"/>
      <c r="D107" s="106"/>
      <c r="E107" s="106"/>
      <c r="F107" s="106"/>
      <c r="G107" s="108"/>
      <c r="I107" s="155"/>
      <c r="J107" s="106"/>
      <c r="K107" s="106"/>
      <c r="L107" s="106"/>
      <c r="M107" s="108"/>
      <c r="O107" s="155" t="s">
        <v>35</v>
      </c>
      <c r="P107" s="106" t="s">
        <v>35</v>
      </c>
      <c r="Q107" s="106" t="s">
        <v>35</v>
      </c>
      <c r="R107" s="106" t="s">
        <v>35</v>
      </c>
      <c r="S107" s="108" t="s">
        <v>35</v>
      </c>
      <c r="U107" s="174">
        <f>U106-O106</f>
        <v>-6.8084089823220284E-2</v>
      </c>
      <c r="V107" s="175">
        <f>V106-P106</f>
        <v>-6.1298701298701269E-2</v>
      </c>
      <c r="W107" s="175">
        <f>W106-Q106</f>
        <v>2.2387136672850944E-2</v>
      </c>
      <c r="X107" s="175">
        <f>X106-R106</f>
        <v>1.7837235228539583E-2</v>
      </c>
      <c r="Y107" s="177">
        <f>Y106-S106</f>
        <v>-2.0784793909400634E-2</v>
      </c>
      <c r="AA107" s="174">
        <f>AA106-U106</f>
        <v>-1.4744748921964118E-2</v>
      </c>
      <c r="AB107" s="175">
        <f>AB106-V106</f>
        <v>-4.4761904761904781E-2</v>
      </c>
      <c r="AC107" s="175">
        <f>AC106-W106</f>
        <v>-3.5174530111238972E-2</v>
      </c>
      <c r="AD107" s="175">
        <f>AD106-X106</f>
        <v>3.0407089448906105E-2</v>
      </c>
      <c r="AE107" s="177">
        <f>AE106-Y106</f>
        <v>-1.674801448954949E-2</v>
      </c>
      <c r="AG107" s="174">
        <f>AG106-AA106</f>
        <v>0.22223101265822784</v>
      </c>
      <c r="AH107" s="175">
        <f>AH106-AB106</f>
        <v>5.5187637969094927E-3</v>
      </c>
      <c r="AI107" s="175">
        <f>AI106-AC106</f>
        <v>1.3163003805234136E-2</v>
      </c>
      <c r="AJ107" s="175">
        <f>AJ106-AD106</f>
        <v>-8.441166610794501E-2</v>
      </c>
      <c r="AK107" s="177">
        <f>AK106-AE106</f>
        <v>3.760791196281188E-2</v>
      </c>
      <c r="AM107" s="174">
        <f>AM106-AG106</f>
        <v>-0.31503712871287126</v>
      </c>
      <c r="AN107" s="175">
        <v>-2.5000000000000001E-2</v>
      </c>
      <c r="AO107" s="175">
        <f>AO106-AI106</f>
        <v>5.4323013268654602E-2</v>
      </c>
      <c r="AP107" s="175">
        <f>AP106-AJ106</f>
        <v>0.18931419457735246</v>
      </c>
      <c r="AQ107" s="177">
        <f>AQ106-AK106</f>
        <v>-1.584240835169784E-2</v>
      </c>
      <c r="AS107" s="174">
        <f>AS106-AM106</f>
        <v>3.7953795379537941E-2</v>
      </c>
      <c r="AT107" s="175">
        <f>AT106-AN106</f>
        <v>2.4900459106975997E-2</v>
      </c>
      <c r="AU107" s="175">
        <f>AU106-AO106</f>
        <v>-0.10953773719503496</v>
      </c>
      <c r="AV107" s="175">
        <v>-0.21</v>
      </c>
      <c r="AW107" s="177">
        <f>AW106-AQ106</f>
        <v>-7.0172266182214948E-2</v>
      </c>
      <c r="AY107" s="174">
        <f>AY106-AS106</f>
        <v>-2.6315789473684209E-2</v>
      </c>
      <c r="AZ107" s="175">
        <f>AZ106-AT106</f>
        <v>-3.5333752818415387E-2</v>
      </c>
      <c r="BA107" s="175">
        <f>BA106-AU106</f>
        <v>1.2718155587304242E-2</v>
      </c>
      <c r="BB107" s="175">
        <f>BB106-AV106</f>
        <v>-4.404317144043185E-3</v>
      </c>
      <c r="BC107" s="177">
        <f>BC106-AW106</f>
        <v>-1.2499113403035417E-2</v>
      </c>
      <c r="BE107" s="174">
        <f>BE106-AY106</f>
        <v>4.5216133116295909E-2</v>
      </c>
      <c r="BF107" s="175">
        <f>BF106-AZ106</f>
        <v>7.9247863247863232E-2</v>
      </c>
      <c r="BG107" s="175">
        <f>BG106-BA106</f>
        <v>1.8021956669581285E-2</v>
      </c>
      <c r="BH107" s="175">
        <f>BH106-BB106</f>
        <v>4.2038456704788257E-2</v>
      </c>
      <c r="BI107" s="177">
        <f>BI106-BC106</f>
        <v>4.5427799312399264E-2</v>
      </c>
      <c r="BK107" s="174">
        <f>BK106-BE106</f>
        <v>-8.7993335416015894E-3</v>
      </c>
      <c r="BL107" s="175">
        <f>BL106-BF106</f>
        <v>-5.834234234234234E-2</v>
      </c>
      <c r="BM107" s="175">
        <f>BM106-BG106</f>
        <v>-4.583039225572251E-2</v>
      </c>
      <c r="BN107" s="175">
        <f>BN106-BH106</f>
        <v>-8.9971256447612113E-3</v>
      </c>
      <c r="BO107" s="177">
        <f>BO106-BI106</f>
        <v>-3.0358902049257397E-2</v>
      </c>
      <c r="BQ107" s="174">
        <v>-5.0000000000000001E-3</v>
      </c>
      <c r="BR107" s="175">
        <v>-5.0000000000000001E-3</v>
      </c>
      <c r="BS107" s="175">
        <v>-5.0000000000000001E-3</v>
      </c>
      <c r="BT107" s="175">
        <v>-5.0000000000000001E-3</v>
      </c>
      <c r="BU107" s="177">
        <f>BU106-BO106</f>
        <v>-4.9135080117682084E-3</v>
      </c>
      <c r="BW107" s="174">
        <v>-5.0000000000000001E-3</v>
      </c>
      <c r="BX107" s="175">
        <v>-5.0000000000000001E-3</v>
      </c>
      <c r="BY107" s="175">
        <v>-5.0000000000000001E-3</v>
      </c>
      <c r="BZ107" s="175">
        <v>-5.0000000000000001E-3</v>
      </c>
      <c r="CA107" s="177">
        <f>CA106-BU106</f>
        <v>-5.0000499107211993E-3</v>
      </c>
      <c r="CC107" s="174">
        <v>-2.5000000000000001E-3</v>
      </c>
      <c r="CD107" s="175">
        <v>-5.0000000000000001E-3</v>
      </c>
      <c r="CE107" s="175">
        <v>-5.0000000000000001E-3</v>
      </c>
      <c r="CF107" s="175">
        <v>-5.0000000000000001E-3</v>
      </c>
      <c r="CG107" s="177">
        <f>CG106-CA106</f>
        <v>-4.4115045763838123E-3</v>
      </c>
      <c r="CI107" s="174">
        <v>0</v>
      </c>
      <c r="CJ107" s="175">
        <v>0</v>
      </c>
      <c r="CK107" s="175">
        <v>0</v>
      </c>
      <c r="CL107" s="175">
        <v>0</v>
      </c>
      <c r="CM107" s="177">
        <f>CM106-CG106</f>
        <v>-3.869059361782945E-8</v>
      </c>
      <c r="CO107" s="174">
        <v>0</v>
      </c>
      <c r="CP107" s="175">
        <v>0</v>
      </c>
      <c r="CQ107" s="175">
        <v>0</v>
      </c>
      <c r="CR107" s="175">
        <v>0</v>
      </c>
      <c r="CS107" s="177">
        <f>CS106-CM106</f>
        <v>-3.9279082791887632E-8</v>
      </c>
      <c r="CU107" s="174">
        <v>0</v>
      </c>
      <c r="CV107" s="175">
        <v>0</v>
      </c>
      <c r="CW107" s="175">
        <v>0</v>
      </c>
      <c r="CX107" s="175">
        <v>0</v>
      </c>
      <c r="CY107" s="177">
        <f>CY106-CS106</f>
        <v>-3.988110131025735E-8</v>
      </c>
      <c r="DA107" s="174">
        <v>0</v>
      </c>
      <c r="DB107" s="175">
        <v>0</v>
      </c>
      <c r="DC107" s="175">
        <v>0</v>
      </c>
      <c r="DD107" s="175">
        <v>0</v>
      </c>
      <c r="DE107" s="177">
        <f>DE106-CY106</f>
        <v>-4.0497067171907375E-8</v>
      </c>
      <c r="DG107" s="174">
        <v>0</v>
      </c>
      <c r="DH107" s="175">
        <v>0</v>
      </c>
      <c r="DI107" s="175">
        <v>0</v>
      </c>
      <c r="DJ107" s="175">
        <v>0</v>
      </c>
      <c r="DK107" s="177">
        <f>DK106-DE106</f>
        <v>-4.1127414612818214E-8</v>
      </c>
    </row>
    <row r="108" spans="2:115" ht="15.75" thickBot="1" x14ac:dyDescent="0.35">
      <c r="B108" s="1"/>
      <c r="AA108" s="103"/>
      <c r="AB108" s="103"/>
      <c r="AC108" s="103"/>
      <c r="AD108" s="103"/>
      <c r="AE108" s="103"/>
      <c r="AG108" s="103"/>
      <c r="AH108" s="103"/>
      <c r="AI108" s="103"/>
      <c r="AJ108" s="103"/>
      <c r="AK108" s="103"/>
      <c r="AM108" s="103"/>
      <c r="AN108" s="103"/>
      <c r="AO108" s="103"/>
      <c r="AP108" s="103"/>
      <c r="AQ108" s="103"/>
      <c r="AS108" s="103"/>
      <c r="AT108" s="103"/>
      <c r="AU108" s="103"/>
      <c r="AV108" s="103"/>
      <c r="AW108" s="103"/>
      <c r="AY108" s="103"/>
      <c r="AZ108" s="103"/>
      <c r="BA108" s="103"/>
      <c r="BB108" s="103"/>
      <c r="BC108" s="103"/>
      <c r="BE108" s="103"/>
      <c r="BF108" s="103"/>
      <c r="BG108" s="103"/>
      <c r="BH108" s="103"/>
      <c r="BI108" s="103"/>
      <c r="BK108" s="103"/>
      <c r="BL108" s="103"/>
      <c r="BM108" s="103"/>
      <c r="BN108" s="103"/>
      <c r="BO108" s="103"/>
      <c r="BQ108" s="103"/>
      <c r="BR108" s="103"/>
      <c r="BS108" s="103"/>
      <c r="BT108" s="103"/>
      <c r="BU108" s="103"/>
      <c r="BW108" s="103"/>
      <c r="BX108" s="103"/>
      <c r="BY108" s="103"/>
      <c r="BZ108" s="103"/>
      <c r="CA108" s="103"/>
      <c r="CC108" s="103"/>
      <c r="CD108" s="103"/>
      <c r="CE108" s="103"/>
      <c r="CF108" s="103"/>
      <c r="CG108" s="103"/>
      <c r="CI108" s="103"/>
      <c r="CJ108" s="103"/>
      <c r="CK108" s="103"/>
      <c r="CL108" s="103"/>
      <c r="CM108" s="103"/>
      <c r="CO108" s="103"/>
      <c r="CP108" s="103"/>
      <c r="CQ108" s="103"/>
      <c r="CR108" s="103"/>
      <c r="CS108" s="103"/>
      <c r="CU108" s="103"/>
      <c r="CV108" s="103"/>
      <c r="CW108" s="103"/>
      <c r="CX108" s="103"/>
      <c r="CY108" s="103"/>
      <c r="DA108" s="103"/>
      <c r="DB108" s="103"/>
      <c r="DC108" s="103"/>
      <c r="DD108" s="103"/>
      <c r="DE108" s="103"/>
      <c r="DG108" s="103"/>
      <c r="DH108" s="103"/>
      <c r="DI108" s="103"/>
      <c r="DJ108" s="103"/>
      <c r="DK108" s="103"/>
    </row>
    <row r="109" spans="2:115" ht="15" x14ac:dyDescent="0.3">
      <c r="B109" s="42" t="s">
        <v>38</v>
      </c>
      <c r="C109" s="221"/>
      <c r="D109" s="222"/>
      <c r="E109" s="222"/>
      <c r="F109" s="222"/>
      <c r="G109" s="224"/>
      <c r="I109" s="221"/>
      <c r="J109" s="222"/>
      <c r="K109" s="222"/>
      <c r="L109" s="222"/>
      <c r="M109" s="224"/>
      <c r="O109" s="126">
        <f>O97-O103</f>
        <v>24</v>
      </c>
      <c r="P109" s="127">
        <f>P97-P103</f>
        <v>26</v>
      </c>
      <c r="Q109" s="127">
        <f>Q97-Q103</f>
        <v>43</v>
      </c>
      <c r="R109" s="128">
        <f>R97-R103</f>
        <v>26</v>
      </c>
      <c r="S109" s="167">
        <f>O109+P109+Q109+R109</f>
        <v>119</v>
      </c>
      <c r="T109" s="129"/>
      <c r="U109" s="251">
        <f>U97-U103</f>
        <v>27</v>
      </c>
      <c r="V109" s="252">
        <f>V97-V103</f>
        <v>33</v>
      </c>
      <c r="W109" s="252">
        <f>W97-W103</f>
        <v>36</v>
      </c>
      <c r="X109" s="252">
        <f>X97-X103</f>
        <v>18.5</v>
      </c>
      <c r="Y109" s="253">
        <f>U109+V109+W109+X109</f>
        <v>114.5</v>
      </c>
      <c r="Z109" s="346"/>
      <c r="AA109" s="251">
        <f>AA97-AA103</f>
        <v>22</v>
      </c>
      <c r="AB109" s="252">
        <f>AB97-AB103</f>
        <v>30</v>
      </c>
      <c r="AC109" s="252">
        <f>AC97-AC103</f>
        <v>25</v>
      </c>
      <c r="AD109" s="252">
        <f>AD97-AD103</f>
        <v>1</v>
      </c>
      <c r="AE109" s="253">
        <f>AA109+AB109+AC109+AD109</f>
        <v>78</v>
      </c>
      <c r="AF109" s="346"/>
      <c r="AG109" s="251">
        <f>AG97-AG103</f>
        <v>-26</v>
      </c>
      <c r="AH109" s="252">
        <f>AH97-AH103</f>
        <v>12</v>
      </c>
      <c r="AI109" s="252">
        <f>AI97-AI103</f>
        <v>17</v>
      </c>
      <c r="AJ109" s="252">
        <f>AJ97-AJ103</f>
        <v>6</v>
      </c>
      <c r="AK109" s="253">
        <f>AG109+AH109+AI109+AJ109</f>
        <v>9</v>
      </c>
      <c r="AL109" s="346"/>
      <c r="AM109" s="251">
        <f>AM97-AM103</f>
        <v>4</v>
      </c>
      <c r="AN109" s="252">
        <f>AN97-AN103</f>
        <v>9</v>
      </c>
      <c r="AO109" s="252">
        <f>AO97-AO103</f>
        <v>3</v>
      </c>
      <c r="AP109" s="252">
        <f>AP97-AP103</f>
        <v>-36</v>
      </c>
      <c r="AQ109" s="253">
        <f>AM109+AN109+AO109+AP109</f>
        <v>-20</v>
      </c>
      <c r="AR109" s="346"/>
      <c r="AS109" s="251">
        <f>AS97-AS103</f>
        <v>0</v>
      </c>
      <c r="AT109" s="252">
        <f>AT97-AT103</f>
        <v>12.276</v>
      </c>
      <c r="AU109" s="252">
        <f>AU97-AU103</f>
        <v>24.760000000000005</v>
      </c>
      <c r="AV109" s="252">
        <f>AV97-AV103</f>
        <v>8.1233333333333313</v>
      </c>
      <c r="AW109" s="253">
        <f>AS109+AT109+AU109+AV109</f>
        <v>45.159333333333336</v>
      </c>
      <c r="AX109" s="346"/>
      <c r="AY109" s="251">
        <f>AY97-AY103</f>
        <v>28</v>
      </c>
      <c r="AZ109" s="252">
        <f>AZ97-AZ103</f>
        <v>43</v>
      </c>
      <c r="BA109" s="252">
        <f>BA97-BA103</f>
        <v>41</v>
      </c>
      <c r="BB109" s="252">
        <f>BB97-BB103</f>
        <v>16</v>
      </c>
      <c r="BC109" s="253">
        <f>AY109+AZ109+BA109+BB109</f>
        <v>128</v>
      </c>
      <c r="BD109" s="346"/>
      <c r="BE109" s="251">
        <f>BE97-BE103</f>
        <v>30</v>
      </c>
      <c r="BF109" s="252">
        <f>BF97-BF103</f>
        <v>33.866999999999997</v>
      </c>
      <c r="BG109" s="252">
        <f>BG97-BG103</f>
        <v>43.512</v>
      </c>
      <c r="BH109" s="252">
        <f>BH97-BH103</f>
        <v>19.512</v>
      </c>
      <c r="BI109" s="253">
        <f>BE109+BF109+BG109+BH109</f>
        <v>126.89099999999999</v>
      </c>
      <c r="BJ109" s="346"/>
      <c r="BK109" s="251">
        <f>BK97-BK103</f>
        <v>21</v>
      </c>
      <c r="BL109" s="252">
        <f>BL97-BL103</f>
        <v>37.985499999999988</v>
      </c>
      <c r="BM109" s="252">
        <f>BM97-BM103</f>
        <v>61.200407999999996</v>
      </c>
      <c r="BN109" s="252">
        <f>BN97-BN103</f>
        <v>20.060288</v>
      </c>
      <c r="BO109" s="253">
        <f>BK109+BL109+BM109+BN109</f>
        <v>140.246196</v>
      </c>
      <c r="BP109" s="346"/>
      <c r="BQ109" s="251">
        <f>BQ97-BQ103</f>
        <v>22.732023697339628</v>
      </c>
      <c r="BR109" s="252">
        <f>BR97-BR103</f>
        <v>40.248651058539949</v>
      </c>
      <c r="BS109" s="252">
        <f>BS97-BS103</f>
        <v>62.422330336170845</v>
      </c>
      <c r="BT109" s="252">
        <f>BT97-BT103</f>
        <v>20.810036835848415</v>
      </c>
      <c r="BU109" s="253">
        <f>BQ109+BR109+BS109+BT109</f>
        <v>146.21304192789884</v>
      </c>
      <c r="BV109" s="346"/>
      <c r="BW109" s="251">
        <f>BW97-BW103</f>
        <v>22.968935138498225</v>
      </c>
      <c r="BX109" s="252">
        <f>BX97-BX103</f>
        <v>40.324575339432215</v>
      </c>
      <c r="BY109" s="252">
        <f>BY97-BY103</f>
        <v>62.178263783185066</v>
      </c>
      <c r="BZ109" s="252">
        <f>BZ97-BZ103</f>
        <v>21.13271018179578</v>
      </c>
      <c r="CA109" s="253">
        <f>BW109+BX109+BY109+BZ109</f>
        <v>146.60448444291129</v>
      </c>
      <c r="CB109" s="346"/>
      <c r="CC109" s="251">
        <f>CC97-CC103</f>
        <v>22.684644008957314</v>
      </c>
      <c r="CD109" s="252">
        <f>CD97-CD103</f>
        <v>40.390272349204594</v>
      </c>
      <c r="CE109" s="252">
        <f>CE97-CE103</f>
        <v>61.927275110672227</v>
      </c>
      <c r="CF109" s="252">
        <f>CF97-CF103</f>
        <v>21.443031741462832</v>
      </c>
      <c r="CG109" s="253">
        <f>CC109+CD109+CE109+CF109</f>
        <v>146.44522321029694</v>
      </c>
      <c r="CH109" s="346"/>
      <c r="CI109" s="251">
        <f>CI97-CI103</f>
        <v>21.898333360155995</v>
      </c>
      <c r="CJ109" s="252">
        <f>CJ97-CJ103</f>
        <v>39.329248189551599</v>
      </c>
      <c r="CK109" s="252">
        <f>CK97-CK103</f>
        <v>60.641822979035069</v>
      </c>
      <c r="CL109" s="252">
        <f>CL97-CL103</f>
        <v>20.609935086116586</v>
      </c>
      <c r="CM109" s="253">
        <f>CI109+CJ109+CK109+CL109</f>
        <v>142.47933961485924</v>
      </c>
      <c r="CN109" s="346"/>
      <c r="CO109" s="251">
        <f>CO97-CO103</f>
        <v>21.12687116482644</v>
      </c>
      <c r="CP109" s="252">
        <f>CP97-CP103</f>
        <v>38.286201920145857</v>
      </c>
      <c r="CQ109" s="252">
        <f>CQ97-CQ103</f>
        <v>59.37540158642274</v>
      </c>
      <c r="CR109" s="252">
        <f>CR97-CR103</f>
        <v>19.793152290531246</v>
      </c>
      <c r="CS109" s="253">
        <f>CO109+CP109+CQ109+CR109</f>
        <v>138.58162696192628</v>
      </c>
      <c r="CT109" s="346"/>
      <c r="CU109" s="251">
        <f>CU97-CU103</f>
        <v>20.370090833884724</v>
      </c>
      <c r="CV109" s="252">
        <f>CV97-CV103</f>
        <v>37.260938400661587</v>
      </c>
      <c r="CW109" s="252">
        <f>CW97-CW103</f>
        <v>58.127814139750285</v>
      </c>
      <c r="CX109" s="252">
        <f>CX97-CX103</f>
        <v>18.992498448680564</v>
      </c>
      <c r="CY109" s="253">
        <f>CU109+CV109+CW109+CX109</f>
        <v>134.75134182297717</v>
      </c>
      <c r="CZ109" s="346"/>
      <c r="DA109" s="251">
        <f>DA97-DA103</f>
        <v>19.627827261738016</v>
      </c>
      <c r="DB109" s="252">
        <f>DB97-DB103</f>
        <v>36.253264202164154</v>
      </c>
      <c r="DC109" s="252">
        <f>DC97-DC103</f>
        <v>56.898865531205217</v>
      </c>
      <c r="DD109" s="252">
        <f>DD97-DD103</f>
        <v>18.20779030872631</v>
      </c>
      <c r="DE109" s="253">
        <f>DA109+DB109+DC109+DD109</f>
        <v>130.98774730383369</v>
      </c>
      <c r="DF109" s="346"/>
      <c r="DG109" s="251">
        <f>DG97-DG103</f>
        <v>18.89991681467032</v>
      </c>
      <c r="DH109" s="252">
        <f>DH97-DH103</f>
        <v>35.262987593827489</v>
      </c>
      <c r="DI109" s="252">
        <f>DI97-DI103</f>
        <v>55.688362325348962</v>
      </c>
      <c r="DJ109" s="252">
        <f>DJ97-DJ103</f>
        <v>17.438846260034133</v>
      </c>
      <c r="DK109" s="253">
        <f>DG109+DH109+DI109+DJ109</f>
        <v>127.29011299388091</v>
      </c>
    </row>
    <row r="110" spans="2:115" ht="15.75" thickBot="1" x14ac:dyDescent="0.35">
      <c r="B110" s="41" t="s">
        <v>23</v>
      </c>
      <c r="C110" s="155"/>
      <c r="D110" s="106"/>
      <c r="E110" s="106"/>
      <c r="F110" s="106"/>
      <c r="G110" s="108"/>
      <c r="I110" s="155"/>
      <c r="J110" s="106"/>
      <c r="K110" s="106"/>
      <c r="L110" s="106"/>
      <c r="M110" s="108"/>
      <c r="O110" s="155" t="s">
        <v>35</v>
      </c>
      <c r="P110" s="106" t="s">
        <v>35</v>
      </c>
      <c r="Q110" s="106" t="s">
        <v>35</v>
      </c>
      <c r="R110" s="154" t="s">
        <v>35</v>
      </c>
      <c r="S110" s="108" t="s">
        <v>35</v>
      </c>
      <c r="U110" s="109">
        <f>U109/O109-1</f>
        <v>0.125</v>
      </c>
      <c r="V110" s="110">
        <f>V109/P109-1</f>
        <v>0.26923076923076916</v>
      </c>
      <c r="W110" s="110">
        <f>W109/Q109-1</f>
        <v>-0.16279069767441856</v>
      </c>
      <c r="X110" s="110">
        <f>X109/R109-1</f>
        <v>-0.28846153846153844</v>
      </c>
      <c r="Y110" s="122">
        <f>Y109/S109-1</f>
        <v>-3.7815126050420145E-2</v>
      </c>
      <c r="AA110" s="109">
        <f>AA109/U109-1</f>
        <v>-0.18518518518518523</v>
      </c>
      <c r="AB110" s="110">
        <f>AB109/V109-1</f>
        <v>-9.0909090909090939E-2</v>
      </c>
      <c r="AC110" s="110">
        <f>AC109/W109-1</f>
        <v>-0.30555555555555558</v>
      </c>
      <c r="AD110" s="110">
        <f>AD109/X109-1</f>
        <v>-0.94594594594594594</v>
      </c>
      <c r="AE110" s="122">
        <f>AE109/Y109-1</f>
        <v>-0.31877729257641918</v>
      </c>
      <c r="AG110" s="109">
        <f>AG109/AA109-1</f>
        <v>-2.1818181818181817</v>
      </c>
      <c r="AH110" s="110">
        <f>AH109/AB109-1</f>
        <v>-0.6</v>
      </c>
      <c r="AI110" s="110">
        <f>AI109/AC109-1</f>
        <v>-0.31999999999999995</v>
      </c>
      <c r="AJ110" s="110">
        <f>AJ109/AD109-1</f>
        <v>5</v>
      </c>
      <c r="AK110" s="122">
        <f>AK109/AE109-1</f>
        <v>-0.88461538461538458</v>
      </c>
      <c r="AM110" s="109">
        <f>AM109/AG109-1</f>
        <v>-1.1538461538461537</v>
      </c>
      <c r="AN110" s="110">
        <f>AN109/AH109-1</f>
        <v>-0.25</v>
      </c>
      <c r="AO110" s="110">
        <f>AO109/AI109-1</f>
        <v>-0.82352941176470584</v>
      </c>
      <c r="AP110" s="110">
        <f>AP109/AJ109-1</f>
        <v>-7</v>
      </c>
      <c r="AQ110" s="122">
        <f>AQ109/AK109-1</f>
        <v>-3.2222222222222223</v>
      </c>
      <c r="AS110" s="109">
        <f>AS109/AM109-1</f>
        <v>-1</v>
      </c>
      <c r="AT110" s="110">
        <f>AT109/AN109-1</f>
        <v>0.36399999999999988</v>
      </c>
      <c r="AU110" s="110">
        <f>AU109/AO109-1</f>
        <v>7.2533333333333356</v>
      </c>
      <c r="AV110" s="110">
        <f>AV109/AP109-1</f>
        <v>-1.225648148148148</v>
      </c>
      <c r="AW110" s="122">
        <f>AW109/AQ109-1</f>
        <v>-3.2579666666666669</v>
      </c>
      <c r="AY110" s="564" t="s">
        <v>35</v>
      </c>
      <c r="AZ110" s="110">
        <f>AZ109/AT109-1</f>
        <v>2.5027696318018897</v>
      </c>
      <c r="BA110" s="110">
        <f>BA109/AU109-1</f>
        <v>0.65589660743134059</v>
      </c>
      <c r="BB110" s="110">
        <f>BB109/AV109-1</f>
        <v>0.96963479688141208</v>
      </c>
      <c r="BC110" s="122">
        <f>BC109/AW109-1</f>
        <v>1.8344085386557225</v>
      </c>
      <c r="BE110" s="109">
        <f>BE109/AY109-1</f>
        <v>7.1428571428571397E-2</v>
      </c>
      <c r="BF110" s="110">
        <f>BF109/AZ109-1</f>
        <v>-0.21239534883720934</v>
      </c>
      <c r="BG110" s="110">
        <f>BG109/BA109-1</f>
        <v>6.1268292682926884E-2</v>
      </c>
      <c r="BH110" s="110">
        <f>BH109/BB109-1</f>
        <v>0.21950000000000003</v>
      </c>
      <c r="BI110" s="122">
        <f>BI109/BC109-1</f>
        <v>-8.6640625000000693E-3</v>
      </c>
      <c r="BK110" s="109">
        <f>BK109/BE109-1</f>
        <v>-0.30000000000000004</v>
      </c>
      <c r="BL110" s="110">
        <f>BL109/BF109-1</f>
        <v>0.1216080550388281</v>
      </c>
      <c r="BM110" s="110">
        <f>BM109/BG109-1</f>
        <v>0.40651792608935455</v>
      </c>
      <c r="BN110" s="110">
        <f>BN109/BH109-1</f>
        <v>2.810004100040997E-2</v>
      </c>
      <c r="BO110" s="122">
        <f>BO109/BI109-1</f>
        <v>0.10524935574627059</v>
      </c>
      <c r="BQ110" s="109">
        <f>BQ109/BK109-1</f>
        <v>8.2477318920934684E-2</v>
      </c>
      <c r="BR110" s="110">
        <f>BR109/BL109-1</f>
        <v>5.9579341025916888E-2</v>
      </c>
      <c r="BS110" s="110">
        <f>BS109/BM109-1</f>
        <v>1.9965918138500793E-2</v>
      </c>
      <c r="BT110" s="110">
        <f>BT109/BN109-1</f>
        <v>3.7374779257825841E-2</v>
      </c>
      <c r="BU110" s="122">
        <f>BU109/BO109-1</f>
        <v>4.2545509953787697E-2</v>
      </c>
      <c r="BW110" s="109">
        <f>BW109/BQ109-1</f>
        <v>1.0421924783859948E-2</v>
      </c>
      <c r="BX110" s="110">
        <f>BX109/BR109-1</f>
        <v>1.8863807579994063E-3</v>
      </c>
      <c r="BY110" s="110">
        <f>BY109/BS109-1</f>
        <v>-3.9099237672060028E-3</v>
      </c>
      <c r="BZ110" s="110">
        <f>BZ109/BT109-1</f>
        <v>1.5505659528267213E-2</v>
      </c>
      <c r="CA110" s="122">
        <f>CA109/BU109-1</f>
        <v>2.6772065600377815E-3</v>
      </c>
      <c r="CC110" s="109">
        <f>CC109/BW109-1</f>
        <v>-1.2377201112140801E-2</v>
      </c>
      <c r="CD110" s="110">
        <f>CD109/BX109-1</f>
        <v>1.6292052481488017E-3</v>
      </c>
      <c r="CE110" s="110">
        <f>CE109/BY109-1</f>
        <v>-4.0365982779454468E-3</v>
      </c>
      <c r="CF110" s="110">
        <f>CF109/BZ109-1</f>
        <v>1.4684418467744376E-2</v>
      </c>
      <c r="CG110" s="122">
        <f>CG109/CA109-1</f>
        <v>-1.0863326126723249E-3</v>
      </c>
      <c r="CI110" s="109">
        <f>CI109/CC109-1</f>
        <v>-3.4662684082273243E-2</v>
      </c>
      <c r="CJ110" s="110">
        <f>CJ109/CD109-1</f>
        <v>-2.6269299461009643E-2</v>
      </c>
      <c r="CK110" s="110">
        <f>CK109/CE109-1</f>
        <v>-2.0757447010866903E-2</v>
      </c>
      <c r="CL110" s="110">
        <f>CL109/CF109-1</f>
        <v>-3.8851626271454331E-2</v>
      </c>
      <c r="CM110" s="122">
        <f>CM109/CG109-1</f>
        <v>-2.7081003453029329E-2</v>
      </c>
      <c r="CO110" s="109">
        <f>CO109/CI109-1</f>
        <v>-3.5229265288893141E-2</v>
      </c>
      <c r="CP110" s="110">
        <f>CP109/CJ109-1</f>
        <v>-2.6520879941021702E-2</v>
      </c>
      <c r="CQ110" s="110">
        <f>CQ109/CK109-1</f>
        <v>-2.0883629983388774E-2</v>
      </c>
      <c r="CR110" s="110">
        <f>CR109/CL109-1</f>
        <v>-3.9630537028500723E-2</v>
      </c>
      <c r="CS110" s="122">
        <f>CS109/CM109-1</f>
        <v>-2.7356335756952621E-2</v>
      </c>
      <c r="CU110" s="109">
        <f>CU109/CO109-1</f>
        <v>-3.5820748138117975E-2</v>
      </c>
      <c r="CV110" s="110">
        <f>CV109/CP109-1</f>
        <v>-2.6778929955566744E-2</v>
      </c>
      <c r="CW110" s="110">
        <f>CW109/CQ109-1</f>
        <v>-2.1011856986879573E-2</v>
      </c>
      <c r="CX110" s="110">
        <f>CX109/CR109-1</f>
        <v>-4.0451052469984927E-2</v>
      </c>
      <c r="CY110" s="122">
        <f>CY109/CS109-1</f>
        <v>-2.7639198809532251E-2</v>
      </c>
      <c r="DA110" s="109">
        <f>DA109/CU109-1</f>
        <v>-3.643889358175989E-2</v>
      </c>
      <c r="DB110" s="110">
        <f>DB109/CV109-1</f>
        <v>-2.7043714993488788E-2</v>
      </c>
      <c r="DC110" s="110">
        <f>DC109/CW109-1</f>
        <v>-2.1142178262379518E-2</v>
      </c>
      <c r="DD110" s="110">
        <f>DD109/CX109-1</f>
        <v>-4.1316741031971471E-2</v>
      </c>
      <c r="DE110" s="122">
        <f>DE109/CY109-1</f>
        <v>-2.7929922390589002E-2</v>
      </c>
      <c r="DG110" s="109">
        <f>DG109/DA109-1</f>
        <v>-3.7085635478699475E-2</v>
      </c>
      <c r="DH110" s="110">
        <f>DH109/DB109-1</f>
        <v>-2.7315515723341344E-2</v>
      </c>
      <c r="DI110" s="110">
        <f>DI109/DC109-1</f>
        <v>-2.1274645716659824E-2</v>
      </c>
      <c r="DJ110" s="110">
        <f>DJ109/DD109-1</f>
        <v>-4.223159623733419E-2</v>
      </c>
      <c r="DK110" s="122">
        <f>DK109/DE109-1</f>
        <v>-2.8228856408805125E-2</v>
      </c>
    </row>
    <row r="112" spans="2:115" x14ac:dyDescent="0.2">
      <c r="AA112" s="254">
        <f>AA60+AA103</f>
        <v>60</v>
      </c>
      <c r="AB112" s="254">
        <f>AB60+AB103</f>
        <v>41</v>
      </c>
      <c r="AC112" s="254">
        <f>AC60+AC103</f>
        <v>51</v>
      </c>
      <c r="AD112" s="254">
        <f>AD60+AD103</f>
        <v>73</v>
      </c>
      <c r="AE112" s="254">
        <f>AA112+AB112+AC112+AD112</f>
        <v>225</v>
      </c>
      <c r="AG112" s="254">
        <f>AG60+AG103</f>
        <v>111</v>
      </c>
      <c r="AV112" s="481">
        <f>AV60+AV103</f>
        <v>248.70666666666668</v>
      </c>
      <c r="AY112" s="612">
        <f>AY60+AY103</f>
        <v>63</v>
      </c>
      <c r="AZ112" s="612">
        <f>AZ60+AZ103</f>
        <v>52</v>
      </c>
      <c r="BA112" s="612">
        <f>BA60+BA103</f>
        <v>63</v>
      </c>
      <c r="BB112" s="612">
        <f>BB60+BB103</f>
        <v>93</v>
      </c>
      <c r="BC112" s="475"/>
      <c r="BD112" s="475"/>
      <c r="BE112" s="612">
        <f>BE60+BE103</f>
        <v>71</v>
      </c>
    </row>
    <row r="113" spans="2:115" x14ac:dyDescent="0.2">
      <c r="B113" s="278"/>
      <c r="C113" s="278"/>
      <c r="D113" s="279"/>
      <c r="E113" s="279"/>
      <c r="F113" s="279"/>
      <c r="G113" s="279"/>
      <c r="H113" s="279"/>
      <c r="I113" s="279"/>
      <c r="J113" s="279"/>
      <c r="K113" s="279"/>
      <c r="L113" s="279"/>
      <c r="M113" s="279"/>
      <c r="N113" s="279"/>
      <c r="O113" s="279"/>
      <c r="P113" s="279"/>
      <c r="Q113" s="279"/>
      <c r="R113" s="279"/>
      <c r="S113" s="279"/>
      <c r="T113" s="279"/>
      <c r="U113" s="279"/>
      <c r="V113" s="279"/>
      <c r="W113" s="279"/>
      <c r="X113" s="279"/>
      <c r="Y113" s="279"/>
      <c r="Z113" s="279"/>
      <c r="AA113" s="278"/>
      <c r="AB113" s="278"/>
      <c r="AC113" s="278"/>
      <c r="AD113" s="278"/>
      <c r="AE113" s="278"/>
      <c r="AF113" s="278"/>
      <c r="AG113" s="278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8"/>
      <c r="AS113" s="278"/>
      <c r="AT113" s="278"/>
      <c r="AU113" s="278"/>
      <c r="AV113" s="278"/>
      <c r="AW113" s="278"/>
      <c r="AX113" s="278"/>
      <c r="AY113" s="278"/>
      <c r="AZ113" s="278"/>
      <c r="BA113" s="278"/>
      <c r="BB113" s="278"/>
      <c r="BC113" s="278"/>
      <c r="BD113" s="278"/>
      <c r="BE113" s="278"/>
      <c r="BF113" s="278"/>
      <c r="BG113" s="278"/>
      <c r="BH113" s="278"/>
      <c r="BI113" s="278"/>
      <c r="BJ113" s="278"/>
      <c r="BK113" s="278"/>
      <c r="BL113" s="278"/>
      <c r="BM113" s="278"/>
      <c r="BN113" s="278"/>
      <c r="BO113" s="278"/>
      <c r="BP113" s="278"/>
      <c r="BQ113" s="278"/>
      <c r="BR113" s="278"/>
      <c r="BS113" s="278"/>
      <c r="BT113" s="278"/>
      <c r="BU113" s="278"/>
      <c r="BV113" s="278"/>
      <c r="BW113" s="278"/>
      <c r="BX113" s="278"/>
      <c r="BY113" s="278"/>
      <c r="BZ113" s="278"/>
      <c r="CA113" s="278"/>
      <c r="CB113" s="278"/>
      <c r="CC113" s="278"/>
      <c r="CD113" s="278"/>
      <c r="CE113" s="278"/>
      <c r="CF113" s="278"/>
      <c r="CG113" s="278"/>
      <c r="CH113" s="278"/>
      <c r="CI113" s="278"/>
      <c r="CJ113" s="278"/>
      <c r="CK113" s="278"/>
      <c r="CL113" s="278"/>
      <c r="CM113" s="278"/>
      <c r="CN113" s="278"/>
      <c r="CO113" s="278"/>
      <c r="CP113" s="278"/>
      <c r="CQ113" s="278"/>
      <c r="CR113" s="278"/>
      <c r="CS113" s="278"/>
      <c r="CT113" s="278"/>
      <c r="CU113" s="278"/>
      <c r="CV113" s="278"/>
      <c r="CW113" s="278"/>
      <c r="CX113" s="278"/>
      <c r="CY113" s="278"/>
      <c r="CZ113" s="278"/>
      <c r="DA113" s="278"/>
      <c r="DB113" s="278"/>
      <c r="DC113" s="278"/>
      <c r="DD113" s="278"/>
      <c r="DE113" s="278"/>
      <c r="DF113" s="278"/>
      <c r="DG113" s="278"/>
      <c r="DH113" s="278"/>
      <c r="DI113" s="278"/>
      <c r="DJ113" s="278"/>
      <c r="DK113" s="278"/>
    </row>
    <row r="115" spans="2:115" ht="13.5" thickBot="1" x14ac:dyDescent="0.25"/>
    <row r="116" spans="2:115" ht="15" x14ac:dyDescent="0.3">
      <c r="B116" s="42" t="s">
        <v>355</v>
      </c>
      <c r="C116" s="126"/>
      <c r="D116" s="127"/>
      <c r="E116" s="127"/>
      <c r="F116" s="127"/>
      <c r="G116" s="167"/>
      <c r="H116" s="129"/>
      <c r="I116" s="126"/>
      <c r="J116" s="127"/>
      <c r="K116" s="127"/>
      <c r="L116" s="127"/>
      <c r="M116" s="201"/>
      <c r="N116" s="129"/>
      <c r="O116" s="198">
        <f>O54+O97</f>
        <v>175</v>
      </c>
      <c r="P116" s="199">
        <f>P54+P97</f>
        <v>181</v>
      </c>
      <c r="Q116" s="199">
        <f>Q54+Q97</f>
        <v>197</v>
      </c>
      <c r="R116" s="200">
        <f>R54+R97</f>
        <v>169</v>
      </c>
      <c r="S116" s="200">
        <f>O116+P116+Q116+R116</f>
        <v>722</v>
      </c>
      <c r="T116" s="129"/>
      <c r="U116" s="198">
        <f>U54+U97</f>
        <v>174</v>
      </c>
      <c r="V116" s="199">
        <f>V54+V97</f>
        <v>180</v>
      </c>
      <c r="W116" s="199">
        <f>W54+W97</f>
        <v>188</v>
      </c>
      <c r="X116" s="199">
        <f>X54+X97</f>
        <v>158.5</v>
      </c>
      <c r="Y116" s="201">
        <f>U116+V116+W116+X116</f>
        <v>700.5</v>
      </c>
      <c r="Z116" s="226"/>
      <c r="AA116" s="198">
        <f>AA54+AA97</f>
        <v>146</v>
      </c>
      <c r="AB116" s="199">
        <f>AB54+AB97</f>
        <v>150</v>
      </c>
      <c r="AC116" s="199">
        <f>AC54+AC97</f>
        <v>143</v>
      </c>
      <c r="AD116" s="199">
        <f>AD54+AD97</f>
        <v>110</v>
      </c>
      <c r="AE116" s="201">
        <f>AA116+AB116+AC116+AD116</f>
        <v>549</v>
      </c>
      <c r="AF116" s="226"/>
      <c r="AG116" s="198">
        <f>AG54+AG97</f>
        <v>122</v>
      </c>
      <c r="AH116" s="199">
        <f>AH54+AH97</f>
        <v>115</v>
      </c>
      <c r="AI116" s="199">
        <f>AI54+AI97</f>
        <v>131</v>
      </c>
      <c r="AJ116" s="199">
        <f>AJ54+AJ97</f>
        <v>106</v>
      </c>
      <c r="AK116" s="201">
        <f>AG116+AH116+AI116+AJ116</f>
        <v>474</v>
      </c>
      <c r="AL116" s="226"/>
      <c r="AM116" s="198">
        <f>AM54+AM97</f>
        <v>93</v>
      </c>
      <c r="AN116" s="199">
        <f>AN54+AN97</f>
        <v>119</v>
      </c>
      <c r="AO116" s="199">
        <f>AO54+AO97</f>
        <v>124</v>
      </c>
      <c r="AP116" s="199">
        <f>AP54+AP97</f>
        <v>102</v>
      </c>
      <c r="AQ116" s="201">
        <f>AM116+AN116+AO116+AP116</f>
        <v>438</v>
      </c>
      <c r="AR116" s="226"/>
      <c r="AS116" s="198">
        <f>AS54+AS97</f>
        <v>94</v>
      </c>
      <c r="AT116" s="199">
        <f>AT54+AT97</f>
        <v>123.04599999999999</v>
      </c>
      <c r="AU116" s="199">
        <f>AU54+AU97</f>
        <v>129.36000000000001</v>
      </c>
      <c r="AV116" s="199">
        <f>AV54+AV97</f>
        <v>98.94</v>
      </c>
      <c r="AW116" s="201">
        <f>AS116+AT116+AU116+AV116</f>
        <v>445.346</v>
      </c>
      <c r="AX116" s="226"/>
      <c r="AY116" s="198">
        <f>AY54+AY97</f>
        <v>115</v>
      </c>
      <c r="AZ116" s="199">
        <f>AZ54+AZ97</f>
        <v>145</v>
      </c>
      <c r="BA116" s="199">
        <f>BA54+BA97</f>
        <v>142</v>
      </c>
      <c r="BB116" s="199">
        <f>BB54+BB97</f>
        <v>124</v>
      </c>
      <c r="BC116" s="201">
        <f>AY116+AZ116+BA116+BB116</f>
        <v>526</v>
      </c>
      <c r="BD116" s="226"/>
      <c r="BE116" s="198">
        <f>BE54+BE97</f>
        <v>126</v>
      </c>
      <c r="BF116" s="199">
        <f>BF54+BF97</f>
        <v>143.98500000000001</v>
      </c>
      <c r="BG116" s="199">
        <f>BG54+BG97</f>
        <v>144.982</v>
      </c>
      <c r="BH116" s="199">
        <f>BH54+BH97</f>
        <v>124.992</v>
      </c>
      <c r="BI116" s="201">
        <f>BE116+BF116+BG116+BH116</f>
        <v>539.95899999999995</v>
      </c>
      <c r="BJ116" s="226"/>
      <c r="BK116" s="198">
        <f>BK54+BK97</f>
        <v>109</v>
      </c>
      <c r="BL116" s="199">
        <f>BL54+BL97</f>
        <v>141.1053</v>
      </c>
      <c r="BM116" s="199">
        <f>BM54+BM97</f>
        <v>168.03413799999998</v>
      </c>
      <c r="BN116" s="199">
        <f>BN54+BN97</f>
        <v>127.99180800000001</v>
      </c>
      <c r="BO116" s="201">
        <f>BK116+BL116+BM116+BN116</f>
        <v>546.13124600000003</v>
      </c>
      <c r="BP116" s="226"/>
      <c r="BQ116" s="198">
        <f>BQ54+BQ97</f>
        <v>117.2981598373951</v>
      </c>
      <c r="BR116" s="199">
        <f>BR54+BR97</f>
        <v>149.05366240273821</v>
      </c>
      <c r="BS116" s="199">
        <f>BS54+BS97</f>
        <v>171.47121145681541</v>
      </c>
      <c r="BT116" s="199">
        <f>BT54+BT97</f>
        <v>131.44857167845805</v>
      </c>
      <c r="BU116" s="201">
        <f>BQ116+BR116+BS116+BT116</f>
        <v>569.27160537540681</v>
      </c>
      <c r="BV116" s="226"/>
      <c r="BW116" s="198">
        <f>BW54+BW97</f>
        <v>118.2166719691818</v>
      </c>
      <c r="BX116" s="199">
        <f>BX54+BX97</f>
        <v>149.79155779389828</v>
      </c>
      <c r="BY116" s="199">
        <f>BY54+BY97</f>
        <v>172.28268225409556</v>
      </c>
      <c r="BZ116" s="199">
        <f>BZ54+BZ97</f>
        <v>131.68954914873643</v>
      </c>
      <c r="CA116" s="201">
        <f>BW116+BX116+BY116+BZ116</f>
        <v>571.98046116591206</v>
      </c>
      <c r="CB116" s="226"/>
      <c r="CC116" s="198">
        <f>CC54+CC97</f>
        <v>118.6210134587879</v>
      </c>
      <c r="CD116" s="199">
        <f>CD54+CD97</f>
        <v>150.07160177700229</v>
      </c>
      <c r="CE116" s="199">
        <f>CE54+CE97</f>
        <v>172.84495157588645</v>
      </c>
      <c r="CF116" s="199">
        <f>CF54+CF97</f>
        <v>132.1197939415855</v>
      </c>
      <c r="CG116" s="201">
        <f>CC116+CD116+CE116+CF116</f>
        <v>573.65736075326208</v>
      </c>
      <c r="CH116" s="226"/>
      <c r="CI116" s="198">
        <f>CI54+CI97</f>
        <v>118.79896452306255</v>
      </c>
      <c r="CJ116" s="199">
        <f>CJ54+CJ97</f>
        <v>150.26073406217563</v>
      </c>
      <c r="CK116" s="199">
        <f>CK54+CK97</f>
        <v>173.39011998949576</v>
      </c>
      <c r="CL116" s="199">
        <f>CL54+CL97</f>
        <v>132.31921743123479</v>
      </c>
      <c r="CM116" s="201">
        <f>CI116+CJ116+CK116+CL116</f>
        <v>574.7690360059687</v>
      </c>
      <c r="CN116" s="226"/>
      <c r="CO116" s="198">
        <f>CO54+CO97</f>
        <v>119.20786233338552</v>
      </c>
      <c r="CP116" s="199">
        <f>CP54+CP97</f>
        <v>150.60454907403627</v>
      </c>
      <c r="CQ116" s="199">
        <f>CQ54+CQ97</f>
        <v>174.02374324888592</v>
      </c>
      <c r="CR116" s="199">
        <f>CR54+CR97</f>
        <v>132.75129876349467</v>
      </c>
      <c r="CS116" s="201">
        <f>CO116+CP116+CQ116+CR116</f>
        <v>576.58745341980239</v>
      </c>
      <c r="CT116" s="226"/>
      <c r="CU116" s="198">
        <f>CU54+CU97</f>
        <v>119.44294855741157</v>
      </c>
      <c r="CV116" s="199">
        <f>CV54+CV97</f>
        <v>150.76417102615363</v>
      </c>
      <c r="CW116" s="199">
        <f>CW54+CW97</f>
        <v>174.43768056736727</v>
      </c>
      <c r="CX116" s="199">
        <f>CX54+CX97</f>
        <v>133.00255837777689</v>
      </c>
      <c r="CY116" s="201">
        <f>CU116+CV116+CW116+CX116</f>
        <v>577.64735852870945</v>
      </c>
      <c r="CZ116" s="226"/>
      <c r="DA116" s="198">
        <f>DA54+DA97</f>
        <v>119.76399564710816</v>
      </c>
      <c r="DB116" s="199">
        <f>DB54+DB97</f>
        <v>151.02023574248034</v>
      </c>
      <c r="DC116" s="199">
        <f>DC54+DC97</f>
        <v>174.96221059434959</v>
      </c>
      <c r="DD116" s="199">
        <f>DD54+DD97</f>
        <v>133.34814339958737</v>
      </c>
      <c r="DE116" s="201">
        <f>DA116+DB116+DC116+DD116</f>
        <v>579.09458538352544</v>
      </c>
      <c r="DF116" s="226"/>
      <c r="DG116" s="198">
        <f>DG54+DG97</f>
        <v>120.17419926458105</v>
      </c>
      <c r="DH116" s="199">
        <f>DH54+DH97</f>
        <v>151.37612473830916</v>
      </c>
      <c r="DI116" s="199">
        <f>DI54+DI97</f>
        <v>175.60121184939965</v>
      </c>
      <c r="DJ116" s="199">
        <f>DJ54+DJ97</f>
        <v>133.7914350373577</v>
      </c>
      <c r="DK116" s="201">
        <f>DG116+DH116+DI116+DJ116</f>
        <v>580.94297088964754</v>
      </c>
    </row>
    <row r="117" spans="2:115" ht="15.75" thickBot="1" x14ac:dyDescent="0.35">
      <c r="B117" s="41" t="s">
        <v>23</v>
      </c>
      <c r="C117" s="155"/>
      <c r="D117" s="106"/>
      <c r="E117" s="106"/>
      <c r="F117" s="106"/>
      <c r="G117" s="108"/>
      <c r="I117" s="155"/>
      <c r="J117" s="106"/>
      <c r="K117" s="106"/>
      <c r="L117" s="106"/>
      <c r="M117" s="108"/>
      <c r="O117" s="155" t="s">
        <v>35</v>
      </c>
      <c r="P117" s="106" t="s">
        <v>35</v>
      </c>
      <c r="Q117" s="106" t="s">
        <v>35</v>
      </c>
      <c r="R117" s="154" t="s">
        <v>35</v>
      </c>
      <c r="S117" s="120" t="s">
        <v>35</v>
      </c>
      <c r="U117" s="109">
        <f>U116/O116-1</f>
        <v>-5.7142857142856718E-3</v>
      </c>
      <c r="V117" s="110">
        <f>V116/P116-1</f>
        <v>-5.5248618784530246E-3</v>
      </c>
      <c r="W117" s="110">
        <f>W116/Q116-1</f>
        <v>-4.5685279187817285E-2</v>
      </c>
      <c r="X117" s="110">
        <f>X116/R116-1</f>
        <v>-6.2130177514792884E-2</v>
      </c>
      <c r="Y117" s="122">
        <f>Y116/S116-1</f>
        <v>-2.9778393351800547E-2</v>
      </c>
      <c r="AA117" s="109">
        <f>AA116/U116-1</f>
        <v>-0.16091954022988508</v>
      </c>
      <c r="AB117" s="110">
        <f>AB116/V116-1</f>
        <v>-0.16666666666666663</v>
      </c>
      <c r="AC117" s="110">
        <f>AC116/W116-1</f>
        <v>-0.23936170212765961</v>
      </c>
      <c r="AD117" s="110">
        <f>AD116/X116-1</f>
        <v>-0.305993690851735</v>
      </c>
      <c r="AE117" s="122">
        <f>AE116/Y116-1</f>
        <v>-0.21627408993576014</v>
      </c>
      <c r="AG117" s="109">
        <f>AG116/AA116-1</f>
        <v>-0.16438356164383561</v>
      </c>
      <c r="AH117" s="110">
        <f>AH116/AB116-1</f>
        <v>-0.23333333333333328</v>
      </c>
      <c r="AI117" s="110">
        <f>AI116/AC116-1</f>
        <v>-8.3916083916083961E-2</v>
      </c>
      <c r="AJ117" s="110">
        <f>AJ116/AD116-1</f>
        <v>-3.6363636363636376E-2</v>
      </c>
      <c r="AK117" s="122">
        <f>AK116/AE116-1</f>
        <v>-0.13661202185792354</v>
      </c>
      <c r="AM117" s="109">
        <f>AM116/AG116-1</f>
        <v>-0.23770491803278693</v>
      </c>
      <c r="AN117" s="110">
        <f>AN116/AH116-1</f>
        <v>3.4782608695652195E-2</v>
      </c>
      <c r="AO117" s="110">
        <f>AO116/AI116-1</f>
        <v>-5.3435114503816772E-2</v>
      </c>
      <c r="AP117" s="110">
        <f>AP116/AJ116-1</f>
        <v>-3.7735849056603765E-2</v>
      </c>
      <c r="AQ117" s="122">
        <f>AQ116/AK116-1</f>
        <v>-7.5949367088607556E-2</v>
      </c>
      <c r="AS117" s="109">
        <f>AS116/AM116-1</f>
        <v>1.0752688172043001E-2</v>
      </c>
      <c r="AT117" s="110">
        <f>AT116/AN116-1</f>
        <v>3.400000000000003E-2</v>
      </c>
      <c r="AU117" s="110">
        <f>AU116/AO116-1</f>
        <v>4.3225806451613114E-2</v>
      </c>
      <c r="AV117" s="110">
        <f>AV116/AP116-1</f>
        <v>-3.0000000000000027E-2</v>
      </c>
      <c r="AW117" s="122">
        <f>AW116/AQ116-1</f>
        <v>1.6771689497717013E-2</v>
      </c>
      <c r="AY117" s="109">
        <f>AY116/AS116-1</f>
        <v>0.22340425531914887</v>
      </c>
      <c r="AZ117" s="110">
        <f>AZ116/AT116-1</f>
        <v>0.17842107829592191</v>
      </c>
      <c r="BA117" s="110">
        <f>BA116/AU116-1</f>
        <v>9.771181199752621E-2</v>
      </c>
      <c r="BB117" s="110">
        <f>BB116/AV116-1</f>
        <v>0.25328481908227207</v>
      </c>
      <c r="BC117" s="122">
        <f>BC116/AW116-1</f>
        <v>0.18110413027174377</v>
      </c>
      <c r="BE117" s="109">
        <f>BE116/AY116-1</f>
        <v>9.565217391304337E-2</v>
      </c>
      <c r="BF117" s="110">
        <f>BF116/AZ116-1</f>
        <v>-6.9999999999998952E-3</v>
      </c>
      <c r="BG117" s="110">
        <f>BG116/BA116-1</f>
        <v>2.0999999999999908E-2</v>
      </c>
      <c r="BH117" s="110">
        <f>BH116/BB116-1</f>
        <v>8.0000000000000071E-3</v>
      </c>
      <c r="BI117" s="122">
        <f>BI116/BC116-1</f>
        <v>2.6538022813688E-2</v>
      </c>
      <c r="BK117" s="109">
        <f>BK116/BE116-1</f>
        <v>-0.13492063492063489</v>
      </c>
      <c r="BL117" s="110">
        <f>BL116/BF116-1</f>
        <v>-2.0000000000000129E-2</v>
      </c>
      <c r="BM117" s="110">
        <f>BM116/BG116-1</f>
        <v>0.15899999999999981</v>
      </c>
      <c r="BN117" s="110">
        <f>BN116/BH116-1</f>
        <v>2.4000000000000021E-2</v>
      </c>
      <c r="BO117" s="122">
        <f>BO116/BI116-1</f>
        <v>1.1430953090882934E-2</v>
      </c>
      <c r="BQ117" s="109">
        <f>BQ116/BK116-1</f>
        <v>7.6129906765092681E-2</v>
      </c>
      <c r="BR117" s="110">
        <f>BR116/BL116-1</f>
        <v>5.6329297359760444E-2</v>
      </c>
      <c r="BS117" s="110">
        <f>BS116/BM116-1</f>
        <v>2.0454614149985506E-2</v>
      </c>
      <c r="BT117" s="110">
        <f>BT116/BN116-1</f>
        <v>2.700769473041631E-2</v>
      </c>
      <c r="BU117" s="122">
        <f>BU116/BO116-1</f>
        <v>4.2371425449271527E-2</v>
      </c>
      <c r="BW117" s="109">
        <f>BW116/BQ116-1</f>
        <v>7.8305757998249348E-3</v>
      </c>
      <c r="BX117" s="110">
        <f>BX116/BR116-1</f>
        <v>4.950535124499611E-3</v>
      </c>
      <c r="BY117" s="110">
        <f>BY116/BS116-1</f>
        <v>4.7324025437618378E-3</v>
      </c>
      <c r="BZ117" s="110">
        <f>BZ116/BT116-1</f>
        <v>1.8332452547893396E-3</v>
      </c>
      <c r="CA117" s="122">
        <f>CA116/BU116-1</f>
        <v>4.7584593451115431E-3</v>
      </c>
      <c r="CC117" s="109">
        <f>CC116/BW116-1</f>
        <v>3.4203423499479246E-3</v>
      </c>
      <c r="CD117" s="110">
        <f>CD116/BX116-1</f>
        <v>1.8695578524481338E-3</v>
      </c>
      <c r="CE117" s="110">
        <f>CE116/BY116-1</f>
        <v>3.2636438812905233E-3</v>
      </c>
      <c r="CF117" s="110">
        <f>CF116/BZ116-1</f>
        <v>3.2671141759557099E-3</v>
      </c>
      <c r="CG117" s="122">
        <f>CG116/CA116-1</f>
        <v>2.9317427800450435E-3</v>
      </c>
      <c r="CI117" s="109">
        <f>CI116/CC116-1</f>
        <v>1.5001647607442159E-3</v>
      </c>
      <c r="CJ117" s="110">
        <f>CJ116/CD116-1</f>
        <v>1.2602803124230899E-3</v>
      </c>
      <c r="CK117" s="110">
        <f>CK116/CE116-1</f>
        <v>3.1540893074331056E-3</v>
      </c>
      <c r="CL117" s="110">
        <f>CL116/CF116-1</f>
        <v>1.5094141740599198E-3</v>
      </c>
      <c r="CM117" s="122">
        <f>CM116/CG116-1</f>
        <v>1.9378732476245109E-3</v>
      </c>
      <c r="CO117" s="109">
        <f>CO116/CI116-1</f>
        <v>3.441930760630374E-3</v>
      </c>
      <c r="CP117" s="110">
        <f>CP116/CJ116-1</f>
        <v>2.2881228020514843E-3</v>
      </c>
      <c r="CQ117" s="110">
        <f>CQ116/CK116-1</f>
        <v>3.6543215924214056E-3</v>
      </c>
      <c r="CR117" s="110">
        <f>CR116/CL116-1</f>
        <v>3.2654465515142839E-3</v>
      </c>
      <c r="CS117" s="122">
        <f>CS116/CM116-1</f>
        <v>3.1637358659222237E-3</v>
      </c>
      <c r="CU117" s="109">
        <f>CU116/CO116-1</f>
        <v>1.9720697898983897E-3</v>
      </c>
      <c r="CV117" s="110">
        <f>CV116/CP116-1</f>
        <v>1.0598747056365099E-3</v>
      </c>
      <c r="CW117" s="110">
        <f>CW116/CQ116-1</f>
        <v>2.3786255297895131E-3</v>
      </c>
      <c r="CX117" s="110">
        <f>CX116/CR116-1</f>
        <v>1.892709273826787E-3</v>
      </c>
      <c r="CY117" s="122">
        <f>CY116/CS116-1</f>
        <v>1.8382382457693414E-3</v>
      </c>
      <c r="DA117" s="109">
        <f>DA116/CU116-1</f>
        <v>2.6878697618744063E-3</v>
      </c>
      <c r="DB117" s="110">
        <f>DB116/CV116-1</f>
        <v>1.6984454236297353E-3</v>
      </c>
      <c r="DC117" s="110">
        <f>DC116/CW116-1</f>
        <v>3.0069766192502012E-3</v>
      </c>
      <c r="DD117" s="110">
        <f>DD116/CX116-1</f>
        <v>2.5983336412889191E-3</v>
      </c>
      <c r="DE117" s="122">
        <f>DE116/CY116-1</f>
        <v>2.5053812390003483E-3</v>
      </c>
      <c r="DG117" s="109">
        <f>DG116/DA116-1</f>
        <v>3.4250996324602934E-3</v>
      </c>
      <c r="DH117" s="110">
        <f>DH116/DB116-1</f>
        <v>2.3565649601797745E-3</v>
      </c>
      <c r="DI117" s="110">
        <f>DI116/DC116-1</f>
        <v>3.6522244025116724E-3</v>
      </c>
      <c r="DJ117" s="110">
        <f>DJ116/DD116-1</f>
        <v>3.3243180330000399E-3</v>
      </c>
      <c r="DK117" s="122">
        <f>DK116/DE116-1</f>
        <v>3.1918542372451064E-3</v>
      </c>
    </row>
    <row r="118" spans="2:115" ht="15.75" thickBot="1" x14ac:dyDescent="0.35">
      <c r="B118" s="1"/>
      <c r="AA118" s="103"/>
      <c r="AB118" s="103"/>
      <c r="AC118" s="103"/>
      <c r="AD118" s="103"/>
      <c r="AE118" s="103"/>
      <c r="AG118" s="103"/>
      <c r="AH118" s="103"/>
      <c r="AI118" s="103"/>
      <c r="AJ118" s="103"/>
      <c r="AK118" s="103"/>
      <c r="AM118" s="103"/>
      <c r="AN118" s="103"/>
      <c r="AO118" s="103"/>
      <c r="AP118" s="103"/>
      <c r="AQ118" s="103"/>
      <c r="AS118" s="103"/>
      <c r="AT118" s="103"/>
      <c r="AU118" s="103"/>
      <c r="AV118" s="103"/>
      <c r="AW118" s="103"/>
      <c r="AY118" s="103"/>
      <c r="AZ118" s="103"/>
      <c r="BA118" s="103"/>
      <c r="BB118" s="103"/>
      <c r="BC118" s="103"/>
      <c r="BE118" s="103"/>
      <c r="BF118" s="103"/>
      <c r="BG118" s="103"/>
      <c r="BH118" s="103"/>
      <c r="BI118" s="103"/>
      <c r="BK118" s="103"/>
      <c r="BL118" s="103"/>
      <c r="BM118" s="103"/>
      <c r="BN118" s="103"/>
      <c r="BO118" s="103"/>
      <c r="BQ118" s="103"/>
      <c r="BR118" s="103"/>
      <c r="BS118" s="103"/>
      <c r="BT118" s="103"/>
      <c r="BU118" s="103"/>
      <c r="BW118" s="103"/>
      <c r="BX118" s="103"/>
      <c r="BY118" s="103"/>
      <c r="BZ118" s="103"/>
      <c r="CA118" s="103"/>
      <c r="CC118" s="103"/>
      <c r="CD118" s="103"/>
      <c r="CE118" s="103"/>
      <c r="CF118" s="103"/>
      <c r="CG118" s="103"/>
      <c r="CI118" s="103"/>
      <c r="CJ118" s="103"/>
      <c r="CK118" s="103"/>
      <c r="CL118" s="103"/>
      <c r="CM118" s="103"/>
      <c r="CO118" s="103"/>
      <c r="CP118" s="103"/>
      <c r="CQ118" s="103"/>
      <c r="CR118" s="103"/>
      <c r="CS118" s="103"/>
      <c r="CU118" s="103"/>
      <c r="CV118" s="103"/>
      <c r="CW118" s="103"/>
      <c r="CX118" s="103"/>
      <c r="CY118" s="103"/>
      <c r="DA118" s="103"/>
      <c r="DB118" s="103"/>
      <c r="DC118" s="103"/>
      <c r="DD118" s="103"/>
      <c r="DE118" s="103"/>
      <c r="DG118" s="103"/>
      <c r="DH118" s="103"/>
      <c r="DI118" s="103"/>
      <c r="DJ118" s="103"/>
      <c r="DK118" s="103"/>
    </row>
    <row r="119" spans="2:115" ht="15" x14ac:dyDescent="0.3">
      <c r="B119" s="42" t="s">
        <v>36</v>
      </c>
      <c r="C119" s="221"/>
      <c r="D119" s="222"/>
      <c r="E119" s="222"/>
      <c r="F119" s="222"/>
      <c r="G119" s="223"/>
      <c r="I119" s="221"/>
      <c r="J119" s="222"/>
      <c r="K119" s="222"/>
      <c r="L119" s="222"/>
      <c r="M119" s="208"/>
      <c r="O119" s="209">
        <f>O116/(O40+O94)</f>
        <v>0.43532338308457713</v>
      </c>
      <c r="P119" s="206">
        <f>P116/(P40+P94)</f>
        <v>0.42890995260663506</v>
      </c>
      <c r="Q119" s="206">
        <f>Q116/(Q40+Q94)</f>
        <v>0.43875278396436523</v>
      </c>
      <c r="R119" s="206">
        <f>R116/(R40+R94)</f>
        <v>0.37639198218262804</v>
      </c>
      <c r="S119" s="208">
        <f>S116/(S40+S94)</f>
        <v>0.41927990708478513</v>
      </c>
      <c r="U119" s="209">
        <f>U116/(U40+U94)</f>
        <v>0.42233009708737862</v>
      </c>
      <c r="V119" s="206">
        <f>V116/(V40+V94)</f>
        <v>0.43795620437956206</v>
      </c>
      <c r="W119" s="206">
        <f>W116/(W40+W94)</f>
        <v>0.46419753086419752</v>
      </c>
      <c r="X119" s="206">
        <f>X116/(X40+X94)</f>
        <v>0.38055222088835533</v>
      </c>
      <c r="Y119" s="208">
        <f>Y116/(Y40+Y94)</f>
        <v>0.42596533900881728</v>
      </c>
      <c r="AA119" s="209">
        <f>AA116/(AA40+AA94)</f>
        <v>0.41477272727272729</v>
      </c>
      <c r="AB119" s="206">
        <f>AB116/(AB40+AB94)</f>
        <v>0.40540540540540543</v>
      </c>
      <c r="AC119" s="206">
        <f>AC116/(AC40+AC94)</f>
        <v>0.39071038251366119</v>
      </c>
      <c r="AD119" s="206">
        <f>AD116/(AD40+AD94)</f>
        <v>0.31518624641833809</v>
      </c>
      <c r="AE119" s="208">
        <f>AE116/(AE40+AE94)</f>
        <v>0.38204592901878914</v>
      </c>
      <c r="AG119" s="209">
        <f>AG116/(AG40+AG94)</f>
        <v>0.36417910447761193</v>
      </c>
      <c r="AH119" s="206">
        <f>AH116/(AH40+AH94)</f>
        <v>0.34534534534534533</v>
      </c>
      <c r="AI119" s="206">
        <f>AI116/(AI40+AI94)</f>
        <v>0.36187845303867405</v>
      </c>
      <c r="AJ119" s="206">
        <f>AJ116/(AJ40+AJ94)</f>
        <v>0.26633165829145727</v>
      </c>
      <c r="AK119" s="208">
        <f>AK116/(AK40+AK94)</f>
        <v>0.33193277310924368</v>
      </c>
      <c r="AM119" s="209">
        <f>AM116/(AM40+AM94)</f>
        <v>0.23664122137404581</v>
      </c>
      <c r="AN119" s="206">
        <f>AN116/(AN40+AN94)</f>
        <v>0.30909090909090908</v>
      </c>
      <c r="AO119" s="206">
        <f>AO116/(AO40+AO94)</f>
        <v>0.32804232804232802</v>
      </c>
      <c r="AP119" s="206">
        <f>AP116/(AP40+AP94)</f>
        <v>0.25123152709359609</v>
      </c>
      <c r="AQ119" s="208">
        <f>AQ116/(AQ40+AQ94)</f>
        <v>0.28040973111395645</v>
      </c>
      <c r="AS119" s="209">
        <f>AS116/(AS40+AS94)</f>
        <v>0.25683060109289618</v>
      </c>
      <c r="AT119" s="206">
        <f>AT116/(AT40+AT94)</f>
        <v>0.33990607734806627</v>
      </c>
      <c r="AU119" s="206">
        <f>AU116/(AU40+AU94)</f>
        <v>0.34962162162162164</v>
      </c>
      <c r="AV119" s="206">
        <f>AV116/(AV40+AV94)</f>
        <v>0.24984848484848485</v>
      </c>
      <c r="AW119" s="208">
        <f>AW116/(AW40+AW94)</f>
        <v>0.2980896921017403</v>
      </c>
      <c r="AY119" s="209">
        <f>AY116/(AY40+AY94)</f>
        <v>0.25842696629213485</v>
      </c>
      <c r="AZ119" s="206">
        <f>AZ116/(AZ40+AZ94)</f>
        <v>0.32008830022075058</v>
      </c>
      <c r="BA119" s="206">
        <f>BA116/(BA40+BA94)</f>
        <v>0.32870370370370372</v>
      </c>
      <c r="BB119" s="206">
        <f>BB116/(BB40+BB94)</f>
        <v>0.23938223938223938</v>
      </c>
      <c r="BC119" s="208">
        <f>BC116/(BC40+BC94)</f>
        <v>0.28463203463203463</v>
      </c>
      <c r="BE119" s="209">
        <f>BE116/(BE40+BE94)</f>
        <v>0.31265508684863524</v>
      </c>
      <c r="BF119" s="206">
        <f>BF116/(BF40+BF94)</f>
        <v>0.35290441176470594</v>
      </c>
      <c r="BG119" s="206">
        <f>BG116/(BG40+BG94)</f>
        <v>0.34935421686746987</v>
      </c>
      <c r="BH119" s="206">
        <f>BH116/(BH40+BH94)</f>
        <v>0.27962416107382554</v>
      </c>
      <c r="BI119" s="208">
        <f>BI116/(BI40+BI94)</f>
        <v>0.32274895397489539</v>
      </c>
      <c r="BK119" s="209">
        <f>BK116/(BK40+BK94)</f>
        <v>0.26265060240963856</v>
      </c>
      <c r="BL119" s="206">
        <f>BL116/(BL40+BL94)</f>
        <v>0.3108046255506608</v>
      </c>
      <c r="BM119" s="206">
        <f>BM116/(BM40+BM94)</f>
        <v>0.36292470410367167</v>
      </c>
      <c r="BN119" s="206">
        <f>BN116/(BN40+BN94)</f>
        <v>0.26945643789473683</v>
      </c>
      <c r="BO119" s="208">
        <f>BO116/(BO40+BO94)</f>
        <v>0.30223090536801328</v>
      </c>
      <c r="BQ119" s="209">
        <f>BQ116/(BQ40+BQ94)</f>
        <v>0.26578404528049426</v>
      </c>
      <c r="BR119" s="206">
        <f>BR116/(BR40+BR94)</f>
        <v>0.31252376530350706</v>
      </c>
      <c r="BS119" s="206">
        <f>BS116/(BS40+BS94)</f>
        <v>0.36391377309425388</v>
      </c>
      <c r="BT119" s="206">
        <f>BT116/(BT40+BT94)</f>
        <v>0.27024152095524334</v>
      </c>
      <c r="BU119" s="208">
        <f>BU116/(BU40+BU94)</f>
        <v>0.30347199003651182</v>
      </c>
      <c r="BW119" s="209">
        <f>BW116/(BW40+BW94)</f>
        <v>0.26570871390574652</v>
      </c>
      <c r="BX119" s="206">
        <f>BX116/(BX40+BX94)</f>
        <v>0.31230941665904632</v>
      </c>
      <c r="BY119" s="206">
        <f>BY116/(BY40+BY94)</f>
        <v>0.36363735486880489</v>
      </c>
      <c r="BZ119" s="206">
        <f>BZ116/(BZ40+BZ94)</f>
        <v>0.2699888831886651</v>
      </c>
      <c r="CA119" s="208">
        <f>CA116/(CA40+CA94)</f>
        <v>0.30326552144615571</v>
      </c>
      <c r="CC119" s="209">
        <f>CC116/(CC40+CC94)</f>
        <v>0.2659166920736542</v>
      </c>
      <c r="CD119" s="206">
        <f>CD116/(CD40+CD94)</f>
        <v>0.3124021393270735</v>
      </c>
      <c r="CE119" s="206">
        <f>CE116/(CE40+CE94)</f>
        <v>0.36359927842871459</v>
      </c>
      <c r="CF119" s="206">
        <f>CF116/(CF40+CF94)</f>
        <v>0.27015583173347313</v>
      </c>
      <c r="CG119" s="208">
        <f>CG116/(CG40+CG94)</f>
        <v>0.30338030015783529</v>
      </c>
      <c r="CI119" s="209">
        <f>CI116/(CI40+CI94)</f>
        <v>0.2659595023006</v>
      </c>
      <c r="CJ119" s="206">
        <f>CJ116/(CJ40+CJ94)</f>
        <v>0.31225967470224691</v>
      </c>
      <c r="CK119" s="206">
        <f>CK116/(CK40+CK94)</f>
        <v>0.36348598943480753</v>
      </c>
      <c r="CL119" s="206">
        <f>CL116/(CL40+CL94)</f>
        <v>0.27034794143325275</v>
      </c>
      <c r="CM119" s="208">
        <f>CM116/(CM40+CM94)</f>
        <v>0.30341297462310568</v>
      </c>
      <c r="CO119" s="209">
        <f>CO116/(CO40+CO94)</f>
        <v>0.26592543244989564</v>
      </c>
      <c r="CP119" s="206">
        <f>CP116/(CP40+CP94)</f>
        <v>0.31222886119153226</v>
      </c>
      <c r="CQ119" s="206">
        <f>CQ116/(CQ40+CQ94)</f>
        <v>0.36335164050087454</v>
      </c>
      <c r="CR119" s="206">
        <f>CR116/(CR40+CR94)</f>
        <v>0.27035034034817218</v>
      </c>
      <c r="CS119" s="208">
        <f>CS116/(CS40+CS94)</f>
        <v>0.30337076505740268</v>
      </c>
      <c r="CU119" s="209">
        <f>CU116/(CU40+CU94)</f>
        <v>0.26592194286227677</v>
      </c>
      <c r="CV119" s="206">
        <f>CV116/(CV40+CV94)</f>
        <v>0.31224045529372957</v>
      </c>
      <c r="CW119" s="206">
        <f>CW116/(CW40+CW94)</f>
        <v>0.36329378313306304</v>
      </c>
      <c r="CX119" s="206">
        <f>CX116/(CX40+CX94)</f>
        <v>0.27038683208377007</v>
      </c>
      <c r="CY119" s="208">
        <f>CY116/(CY40+CY94)</f>
        <v>0.30337584242734167</v>
      </c>
      <c r="DA119" s="209">
        <f>DA116/(DA40+DA94)</f>
        <v>0.26597952438675054</v>
      </c>
      <c r="DB119" s="206">
        <f>DB116/(DB40+DB94)</f>
        <v>0.31231131185118854</v>
      </c>
      <c r="DC119" s="206">
        <f>DC116/(DC40+DC94)</f>
        <v>0.36329287993780757</v>
      </c>
      <c r="DD119" s="206">
        <f>DD116/(DD40+DD94)</f>
        <v>0.27048665065778854</v>
      </c>
      <c r="DE119" s="208">
        <f>DE116/(DE40+DE94)</f>
        <v>0.30344087976217415</v>
      </c>
      <c r="DG119" s="209">
        <f>DG116/(DG40+DG94)</f>
        <v>0.26610057641186241</v>
      </c>
      <c r="DH119" s="206">
        <f>DH116/(DH40+DH94)</f>
        <v>0.3124437135612233</v>
      </c>
      <c r="DI119" s="206">
        <f>DI116/(DI40+DI94)</f>
        <v>0.36335106224737879</v>
      </c>
      <c r="DJ119" s="206">
        <f>DJ116/(DJ40+DJ94)</f>
        <v>0.27065209384980987</v>
      </c>
      <c r="DK119" s="208">
        <f>DK116/(DK40+DK94)</f>
        <v>0.30356813379344916</v>
      </c>
    </row>
    <row r="120" spans="2:115" ht="15.75" thickBot="1" x14ac:dyDescent="0.35">
      <c r="B120" s="41" t="s">
        <v>37</v>
      </c>
      <c r="C120" s="155"/>
      <c r="D120" s="106"/>
      <c r="E120" s="106"/>
      <c r="F120" s="106"/>
      <c r="G120" s="154"/>
      <c r="I120" s="155"/>
      <c r="J120" s="106"/>
      <c r="K120" s="106"/>
      <c r="L120" s="106"/>
      <c r="M120" s="108"/>
      <c r="O120" s="155" t="s">
        <v>35</v>
      </c>
      <c r="P120" s="106" t="s">
        <v>35</v>
      </c>
      <c r="Q120" s="106" t="s">
        <v>35</v>
      </c>
      <c r="R120" s="106" t="s">
        <v>35</v>
      </c>
      <c r="S120" s="177" t="s">
        <v>35</v>
      </c>
      <c r="U120" s="174">
        <f>U119-O119</f>
        <v>-1.2993285997198512E-2</v>
      </c>
      <c r="V120" s="175">
        <f>V119-P119</f>
        <v>9.0462517729270053E-3</v>
      </c>
      <c r="W120" s="175">
        <f>W119-Q119</f>
        <v>2.5444746899832282E-2</v>
      </c>
      <c r="X120" s="175">
        <f>X119-R119</f>
        <v>4.1602387057272927E-3</v>
      </c>
      <c r="Y120" s="177">
        <f>Y119-S119</f>
        <v>6.685431924032148E-3</v>
      </c>
      <c r="AA120" s="174">
        <f>AA119-U119</f>
        <v>-7.5573698146513268E-3</v>
      </c>
      <c r="AB120" s="175">
        <f>AB119-V119</f>
        <v>-3.2550798974156636E-2</v>
      </c>
      <c r="AC120" s="175">
        <f>AC119-W119</f>
        <v>-7.3487148350536324E-2</v>
      </c>
      <c r="AD120" s="175">
        <f>AD119-X119</f>
        <v>-6.5365974470017241E-2</v>
      </c>
      <c r="AE120" s="177">
        <f>AE119-Y119</f>
        <v>-4.3919409990028135E-2</v>
      </c>
      <c r="AG120" s="174">
        <f>AG119-AA119</f>
        <v>-5.0593622795115367E-2</v>
      </c>
      <c r="AH120" s="175">
        <f>AH119-AB119</f>
        <v>-6.0060060060060094E-2</v>
      </c>
      <c r="AI120" s="175">
        <f>AI119-AC119</f>
        <v>-2.8831929474987139E-2</v>
      </c>
      <c r="AJ120" s="175">
        <f>AJ119-AD119</f>
        <v>-4.8854588126880816E-2</v>
      </c>
      <c r="AK120" s="177">
        <f>AK119-AE119</f>
        <v>-5.0113155909545459E-2</v>
      </c>
      <c r="AM120" s="174">
        <f>AM119-AG119</f>
        <v>-0.12753788310356612</v>
      </c>
      <c r="AN120" s="175">
        <f>AN119-AH119</f>
        <v>-3.6254436254436251E-2</v>
      </c>
      <c r="AO120" s="175">
        <f>AO119-AI119</f>
        <v>-3.3836124996346029E-2</v>
      </c>
      <c r="AP120" s="175">
        <f>AP119-AJ119</f>
        <v>-1.5100131197861189E-2</v>
      </c>
      <c r="AQ120" s="177">
        <f>AQ119-AK119</f>
        <v>-5.1523041995287233E-2</v>
      </c>
      <c r="AS120" s="174">
        <f>AS119-AM119</f>
        <v>2.0189379718850375E-2</v>
      </c>
      <c r="AT120" s="175">
        <f>AT119-AN119</f>
        <v>3.0815168257157188E-2</v>
      </c>
      <c r="AU120" s="175">
        <f>AU119-AO119</f>
        <v>2.1579293579293612E-2</v>
      </c>
      <c r="AV120" s="175">
        <f>AV119-AP119</f>
        <v>-1.3830422451112379E-3</v>
      </c>
      <c r="AW120" s="177">
        <f>AW119-AQ119</f>
        <v>1.7679960987783849E-2</v>
      </c>
      <c r="AY120" s="174">
        <f>AY119-AS119</f>
        <v>1.5963651992386696E-3</v>
      </c>
      <c r="AZ120" s="175">
        <f>AZ119-AT119</f>
        <v>-1.9817777127315694E-2</v>
      </c>
      <c r="BA120" s="175">
        <f>BA119-AU119</f>
        <v>-2.0917917917917916E-2</v>
      </c>
      <c r="BB120" s="175">
        <f>BB119-AV119</f>
        <v>-1.0466245466245472E-2</v>
      </c>
      <c r="BC120" s="177">
        <f>BC119-AW119</f>
        <v>-1.3457657469705675E-2</v>
      </c>
      <c r="BE120" s="174">
        <f>BE119-AY119</f>
        <v>5.4228120556500392E-2</v>
      </c>
      <c r="BF120" s="175">
        <f>BF119-AZ119</f>
        <v>3.2816111543955362E-2</v>
      </c>
      <c r="BG120" s="175">
        <f>BG119-BA119</f>
        <v>2.0650513163766149E-2</v>
      </c>
      <c r="BH120" s="175">
        <f>BH119-BB119</f>
        <v>4.0241921691586163E-2</v>
      </c>
      <c r="BI120" s="177">
        <f>BI119-BC119</f>
        <v>3.8116919342860767E-2</v>
      </c>
      <c r="BK120" s="174">
        <f>BK119-BE119</f>
        <v>-5.0004484438996688E-2</v>
      </c>
      <c r="BL120" s="175">
        <f>BL119-BF119</f>
        <v>-4.2099786214045143E-2</v>
      </c>
      <c r="BM120" s="175">
        <f>BM119-BG119</f>
        <v>1.35704872362018E-2</v>
      </c>
      <c r="BN120" s="175">
        <f>BN119-BH119</f>
        <v>-1.0167723179088706E-2</v>
      </c>
      <c r="BO120" s="177">
        <f>BO119-BI119</f>
        <v>-2.0518048606882111E-2</v>
      </c>
      <c r="BQ120" s="174">
        <f>BQ119-BK119</f>
        <v>3.1334428708557072E-3</v>
      </c>
      <c r="BR120" s="175">
        <f>BR119-BL119</f>
        <v>1.719139752846266E-3</v>
      </c>
      <c r="BS120" s="175">
        <f>BS119-BM119</f>
        <v>9.8906899058220921E-4</v>
      </c>
      <c r="BT120" s="175">
        <f>BT119-BN119</f>
        <v>7.8508306050650845E-4</v>
      </c>
      <c r="BU120" s="177">
        <f>BU119-BO119</f>
        <v>1.2410846684985377E-3</v>
      </c>
      <c r="BW120" s="174">
        <f>BW119-BQ119</f>
        <v>-7.533137474774465E-5</v>
      </c>
      <c r="BX120" s="175">
        <f>BX119-BR119</f>
        <v>-2.1434864446073787E-4</v>
      </c>
      <c r="BY120" s="175">
        <f>BY119-BS119</f>
        <v>-2.764182254489933E-4</v>
      </c>
      <c r="BZ120" s="175">
        <f>BZ119-BT119</f>
        <v>-2.5263776657824533E-4</v>
      </c>
      <c r="CA120" s="177">
        <f>CA119-BU119</f>
        <v>-2.0646859035611254E-4</v>
      </c>
      <c r="CC120" s="174">
        <f>CC119-BW119</f>
        <v>2.0797816790768531E-4</v>
      </c>
      <c r="CD120" s="175">
        <f>CD119-BX119</f>
        <v>9.2722668027178656E-5</v>
      </c>
      <c r="CE120" s="175">
        <f>CE119-BY119</f>
        <v>-3.8076440090295538E-5</v>
      </c>
      <c r="CF120" s="175">
        <f>CF119-BZ119</f>
        <v>1.6694854480803212E-4</v>
      </c>
      <c r="CG120" s="177">
        <f>CG119-CA119</f>
        <v>1.147787116795862E-4</v>
      </c>
      <c r="CI120" s="174">
        <f>CI119-CC119</f>
        <v>4.2810226945799723E-5</v>
      </c>
      <c r="CJ120" s="175">
        <f>CJ119-CD119</f>
        <v>-1.4246462482658817E-4</v>
      </c>
      <c r="CK120" s="175">
        <f>CK119-CE119</f>
        <v>-1.1328899390705693E-4</v>
      </c>
      <c r="CL120" s="175">
        <f>CL119-CF119</f>
        <v>1.92109699779619E-4</v>
      </c>
      <c r="CM120" s="177">
        <f>CM119-CG119</f>
        <v>3.2674465270388087E-5</v>
      </c>
      <c r="CO120" s="174">
        <f>CO119-CI119</f>
        <v>-3.4069850704365745E-5</v>
      </c>
      <c r="CP120" s="175">
        <f>CP119-CJ119</f>
        <v>-3.0813510714655656E-5</v>
      </c>
      <c r="CQ120" s="175">
        <f>CQ119-CK119</f>
        <v>-1.3434893393299285E-4</v>
      </c>
      <c r="CR120" s="175">
        <f>CR119-CL119</f>
        <v>2.3989149194325599E-6</v>
      </c>
      <c r="CS120" s="177">
        <f>CS119-CM119</f>
        <v>-4.2209565702999718E-5</v>
      </c>
      <c r="CU120" s="174">
        <f>CU119-CO119</f>
        <v>-3.4895876188656416E-6</v>
      </c>
      <c r="CV120" s="175">
        <f>CV119-CP119</f>
        <v>1.159410219730983E-5</v>
      </c>
      <c r="CW120" s="175">
        <f>CW119-CQ119</f>
        <v>-5.7857367811497973E-5</v>
      </c>
      <c r="CX120" s="175">
        <f>CX119-CR119</f>
        <v>3.6491735597887764E-5</v>
      </c>
      <c r="CY120" s="177">
        <f>CY119-CS119</f>
        <v>5.0773699389883298E-6</v>
      </c>
      <c r="DA120" s="174">
        <f>DA119-CU119</f>
        <v>5.7581524473770962E-5</v>
      </c>
      <c r="DB120" s="175">
        <f>DB119-CV119</f>
        <v>7.08565574589759E-5</v>
      </c>
      <c r="DC120" s="175">
        <f>DC119-CW119</f>
        <v>-9.0319525547499779E-7</v>
      </c>
      <c r="DD120" s="175">
        <f>DD119-CX119</f>
        <v>9.9818574018473161E-5</v>
      </c>
      <c r="DE120" s="177">
        <f>DE119-CY119</f>
        <v>6.5037334832485083E-5</v>
      </c>
      <c r="DG120" s="174">
        <f>DG119-DA119</f>
        <v>1.2105202511186741E-4</v>
      </c>
      <c r="DH120" s="175">
        <f>DH119-DB119</f>
        <v>1.3240171003475742E-4</v>
      </c>
      <c r="DI120" s="175">
        <f>DI119-DC119</f>
        <v>5.8182309571219726E-5</v>
      </c>
      <c r="DJ120" s="175">
        <f>DJ119-DD119</f>
        <v>1.6544319202133062E-4</v>
      </c>
      <c r="DK120" s="177">
        <f>DK119-DE119</f>
        <v>1.2725403127500368E-4</v>
      </c>
    </row>
    <row r="123" spans="2:115" ht="13.5" thickBot="1" x14ac:dyDescent="0.25"/>
    <row r="124" spans="2:115" ht="15" x14ac:dyDescent="0.3">
      <c r="B124" s="42" t="s">
        <v>356</v>
      </c>
      <c r="I124" s="198"/>
      <c r="J124" s="199"/>
      <c r="K124" s="199"/>
      <c r="L124" s="199"/>
      <c r="M124" s="201"/>
      <c r="N124" s="129"/>
      <c r="O124" s="198">
        <f>O116-O103-O60</f>
        <v>89</v>
      </c>
      <c r="P124" s="199">
        <f>P116-P103-P60</f>
        <v>94</v>
      </c>
      <c r="Q124" s="199">
        <f>Q116-Q103-Q60</f>
        <v>142</v>
      </c>
      <c r="R124" s="200">
        <f>R116-R103-R60</f>
        <v>115</v>
      </c>
      <c r="S124" s="200">
        <f>O124+P124+Q124+R124</f>
        <v>440</v>
      </c>
      <c r="T124" s="129"/>
      <c r="U124" s="198">
        <f>U116-U103-U60</f>
        <v>112</v>
      </c>
      <c r="V124" s="199">
        <f>V116-V103-V60</f>
        <v>132</v>
      </c>
      <c r="W124" s="199">
        <f>W116-W103-W60</f>
        <v>141</v>
      </c>
      <c r="X124" s="200">
        <f>X116-X103-X60</f>
        <v>84.5</v>
      </c>
      <c r="Y124" s="200">
        <f>U124+V124+W124+X124</f>
        <v>469.5</v>
      </c>
      <c r="Z124" s="226"/>
      <c r="AA124" s="198">
        <f>AA116-AA103-AA60</f>
        <v>86</v>
      </c>
      <c r="AB124" s="199">
        <f>AB116-AB103-AB60</f>
        <v>109</v>
      </c>
      <c r="AC124" s="199">
        <f>AC116-AC103-AC60</f>
        <v>92</v>
      </c>
      <c r="AD124" s="200">
        <f>AD116-AD103-AD60</f>
        <v>37</v>
      </c>
      <c r="AE124" s="200">
        <f>AA124+AB124+AC124+AD124</f>
        <v>324</v>
      </c>
      <c r="AF124" s="226"/>
      <c r="AG124" s="198">
        <f>AG116-AG103-AG60</f>
        <v>11</v>
      </c>
      <c r="AH124" s="199">
        <f>AH116-AH103-AH60</f>
        <v>77</v>
      </c>
      <c r="AI124" s="199">
        <f>AI116-AI103-AI60</f>
        <v>82</v>
      </c>
      <c r="AJ124" s="200">
        <f>AJ116-AJ103-AJ60</f>
        <v>47</v>
      </c>
      <c r="AK124" s="200">
        <f>AG124+AH124+AI124+AJ124</f>
        <v>217</v>
      </c>
      <c r="AL124" s="226"/>
      <c r="AM124" s="198">
        <f>AM116-AM103-AM60</f>
        <v>39</v>
      </c>
      <c r="AN124" s="199">
        <f>AN116-AN103-AN60</f>
        <v>73</v>
      </c>
      <c r="AO124" s="199">
        <f>AO116-AO103-AO60</f>
        <v>52</v>
      </c>
      <c r="AP124" s="200">
        <f>AP116-AP103-AP60</f>
        <v>-68</v>
      </c>
      <c r="AQ124" s="200">
        <f>AM124+AN124+AO124+AP124</f>
        <v>96</v>
      </c>
      <c r="AR124" s="226"/>
      <c r="AS124" s="198">
        <f>AS116-AS103-AS60</f>
        <v>30</v>
      </c>
      <c r="AT124" s="199">
        <f>AT116-AT103-AT60</f>
        <v>80.036000000000001</v>
      </c>
      <c r="AU124" s="199">
        <f>AU116-AU103-AU60</f>
        <v>85.360000000000014</v>
      </c>
      <c r="AV124" s="200">
        <f>AV116-AV103-AV60</f>
        <v>-149.76666666666665</v>
      </c>
      <c r="AW124" s="200">
        <f>AS124+AT124+AU124+AV124</f>
        <v>45.629333333333363</v>
      </c>
      <c r="AX124" s="226"/>
      <c r="AY124" s="198">
        <f>AY116-AY103-AY60</f>
        <v>52</v>
      </c>
      <c r="AZ124" s="199">
        <f>AZ116-AZ103-AZ60</f>
        <v>93</v>
      </c>
      <c r="BA124" s="199">
        <f>BA116-BA103-BA60</f>
        <v>79</v>
      </c>
      <c r="BB124" s="200">
        <f>BB116-BB103-BB60</f>
        <v>31</v>
      </c>
      <c r="BC124" s="200">
        <f>AY124+AZ124+BA124+BB124</f>
        <v>255</v>
      </c>
      <c r="BD124" s="226"/>
      <c r="BE124" s="198">
        <f>BE116-BE103-BE60</f>
        <v>55</v>
      </c>
      <c r="BF124" s="199">
        <f>BF116-BF103-BF60</f>
        <v>77.997000000000014</v>
      </c>
      <c r="BG124" s="199">
        <f>BG116-BG103-BG60</f>
        <v>83.981999999999999</v>
      </c>
      <c r="BH124" s="200">
        <f>BH116-BH103-BH60</f>
        <v>44.992000000000004</v>
      </c>
      <c r="BI124" s="200">
        <f>BE124+BF124+BG124+BH124</f>
        <v>261.971</v>
      </c>
      <c r="BJ124" s="226"/>
      <c r="BK124" s="198">
        <f>BK116-BK103-BK60</f>
        <v>40</v>
      </c>
      <c r="BL124" s="199">
        <f>BL116-BL103-BL60</f>
        <v>83.263300000000001</v>
      </c>
      <c r="BM124" s="199">
        <f>BM116-BM103-BM60</f>
        <v>118.03413799999998</v>
      </c>
      <c r="BN124" s="200">
        <f>BN116-BN103-BN60</f>
        <v>43.991808000000006</v>
      </c>
      <c r="BO124" s="200">
        <f>BK124+BL124+BM124+BN124</f>
        <v>285.28924599999999</v>
      </c>
      <c r="BP124" s="226"/>
      <c r="BQ124" s="198">
        <f>BQ116-BQ103-BQ60</f>
        <v>46.540798626548074</v>
      </c>
      <c r="BR124" s="199">
        <f>BR116-BR103-BR60</f>
        <v>89.152005729576103</v>
      </c>
      <c r="BS124" s="199">
        <f>BS116-BS103-BS60</f>
        <v>119.9086914156659</v>
      </c>
      <c r="BT124" s="200">
        <f>BT116-BT103-BT60</f>
        <v>48.521764545749718</v>
      </c>
      <c r="BU124" s="200">
        <f>BQ124+BR124+BS124+BT124</f>
        <v>304.1232603175398</v>
      </c>
      <c r="BV124" s="226"/>
      <c r="BW124" s="198">
        <f>BW116-BW103-BW60</f>
        <v>51.583702521853233</v>
      </c>
      <c r="BX124" s="199">
        <f>BX116-BX103-BX60</f>
        <v>89.663165393398643</v>
      </c>
      <c r="BY124" s="199">
        <f>BY116-BY103-BY60</f>
        <v>121.48567724588003</v>
      </c>
      <c r="BZ124" s="200">
        <f>BZ116-BZ103-BZ60</f>
        <v>51.122587037114904</v>
      </c>
      <c r="CA124" s="200">
        <f>BW124+BX124+BY124+BZ124</f>
        <v>313.85513219824679</v>
      </c>
      <c r="CB124" s="226"/>
      <c r="CC124" s="198">
        <f>CC116-CC103-CC60</f>
        <v>54.839987382342599</v>
      </c>
      <c r="CD124" s="199">
        <f>CD116-CD103-CD60</f>
        <v>91.115772875492596</v>
      </c>
      <c r="CE124" s="199">
        <f>CE116-CE103-CE60</f>
        <v>121.56041484446526</v>
      </c>
      <c r="CF124" s="200">
        <f>CF116-CF103-CF60</f>
        <v>53.933086332879434</v>
      </c>
      <c r="CG124" s="200">
        <f>CC124+CD124+CE124+CF124</f>
        <v>321.44926143517989</v>
      </c>
      <c r="CH124" s="226"/>
      <c r="CI124" s="198">
        <f>CI116-CI103-CI60</f>
        <v>56.267819057651856</v>
      </c>
      <c r="CJ124" s="199">
        <f>CJ116-CJ103-CJ60</f>
        <v>90.034901378701662</v>
      </c>
      <c r="CK124" s="199">
        <f>CK116-CK103-CK60</f>
        <v>123.23135277635014</v>
      </c>
      <c r="CL124" s="200">
        <f>CL116-CL103-CL60</f>
        <v>56.831090417594282</v>
      </c>
      <c r="CM124" s="200">
        <f>CI124+CJ124+CK124+CL124</f>
        <v>326.36516363029796</v>
      </c>
      <c r="CN124" s="226"/>
      <c r="CO124" s="198">
        <f>CO116-CO103-CO60</f>
        <v>59.087639047907018</v>
      </c>
      <c r="CP124" s="199">
        <f>CP116-CP103-CP60</f>
        <v>90.34354858680922</v>
      </c>
      <c r="CQ124" s="199">
        <f>CQ116-CQ103-CQ60</f>
        <v>123.62479698911896</v>
      </c>
      <c r="CR124" s="200">
        <f>CR116-CR103-CR60</f>
        <v>59.880836020336609</v>
      </c>
      <c r="CS124" s="200">
        <f>CO124+CP124+CQ124+CR124</f>
        <v>332.93682064417186</v>
      </c>
      <c r="CT124" s="226"/>
      <c r="CU124" s="198">
        <f>CU116-CU103-CU60</f>
        <v>59.360444197707494</v>
      </c>
      <c r="CV124" s="199">
        <f>CV116-CV103-CV60</f>
        <v>90.539361602893862</v>
      </c>
      <c r="CW124" s="199">
        <f>CW116-CW103-CW60</f>
        <v>123.87628540549809</v>
      </c>
      <c r="CX124" s="200">
        <f>CX116-CX103-CX60</f>
        <v>60.204095993117797</v>
      </c>
      <c r="CY124" s="200">
        <f>CU124+CV124+CW124+CX124</f>
        <v>333.98018719921726</v>
      </c>
      <c r="CZ124" s="226"/>
      <c r="DA124" s="198">
        <f>DA116-DA103-DA60</f>
        <v>59.693938333456281</v>
      </c>
      <c r="DB124" s="199">
        <f>DB116-DB103-DB60</f>
        <v>90.807017300802585</v>
      </c>
      <c r="DC124" s="199">
        <f>DC116-DC103-DC60</f>
        <v>124.21336936443549</v>
      </c>
      <c r="DD124" s="200">
        <f>DD116-DD103-DD60</f>
        <v>60.59229932131398</v>
      </c>
      <c r="DE124" s="200">
        <f>DA124+DB124+DC124+DD124</f>
        <v>335.30662432000832</v>
      </c>
      <c r="DF124" s="226"/>
      <c r="DG124" s="198">
        <f>DG116-DG103-DG60</f>
        <v>60.090551249283493</v>
      </c>
      <c r="DH124" s="199">
        <f>DH116-DH103-DH60</f>
        <v>91.149161735764608</v>
      </c>
      <c r="DI124" s="199">
        <f>DI116-DI103-DI60</f>
        <v>124.63913801212415</v>
      </c>
      <c r="DJ124" s="200">
        <f>DJ116-DJ103-DJ60</f>
        <v>61.047964639257714</v>
      </c>
      <c r="DK124" s="200">
        <f>DG124+DH124+DI124+DJ124</f>
        <v>336.92681563642998</v>
      </c>
    </row>
    <row r="125" spans="2:115" ht="15.75" thickBot="1" x14ac:dyDescent="0.35">
      <c r="B125" s="41" t="s">
        <v>23</v>
      </c>
      <c r="I125" s="155"/>
      <c r="J125" s="106"/>
      <c r="K125" s="106"/>
      <c r="L125" s="106"/>
      <c r="M125" s="108"/>
      <c r="O125" s="155" t="s">
        <v>35</v>
      </c>
      <c r="P125" s="106" t="s">
        <v>35</v>
      </c>
      <c r="Q125" s="106" t="s">
        <v>35</v>
      </c>
      <c r="R125" s="154" t="s">
        <v>35</v>
      </c>
      <c r="S125" s="176" t="s">
        <v>35</v>
      </c>
      <c r="U125" s="109">
        <f>U124/O124-1</f>
        <v>0.2584269662921348</v>
      </c>
      <c r="V125" s="110">
        <f>V124/P124-1</f>
        <v>0.4042553191489362</v>
      </c>
      <c r="W125" s="110">
        <f>W124/Q124-1</f>
        <v>-7.0422535211267512E-3</v>
      </c>
      <c r="X125" s="110">
        <f>X124/R124-1</f>
        <v>-0.26521739130434785</v>
      </c>
      <c r="Y125" s="122">
        <f>Y124/S124-1</f>
        <v>6.704545454545463E-2</v>
      </c>
      <c r="AA125" s="109">
        <f>AA124/U124-1</f>
        <v>-0.2321428571428571</v>
      </c>
      <c r="AB125" s="110">
        <f>AB124/V124-1</f>
        <v>-0.1742424242424242</v>
      </c>
      <c r="AC125" s="110">
        <f>AC124/W124-1</f>
        <v>-0.34751773049645385</v>
      </c>
      <c r="AD125" s="110">
        <f>AD124/X124-1</f>
        <v>-0.56213017751479288</v>
      </c>
      <c r="AE125" s="122">
        <f>AE124/Y124-1</f>
        <v>-0.30990415335463262</v>
      </c>
      <c r="AG125" s="109">
        <f>AG124/AA124-1</f>
        <v>-0.87209302325581395</v>
      </c>
      <c r="AH125" s="110">
        <f>AH124/AB124-1</f>
        <v>-0.29357798165137616</v>
      </c>
      <c r="AI125" s="110">
        <f>AI124/AC124-1</f>
        <v>-0.10869565217391308</v>
      </c>
      <c r="AJ125" s="110">
        <f>AJ124/AD124-1</f>
        <v>0.27027027027027017</v>
      </c>
      <c r="AK125" s="122">
        <f>AK124/AE124-1</f>
        <v>-0.33024691358024694</v>
      </c>
      <c r="AM125" s="109">
        <f>AM124/AG124-1</f>
        <v>2.5454545454545454</v>
      </c>
      <c r="AN125" s="110">
        <f>AN124/AH124-1</f>
        <v>-5.1948051948051965E-2</v>
      </c>
      <c r="AO125" s="110">
        <f>AO124/AI124-1</f>
        <v>-0.36585365853658536</v>
      </c>
      <c r="AP125" s="110">
        <f>AP124/AJ124-1</f>
        <v>-2.4468085106382977</v>
      </c>
      <c r="AQ125" s="122">
        <f>AQ124/AK124-1</f>
        <v>-0.55760368663594462</v>
      </c>
      <c r="AS125" s="109">
        <f>AS124/AM124-1</f>
        <v>-0.23076923076923073</v>
      </c>
      <c r="AT125" s="110">
        <f>AT124/AN124-1</f>
        <v>9.6383561643835547E-2</v>
      </c>
      <c r="AU125" s="110">
        <f>AU124/AO124-1</f>
        <v>0.64153846153846183</v>
      </c>
      <c r="AV125" s="110">
        <f>AV124/AP124-1</f>
        <v>1.2024509803921566</v>
      </c>
      <c r="AW125" s="122">
        <f>AW124/AQ124-1</f>
        <v>-0.52469444444444413</v>
      </c>
      <c r="AY125" s="109">
        <f>AY124/AS124-1</f>
        <v>0.73333333333333339</v>
      </c>
      <c r="AZ125" s="110">
        <f>AZ124/AT124-1</f>
        <v>0.16197711030036488</v>
      </c>
      <c r="BA125" s="110">
        <f>BA124/AU124-1</f>
        <v>-7.4507966260543679E-2</v>
      </c>
      <c r="BB125" s="110">
        <f>BB124/AV124-1</f>
        <v>-1.2069886490095705</v>
      </c>
      <c r="BC125" s="122">
        <f>BC124/AW124-1</f>
        <v>4.5885103150020417</v>
      </c>
      <c r="BE125" s="109">
        <f>BE124/AY124-1</f>
        <v>5.7692307692307709E-2</v>
      </c>
      <c r="BF125" s="110">
        <f>BF124/AZ124-1</f>
        <v>-0.16132258064516114</v>
      </c>
      <c r="BG125" s="110">
        <f>BG124/BA124-1</f>
        <v>6.3063291139240585E-2</v>
      </c>
      <c r="BH125" s="110">
        <f>BH124/BB124-1</f>
        <v>0.45135483870967752</v>
      </c>
      <c r="BI125" s="122">
        <f>BI124/BC124-1</f>
        <v>2.7337254901960817E-2</v>
      </c>
      <c r="BK125" s="109">
        <f>BK124/BE124-1</f>
        <v>-0.27272727272727271</v>
      </c>
      <c r="BL125" s="110">
        <f>BL124/BF124-1</f>
        <v>6.7519263561418796E-2</v>
      </c>
      <c r="BM125" s="110">
        <f>BM124/BG124-1</f>
        <v>0.40546948155557128</v>
      </c>
      <c r="BN125" s="110">
        <f>BN124/BH124-1</f>
        <v>-2.2230440967282994E-2</v>
      </c>
      <c r="BO125" s="122">
        <f>BO124/BI124-1</f>
        <v>8.9010791270789369E-2</v>
      </c>
      <c r="BQ125" s="109">
        <f>BQ124/BK124-1</f>
        <v>0.16351996566370186</v>
      </c>
      <c r="BR125" s="110">
        <f>BR124/BL124-1</f>
        <v>7.0723905124780106E-2</v>
      </c>
      <c r="BS125" s="110">
        <f>BS124/BM124-1</f>
        <v>1.5881451310856498E-2</v>
      </c>
      <c r="BT125" s="110">
        <f>BT124/BN124-1</f>
        <v>0.102972729507951</v>
      </c>
      <c r="BU125" s="122">
        <f>BU124/BO124-1</f>
        <v>6.6017259961981933E-2</v>
      </c>
      <c r="BW125" s="109">
        <f>BW124/BQ124-1</f>
        <v>0.10835447702069634</v>
      </c>
      <c r="BX125" s="110">
        <f>BX124/BR124-1</f>
        <v>5.7335744680051537E-3</v>
      </c>
      <c r="BY125" s="110">
        <f>BY124/BS124-1</f>
        <v>1.3151555667866299E-2</v>
      </c>
      <c r="BZ125" s="110">
        <f>BZ124/BT124-1</f>
        <v>5.3601152301725241E-2</v>
      </c>
      <c r="CA125" s="122">
        <f>CA124/BU124-1</f>
        <v>3.1999761776017266E-2</v>
      </c>
      <c r="CC125" s="109">
        <f>CC124/BW124-1</f>
        <v>6.3126233699681622E-2</v>
      </c>
      <c r="CD125" s="110">
        <f>CD124/BX124-1</f>
        <v>1.6200716043434538E-2</v>
      </c>
      <c r="CE125" s="110">
        <f>CE124/BY124-1</f>
        <v>6.1519678928045884E-4</v>
      </c>
      <c r="CF125" s="110">
        <f>CF124/BZ124-1</f>
        <v>5.4975686064637319E-2</v>
      </c>
      <c r="CG125" s="122">
        <f>CG124/CA124-1</f>
        <v>2.4196288216616679E-2</v>
      </c>
      <c r="CI125" s="109">
        <f>CI124/CC124-1</f>
        <v>2.6036323920982429E-2</v>
      </c>
      <c r="CJ125" s="110">
        <f>CJ124/CD124-1</f>
        <v>-1.1862616786096014E-2</v>
      </c>
      <c r="CK125" s="110">
        <f>CK124/CE124-1</f>
        <v>1.3745740618134716E-2</v>
      </c>
      <c r="CL125" s="110">
        <f>CL124/CF124-1</f>
        <v>5.3733325529121911E-2</v>
      </c>
      <c r="CM125" s="122">
        <f>CM124/CG124-1</f>
        <v>1.5292933550912435E-2</v>
      </c>
      <c r="CO125" s="109">
        <f>CO124/CI124-1</f>
        <v>5.0114257802776896E-2</v>
      </c>
      <c r="CP125" s="110">
        <f>CP124/CJ124-1</f>
        <v>3.4280840360931819E-3</v>
      </c>
      <c r="CQ125" s="110">
        <f>CQ124/CK124-1</f>
        <v>3.1927281808135088E-3</v>
      </c>
      <c r="CR125" s="110">
        <f>CR124/CL124-1</f>
        <v>5.366333076372154E-2</v>
      </c>
      <c r="CS125" s="122">
        <f>CS124/CM124-1</f>
        <v>2.0135902192423227E-2</v>
      </c>
      <c r="CU125" s="109">
        <f>CU124/CO124-1</f>
        <v>4.6169580337993565E-3</v>
      </c>
      <c r="CV125" s="110">
        <f>CV124/CP124-1</f>
        <v>2.1674266635263173E-3</v>
      </c>
      <c r="CW125" s="110">
        <f>CW124/CQ124-1</f>
        <v>2.03428780070114E-3</v>
      </c>
      <c r="CX125" s="110">
        <f>CX124/CR124-1</f>
        <v>5.3983877691921034E-3</v>
      </c>
      <c r="CY125" s="122">
        <f>CY124/CS124-1</f>
        <v>3.133827472211248E-3</v>
      </c>
      <c r="DA125" s="109">
        <f>DA124/CU124-1</f>
        <v>5.6181206231886716E-3</v>
      </c>
      <c r="DB125" s="110">
        <f>DB124/CV124-1</f>
        <v>2.9562357539327788E-3</v>
      </c>
      <c r="DC125" s="110">
        <f>DC124/CW124-1</f>
        <v>2.7211338944657104E-3</v>
      </c>
      <c r="DD125" s="110">
        <f>DD124/CX124-1</f>
        <v>6.4481215404439407E-3</v>
      </c>
      <c r="DE125" s="122">
        <f>DE124/CY124-1</f>
        <v>3.9716042197432966E-3</v>
      </c>
      <c r="DG125" s="109">
        <f>DG124/DA124-1</f>
        <v>6.6441070383342904E-3</v>
      </c>
      <c r="DH125" s="110">
        <f>DH124/DB124-1</f>
        <v>3.7678193286390105E-3</v>
      </c>
      <c r="DI125" s="110">
        <f>DI124/DC124-1</f>
        <v>3.4277199778671719E-3</v>
      </c>
      <c r="DJ125" s="110">
        <f>DJ124/DD124-1</f>
        <v>7.5201852883548526E-3</v>
      </c>
      <c r="DK125" s="122">
        <f>DK124/DE124-1</f>
        <v>4.8319693048335388E-3</v>
      </c>
    </row>
  </sheetData>
  <mergeCells count="38">
    <mergeCell ref="BK79:BO79"/>
    <mergeCell ref="BQ79:BU79"/>
    <mergeCell ref="AA79:AE79"/>
    <mergeCell ref="AG79:AK79"/>
    <mergeCell ref="AM79:AQ79"/>
    <mergeCell ref="AS79:AW79"/>
    <mergeCell ref="CI2:CM2"/>
    <mergeCell ref="C79:G79"/>
    <mergeCell ref="I79:M79"/>
    <mergeCell ref="O79:S79"/>
    <mergeCell ref="U79:Y79"/>
    <mergeCell ref="AY2:BC2"/>
    <mergeCell ref="C2:G2"/>
    <mergeCell ref="I2:M2"/>
    <mergeCell ref="O2:S2"/>
    <mergeCell ref="U2:Y2"/>
    <mergeCell ref="AY79:BC79"/>
    <mergeCell ref="AA2:AE2"/>
    <mergeCell ref="AG2:AK2"/>
    <mergeCell ref="AM2:AQ2"/>
    <mergeCell ref="AS2:AW2"/>
    <mergeCell ref="BE79:BI79"/>
    <mergeCell ref="CI79:CM79"/>
    <mergeCell ref="BE2:BI2"/>
    <mergeCell ref="DA2:DE2"/>
    <mergeCell ref="DA79:DE79"/>
    <mergeCell ref="DG2:DK2"/>
    <mergeCell ref="DG79:DK79"/>
    <mergeCell ref="BK2:BO2"/>
    <mergeCell ref="BQ2:BU2"/>
    <mergeCell ref="CO2:CS2"/>
    <mergeCell ref="CO79:CS79"/>
    <mergeCell ref="CU2:CY2"/>
    <mergeCell ref="CU79:CY79"/>
    <mergeCell ref="BW2:CA2"/>
    <mergeCell ref="BW79:CA79"/>
    <mergeCell ref="CC2:CG2"/>
    <mergeCell ref="CC79:CG79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DK122"/>
  <sheetViews>
    <sheetView zoomScale="60" workbookViewId="0">
      <pane xSplit="2" ySplit="3" topLeftCell="BI4" activePane="bottomRight" state="frozen"/>
      <selection pane="topRight" activeCell="C1" sqref="C1"/>
      <selection pane="bottomLeft" activeCell="A4" sqref="A4"/>
      <selection pane="bottomRight" sqref="A1:XFD1048576"/>
    </sheetView>
  </sheetViews>
  <sheetFormatPr defaultRowHeight="12.75" x14ac:dyDescent="0.2"/>
  <cols>
    <col min="2" max="2" width="30.42578125" customWidth="1"/>
    <col min="3" max="14" width="9.140625" style="103"/>
    <col min="15" max="15" width="11.28515625" style="103" bestFit="1" customWidth="1"/>
    <col min="16" max="16" width="10.85546875" style="103" bestFit="1" customWidth="1"/>
    <col min="17" max="17" width="10.5703125" style="103" bestFit="1" customWidth="1"/>
    <col min="18" max="18" width="10.85546875" style="103" bestFit="1" customWidth="1"/>
    <col min="19" max="19" width="11.85546875" style="103" bestFit="1" customWidth="1"/>
    <col min="20" max="20" width="9.140625" style="103"/>
    <col min="21" max="21" width="10.5703125" style="103" bestFit="1" customWidth="1"/>
    <col min="22" max="22" width="10.140625" style="103" bestFit="1" customWidth="1"/>
    <col min="23" max="23" width="10.5703125" style="103" bestFit="1" customWidth="1"/>
    <col min="24" max="24" width="10.140625" style="103" bestFit="1" customWidth="1"/>
    <col min="25" max="25" width="11.42578125" style="103" bestFit="1" customWidth="1"/>
    <col min="27" max="27" width="10.85546875" bestFit="1" customWidth="1"/>
    <col min="28" max="28" width="10" bestFit="1" customWidth="1"/>
    <col min="29" max="29" width="10.5703125" bestFit="1" customWidth="1"/>
    <col min="30" max="30" width="10.85546875" bestFit="1" customWidth="1"/>
    <col min="31" max="31" width="11.42578125" bestFit="1" customWidth="1"/>
    <col min="33" max="33" width="10.5703125" bestFit="1" customWidth="1"/>
    <col min="34" max="34" width="10" bestFit="1" customWidth="1"/>
    <col min="35" max="36" width="10.42578125" bestFit="1" customWidth="1"/>
    <col min="37" max="37" width="11.140625" bestFit="1" customWidth="1"/>
    <col min="39" max="39" width="10" bestFit="1" customWidth="1"/>
    <col min="40" max="40" width="10.28515625" bestFit="1" customWidth="1"/>
    <col min="41" max="41" width="10.85546875" bestFit="1" customWidth="1"/>
    <col min="42" max="42" width="11.140625" bestFit="1" customWidth="1"/>
    <col min="43" max="43" width="11.42578125" bestFit="1" customWidth="1"/>
    <col min="45" max="45" width="10.42578125" bestFit="1" customWidth="1"/>
    <col min="46" max="46" width="10.140625" bestFit="1" customWidth="1"/>
    <col min="47" max="48" width="10.85546875" bestFit="1" customWidth="1"/>
    <col min="49" max="49" width="11.140625" bestFit="1" customWidth="1"/>
    <col min="51" max="51" width="10.5703125" bestFit="1" customWidth="1"/>
    <col min="52" max="52" width="9.85546875" bestFit="1" customWidth="1"/>
    <col min="53" max="53" width="11.140625" bestFit="1" customWidth="1"/>
    <col min="54" max="54" width="10.85546875" bestFit="1" customWidth="1"/>
    <col min="55" max="55" width="11.42578125" bestFit="1" customWidth="1"/>
    <col min="57" max="57" width="10.85546875" bestFit="1" customWidth="1"/>
    <col min="58" max="58" width="10.140625" bestFit="1" customWidth="1"/>
    <col min="59" max="59" width="10.85546875" bestFit="1" customWidth="1"/>
    <col min="60" max="60" width="10.5703125" bestFit="1" customWidth="1"/>
    <col min="61" max="61" width="10.85546875" bestFit="1" customWidth="1"/>
    <col min="63" max="64" width="10.28515625" bestFit="1" customWidth="1"/>
    <col min="65" max="65" width="10.140625" bestFit="1" customWidth="1"/>
    <col min="66" max="66" width="10.28515625" bestFit="1" customWidth="1"/>
    <col min="67" max="67" width="11.140625" bestFit="1" customWidth="1"/>
    <col min="69" max="69" width="10.5703125" bestFit="1" customWidth="1"/>
    <col min="70" max="70" width="10.28515625" bestFit="1" customWidth="1"/>
    <col min="71" max="71" width="10.85546875" bestFit="1" customWidth="1"/>
    <col min="72" max="72" width="10.5703125" bestFit="1" customWidth="1"/>
    <col min="73" max="73" width="11.140625" bestFit="1" customWidth="1"/>
  </cols>
  <sheetData>
    <row r="1" spans="2:115" ht="13.5" thickBot="1" x14ac:dyDescent="0.25">
      <c r="AA1" s="429">
        <f>AA5/AA4-1</f>
        <v>4.6460176991150348E-2</v>
      </c>
      <c r="AB1" s="429">
        <f>AB5/AB4-1</f>
        <v>4.6133567662565822E-2</v>
      </c>
      <c r="AC1" s="429">
        <f>AC5/AC4-1</f>
        <v>0.11391843971631199</v>
      </c>
      <c r="AD1" s="429">
        <f>AD5/AD4-1</f>
        <v>9.645909645909656E-2</v>
      </c>
      <c r="AG1" s="429"/>
      <c r="AH1" s="429"/>
    </row>
    <row r="2" spans="2:115" x14ac:dyDescent="0.2">
      <c r="B2" s="281" t="s">
        <v>108</v>
      </c>
      <c r="C2" s="712">
        <v>2007</v>
      </c>
      <c r="D2" s="713"/>
      <c r="E2" s="713"/>
      <c r="F2" s="713"/>
      <c r="G2" s="714"/>
      <c r="H2" s="129"/>
      <c r="I2" s="712">
        <v>2008</v>
      </c>
      <c r="J2" s="713"/>
      <c r="K2" s="713"/>
      <c r="L2" s="713"/>
      <c r="M2" s="714"/>
      <c r="N2" s="129"/>
      <c r="O2" s="712">
        <v>2009</v>
      </c>
      <c r="P2" s="713"/>
      <c r="Q2" s="713"/>
      <c r="R2" s="713"/>
      <c r="S2" s="714"/>
      <c r="T2" s="129"/>
      <c r="U2" s="712">
        <v>2010</v>
      </c>
      <c r="V2" s="713"/>
      <c r="W2" s="713"/>
      <c r="X2" s="713"/>
      <c r="Y2" s="714"/>
      <c r="AA2" s="712">
        <v>2011</v>
      </c>
      <c r="AB2" s="713"/>
      <c r="AC2" s="713"/>
      <c r="AD2" s="713"/>
      <c r="AE2" s="714"/>
      <c r="AG2" s="712">
        <v>2012</v>
      </c>
      <c r="AH2" s="713"/>
      <c r="AI2" s="713"/>
      <c r="AJ2" s="713"/>
      <c r="AK2" s="714"/>
      <c r="AM2" s="712">
        <v>2013</v>
      </c>
      <c r="AN2" s="713"/>
      <c r="AO2" s="713"/>
      <c r="AP2" s="713"/>
      <c r="AQ2" s="714"/>
      <c r="AS2" s="712">
        <v>2014</v>
      </c>
      <c r="AT2" s="713"/>
      <c r="AU2" s="713"/>
      <c r="AV2" s="713"/>
      <c r="AW2" s="714"/>
      <c r="AY2" s="712">
        <v>2015</v>
      </c>
      <c r="AZ2" s="713"/>
      <c r="BA2" s="713"/>
      <c r="BB2" s="713"/>
      <c r="BC2" s="714"/>
      <c r="BE2" s="712">
        <v>2016</v>
      </c>
      <c r="BF2" s="713"/>
      <c r="BG2" s="713"/>
      <c r="BH2" s="713"/>
      <c r="BI2" s="714"/>
      <c r="BK2" s="712">
        <v>2017</v>
      </c>
      <c r="BL2" s="713"/>
      <c r="BM2" s="713"/>
      <c r="BN2" s="713"/>
      <c r="BO2" s="714"/>
      <c r="BQ2" s="712">
        <v>2018</v>
      </c>
      <c r="BR2" s="713"/>
      <c r="BS2" s="713"/>
      <c r="BT2" s="713"/>
      <c r="BU2" s="714"/>
      <c r="BW2" s="712">
        <v>2019</v>
      </c>
      <c r="BX2" s="713"/>
      <c r="BY2" s="713"/>
      <c r="BZ2" s="713"/>
      <c r="CA2" s="714"/>
      <c r="CC2" s="712">
        <v>2020</v>
      </c>
      <c r="CD2" s="713"/>
      <c r="CE2" s="713"/>
      <c r="CF2" s="713"/>
      <c r="CG2" s="714"/>
      <c r="CI2" s="712">
        <v>2021</v>
      </c>
      <c r="CJ2" s="713"/>
      <c r="CK2" s="713"/>
      <c r="CL2" s="713"/>
      <c r="CM2" s="714"/>
      <c r="CO2" s="712">
        <v>2022</v>
      </c>
      <c r="CP2" s="713"/>
      <c r="CQ2" s="713"/>
      <c r="CR2" s="713"/>
      <c r="CS2" s="714"/>
      <c r="CU2" s="712">
        <v>2023</v>
      </c>
      <c r="CV2" s="713"/>
      <c r="CW2" s="713"/>
      <c r="CX2" s="713"/>
      <c r="CY2" s="714"/>
      <c r="DA2" s="712">
        <v>2024</v>
      </c>
      <c r="DB2" s="713"/>
      <c r="DC2" s="713"/>
      <c r="DD2" s="713"/>
      <c r="DE2" s="714"/>
      <c r="DG2" s="712">
        <v>2025</v>
      </c>
      <c r="DH2" s="713"/>
      <c r="DI2" s="713"/>
      <c r="DJ2" s="713"/>
      <c r="DK2" s="714"/>
    </row>
    <row r="3" spans="2:115" ht="13.5" thickBot="1" x14ac:dyDescent="0.25">
      <c r="C3" s="130" t="s">
        <v>20</v>
      </c>
      <c r="D3" s="131" t="s">
        <v>19</v>
      </c>
      <c r="E3" s="131" t="s">
        <v>22</v>
      </c>
      <c r="F3" s="131" t="s">
        <v>21</v>
      </c>
      <c r="G3" s="132" t="s">
        <v>39</v>
      </c>
      <c r="H3" s="129"/>
      <c r="I3" s="130" t="s">
        <v>20</v>
      </c>
      <c r="J3" s="131" t="s">
        <v>19</v>
      </c>
      <c r="K3" s="131" t="s">
        <v>22</v>
      </c>
      <c r="L3" s="131" t="s">
        <v>21</v>
      </c>
      <c r="M3" s="132" t="s">
        <v>39</v>
      </c>
      <c r="N3" s="129"/>
      <c r="O3" s="130" t="s">
        <v>20</v>
      </c>
      <c r="P3" s="131" t="s">
        <v>19</v>
      </c>
      <c r="Q3" s="131" t="s">
        <v>22</v>
      </c>
      <c r="R3" s="131" t="s">
        <v>21</v>
      </c>
      <c r="S3" s="132" t="s">
        <v>39</v>
      </c>
      <c r="T3" s="129"/>
      <c r="U3" s="130" t="s">
        <v>20</v>
      </c>
      <c r="V3" s="131" t="s">
        <v>19</v>
      </c>
      <c r="W3" s="131" t="s">
        <v>22</v>
      </c>
      <c r="X3" s="131" t="s">
        <v>21</v>
      </c>
      <c r="Y3" s="132" t="s">
        <v>39</v>
      </c>
      <c r="AA3" s="130" t="s">
        <v>20</v>
      </c>
      <c r="AB3" s="131" t="s">
        <v>19</v>
      </c>
      <c r="AC3" s="131" t="s">
        <v>22</v>
      </c>
      <c r="AD3" s="131" t="s">
        <v>21</v>
      </c>
      <c r="AE3" s="132" t="s">
        <v>39</v>
      </c>
      <c r="AG3" s="130" t="s">
        <v>20</v>
      </c>
      <c r="AH3" s="131" t="s">
        <v>19</v>
      </c>
      <c r="AI3" s="131" t="s">
        <v>22</v>
      </c>
      <c r="AJ3" s="131" t="s">
        <v>21</v>
      </c>
      <c r="AK3" s="132" t="s">
        <v>39</v>
      </c>
      <c r="AM3" s="130" t="s">
        <v>20</v>
      </c>
      <c r="AN3" s="131" t="s">
        <v>19</v>
      </c>
      <c r="AO3" s="131" t="s">
        <v>22</v>
      </c>
      <c r="AP3" s="131" t="s">
        <v>21</v>
      </c>
      <c r="AQ3" s="132" t="s">
        <v>39</v>
      </c>
      <c r="AS3" s="130" t="s">
        <v>20</v>
      </c>
      <c r="AT3" s="131" t="s">
        <v>19</v>
      </c>
      <c r="AU3" s="131" t="s">
        <v>22</v>
      </c>
      <c r="AV3" s="131" t="s">
        <v>21</v>
      </c>
      <c r="AW3" s="132" t="s">
        <v>39</v>
      </c>
      <c r="AY3" s="130" t="s">
        <v>20</v>
      </c>
      <c r="AZ3" s="131" t="s">
        <v>19</v>
      </c>
      <c r="BA3" s="131" t="s">
        <v>22</v>
      </c>
      <c r="BB3" s="131" t="s">
        <v>21</v>
      </c>
      <c r="BC3" s="132" t="s">
        <v>39</v>
      </c>
      <c r="BE3" s="130" t="s">
        <v>20</v>
      </c>
      <c r="BF3" s="131" t="s">
        <v>19</v>
      </c>
      <c r="BG3" s="131" t="s">
        <v>22</v>
      </c>
      <c r="BH3" s="131" t="s">
        <v>21</v>
      </c>
      <c r="BI3" s="132" t="s">
        <v>39</v>
      </c>
      <c r="BK3" s="130" t="s">
        <v>20</v>
      </c>
      <c r="BL3" s="131" t="s">
        <v>19</v>
      </c>
      <c r="BM3" s="131" t="s">
        <v>22</v>
      </c>
      <c r="BN3" s="131" t="s">
        <v>21</v>
      </c>
      <c r="BO3" s="132" t="s">
        <v>39</v>
      </c>
      <c r="BQ3" s="130" t="s">
        <v>20</v>
      </c>
      <c r="BR3" s="131" t="s">
        <v>19</v>
      </c>
      <c r="BS3" s="131" t="s">
        <v>22</v>
      </c>
      <c r="BT3" s="131" t="s">
        <v>21</v>
      </c>
      <c r="BU3" s="132" t="s">
        <v>39</v>
      </c>
      <c r="BW3" s="130" t="s">
        <v>20</v>
      </c>
      <c r="BX3" s="131" t="s">
        <v>19</v>
      </c>
      <c r="BY3" s="131" t="s">
        <v>22</v>
      </c>
      <c r="BZ3" s="131" t="s">
        <v>21</v>
      </c>
      <c r="CA3" s="132" t="s">
        <v>39</v>
      </c>
      <c r="CC3" s="130" t="s">
        <v>20</v>
      </c>
      <c r="CD3" s="131" t="s">
        <v>19</v>
      </c>
      <c r="CE3" s="131" t="s">
        <v>22</v>
      </c>
      <c r="CF3" s="131" t="s">
        <v>21</v>
      </c>
      <c r="CG3" s="132" t="s">
        <v>39</v>
      </c>
      <c r="CI3" s="130" t="s">
        <v>20</v>
      </c>
      <c r="CJ3" s="131" t="s">
        <v>19</v>
      </c>
      <c r="CK3" s="131" t="s">
        <v>22</v>
      </c>
      <c r="CL3" s="131" t="s">
        <v>21</v>
      </c>
      <c r="CM3" s="132" t="s">
        <v>39</v>
      </c>
      <c r="CO3" s="130" t="s">
        <v>20</v>
      </c>
      <c r="CP3" s="131" t="s">
        <v>19</v>
      </c>
      <c r="CQ3" s="131" t="s">
        <v>22</v>
      </c>
      <c r="CR3" s="131" t="s">
        <v>21</v>
      </c>
      <c r="CS3" s="132" t="s">
        <v>39</v>
      </c>
      <c r="CU3" s="130" t="s">
        <v>20</v>
      </c>
      <c r="CV3" s="131" t="s">
        <v>19</v>
      </c>
      <c r="CW3" s="131" t="s">
        <v>22</v>
      </c>
      <c r="CX3" s="131" t="s">
        <v>21</v>
      </c>
      <c r="CY3" s="132" t="s">
        <v>39</v>
      </c>
      <c r="DA3" s="130" t="s">
        <v>20</v>
      </c>
      <c r="DB3" s="131" t="s">
        <v>19</v>
      </c>
      <c r="DC3" s="131" t="s">
        <v>22</v>
      </c>
      <c r="DD3" s="131" t="s">
        <v>21</v>
      </c>
      <c r="DE3" s="132" t="s">
        <v>39</v>
      </c>
      <c r="DG3" s="130" t="s">
        <v>20</v>
      </c>
      <c r="DH3" s="131" t="s">
        <v>19</v>
      </c>
      <c r="DI3" s="131" t="s">
        <v>22</v>
      </c>
      <c r="DJ3" s="131" t="s">
        <v>21</v>
      </c>
      <c r="DK3" s="132" t="s">
        <v>39</v>
      </c>
    </row>
    <row r="4" spans="2:115" s="241" customFormat="1" ht="13.5" thickBot="1" x14ac:dyDescent="0.25">
      <c r="C4" s="166"/>
      <c r="D4" s="166"/>
      <c r="E4" s="166"/>
      <c r="F4" s="166"/>
      <c r="G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>
        <v>-134</v>
      </c>
      <c r="V4" s="166">
        <v>-81</v>
      </c>
      <c r="W4" s="166">
        <v>-106</v>
      </c>
      <c r="X4" s="166">
        <v>-100</v>
      </c>
      <c r="Y4" s="166"/>
      <c r="AA4" s="166">
        <v>2260</v>
      </c>
      <c r="AB4" s="166">
        <v>2276</v>
      </c>
      <c r="AC4" s="166">
        <v>2256</v>
      </c>
      <c r="AD4" s="166">
        <v>2457</v>
      </c>
      <c r="AE4" s="166">
        <f>AA4+AB4+AC4+AD4</f>
        <v>9249</v>
      </c>
      <c r="AG4" s="166"/>
      <c r="AH4" s="166"/>
      <c r="AI4" s="166"/>
      <c r="AJ4" s="166"/>
      <c r="AK4" s="166"/>
      <c r="AM4" s="166"/>
      <c r="AN4" s="166"/>
      <c r="AO4" s="166"/>
      <c r="AP4" s="166"/>
      <c r="AQ4" s="166"/>
      <c r="AS4" s="166"/>
      <c r="AT4" s="166"/>
      <c r="AU4" s="166"/>
      <c r="AV4" s="166"/>
      <c r="AW4" s="166"/>
      <c r="AY4" s="166"/>
      <c r="AZ4" s="166"/>
      <c r="BA4" s="166"/>
      <c r="BB4" s="166"/>
      <c r="BC4" s="166"/>
      <c r="BE4" s="166"/>
      <c r="BF4" s="166"/>
      <c r="BG4" s="166"/>
      <c r="BH4" s="166"/>
      <c r="BI4" s="166"/>
      <c r="BK4" s="166"/>
      <c r="BL4" s="166"/>
      <c r="BM4" s="166"/>
      <c r="BN4" s="166"/>
      <c r="BO4" s="166"/>
      <c r="BQ4" s="166"/>
      <c r="BR4" s="166"/>
      <c r="BS4" s="166"/>
      <c r="BT4" s="166"/>
      <c r="BU4" s="166"/>
      <c r="BW4" s="166"/>
      <c r="BX4" s="166"/>
      <c r="BY4" s="166"/>
      <c r="BZ4" s="166"/>
      <c r="CA4" s="166"/>
      <c r="CC4" s="166"/>
      <c r="CD4" s="166"/>
      <c r="CE4" s="166"/>
      <c r="CF4" s="166"/>
      <c r="CG4" s="166"/>
      <c r="CI4" s="166"/>
      <c r="CJ4" s="166"/>
      <c r="CK4" s="166"/>
      <c r="CL4" s="166"/>
      <c r="CM4" s="166"/>
      <c r="CO4" s="166"/>
      <c r="CP4" s="166"/>
      <c r="CQ4" s="166"/>
      <c r="CR4" s="166"/>
      <c r="CS4" s="166"/>
      <c r="CU4" s="166"/>
      <c r="CV4" s="166"/>
      <c r="CW4" s="166"/>
      <c r="CX4" s="166"/>
      <c r="CY4" s="166"/>
      <c r="DA4" s="166"/>
      <c r="DB4" s="166"/>
      <c r="DC4" s="166"/>
      <c r="DD4" s="166"/>
      <c r="DE4" s="166"/>
      <c r="DG4" s="166"/>
      <c r="DH4" s="166"/>
      <c r="DI4" s="166"/>
      <c r="DJ4" s="166"/>
      <c r="DK4" s="166"/>
    </row>
    <row r="5" spans="2:115" s="241" customFormat="1" x14ac:dyDescent="0.2">
      <c r="B5" s="244" t="s">
        <v>106</v>
      </c>
      <c r="C5" s="126"/>
      <c r="D5" s="127"/>
      <c r="E5" s="127"/>
      <c r="F5" s="127"/>
      <c r="G5" s="167"/>
      <c r="H5" s="166"/>
      <c r="I5" s="198">
        <f>O5/(1+O6)</f>
        <v>2200.6269592476492</v>
      </c>
      <c r="J5" s="199">
        <f>P5/(1+P6)</f>
        <v>2251.0330578512398</v>
      </c>
      <c r="K5" s="199">
        <f>Q5/(1+Q6)</f>
        <v>2292.3408845738941</v>
      </c>
      <c r="L5" s="199">
        <f>R5/(1+R6)</f>
        <v>2598.4766050054404</v>
      </c>
      <c r="M5" s="201">
        <f>I5+J5+K5+L5</f>
        <v>9342.477506678224</v>
      </c>
      <c r="N5" s="166"/>
      <c r="O5" s="198">
        <f>O30+O54+O79+O104-120</f>
        <v>2106</v>
      </c>
      <c r="P5" s="199">
        <f>P30+P54+P79+P104-85</f>
        <v>2179</v>
      </c>
      <c r="Q5" s="199">
        <f>Q30+Q54+Q79+Q104-136</f>
        <v>2125</v>
      </c>
      <c r="R5" s="200">
        <f>R30+R54+R79+R104-157</f>
        <v>2388</v>
      </c>
      <c r="S5" s="201">
        <f>O5+P5+Q5+R5</f>
        <v>8798</v>
      </c>
      <c r="T5" s="204"/>
      <c r="U5" s="198">
        <f>U30+U54+U79+U104-134</f>
        <v>2131</v>
      </c>
      <c r="V5" s="199">
        <f>V30+V54+V79+V104-81</f>
        <v>2242</v>
      </c>
      <c r="W5" s="199">
        <f>W30+W54+W79+W104-106</f>
        <v>2205</v>
      </c>
      <c r="X5" s="199">
        <f>X30+X54+X79+X104-100</f>
        <v>2479</v>
      </c>
      <c r="Y5" s="201">
        <f>U5+V5+W5+X5</f>
        <v>9057</v>
      </c>
      <c r="Z5" s="313"/>
      <c r="AA5" s="198">
        <f>AA30+AA54+AA79+AA104-111+105</f>
        <v>2365</v>
      </c>
      <c r="AB5" s="199">
        <f>AB30+AB54+AB79+AB104-73+105</f>
        <v>2381</v>
      </c>
      <c r="AC5" s="199">
        <v>2513</v>
      </c>
      <c r="AD5" s="199">
        <v>2694</v>
      </c>
      <c r="AE5" s="201">
        <f>AA5+AB5+AC5+AD5</f>
        <v>9953</v>
      </c>
      <c r="AF5" s="313"/>
      <c r="AG5" s="198">
        <v>2456</v>
      </c>
      <c r="AH5" s="199">
        <v>2486</v>
      </c>
      <c r="AI5" s="199">
        <v>2245</v>
      </c>
      <c r="AJ5" s="199">
        <v>2829</v>
      </c>
      <c r="AK5" s="201">
        <f>AG5+AH5+AI5+AJ5</f>
        <v>10016</v>
      </c>
      <c r="AL5" s="313"/>
      <c r="AM5" s="198">
        <v>2226</v>
      </c>
      <c r="AN5" s="199">
        <v>2170</v>
      </c>
      <c r="AO5" s="199">
        <v>2174</v>
      </c>
      <c r="AP5" s="199">
        <v>2468</v>
      </c>
      <c r="AQ5" s="201">
        <f>AM5+AN5+AO5+AP5</f>
        <v>9038</v>
      </c>
      <c r="AR5" s="313"/>
      <c r="AS5" s="198">
        <v>2052</v>
      </c>
      <c r="AT5" s="199">
        <v>2187</v>
      </c>
      <c r="AU5" s="199">
        <v>2068</v>
      </c>
      <c r="AV5" s="199">
        <v>2294</v>
      </c>
      <c r="AW5" s="201">
        <f>AS5+AT5+AU5+AV5</f>
        <v>8601</v>
      </c>
      <c r="AX5" s="313"/>
      <c r="AY5" s="198">
        <v>1927</v>
      </c>
      <c r="AZ5" s="199">
        <v>2073</v>
      </c>
      <c r="BA5" s="199">
        <v>2031</v>
      </c>
      <c r="BB5" s="199">
        <v>2163</v>
      </c>
      <c r="BC5" s="201">
        <f>AY5+AZ5+BA5+BB5</f>
        <v>8194</v>
      </c>
      <c r="BD5" s="313"/>
      <c r="BE5" s="198">
        <v>1859</v>
      </c>
      <c r="BF5" s="199">
        <v>1719</v>
      </c>
      <c r="BG5" s="199">
        <v>1674</v>
      </c>
      <c r="BH5" s="199">
        <v>1741</v>
      </c>
      <c r="BI5" s="201">
        <f>BE5+BF5+BG5+BH5</f>
        <v>6993</v>
      </c>
      <c r="BJ5" s="313"/>
      <c r="BK5" s="198">
        <v>1704</v>
      </c>
      <c r="BL5" s="199">
        <v>1688</v>
      </c>
      <c r="BM5" s="199">
        <v>1707</v>
      </c>
      <c r="BN5" s="199">
        <v>1819</v>
      </c>
      <c r="BO5" s="201">
        <f>BK5+BL5+BM5+BN5</f>
        <v>6918</v>
      </c>
      <c r="BP5" s="313"/>
      <c r="BQ5" s="198">
        <f>BK5*(1+BQ6)</f>
        <v>1755.1200000000001</v>
      </c>
      <c r="BR5" s="199">
        <f>BL5*(1+BR6)</f>
        <v>1704.88</v>
      </c>
      <c r="BS5" s="199">
        <f>BM5*(1+BS6)</f>
        <v>1707</v>
      </c>
      <c r="BT5" s="199">
        <f>BN5*(1+BT6)</f>
        <v>1800.81</v>
      </c>
      <c r="BU5" s="201">
        <f>BQ5+BR5+BS5+BT5</f>
        <v>6967.8099999999995</v>
      </c>
      <c r="BV5" s="313"/>
      <c r="BW5" s="198">
        <f>BQ5*(1+BW6)</f>
        <v>1720.0176000000001</v>
      </c>
      <c r="BX5" s="199">
        <f>BR5*(1+BX6)</f>
        <v>1653.7336</v>
      </c>
      <c r="BY5" s="199">
        <f>BS5*(1+BY6)</f>
        <v>1672.86</v>
      </c>
      <c r="BZ5" s="199">
        <f>BT5*(1+BZ6)</f>
        <v>1782.8018999999999</v>
      </c>
      <c r="CA5" s="201">
        <f>BW5+BX5+BY5+BZ5</f>
        <v>6829.4130999999998</v>
      </c>
      <c r="CB5" s="313"/>
      <c r="CC5" s="198">
        <f>BW5*(1+CC6)</f>
        <v>1720.0176000000001</v>
      </c>
      <c r="CD5" s="199">
        <f>BX5*(1+CD6)</f>
        <v>1653.7336</v>
      </c>
      <c r="CE5" s="199">
        <f>BY5*(1+CE6)</f>
        <v>1672.86</v>
      </c>
      <c r="CF5" s="199">
        <f>BZ5*(1+CF6)</f>
        <v>1782.8018999999999</v>
      </c>
      <c r="CG5" s="201">
        <f>CC5+CD5+CE5+CF5</f>
        <v>6829.4130999999998</v>
      </c>
      <c r="CH5" s="313"/>
      <c r="CI5" s="198">
        <f>CC5*(1+CI6)</f>
        <v>1728.617688</v>
      </c>
      <c r="CJ5" s="199">
        <f>CD5*(1+CJ6)</f>
        <v>1662.002268</v>
      </c>
      <c r="CK5" s="199">
        <f>CE5*(1+CK6)</f>
        <v>1681.2242999999996</v>
      </c>
      <c r="CL5" s="199">
        <f>CF5*(1+CL6)</f>
        <v>1791.7159094999997</v>
      </c>
      <c r="CM5" s="201">
        <f>CI5+CJ5+CK5+CL5</f>
        <v>6863.5601654999991</v>
      </c>
      <c r="CN5" s="313"/>
      <c r="CO5" s="198">
        <f>CI5*(1+CO6)</f>
        <v>1737.26077644</v>
      </c>
      <c r="CP5" s="199">
        <f>CJ5*(1+CP6)</f>
        <v>1670.3122793399998</v>
      </c>
      <c r="CQ5" s="199">
        <f>CK5*(1+CQ6)</f>
        <v>1689.6304214999996</v>
      </c>
      <c r="CR5" s="199">
        <f>CL5*(1+CR6)</f>
        <v>1800.6744890474995</v>
      </c>
      <c r="CS5" s="201">
        <f>CO5+CP5+CQ5+CR5</f>
        <v>6897.8779663274991</v>
      </c>
      <c r="CT5" s="313"/>
      <c r="CU5" s="198">
        <f>CO5*(1+CU6)</f>
        <v>1745.9470803221998</v>
      </c>
      <c r="CV5" s="199">
        <f>CP5*(1+CV6)</f>
        <v>1678.6638407366995</v>
      </c>
      <c r="CW5" s="199">
        <f>CQ5*(1+CW6)</f>
        <v>1698.0785736074993</v>
      </c>
      <c r="CX5" s="199">
        <f>CR5*(1+CX6)</f>
        <v>1809.6778614927368</v>
      </c>
      <c r="CY5" s="201">
        <f>CU5+CV5+CW5+CX5</f>
        <v>6932.3673561591359</v>
      </c>
      <c r="CZ5" s="313"/>
      <c r="DA5" s="198">
        <f>CU5*(1+DA6)</f>
        <v>1754.6768157238107</v>
      </c>
      <c r="DB5" s="199">
        <f>CV5*(1+DB6)</f>
        <v>1687.0571599403829</v>
      </c>
      <c r="DC5" s="199">
        <f>CW5*(1+DC6)</f>
        <v>1706.5689664755366</v>
      </c>
      <c r="DD5" s="199">
        <f>CX5*(1+DD6)</f>
        <v>1818.7262508002004</v>
      </c>
      <c r="DE5" s="201">
        <f>DA5+DB5+DC5+DD5</f>
        <v>6967.0291929399309</v>
      </c>
      <c r="DF5" s="313"/>
      <c r="DG5" s="198">
        <f>DA5*(1+DG6)</f>
        <v>1763.4501998024296</v>
      </c>
      <c r="DH5" s="199">
        <f>DB5*(1+DH6)</f>
        <v>1695.4924457400846</v>
      </c>
      <c r="DI5" s="199">
        <f>DC5*(1+DI6)</f>
        <v>1715.1018113079142</v>
      </c>
      <c r="DJ5" s="199">
        <f>DD5*(1+DJ6)</f>
        <v>1827.8198820542013</v>
      </c>
      <c r="DK5" s="201">
        <f>DG5+DH5+DI5+DJ5</f>
        <v>7001.8643389046292</v>
      </c>
    </row>
    <row r="6" spans="2:115" s="241" customFormat="1" ht="13.5" thickBot="1" x14ac:dyDescent="0.25">
      <c r="B6" s="274" t="s">
        <v>83</v>
      </c>
      <c r="C6" s="130"/>
      <c r="D6" s="131"/>
      <c r="E6" s="131"/>
      <c r="F6" s="131"/>
      <c r="G6" s="275"/>
      <c r="H6" s="166"/>
      <c r="I6" s="130" t="s">
        <v>35</v>
      </c>
      <c r="J6" s="131" t="s">
        <v>35</v>
      </c>
      <c r="K6" s="131" t="s">
        <v>35</v>
      </c>
      <c r="L6" s="131" t="s">
        <v>35</v>
      </c>
      <c r="M6" s="275" t="s">
        <v>35</v>
      </c>
      <c r="N6" s="166"/>
      <c r="O6" s="290">
        <v>-4.2999999999999997E-2</v>
      </c>
      <c r="P6" s="292">
        <v>-3.2000000000000001E-2</v>
      </c>
      <c r="Q6" s="292">
        <v>-7.2999999999999995E-2</v>
      </c>
      <c r="R6" s="359">
        <v>-8.1000000000000003E-2</v>
      </c>
      <c r="S6" s="291">
        <f>S5/M5-1</f>
        <v>-5.8279777102917096E-2</v>
      </c>
      <c r="T6" s="166"/>
      <c r="U6" s="289">
        <f>U5/O5-1</f>
        <v>1.1870845204178471E-2</v>
      </c>
      <c r="V6" s="293">
        <f>V5/P5-1</f>
        <v>2.8912345112436899E-2</v>
      </c>
      <c r="W6" s="293">
        <f>W5/Q5-1</f>
        <v>3.7647058823529367E-2</v>
      </c>
      <c r="X6" s="293">
        <f>X5/R5-1</f>
        <v>3.8107202680067065E-2</v>
      </c>
      <c r="Y6" s="295">
        <f>Y5/S5-1</f>
        <v>2.9438508751989056E-2</v>
      </c>
      <c r="AA6" s="289">
        <f>AA5/U5-1</f>
        <v>0.10980760206475826</v>
      </c>
      <c r="AB6" s="293">
        <f>AB5/V5-1</f>
        <v>6.1998215878679819E-2</v>
      </c>
      <c r="AC6" s="293">
        <f>AC5/W5-1</f>
        <v>0.13968253968253963</v>
      </c>
      <c r="AD6" s="293">
        <f>AD5/X5-1</f>
        <v>8.6728519564340356E-2</v>
      </c>
      <c r="AE6" s="295">
        <f>AE5/Y5-1</f>
        <v>9.8929005189356323E-2</v>
      </c>
      <c r="AG6" s="289">
        <f>AG5/AA5-1</f>
        <v>3.8477801268498979E-2</v>
      </c>
      <c r="AH6" s="293">
        <f>AH5/AB5-1</f>
        <v>4.4099118017639549E-2</v>
      </c>
      <c r="AI6" s="293">
        <f>AI5/AC5-1</f>
        <v>-0.10664544369279749</v>
      </c>
      <c r="AJ6" s="293">
        <f>AJ5/AD5-1</f>
        <v>5.0111358574610243E-2</v>
      </c>
      <c r="AK6" s="295">
        <f>AK5/AE5-1</f>
        <v>6.3297498241736694E-3</v>
      </c>
      <c r="AM6" s="289">
        <f>AM5/AG5-1</f>
        <v>-9.3648208469055416E-2</v>
      </c>
      <c r="AN6" s="293">
        <f>AN5/AH5-1</f>
        <v>-0.12711182622687045</v>
      </c>
      <c r="AO6" s="293">
        <f>AO5/AI5-1</f>
        <v>-3.1625835189309615E-2</v>
      </c>
      <c r="AP6" s="293">
        <f>AP5/AJ5-1</f>
        <v>-0.12760692824319553</v>
      </c>
      <c r="AQ6" s="295">
        <f>AQ5/AK5-1</f>
        <v>-9.7643769968051131E-2</v>
      </c>
      <c r="AS6" s="289">
        <f>AS5/AM5-1</f>
        <v>-7.816711590296499E-2</v>
      </c>
      <c r="AT6" s="293">
        <f>AT5/AN5-1</f>
        <v>7.8341013824885231E-3</v>
      </c>
      <c r="AU6" s="293">
        <f>AU5/AO5-1</f>
        <v>-4.8758049678012894E-2</v>
      </c>
      <c r="AV6" s="293">
        <f>AV5/AP5-1</f>
        <v>-7.0502431118314446E-2</v>
      </c>
      <c r="AW6" s="295">
        <f>AW5/AQ5-1</f>
        <v>-4.8351405178136742E-2</v>
      </c>
      <c r="AY6" s="289">
        <f>AY5/AS5-1</f>
        <v>-6.0916179337231924E-2</v>
      </c>
      <c r="AZ6" s="293">
        <f>AZ5/AT5-1</f>
        <v>-5.2126200274348444E-2</v>
      </c>
      <c r="BA6" s="293">
        <f>BA5/AU5-1</f>
        <v>-1.7891682785299845E-2</v>
      </c>
      <c r="BB6" s="293">
        <f>BB5/AV5-1</f>
        <v>-5.7105492589363593E-2</v>
      </c>
      <c r="BC6" s="295">
        <f>BC5/AW5-1</f>
        <v>-4.7320079060574338E-2</v>
      </c>
      <c r="BE6" s="289">
        <v>6.1235080435910749E-2</v>
      </c>
      <c r="BF6" s="293">
        <v>-3.0873130728412912E-2</v>
      </c>
      <c r="BG6" s="293">
        <v>-7.6809453471196498E-2</v>
      </c>
      <c r="BH6" s="293">
        <v>-8.5529357374017567E-2</v>
      </c>
      <c r="BI6" s="295">
        <v>-3.5025628508664863E-2</v>
      </c>
      <c r="BK6" s="289">
        <f>BK5/BE5-1</f>
        <v>-8.3378160301237236E-2</v>
      </c>
      <c r="BL6" s="293">
        <f>BL5/BF5-1</f>
        <v>-1.8033740546829602E-2</v>
      </c>
      <c r="BM6" s="293">
        <f>BM5/BG5-1</f>
        <v>1.9713261648745428E-2</v>
      </c>
      <c r="BN6" s="293">
        <f>BN5/BH5-1</f>
        <v>4.4801838024123963E-2</v>
      </c>
      <c r="BO6" s="295">
        <f>BO5/BI5-1</f>
        <v>-1.0725010725010753E-2</v>
      </c>
      <c r="BQ6" s="289">
        <v>0.03</v>
      </c>
      <c r="BR6" s="293">
        <v>0.01</v>
      </c>
      <c r="BS6" s="293">
        <v>0</v>
      </c>
      <c r="BT6" s="293">
        <v>-0.01</v>
      </c>
      <c r="BU6" s="295">
        <f>BU5/BO5-1</f>
        <v>7.2000578201791843E-3</v>
      </c>
      <c r="BW6" s="289">
        <v>-0.02</v>
      </c>
      <c r="BX6" s="293">
        <v>-0.03</v>
      </c>
      <c r="BY6" s="293">
        <v>-0.02</v>
      </c>
      <c r="BZ6" s="293">
        <v>-0.01</v>
      </c>
      <c r="CA6" s="295">
        <f>CA5/BU5-1</f>
        <v>-1.9862324030075373E-2</v>
      </c>
      <c r="CC6" s="289">
        <v>0</v>
      </c>
      <c r="CD6" s="293">
        <v>0</v>
      </c>
      <c r="CE6" s="293">
        <v>0</v>
      </c>
      <c r="CF6" s="293">
        <v>0</v>
      </c>
      <c r="CG6" s="295">
        <f>CG5/CA5-1</f>
        <v>0</v>
      </c>
      <c r="CI6" s="289">
        <v>5.0000000000000001E-3</v>
      </c>
      <c r="CJ6" s="293">
        <v>5.0000000000000001E-3</v>
      </c>
      <c r="CK6" s="293">
        <v>5.0000000000000001E-3</v>
      </c>
      <c r="CL6" s="293">
        <v>5.0000000000000001E-3</v>
      </c>
      <c r="CM6" s="295">
        <f>CM5/CG5-1</f>
        <v>4.9999999999998934E-3</v>
      </c>
      <c r="CO6" s="289">
        <v>5.0000000000000001E-3</v>
      </c>
      <c r="CP6" s="293">
        <v>5.0000000000000001E-3</v>
      </c>
      <c r="CQ6" s="293">
        <v>5.0000000000000001E-3</v>
      </c>
      <c r="CR6" s="293">
        <v>5.0000000000000001E-3</v>
      </c>
      <c r="CS6" s="295">
        <f>CS5/CM5-1</f>
        <v>4.9999999999998934E-3</v>
      </c>
      <c r="CU6" s="289">
        <v>5.0000000000000001E-3</v>
      </c>
      <c r="CV6" s="293">
        <v>5.0000000000000001E-3</v>
      </c>
      <c r="CW6" s="293">
        <v>5.0000000000000001E-3</v>
      </c>
      <c r="CX6" s="293">
        <v>5.0000000000000001E-3</v>
      </c>
      <c r="CY6" s="295">
        <f>CY5/CS5-1</f>
        <v>4.9999999999998934E-3</v>
      </c>
      <c r="DA6" s="289">
        <v>5.0000000000000001E-3</v>
      </c>
      <c r="DB6" s="293">
        <v>5.0000000000000001E-3</v>
      </c>
      <c r="DC6" s="293">
        <v>5.0000000000000001E-3</v>
      </c>
      <c r="DD6" s="293">
        <v>5.0000000000000001E-3</v>
      </c>
      <c r="DE6" s="295">
        <f>DE5/CY5-1</f>
        <v>4.9999999999998934E-3</v>
      </c>
      <c r="DG6" s="289">
        <v>5.0000000000000001E-3</v>
      </c>
      <c r="DH6" s="293">
        <v>5.0000000000000001E-3</v>
      </c>
      <c r="DI6" s="293">
        <v>5.0000000000000001E-3</v>
      </c>
      <c r="DJ6" s="293">
        <v>5.0000000000000001E-3</v>
      </c>
      <c r="DK6" s="295">
        <f>DK5/DE5-1</f>
        <v>4.9999999999998934E-3</v>
      </c>
    </row>
    <row r="7" spans="2:115" s="241" customFormat="1" ht="13.5" thickBot="1" x14ac:dyDescent="0.25">
      <c r="C7" s="166"/>
      <c r="D7" s="166"/>
      <c r="E7" s="166"/>
      <c r="F7" s="166"/>
      <c r="G7" s="166"/>
      <c r="H7" s="16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>
        <v>3</v>
      </c>
      <c r="V7" s="166">
        <v>29</v>
      </c>
      <c r="W7" s="166">
        <v>32</v>
      </c>
      <c r="X7" s="166">
        <v>48</v>
      </c>
      <c r="Y7" s="166"/>
      <c r="AA7" s="166">
        <v>189</v>
      </c>
      <c r="AB7" s="166">
        <v>197</v>
      </c>
      <c r="AC7" s="166">
        <v>204</v>
      </c>
      <c r="AD7" s="166">
        <v>282</v>
      </c>
      <c r="AE7" s="166">
        <f>AA7+AB7+AC7+AD7</f>
        <v>872</v>
      </c>
      <c r="AG7" s="166"/>
      <c r="AH7" s="166"/>
      <c r="AI7" s="166"/>
      <c r="AJ7" s="166"/>
      <c r="AK7" s="166"/>
      <c r="AM7" s="166"/>
      <c r="AN7" s="166"/>
      <c r="AO7" s="166"/>
      <c r="AP7" s="166"/>
      <c r="AQ7" s="166"/>
      <c r="AS7" s="166"/>
      <c r="AT7" s="166"/>
      <c r="AU7" s="166"/>
      <c r="AV7" s="166"/>
      <c r="AW7" s="166"/>
      <c r="AY7" s="166"/>
      <c r="AZ7" s="166"/>
      <c r="BA7" s="166"/>
      <c r="BB7" s="166"/>
      <c r="BC7" s="166"/>
      <c r="BE7" s="166">
        <f>(AY8+AZ8+BA8+BB8+BE8+BF8+BG8)/7</f>
        <v>169.42857142857142</v>
      </c>
      <c r="BF7" s="166"/>
      <c r="BG7" s="166"/>
      <c r="BH7" s="166"/>
      <c r="BI7" s="166"/>
      <c r="BK7" s="166"/>
      <c r="BL7" s="166"/>
      <c r="BM7" s="166"/>
      <c r="BN7" s="166"/>
      <c r="BO7" s="166"/>
      <c r="BQ7" s="166"/>
      <c r="BR7" s="166"/>
      <c r="BS7" s="166"/>
      <c r="BT7" s="166"/>
      <c r="BU7" s="166"/>
      <c r="BW7" s="166"/>
      <c r="BX7" s="166"/>
      <c r="BY7" s="166"/>
      <c r="BZ7" s="166"/>
      <c r="CA7" s="166"/>
      <c r="CC7" s="166"/>
      <c r="CD7" s="166"/>
      <c r="CE7" s="166"/>
      <c r="CF7" s="166"/>
      <c r="CG7" s="166"/>
      <c r="CI7" s="166"/>
      <c r="CJ7" s="166"/>
      <c r="CK7" s="166"/>
      <c r="CL7" s="166"/>
      <c r="CM7" s="166"/>
      <c r="CO7" s="166"/>
      <c r="CP7" s="166"/>
      <c r="CQ7" s="166"/>
      <c r="CR7" s="166"/>
      <c r="CS7" s="166"/>
      <c r="CU7" s="166"/>
      <c r="CV7" s="166"/>
      <c r="CW7" s="166"/>
      <c r="CX7" s="166"/>
      <c r="CY7" s="166"/>
      <c r="DA7" s="166"/>
      <c r="DB7" s="166"/>
      <c r="DC7" s="166"/>
      <c r="DD7" s="166"/>
      <c r="DE7" s="166"/>
      <c r="DG7" s="166"/>
      <c r="DH7" s="166"/>
      <c r="DI7" s="166"/>
      <c r="DJ7" s="166"/>
      <c r="DK7" s="166"/>
    </row>
    <row r="8" spans="2:115" s="241" customFormat="1" ht="15" x14ac:dyDescent="0.3">
      <c r="B8" s="42" t="s">
        <v>61</v>
      </c>
      <c r="C8" s="126"/>
      <c r="D8" s="127"/>
      <c r="E8" s="127"/>
      <c r="F8" s="127"/>
      <c r="G8" s="167"/>
      <c r="H8" s="166"/>
      <c r="I8" s="251">
        <f>O8/(1+O9)</f>
        <v>204.06189555125724</v>
      </c>
      <c r="J8" s="252">
        <f>P8/(1+P9)</f>
        <v>187.95768917819365</v>
      </c>
      <c r="K8" s="252">
        <f>Q8/(1+Q9)</f>
        <v>202.98769771529001</v>
      </c>
      <c r="L8" s="252">
        <f>R8/(1+R9)</f>
        <v>231.05360443622919</v>
      </c>
      <c r="M8" s="253">
        <f>I8+J8+K8+L8</f>
        <v>826.06088688097009</v>
      </c>
      <c r="N8" s="166"/>
      <c r="O8" s="198">
        <f>O33+O57+O82+O107+11</f>
        <v>211</v>
      </c>
      <c r="P8" s="199">
        <f>P33+P57+P82+P107+6</f>
        <v>231</v>
      </c>
      <c r="Q8" s="199">
        <f>Q33+Q57+Q82+Q107+18</f>
        <v>231</v>
      </c>
      <c r="R8" s="199">
        <f>R33+R57+R82+R107+14</f>
        <v>250</v>
      </c>
      <c r="S8" s="201">
        <f>O8+P8+Q8+R8</f>
        <v>923</v>
      </c>
      <c r="T8" s="204"/>
      <c r="U8" s="198">
        <f>U33+U57+U82+U107+3</f>
        <v>196</v>
      </c>
      <c r="V8" s="199">
        <f>V33+V57+V82+V107+29</f>
        <v>231</v>
      </c>
      <c r="W8" s="199">
        <f>W33+W57+W82+W107+32</f>
        <v>222</v>
      </c>
      <c r="X8" s="199">
        <f>X33+X57+X82+X107+48</f>
        <v>299</v>
      </c>
      <c r="Y8" s="201">
        <f>U8+V8+W8+X8</f>
        <v>948</v>
      </c>
      <c r="Z8" s="313"/>
      <c r="AA8" s="198">
        <f>AA33+AA57+AA82+AA107-45</f>
        <v>144</v>
      </c>
      <c r="AB8" s="199">
        <f>AB33+AB57+AB82+AB107+1-44</f>
        <v>153</v>
      </c>
      <c r="AC8" s="199">
        <v>155</v>
      </c>
      <c r="AD8" s="199">
        <v>220</v>
      </c>
      <c r="AE8" s="201">
        <f>AA8+AB8+AC8+AD8</f>
        <v>672</v>
      </c>
      <c r="AF8" s="313"/>
      <c r="AG8" s="198">
        <v>142</v>
      </c>
      <c r="AH8" s="199">
        <v>179</v>
      </c>
      <c r="AI8" s="199">
        <v>186</v>
      </c>
      <c r="AJ8" s="200">
        <v>240</v>
      </c>
      <c r="AK8" s="201">
        <f>AG8+AH8+AI8+AJ8</f>
        <v>747</v>
      </c>
      <c r="AL8" s="313"/>
      <c r="AM8" s="198">
        <v>168</v>
      </c>
      <c r="AN8" s="199">
        <v>210</v>
      </c>
      <c r="AO8" s="199">
        <v>197</v>
      </c>
      <c r="AP8" s="199">
        <v>199</v>
      </c>
      <c r="AQ8" s="201">
        <f>AM8+AN8+AO8+AP8</f>
        <v>774</v>
      </c>
      <c r="AR8" s="313"/>
      <c r="AS8" s="198">
        <v>138</v>
      </c>
      <c r="AT8" s="199">
        <v>288</v>
      </c>
      <c r="AU8" s="199">
        <v>197</v>
      </c>
      <c r="AV8" s="199">
        <v>212</v>
      </c>
      <c r="AW8" s="201">
        <f>AS8+AT8+AU8+AV8</f>
        <v>835</v>
      </c>
      <c r="AX8" s="313"/>
      <c r="AY8" s="198">
        <v>145</v>
      </c>
      <c r="AZ8" s="199">
        <v>203</v>
      </c>
      <c r="BA8" s="199">
        <v>176</v>
      </c>
      <c r="BB8" s="199">
        <v>216</v>
      </c>
      <c r="BC8" s="201">
        <f>AY8+AZ8+BA8+BB8</f>
        <v>740</v>
      </c>
      <c r="BD8" s="313">
        <f>BC8/4</f>
        <v>185</v>
      </c>
      <c r="BE8" s="198">
        <v>196</v>
      </c>
      <c r="BF8" s="199">
        <v>111</v>
      </c>
      <c r="BG8" s="199">
        <v>139</v>
      </c>
      <c r="BH8" s="199">
        <v>84</v>
      </c>
      <c r="BI8" s="201">
        <f>BE8+BF8+BG8+BH8</f>
        <v>530</v>
      </c>
      <c r="BJ8" s="313"/>
      <c r="BK8" s="198">
        <v>96</v>
      </c>
      <c r="BL8" s="199">
        <v>136</v>
      </c>
      <c r="BM8" s="199">
        <v>131</v>
      </c>
      <c r="BN8" s="199">
        <v>147</v>
      </c>
      <c r="BO8" s="201">
        <f>BK8+BL8+BM8+BN8</f>
        <v>510</v>
      </c>
      <c r="BP8" s="313"/>
      <c r="BQ8" s="198">
        <f>BQ5*BQ11</f>
        <v>94.492200000000011</v>
      </c>
      <c r="BR8" s="199">
        <f>BR5*BR11</f>
        <v>128.8356</v>
      </c>
      <c r="BS8" s="199">
        <f>BS5*BS11</f>
        <v>118.19749999999999</v>
      </c>
      <c r="BT8" s="199">
        <f>BT5*BT11</f>
        <v>91.50569999999999</v>
      </c>
      <c r="BU8" s="201">
        <f>BQ8+BR8+BS8+BT8</f>
        <v>433.03100000000001</v>
      </c>
      <c r="BV8" s="313"/>
      <c r="BW8" s="198">
        <f>BW5*BW11</f>
        <v>96.902400000000014</v>
      </c>
      <c r="BX8" s="199">
        <f>BX5*BX11</f>
        <v>129.10486599999999</v>
      </c>
      <c r="BY8" s="199">
        <f>BY5*BY11</f>
        <v>120.01569999999998</v>
      </c>
      <c r="BZ8" s="199">
        <f>BZ5*BZ11</f>
        <v>95.047647749999996</v>
      </c>
      <c r="CA8" s="201">
        <f>BW8+BX8+BY8+BZ8</f>
        <v>441.07061375000001</v>
      </c>
      <c r="CB8" s="313"/>
      <c r="CC8" s="198">
        <f>CC5*CC11</f>
        <v>98.622417600000006</v>
      </c>
      <c r="CD8" s="199">
        <f>CD5*CD11</f>
        <v>130.7585996</v>
      </c>
      <c r="CE8" s="199">
        <f>CE5*CE11</f>
        <v>121.68856</v>
      </c>
      <c r="CF8" s="199">
        <f>CF5*CF11</f>
        <v>96.830449650000006</v>
      </c>
      <c r="CG8" s="201">
        <f>CC8+CD8+CE8+CF8</f>
        <v>447.90002685000002</v>
      </c>
      <c r="CH8" s="313"/>
      <c r="CI8" s="198">
        <f>CI5*CI11</f>
        <v>100.84414737600001</v>
      </c>
      <c r="CJ8" s="199">
        <f>CJ5*CJ11</f>
        <v>133.07439486600001</v>
      </c>
      <c r="CK8" s="199">
        <f>CK5*CK11</f>
        <v>123.97822709999997</v>
      </c>
      <c r="CL8" s="199">
        <f>CL5*CL11</f>
        <v>99.106317807749988</v>
      </c>
      <c r="CM8" s="201">
        <f>CI8+CJ8+CK8+CL8</f>
        <v>457.00308714974994</v>
      </c>
      <c r="CN8" s="313"/>
      <c r="CO8" s="198">
        <f>CO5*CO11</f>
        <v>103.08562888932001</v>
      </c>
      <c r="CP8" s="199">
        <f>CP5*CP11</f>
        <v>135.41007911966997</v>
      </c>
      <c r="CQ8" s="199">
        <f>CQ5*CQ11</f>
        <v>126.28774865699997</v>
      </c>
      <c r="CR8" s="199">
        <f>CR5*CR11</f>
        <v>101.40252388583623</v>
      </c>
      <c r="CS8" s="201">
        <f>CO8+CP8+CQ8+CR8</f>
        <v>466.18598055182616</v>
      </c>
      <c r="CT8" s="313"/>
      <c r="CU8" s="198">
        <f>CU5*CU11</f>
        <v>105.34700411408879</v>
      </c>
      <c r="CV8" s="199">
        <f>CV5*CV11</f>
        <v>137.76579335600502</v>
      </c>
      <c r="CW8" s="199">
        <f>CW5*CW11</f>
        <v>128.61726597389244</v>
      </c>
      <c r="CX8" s="199">
        <f>CX5*CX11</f>
        <v>103.71921436675814</v>
      </c>
      <c r="CY8" s="201">
        <f>CU8+CV8+CW8+CX8</f>
        <v>475.44927781074443</v>
      </c>
      <c r="CZ8" s="313"/>
      <c r="DA8" s="198">
        <f>DA5*DA11</f>
        <v>105.87373913465923</v>
      </c>
      <c r="DB8" s="199">
        <f>DB5*DB11</f>
        <v>138.45462232278504</v>
      </c>
      <c r="DC8" s="199">
        <f>DC5*DC11</f>
        <v>129.26035230376189</v>
      </c>
      <c r="DD8" s="199">
        <f>DD5*DD11</f>
        <v>104.23781043859192</v>
      </c>
      <c r="DE8" s="201">
        <f>DA8+DB8+DC8+DD8</f>
        <v>477.82652419979803</v>
      </c>
      <c r="DF8" s="313"/>
      <c r="DG8" s="198">
        <f>DG5*DG11</f>
        <v>106.40310783033252</v>
      </c>
      <c r="DH8" s="199">
        <f>DH5*DH11</f>
        <v>139.14689543439894</v>
      </c>
      <c r="DI8" s="199">
        <f>DI5*DI11</f>
        <v>129.90665406528069</v>
      </c>
      <c r="DJ8" s="199">
        <f>DJ5*DJ11</f>
        <v>104.75899949078487</v>
      </c>
      <c r="DK8" s="201">
        <f>DG8+DH8+DI8+DJ8</f>
        <v>480.21565682079699</v>
      </c>
    </row>
    <row r="9" spans="2:115" s="241" customFormat="1" ht="15.75" thickBot="1" x14ac:dyDescent="0.35">
      <c r="B9" s="41" t="s">
        <v>23</v>
      </c>
      <c r="C9" s="130"/>
      <c r="D9" s="131"/>
      <c r="E9" s="131"/>
      <c r="F9" s="131"/>
      <c r="G9" s="275"/>
      <c r="H9" s="166"/>
      <c r="I9" s="130" t="s">
        <v>35</v>
      </c>
      <c r="J9" s="131" t="s">
        <v>35</v>
      </c>
      <c r="K9" s="131" t="s">
        <v>35</v>
      </c>
      <c r="L9" s="131" t="s">
        <v>35</v>
      </c>
      <c r="M9" s="275" t="s">
        <v>35</v>
      </c>
      <c r="N9" s="166"/>
      <c r="O9" s="290">
        <v>3.4000000000000002E-2</v>
      </c>
      <c r="P9" s="292">
        <v>0.22900000000000001</v>
      </c>
      <c r="Q9" s="292">
        <v>0.13800000000000001</v>
      </c>
      <c r="R9" s="292">
        <v>8.2000000000000003E-2</v>
      </c>
      <c r="S9" s="275"/>
      <c r="T9" s="166"/>
      <c r="U9" s="289">
        <f>U8/O8-1</f>
        <v>-7.1090047393364886E-2</v>
      </c>
      <c r="V9" s="293">
        <f>V8/P8-1</f>
        <v>0</v>
      </c>
      <c r="W9" s="293">
        <f>W8/Q8-1</f>
        <v>-3.8961038961038974E-2</v>
      </c>
      <c r="X9" s="293">
        <f>X8/R8-1</f>
        <v>0.19599999999999995</v>
      </c>
      <c r="Y9" s="295">
        <f>Y8/S8-1</f>
        <v>2.7085590465872222E-2</v>
      </c>
      <c r="AA9" s="289">
        <f>AA8/U8-1</f>
        <v>-0.26530612244897955</v>
      </c>
      <c r="AB9" s="293">
        <f>AB8/V8-1</f>
        <v>-0.33766233766233766</v>
      </c>
      <c r="AC9" s="293">
        <f>AC8/W8-1</f>
        <v>-0.30180180180180183</v>
      </c>
      <c r="AD9" s="294">
        <f>AD8/X8-1</f>
        <v>-0.26421404682274252</v>
      </c>
      <c r="AE9" s="295">
        <f>AE8/Y8-1</f>
        <v>-0.29113924050632911</v>
      </c>
      <c r="AG9" s="289">
        <f>AG8/AA8-1</f>
        <v>-1.388888888888884E-2</v>
      </c>
      <c r="AH9" s="293">
        <f>AH8/AB8-1</f>
        <v>0.16993464052287588</v>
      </c>
      <c r="AI9" s="293">
        <f>AI8/AC8-1</f>
        <v>0.19999999999999996</v>
      </c>
      <c r="AJ9" s="293">
        <f>AJ8/AD8-1</f>
        <v>9.0909090909090828E-2</v>
      </c>
      <c r="AK9" s="295">
        <f>AK8/AE8-1</f>
        <v>0.11160714285714279</v>
      </c>
      <c r="AM9" s="289">
        <f>AM8/AG8-1</f>
        <v>0.18309859154929575</v>
      </c>
      <c r="AN9" s="293">
        <f>AN8/AH8-1</f>
        <v>0.17318435754189943</v>
      </c>
      <c r="AO9" s="293">
        <f>AO8/AI8-1</f>
        <v>5.9139784946236507E-2</v>
      </c>
      <c r="AP9" s="294">
        <f>AP8/AJ8-1</f>
        <v>-0.17083333333333328</v>
      </c>
      <c r="AQ9" s="295">
        <f>AQ8/AK8-1</f>
        <v>3.6144578313253017E-2</v>
      </c>
      <c r="AS9" s="289">
        <f>AS8/AM8-1</f>
        <v>-0.1785714285714286</v>
      </c>
      <c r="AT9" s="293">
        <f>AT8/AN8-1</f>
        <v>0.37142857142857144</v>
      </c>
      <c r="AU9" s="293">
        <f>AU8/AO8-1</f>
        <v>0</v>
      </c>
      <c r="AV9" s="294">
        <f>AV8/AP8-1</f>
        <v>6.5326633165829096E-2</v>
      </c>
      <c r="AW9" s="295">
        <f>AW8/AQ8-1</f>
        <v>7.8811369509043994E-2</v>
      </c>
      <c r="AY9" s="289">
        <f>AY8/AS8-1</f>
        <v>5.0724637681159424E-2</v>
      </c>
      <c r="AZ9" s="293">
        <f>AZ8/AT8-1</f>
        <v>-0.29513888888888884</v>
      </c>
      <c r="BA9" s="293">
        <f>BA8/AU8-1</f>
        <v>-0.10659898477157359</v>
      </c>
      <c r="BB9" s="293">
        <f>BB8/AV8-1</f>
        <v>1.8867924528301883E-2</v>
      </c>
      <c r="BC9" s="295">
        <f>BC8/AW8-1</f>
        <v>-0.11377245508982037</v>
      </c>
      <c r="BE9" s="289">
        <v>0.42068965517241375</v>
      </c>
      <c r="BF9" s="293">
        <v>-0.13793103448275867</v>
      </c>
      <c r="BG9" s="293">
        <v>-0.19886363636363635</v>
      </c>
      <c r="BH9" s="294">
        <v>-0.72222222222222221</v>
      </c>
      <c r="BI9" s="295">
        <v>-0.21351351351351355</v>
      </c>
      <c r="BK9" s="289">
        <f>BK8/BE8-1</f>
        <v>-0.51020408163265307</v>
      </c>
      <c r="BL9" s="293">
        <f>BL8/BF8-1</f>
        <v>0.22522522522522515</v>
      </c>
      <c r="BM9" s="293">
        <f>BM8/BG8-1</f>
        <v>-5.7553956834532349E-2</v>
      </c>
      <c r="BN9" s="293">
        <f>BN8/BH8-1</f>
        <v>0.75</v>
      </c>
      <c r="BO9" s="295">
        <f>BO8/BI8-1</f>
        <v>-3.7735849056603765E-2</v>
      </c>
      <c r="BQ9" s="289">
        <f>BQ8/BK8-1</f>
        <v>-1.5706249999999922E-2</v>
      </c>
      <c r="BR9" s="293">
        <f>BR8/BL8-1</f>
        <v>-5.2679411764705919E-2</v>
      </c>
      <c r="BS9" s="293">
        <f>BS8/BM8-1</f>
        <v>-9.7729007633587828E-2</v>
      </c>
      <c r="BT9" s="294">
        <f>BT8/BN8-1</f>
        <v>-0.3775122448979592</v>
      </c>
      <c r="BU9" s="295">
        <f>BU8/BO8-1</f>
        <v>-0.15091960784313729</v>
      </c>
      <c r="BW9" s="289">
        <f>BW8/BQ8-1</f>
        <v>2.5506867233485941E-2</v>
      </c>
      <c r="BX9" s="293">
        <f>BX8/BR8-1</f>
        <v>2.0899968642207334E-3</v>
      </c>
      <c r="BY9" s="293">
        <f>BY8/BS8-1</f>
        <v>1.5382728061084094E-2</v>
      </c>
      <c r="BZ9" s="294">
        <f>BZ8/BT8-1</f>
        <v>3.8707400194742059E-2</v>
      </c>
      <c r="CA9" s="295">
        <f>CA8/BU8-1</f>
        <v>1.8565908098958195E-2</v>
      </c>
      <c r="CC9" s="289">
        <f>CC8/BW8-1</f>
        <v>1.7749999999999932E-2</v>
      </c>
      <c r="CD9" s="293">
        <f>CD8/BX8-1</f>
        <v>1.2809227500379494E-2</v>
      </c>
      <c r="CE9" s="293">
        <f>CE8/BY8-1</f>
        <v>1.3938676356510138E-2</v>
      </c>
      <c r="CF9" s="294">
        <f>CF8/BZ8-1</f>
        <v>1.8756928153437658E-2</v>
      </c>
      <c r="CG9" s="295">
        <f>CG8/CA8-1</f>
        <v>1.5483718223565202E-2</v>
      </c>
      <c r="CI9" s="289">
        <f>CI8/CC8-1</f>
        <v>2.2527634487840897E-2</v>
      </c>
      <c r="CJ9" s="293">
        <f>CJ8/CD8-1</f>
        <v>1.771046243294272E-2</v>
      </c>
      <c r="CK9" s="293">
        <f>CK8/CE8-1</f>
        <v>1.8815795831588211E-2</v>
      </c>
      <c r="CL9" s="294">
        <f>CL8/CF8-1</f>
        <v>2.3503641323326052E-2</v>
      </c>
      <c r="CM9" s="295">
        <f>CM8/CG8-1</f>
        <v>2.0323866385474787E-2</v>
      </c>
      <c r="CO9" s="289">
        <f>CO8/CI8-1</f>
        <v>2.2227184934814126E-2</v>
      </c>
      <c r="CP9" s="293">
        <f>CP8/CJ8-1</f>
        <v>1.7551718014738205E-2</v>
      </c>
      <c r="CQ9" s="293">
        <f>CQ8/CK8-1</f>
        <v>1.8628444776332742E-2</v>
      </c>
      <c r="CR9" s="294">
        <f>CR8/CL8-1</f>
        <v>2.3169119072111055E-2</v>
      </c>
      <c r="CS9" s="295">
        <f>CS8/CM8-1</f>
        <v>2.0093722909725553E-2</v>
      </c>
      <c r="CU9" s="289">
        <f>CU8/CO8-1</f>
        <v>2.193686209351986E-2</v>
      </c>
      <c r="CV9" s="293">
        <f>CV8/CP8-1</f>
        <v>1.7396889889216949E-2</v>
      </c>
      <c r="CW9" s="293">
        <f>CW8/CQ8-1</f>
        <v>1.8446106939632667E-2</v>
      </c>
      <c r="CX9" s="294">
        <f>CX8/CR8-1</f>
        <v>2.2846477505137353E-2</v>
      </c>
      <c r="CY9" s="295">
        <f>CY8/CS8-1</f>
        <v>1.9870390027502127E-2</v>
      </c>
      <c r="DA9" s="289">
        <f>DA8/CU8-1</f>
        <v>4.9999999999998934E-3</v>
      </c>
      <c r="DB9" s="293">
        <f>DB8/CV8-1</f>
        <v>4.9999999999998934E-3</v>
      </c>
      <c r="DC9" s="293">
        <f>DC8/CW8-1</f>
        <v>4.9999999999998934E-3</v>
      </c>
      <c r="DD9" s="294">
        <f>DD8/CX8-1</f>
        <v>4.9999999999998934E-3</v>
      </c>
      <c r="DE9" s="295">
        <f>DE8/CY8-1</f>
        <v>4.9999999999996714E-3</v>
      </c>
      <c r="DG9" s="289">
        <f>DG8/DA8-1</f>
        <v>4.9999999999998934E-3</v>
      </c>
      <c r="DH9" s="293">
        <f>DH8/DB8-1</f>
        <v>4.9999999999998934E-3</v>
      </c>
      <c r="DI9" s="293">
        <f>DI8/DC8-1</f>
        <v>4.9999999999998934E-3</v>
      </c>
      <c r="DJ9" s="294">
        <f>DJ8/DD8-1</f>
        <v>4.9999999999998934E-3</v>
      </c>
      <c r="DK9" s="295">
        <f>DK8/DE8-1</f>
        <v>4.9999999999998934E-3</v>
      </c>
    </row>
    <row r="10" spans="2:115" s="241" customFormat="1" ht="15.75" thickBot="1" x14ac:dyDescent="0.35">
      <c r="B10" s="1"/>
      <c r="C10" s="166"/>
      <c r="D10" s="166"/>
      <c r="E10" s="166"/>
      <c r="F10" s="166"/>
      <c r="G10" s="166"/>
      <c r="H10" s="166"/>
      <c r="I10" s="166"/>
      <c r="J10" s="166"/>
      <c r="K10" s="166"/>
      <c r="L10" s="166"/>
      <c r="M10" s="166"/>
      <c r="N10" s="166"/>
      <c r="O10" s="166"/>
      <c r="P10" s="166"/>
      <c r="Q10" s="166"/>
      <c r="R10" s="166"/>
      <c r="S10" s="166"/>
      <c r="T10" s="166"/>
      <c r="U10" s="166"/>
      <c r="V10" s="166"/>
      <c r="W10" s="166"/>
      <c r="X10" s="166"/>
      <c r="Y10" s="166"/>
      <c r="AA10" s="166"/>
      <c r="AB10" s="166"/>
      <c r="AC10" s="166"/>
      <c r="AD10" s="166"/>
      <c r="AE10" s="166"/>
      <c r="AG10" s="166"/>
      <c r="AH10" s="166"/>
      <c r="AI10" s="166"/>
      <c r="AJ10" s="166"/>
      <c r="AK10" s="166"/>
      <c r="AM10" s="166"/>
      <c r="AN10" s="166"/>
      <c r="AO10" s="166"/>
      <c r="AP10" s="166"/>
      <c r="AQ10" s="166"/>
      <c r="AS10" s="166"/>
      <c r="AT10" s="166"/>
      <c r="AU10" s="166"/>
      <c r="AV10" s="166"/>
      <c r="AW10" s="166"/>
      <c r="AY10" s="166"/>
      <c r="AZ10" s="166"/>
      <c r="BA10" s="166"/>
      <c r="BB10" s="166"/>
      <c r="BC10" s="166"/>
      <c r="BE10" s="166"/>
      <c r="BF10" s="166"/>
      <c r="BG10" s="166"/>
      <c r="BH10" s="166"/>
      <c r="BI10" s="166"/>
      <c r="BK10" s="166"/>
      <c r="BL10" s="166"/>
      <c r="BM10" s="166"/>
      <c r="BN10" s="166"/>
      <c r="BO10" s="166"/>
      <c r="BQ10" s="166"/>
      <c r="BR10" s="166"/>
      <c r="BS10" s="166"/>
      <c r="BT10" s="166"/>
      <c r="BU10" s="166"/>
      <c r="BW10" s="166"/>
      <c r="BX10" s="166"/>
      <c r="BY10" s="166"/>
      <c r="BZ10" s="166"/>
      <c r="CA10" s="166"/>
      <c r="CC10" s="166"/>
      <c r="CD10" s="166"/>
      <c r="CE10" s="166"/>
      <c r="CF10" s="166"/>
      <c r="CG10" s="166"/>
      <c r="CI10" s="166"/>
      <c r="CJ10" s="166"/>
      <c r="CK10" s="166"/>
      <c r="CL10" s="166"/>
      <c r="CM10" s="166"/>
      <c r="CO10" s="166"/>
      <c r="CP10" s="166"/>
      <c r="CQ10" s="166"/>
      <c r="CR10" s="166"/>
      <c r="CS10" s="166"/>
      <c r="CU10" s="166"/>
      <c r="CV10" s="166"/>
      <c r="CW10" s="166"/>
      <c r="CX10" s="166"/>
      <c r="CY10" s="166"/>
      <c r="DA10" s="166"/>
      <c r="DB10" s="166"/>
      <c r="DC10" s="166"/>
      <c r="DD10" s="166"/>
      <c r="DE10" s="166"/>
      <c r="DG10" s="166"/>
      <c r="DH10" s="166"/>
      <c r="DI10" s="166"/>
      <c r="DJ10" s="166"/>
      <c r="DK10" s="166"/>
    </row>
    <row r="11" spans="2:115" s="241" customFormat="1" ht="15" x14ac:dyDescent="0.3">
      <c r="B11" s="42" t="s">
        <v>36</v>
      </c>
      <c r="C11" s="126"/>
      <c r="D11" s="127"/>
      <c r="E11" s="127"/>
      <c r="F11" s="127"/>
      <c r="G11" s="167"/>
      <c r="H11" s="166"/>
      <c r="I11" s="209">
        <f>I8/I5</f>
        <v>9.2728981026853341E-2</v>
      </c>
      <c r="J11" s="206">
        <f>J8/J5</f>
        <v>8.3498413549560085E-2</v>
      </c>
      <c r="K11" s="206">
        <f>K8/K5</f>
        <v>8.8550398015093582E-2</v>
      </c>
      <c r="L11" s="206">
        <f>L8/L5</f>
        <v>8.8918870383959236E-2</v>
      </c>
      <c r="M11" s="208">
        <f>M8/M5</f>
        <v>8.8419895717220851E-2</v>
      </c>
      <c r="N11" s="166"/>
      <c r="O11" s="209">
        <f>O8/O5</f>
        <v>0.10018993352326686</v>
      </c>
      <c r="P11" s="206">
        <f>P8/P5</f>
        <v>0.10601193207893529</v>
      </c>
      <c r="Q11" s="206">
        <f>Q8/Q5</f>
        <v>0.10870588235294118</v>
      </c>
      <c r="R11" s="206">
        <f>R8/R5</f>
        <v>0.10469011725293133</v>
      </c>
      <c r="S11" s="208">
        <f>S8/S5</f>
        <v>0.10491020686519664</v>
      </c>
      <c r="T11" s="129"/>
      <c r="U11" s="209">
        <f>U8/U5</f>
        <v>9.1975598310652273E-2</v>
      </c>
      <c r="V11" s="206">
        <f>V8/V5</f>
        <v>0.10303300624442462</v>
      </c>
      <c r="W11" s="206">
        <f>W8/W5</f>
        <v>0.10068027210884353</v>
      </c>
      <c r="X11" s="206">
        <f>X8/X5</f>
        <v>0.12061315046389673</v>
      </c>
      <c r="Y11" s="208">
        <f>Y8/Y5</f>
        <v>0.10467042066909572</v>
      </c>
      <c r="Z11" s="273"/>
      <c r="AA11" s="209">
        <f>AA8/AA5</f>
        <v>6.0887949260042283E-2</v>
      </c>
      <c r="AB11" s="206">
        <f>AB8/AB5</f>
        <v>6.4258714825703486E-2</v>
      </c>
      <c r="AC11" s="206">
        <f>AC8/AC5</f>
        <v>6.167926780740151E-2</v>
      </c>
      <c r="AD11" s="206">
        <f>AD8/AD5</f>
        <v>8.1662954714179656E-2</v>
      </c>
      <c r="AE11" s="208">
        <f>AE8/AE5</f>
        <v>6.7517331457851909E-2</v>
      </c>
      <c r="AF11" s="273"/>
      <c r="AG11" s="209">
        <f>AG8/AG5</f>
        <v>5.7817589576547229E-2</v>
      </c>
      <c r="AH11" s="206">
        <f>AH8/AH5</f>
        <v>7.2003218020917137E-2</v>
      </c>
      <c r="AI11" s="206">
        <f>AI8/AI5</f>
        <v>8.2850779510022274E-2</v>
      </c>
      <c r="AJ11" s="206">
        <f>AJ8/AJ5</f>
        <v>8.4835630965005307E-2</v>
      </c>
      <c r="AK11" s="208">
        <f>AK8/AK5</f>
        <v>7.4580670926517573E-2</v>
      </c>
      <c r="AL11" s="273"/>
      <c r="AM11" s="209">
        <f>AM8/AM5</f>
        <v>7.5471698113207544E-2</v>
      </c>
      <c r="AN11" s="206">
        <f>AN8/AN5</f>
        <v>9.6774193548387094E-2</v>
      </c>
      <c r="AO11" s="206">
        <f>AO8/AO5</f>
        <v>9.0616375344986205E-2</v>
      </c>
      <c r="AP11" s="206">
        <f>AP8/AP5</f>
        <v>8.0632090761750402E-2</v>
      </c>
      <c r="AQ11" s="208">
        <f>AQ8/AQ5</f>
        <v>8.5638415578667845E-2</v>
      </c>
      <c r="AR11" s="273"/>
      <c r="AS11" s="209">
        <f>AS8/AS5</f>
        <v>6.725146198830409E-2</v>
      </c>
      <c r="AT11" s="206">
        <f>AT8/AT5</f>
        <v>0.13168724279835392</v>
      </c>
      <c r="AU11" s="206">
        <f>AU8/AU5</f>
        <v>9.526112185686654E-2</v>
      </c>
      <c r="AV11" s="206">
        <f>AV8/AV5</f>
        <v>9.2414995640802092E-2</v>
      </c>
      <c r="AW11" s="208">
        <f>AW8/AW5</f>
        <v>9.7081734682013726E-2</v>
      </c>
      <c r="AX11" s="273"/>
      <c r="AY11" s="209">
        <f>AY8/AY5</f>
        <v>7.5246497145822516E-2</v>
      </c>
      <c r="AZ11" s="206">
        <f>AZ8/AZ5</f>
        <v>9.792571152918475E-2</v>
      </c>
      <c r="BA11" s="206">
        <f>BA8/BA5</f>
        <v>8.6656819300837032E-2</v>
      </c>
      <c r="BB11" s="206">
        <f>BB8/BB5</f>
        <v>9.9861303744798888E-2</v>
      </c>
      <c r="BC11" s="208">
        <f>BC8/BC5</f>
        <v>9.0309982914327555E-2</v>
      </c>
      <c r="BD11" s="273"/>
      <c r="BE11" s="209">
        <f>BE8/BE5</f>
        <v>0.10543302850995159</v>
      </c>
      <c r="BF11" s="206">
        <f>BF8/BF5</f>
        <v>6.4572425828970326E-2</v>
      </c>
      <c r="BG11" s="206">
        <f>BG8/BG5</f>
        <v>8.303464755077658E-2</v>
      </c>
      <c r="BH11" s="206">
        <f>BH8/BH5</f>
        <v>4.8248133256748996E-2</v>
      </c>
      <c r="BI11" s="208">
        <f>BI8/BI5</f>
        <v>7.5790075790075795E-2</v>
      </c>
      <c r="BJ11" s="273"/>
      <c r="BK11" s="209">
        <f>BK8/BK5</f>
        <v>5.6338028169014086E-2</v>
      </c>
      <c r="BL11" s="206">
        <f>BL8/BL5</f>
        <v>8.0568720379146919E-2</v>
      </c>
      <c r="BM11" s="206">
        <f>BM8/BM5</f>
        <v>7.6742823667252491E-2</v>
      </c>
      <c r="BN11" s="206">
        <f>BN8/BN5</f>
        <v>8.0813633864760856E-2</v>
      </c>
      <c r="BO11" s="208">
        <f>BO8/BO5</f>
        <v>7.3720728534258456E-2</v>
      </c>
      <c r="BP11" s="273"/>
      <c r="BQ11" s="209">
        <f>BK11+BQ12</f>
        <v>5.3838028169014084E-2</v>
      </c>
      <c r="BR11" s="206">
        <f>BL11+BR12</f>
        <v>7.5568720379146914E-2</v>
      </c>
      <c r="BS11" s="206">
        <f>BM11+BS12</f>
        <v>6.9242823667252484E-2</v>
      </c>
      <c r="BT11" s="206">
        <f>BN11+BT12</f>
        <v>5.0813633864760857E-2</v>
      </c>
      <c r="BU11" s="208">
        <f>BU8/BU5</f>
        <v>6.2147360504950629E-2</v>
      </c>
      <c r="BV11" s="273"/>
      <c r="BW11" s="209">
        <f>BQ11+BW12</f>
        <v>5.6338028169014086E-2</v>
      </c>
      <c r="BX11" s="206">
        <f>BR11+BX12</f>
        <v>7.8068720379146916E-2</v>
      </c>
      <c r="BY11" s="206">
        <f>BS11+BY12</f>
        <v>7.1742823667252487E-2</v>
      </c>
      <c r="BZ11" s="206">
        <f>BT11+BZ12</f>
        <v>5.3313633864760859E-2</v>
      </c>
      <c r="CA11" s="208">
        <f>CA8/CA5</f>
        <v>6.4583970436639715E-2</v>
      </c>
      <c r="CB11" s="273"/>
      <c r="CC11" s="209">
        <f>BW11+CC12</f>
        <v>5.7338028169014087E-2</v>
      </c>
      <c r="CD11" s="206">
        <f>BX11+CD12</f>
        <v>7.9068720379146917E-2</v>
      </c>
      <c r="CE11" s="206">
        <f>BY11+CE12</f>
        <v>7.2742823667252487E-2</v>
      </c>
      <c r="CF11" s="206">
        <f>BZ11+CF12</f>
        <v>5.431363386476086E-2</v>
      </c>
      <c r="CG11" s="208">
        <f>CG8/CG5</f>
        <v>6.5583970436639716E-2</v>
      </c>
      <c r="CH11" s="273"/>
      <c r="CI11" s="209">
        <f>CC11+CI12</f>
        <v>5.8338028169014088E-2</v>
      </c>
      <c r="CJ11" s="206">
        <f>CD11+CJ12</f>
        <v>8.0068720379146918E-2</v>
      </c>
      <c r="CK11" s="206">
        <f>CE11+CK12</f>
        <v>7.3742823667252488E-2</v>
      </c>
      <c r="CL11" s="206">
        <f>CF11+CL12</f>
        <v>5.5313633864760861E-2</v>
      </c>
      <c r="CM11" s="208">
        <f>CM8/CM5</f>
        <v>6.6583970436639717E-2</v>
      </c>
      <c r="CN11" s="273"/>
      <c r="CO11" s="209">
        <f>CI11+CO12</f>
        <v>5.9338028169014088E-2</v>
      </c>
      <c r="CP11" s="206">
        <f>CJ11+CP12</f>
        <v>8.1068720379146919E-2</v>
      </c>
      <c r="CQ11" s="206">
        <f>CK11+CQ12</f>
        <v>7.4742823667252489E-2</v>
      </c>
      <c r="CR11" s="206">
        <f>CL11+CR12</f>
        <v>5.6313633864760862E-2</v>
      </c>
      <c r="CS11" s="208">
        <f>CS8/CS5</f>
        <v>6.7583970436639718E-2</v>
      </c>
      <c r="CT11" s="273"/>
      <c r="CU11" s="209">
        <f>CO11+CU12</f>
        <v>6.0338028169014089E-2</v>
      </c>
      <c r="CV11" s="206">
        <f>CP11+CV12</f>
        <v>8.206872037914692E-2</v>
      </c>
      <c r="CW11" s="206">
        <f>CQ11+CW12</f>
        <v>7.574282366725249E-2</v>
      </c>
      <c r="CX11" s="206">
        <f>CR11+CX12</f>
        <v>5.7313633864760863E-2</v>
      </c>
      <c r="CY11" s="208">
        <f>CY8/CY5</f>
        <v>6.8583970436639718E-2</v>
      </c>
      <c r="CZ11" s="273"/>
      <c r="DA11" s="209">
        <f>CU11+DA12</f>
        <v>6.0338028169014089E-2</v>
      </c>
      <c r="DB11" s="206">
        <f>CV11+DB12</f>
        <v>8.206872037914692E-2</v>
      </c>
      <c r="DC11" s="206">
        <f>CW11+DC12</f>
        <v>7.574282366725249E-2</v>
      </c>
      <c r="DD11" s="206">
        <f>CX11+DD12</f>
        <v>5.7313633864760863E-2</v>
      </c>
      <c r="DE11" s="208">
        <f>DE8/DE5</f>
        <v>6.8583970436639705E-2</v>
      </c>
      <c r="DF11" s="273"/>
      <c r="DG11" s="209">
        <f>DA11+DG12</f>
        <v>6.0338028169014089E-2</v>
      </c>
      <c r="DH11" s="206">
        <f>DB11+DH12</f>
        <v>8.206872037914692E-2</v>
      </c>
      <c r="DI11" s="206">
        <f>DC11+DI12</f>
        <v>7.574282366725249E-2</v>
      </c>
      <c r="DJ11" s="206">
        <f>DD11+DJ12</f>
        <v>5.7313633864760863E-2</v>
      </c>
      <c r="DK11" s="208">
        <f>DK8/DK5</f>
        <v>6.8583970436639718E-2</v>
      </c>
    </row>
    <row r="12" spans="2:115" s="241" customFormat="1" ht="15.75" thickBot="1" x14ac:dyDescent="0.35">
      <c r="B12" s="41" t="s">
        <v>37</v>
      </c>
      <c r="C12" s="130"/>
      <c r="D12" s="131"/>
      <c r="E12" s="131"/>
      <c r="F12" s="131"/>
      <c r="G12" s="275"/>
      <c r="H12" s="166"/>
      <c r="I12" s="130" t="s">
        <v>35</v>
      </c>
      <c r="J12" s="131" t="s">
        <v>35</v>
      </c>
      <c r="K12" s="131" t="s">
        <v>35</v>
      </c>
      <c r="L12" s="131" t="s">
        <v>35</v>
      </c>
      <c r="M12" s="275" t="s">
        <v>35</v>
      </c>
      <c r="N12" s="166"/>
      <c r="O12" s="290">
        <f>O11-I11</f>
        <v>7.4609524964135143E-3</v>
      </c>
      <c r="P12" s="175">
        <f>P11-J11</f>
        <v>2.2513518529375207E-2</v>
      </c>
      <c r="Q12" s="175">
        <f>Q11-K11</f>
        <v>2.0155484337847598E-2</v>
      </c>
      <c r="R12" s="175">
        <f>R11-L11</f>
        <v>1.5771246868972091E-2</v>
      </c>
      <c r="S12" s="177">
        <f>S11-M11</f>
        <v>1.6490311147975792E-2</v>
      </c>
      <c r="T12" s="166"/>
      <c r="U12" s="290">
        <f>U11-O11</f>
        <v>-8.2143352126145819E-3</v>
      </c>
      <c r="V12" s="292">
        <f>V11-P11</f>
        <v>-2.9789258345106762E-3</v>
      </c>
      <c r="W12" s="292">
        <f>W11-Q11</f>
        <v>-8.0256102440976473E-3</v>
      </c>
      <c r="X12" s="292">
        <f>X11-R11</f>
        <v>1.5923033210965401E-2</v>
      </c>
      <c r="Y12" s="291">
        <f>Y11-S11</f>
        <v>-2.39786196100919E-4</v>
      </c>
      <c r="AA12" s="290">
        <f>AA11-U11</f>
        <v>-3.108764905060999E-2</v>
      </c>
      <c r="AB12" s="292">
        <f>AB11-V11</f>
        <v>-3.877429141872113E-2</v>
      </c>
      <c r="AC12" s="292">
        <f>AC11-W11</f>
        <v>-3.9001004301442023E-2</v>
      </c>
      <c r="AD12" s="292">
        <f>AD11-X11</f>
        <v>-3.8950195749717073E-2</v>
      </c>
      <c r="AE12" s="291">
        <f>AE11-Y11</f>
        <v>-3.7153089211243814E-2</v>
      </c>
      <c r="AG12" s="290">
        <f>AG11-AA11</f>
        <v>-3.0703596834950539E-3</v>
      </c>
      <c r="AH12" s="292">
        <f>AH11-AB11</f>
        <v>7.7445031952136506E-3</v>
      </c>
      <c r="AI12" s="292">
        <f>AI11-AC11</f>
        <v>2.1171511702620764E-2</v>
      </c>
      <c r="AJ12" s="292">
        <f>AJ11-AD11</f>
        <v>3.1726762508256512E-3</v>
      </c>
      <c r="AK12" s="291">
        <f>AK11-AE11</f>
        <v>7.0633394686656636E-3</v>
      </c>
      <c r="AM12" s="290">
        <f>AM11-AG11</f>
        <v>1.7654108536660315E-2</v>
      </c>
      <c r="AN12" s="292">
        <f>AN11-AH11</f>
        <v>2.4770975527469957E-2</v>
      </c>
      <c r="AO12" s="292">
        <f>AO11-AI11</f>
        <v>7.7655958349639315E-3</v>
      </c>
      <c r="AP12" s="292">
        <f>AP11-AJ11</f>
        <v>-4.2035402032549046E-3</v>
      </c>
      <c r="AQ12" s="291">
        <f>AQ11-AK11</f>
        <v>1.1057744652150273E-2</v>
      </c>
      <c r="AS12" s="290">
        <f>AS11-AM11</f>
        <v>-8.2202361249034545E-3</v>
      </c>
      <c r="AT12" s="292">
        <f>AT11-AN11</f>
        <v>3.4913049249966827E-2</v>
      </c>
      <c r="AU12" s="292">
        <f>AU11-AO11</f>
        <v>4.6447465118803349E-3</v>
      </c>
      <c r="AV12" s="292">
        <f>AV11-AP11</f>
        <v>1.1782904879051689E-2</v>
      </c>
      <c r="AW12" s="291">
        <f>AW11-AQ11</f>
        <v>1.1443319103345881E-2</v>
      </c>
      <c r="AY12" s="290">
        <f>AY11-AS11</f>
        <v>7.9950351575184264E-3</v>
      </c>
      <c r="AZ12" s="292">
        <f>AZ11-AT11</f>
        <v>-3.376153126916917E-2</v>
      </c>
      <c r="BA12" s="292">
        <f>BA11-AU11</f>
        <v>-8.6043025560295083E-3</v>
      </c>
      <c r="BB12" s="292">
        <f>BB11-AV11</f>
        <v>7.446308103996796E-3</v>
      </c>
      <c r="BC12" s="291">
        <f>BC11-AW11</f>
        <v>-6.771751767686171E-3</v>
      </c>
      <c r="BE12" s="290">
        <v>2.5486999186695822E-2</v>
      </c>
      <c r="BF12" s="292">
        <v>-1.0817697591902514E-2</v>
      </c>
      <c r="BG12" s="292">
        <v>-1.1456819300837029E-2</v>
      </c>
      <c r="BH12" s="292">
        <v>-6.9527633370683628E-2</v>
      </c>
      <c r="BI12" s="291">
        <v>-1.6704317048638923E-2</v>
      </c>
      <c r="BK12" s="290">
        <f>BK11-BE11</f>
        <v>-4.9095000340937507E-2</v>
      </c>
      <c r="BL12" s="292">
        <f>BL11-BF11</f>
        <v>1.5996294550176593E-2</v>
      </c>
      <c r="BM12" s="292">
        <f>BM11-BG11</f>
        <v>-6.2918238835240892E-3</v>
      </c>
      <c r="BN12" s="292">
        <f>BN11-BH11</f>
        <v>3.256550060801186E-2</v>
      </c>
      <c r="BO12" s="291">
        <f>BO11-BI11</f>
        <v>-2.0693472558173387E-3</v>
      </c>
      <c r="BQ12" s="290">
        <v>-2.5000000000000001E-3</v>
      </c>
      <c r="BR12" s="292">
        <v>-5.0000000000000001E-3</v>
      </c>
      <c r="BS12" s="292">
        <v>-7.4999999999999997E-3</v>
      </c>
      <c r="BT12" s="292">
        <v>-0.03</v>
      </c>
      <c r="BU12" s="291">
        <f>BU11-BO11</f>
        <v>-1.1573368029307828E-2</v>
      </c>
      <c r="BW12" s="290">
        <v>2.5000000000000001E-3</v>
      </c>
      <c r="BX12" s="292">
        <v>2.5000000000000001E-3</v>
      </c>
      <c r="BY12" s="292">
        <v>2.5000000000000001E-3</v>
      </c>
      <c r="BZ12" s="292">
        <v>2.5000000000000001E-3</v>
      </c>
      <c r="CA12" s="291">
        <f>CA11-BU11</f>
        <v>2.4366099316890863E-3</v>
      </c>
      <c r="CC12" s="290">
        <v>1E-3</v>
      </c>
      <c r="CD12" s="292">
        <v>1E-3</v>
      </c>
      <c r="CE12" s="292">
        <v>1E-3</v>
      </c>
      <c r="CF12" s="292">
        <v>1E-3</v>
      </c>
      <c r="CG12" s="291">
        <f>CG11-CA11</f>
        <v>1.0000000000000009E-3</v>
      </c>
      <c r="CI12" s="290">
        <v>1E-3</v>
      </c>
      <c r="CJ12" s="292">
        <v>1E-3</v>
      </c>
      <c r="CK12" s="292">
        <v>1E-3</v>
      </c>
      <c r="CL12" s="292">
        <v>1E-3</v>
      </c>
      <c r="CM12" s="291">
        <f>CM11-CG11</f>
        <v>1.0000000000000009E-3</v>
      </c>
      <c r="CO12" s="290">
        <v>1E-3</v>
      </c>
      <c r="CP12" s="292">
        <v>1E-3</v>
      </c>
      <c r="CQ12" s="292">
        <v>1E-3</v>
      </c>
      <c r="CR12" s="292">
        <v>1E-3</v>
      </c>
      <c r="CS12" s="291">
        <f>CS11-CM11</f>
        <v>1.0000000000000009E-3</v>
      </c>
      <c r="CU12" s="290">
        <v>1E-3</v>
      </c>
      <c r="CV12" s="292">
        <v>1E-3</v>
      </c>
      <c r="CW12" s="292">
        <v>1E-3</v>
      </c>
      <c r="CX12" s="292">
        <v>1E-3</v>
      </c>
      <c r="CY12" s="291">
        <f>CY11-CS11</f>
        <v>1.0000000000000009E-3</v>
      </c>
      <c r="DA12" s="290">
        <v>0</v>
      </c>
      <c r="DB12" s="292">
        <v>0</v>
      </c>
      <c r="DC12" s="292">
        <v>0</v>
      </c>
      <c r="DD12" s="292">
        <v>0</v>
      </c>
      <c r="DE12" s="291">
        <f>DE11-CY11</f>
        <v>0</v>
      </c>
      <c r="DG12" s="290">
        <v>0</v>
      </c>
      <c r="DH12" s="292">
        <v>0</v>
      </c>
      <c r="DI12" s="292">
        <v>0</v>
      </c>
      <c r="DJ12" s="292">
        <v>0</v>
      </c>
      <c r="DK12" s="291">
        <f>DK11-DE11</f>
        <v>0</v>
      </c>
    </row>
    <row r="13" spans="2:115" s="241" customFormat="1" ht="13.5" thickBot="1" x14ac:dyDescent="0.25"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6"/>
      <c r="P13" s="166"/>
      <c r="Q13" s="166"/>
      <c r="R13" s="166"/>
      <c r="S13" s="166"/>
      <c r="T13" s="166"/>
      <c r="U13" s="166">
        <v>-29</v>
      </c>
      <c r="V13" s="166">
        <v>19</v>
      </c>
      <c r="W13" s="166">
        <v>31</v>
      </c>
      <c r="X13" s="166">
        <v>-11</v>
      </c>
      <c r="Y13" s="166"/>
      <c r="AA13" s="166">
        <v>123</v>
      </c>
      <c r="AB13" s="166">
        <v>128</v>
      </c>
      <c r="AC13" s="166">
        <v>142</v>
      </c>
      <c r="AD13" s="166">
        <v>160</v>
      </c>
      <c r="AE13" s="166"/>
      <c r="AG13" s="166"/>
      <c r="AH13" s="166"/>
      <c r="AI13" s="166"/>
      <c r="AJ13" s="166"/>
      <c r="AK13" s="166"/>
      <c r="AM13" s="166"/>
      <c r="AN13" s="166"/>
      <c r="AO13" s="166"/>
      <c r="AP13" s="166"/>
      <c r="AQ13" s="166"/>
      <c r="AS13" s="166"/>
      <c r="AT13" s="166"/>
      <c r="AU13" s="166"/>
      <c r="AV13" s="166"/>
      <c r="AW13" s="166"/>
      <c r="AY13" s="166"/>
      <c r="AZ13" s="166"/>
      <c r="BA13" s="166"/>
      <c r="BB13" s="166"/>
      <c r="BC13" s="166"/>
      <c r="BE13" s="166"/>
      <c r="BF13" s="166"/>
      <c r="BG13" s="166"/>
      <c r="BH13" s="166"/>
      <c r="BI13" s="166"/>
      <c r="BK13" s="166"/>
      <c r="BL13" s="166"/>
      <c r="BM13" s="166"/>
      <c r="BN13" s="166"/>
      <c r="BO13" s="166"/>
      <c r="BQ13" s="166"/>
      <c r="BR13" s="166"/>
      <c r="BS13" s="166"/>
      <c r="BT13" s="166"/>
      <c r="BU13" s="166"/>
      <c r="BW13" s="166"/>
      <c r="BX13" s="166"/>
      <c r="BY13" s="166"/>
      <c r="BZ13" s="166"/>
      <c r="CA13" s="166"/>
      <c r="CC13" s="166"/>
      <c r="CD13" s="166"/>
      <c r="CE13" s="166"/>
      <c r="CF13" s="166"/>
      <c r="CG13" s="166"/>
      <c r="CI13" s="166"/>
      <c r="CJ13" s="166"/>
      <c r="CK13" s="166"/>
      <c r="CL13" s="166"/>
      <c r="CM13" s="166"/>
      <c r="CO13" s="166"/>
      <c r="CP13" s="166"/>
      <c r="CQ13" s="166"/>
      <c r="CR13" s="166"/>
      <c r="CS13" s="166"/>
      <c r="CU13" s="166"/>
      <c r="CV13" s="166"/>
      <c r="CW13" s="166"/>
      <c r="CX13" s="166"/>
      <c r="CY13" s="166"/>
      <c r="DA13" s="166"/>
      <c r="DB13" s="166"/>
      <c r="DC13" s="166"/>
      <c r="DD13" s="166"/>
      <c r="DE13" s="166"/>
      <c r="DG13" s="166"/>
      <c r="DH13" s="166"/>
      <c r="DI13" s="166"/>
      <c r="DJ13" s="166"/>
      <c r="DK13" s="166"/>
    </row>
    <row r="14" spans="2:115" s="241" customFormat="1" ht="15" x14ac:dyDescent="0.3">
      <c r="B14" s="42" t="s">
        <v>62</v>
      </c>
      <c r="C14" s="126"/>
      <c r="D14" s="127"/>
      <c r="E14" s="127"/>
      <c r="F14" s="127"/>
      <c r="G14" s="167"/>
      <c r="H14" s="166"/>
      <c r="I14" s="198">
        <f>O14/(1+O15)</f>
        <v>134.0549542048293</v>
      </c>
      <c r="J14" s="199">
        <f>P14/(1+P15)</f>
        <v>187.08971553610502</v>
      </c>
      <c r="K14" s="199">
        <f>Q14/(1+Q15)</f>
        <v>289.73843058350099</v>
      </c>
      <c r="L14" s="199">
        <f>R14/(1+R15)</f>
        <v>211.99586349534644</v>
      </c>
      <c r="M14" s="201">
        <f>I14+J14+K14+L14</f>
        <v>822.8789638197818</v>
      </c>
      <c r="N14" s="166"/>
      <c r="O14" s="126">
        <f>O39+O63+O88+O113+16</f>
        <v>161</v>
      </c>
      <c r="P14" s="127">
        <f>P39+P63+P88+P113+12</f>
        <v>171</v>
      </c>
      <c r="Q14" s="127">
        <f>Q39+Q63+Q88+Q113</f>
        <v>144</v>
      </c>
      <c r="R14" s="127">
        <f>R39+R63+R88+R113+24</f>
        <v>205</v>
      </c>
      <c r="S14" s="167">
        <f>O14+P14+Q14+R14</f>
        <v>681</v>
      </c>
      <c r="T14" s="166"/>
      <c r="U14" s="251">
        <f>U39+U63+U88+U113-29</f>
        <v>148</v>
      </c>
      <c r="V14" s="252">
        <f>V39+V63+V88+V113+19</f>
        <v>220</v>
      </c>
      <c r="W14" s="252">
        <f>W39+W63+W88+W113+31</f>
        <v>207</v>
      </c>
      <c r="X14" s="252">
        <f>X39+X63+X88+X113-11</f>
        <v>150</v>
      </c>
      <c r="Y14" s="253">
        <f>U14+V14+W14+X14</f>
        <v>725</v>
      </c>
      <c r="Z14" s="342"/>
      <c r="AA14" s="251">
        <f>AA39+AA63+AA88+AA113+10+122</f>
        <v>245</v>
      </c>
      <c r="AB14" s="252">
        <f>AB39+AB63+AB88+AB113-4+125</f>
        <v>253</v>
      </c>
      <c r="AC14" s="252">
        <v>296</v>
      </c>
      <c r="AD14" s="252">
        <v>619</v>
      </c>
      <c r="AE14" s="253">
        <f>AA14+AB14+AC14+AD14</f>
        <v>1413</v>
      </c>
      <c r="AF14" s="342"/>
      <c r="AG14" s="251">
        <v>222</v>
      </c>
      <c r="AH14" s="252">
        <v>283</v>
      </c>
      <c r="AI14" s="252">
        <v>289</v>
      </c>
      <c r="AJ14" s="252">
        <v>393</v>
      </c>
      <c r="AK14" s="253">
        <f>AG14+AH14+AI14+AJ14</f>
        <v>1187</v>
      </c>
      <c r="AL14" s="342"/>
      <c r="AM14" s="251">
        <v>209</v>
      </c>
      <c r="AN14" s="252">
        <v>213</v>
      </c>
      <c r="AO14" s="252">
        <v>270</v>
      </c>
      <c r="AP14" s="252">
        <v>374</v>
      </c>
      <c r="AQ14" s="253">
        <f>AM14+AN14+AO14+AP14</f>
        <v>1066</v>
      </c>
      <c r="AR14" s="342"/>
      <c r="AS14" s="251">
        <v>253</v>
      </c>
      <c r="AT14" s="252">
        <v>254</v>
      </c>
      <c r="AU14" s="252">
        <v>319</v>
      </c>
      <c r="AV14" s="252">
        <v>345</v>
      </c>
      <c r="AW14" s="253">
        <f>AS14+AT14+AU14+AV14</f>
        <v>1171</v>
      </c>
      <c r="AX14" s="342"/>
      <c r="AY14" s="251">
        <v>248</v>
      </c>
      <c r="AZ14" s="252">
        <v>276</v>
      </c>
      <c r="BA14" s="252">
        <v>282</v>
      </c>
      <c r="BB14" s="252">
        <v>345</v>
      </c>
      <c r="BC14" s="253">
        <f>AY14+AZ14+BA14+BB14</f>
        <v>1151</v>
      </c>
      <c r="BD14" s="342"/>
      <c r="BE14" s="251">
        <v>78</v>
      </c>
      <c r="BF14" s="252">
        <v>96</v>
      </c>
      <c r="BG14" s="252">
        <v>85</v>
      </c>
      <c r="BH14" s="252">
        <v>143</v>
      </c>
      <c r="BI14" s="253">
        <f>BE14+BF14+BG14+BH14</f>
        <v>402</v>
      </c>
      <c r="BJ14" s="342"/>
      <c r="BK14" s="251">
        <v>86</v>
      </c>
      <c r="BL14" s="252">
        <v>91</v>
      </c>
      <c r="BM14" s="252">
        <v>87</v>
      </c>
      <c r="BN14" s="252">
        <v>120</v>
      </c>
      <c r="BO14" s="253">
        <f>BK14+BL14+BM14+BN14</f>
        <v>384</v>
      </c>
      <c r="BP14" s="342"/>
      <c r="BQ14" s="251">
        <f>BQ5*BQ17</f>
        <v>97.355599999999995</v>
      </c>
      <c r="BR14" s="252">
        <f>BR5*BR17</f>
        <v>100.43440000000001</v>
      </c>
      <c r="BS14" s="252">
        <f>BS5*BS17</f>
        <v>95.534999999999997</v>
      </c>
      <c r="BT14" s="252">
        <f>BT5*BT17</f>
        <v>136.8081</v>
      </c>
      <c r="BU14" s="253">
        <f>BQ14+BR14+BS14+BT14</f>
        <v>430.13310000000001</v>
      </c>
      <c r="BV14" s="342"/>
      <c r="BW14" s="251">
        <f>BW5*BW17</f>
        <v>94.548479200000003</v>
      </c>
      <c r="BX14" s="252">
        <f>BX5*BX17</f>
        <v>96.594501199999996</v>
      </c>
      <c r="BY14" s="252">
        <f>BY5*BY17</f>
        <v>92.787869999999984</v>
      </c>
      <c r="BZ14" s="252">
        <f>BZ5*BZ17</f>
        <v>134.54861804999999</v>
      </c>
      <c r="CA14" s="253">
        <f>BW14+BX14+BY14+BZ14</f>
        <v>418.47946845000001</v>
      </c>
      <c r="CB14" s="342"/>
      <c r="CC14" s="251">
        <f>CC5*CC17</f>
        <v>93.6884704</v>
      </c>
      <c r="CD14" s="252">
        <f>CD5*CD17</f>
        <v>95.767634399999992</v>
      </c>
      <c r="CE14" s="252">
        <f>CE5*CE17</f>
        <v>91.951439999999991</v>
      </c>
      <c r="CF14" s="252">
        <f>CF5*CF17</f>
        <v>133.65721709999997</v>
      </c>
      <c r="CG14" s="253">
        <f>CC14+CD14+CE14+CF14</f>
        <v>415.06476189999995</v>
      </c>
      <c r="CH14" s="342"/>
      <c r="CI14" s="251">
        <f>CI5*CI17</f>
        <v>93.29260390799999</v>
      </c>
      <c r="CJ14" s="252">
        <f>CJ5*CJ17</f>
        <v>95.415471437999997</v>
      </c>
      <c r="CK14" s="252">
        <f>CK5*CK17</f>
        <v>91.570585049999977</v>
      </c>
      <c r="CL14" s="252">
        <f>CL5*CL17</f>
        <v>133.42964523074997</v>
      </c>
      <c r="CM14" s="253">
        <f>CI14+CJ14+CK14+CL14</f>
        <v>413.70830562674996</v>
      </c>
      <c r="CN14" s="342"/>
      <c r="CO14" s="251">
        <f>CO5*CO17</f>
        <v>92.890436539319992</v>
      </c>
      <c r="CP14" s="252">
        <f>CP5*CP17</f>
        <v>95.05739265551999</v>
      </c>
      <c r="CQ14" s="252">
        <f>CQ5*CQ17</f>
        <v>91.183622764499972</v>
      </c>
      <c r="CR14" s="252">
        <f>CR5*CR17</f>
        <v>133.19645621237996</v>
      </c>
      <c r="CS14" s="253">
        <f>CO14+CP14+CQ14+CR14</f>
        <v>412.32790817171997</v>
      </c>
      <c r="CT14" s="342"/>
      <c r="CU14" s="251">
        <f>CU5*CU17</f>
        <v>92.481915181855484</v>
      </c>
      <c r="CV14" s="252">
        <f>CV5*CV17</f>
        <v>94.693347698429221</v>
      </c>
      <c r="CW14" s="252">
        <f>CW5*CW17</f>
        <v>90.790501591518705</v>
      </c>
      <c r="CX14" s="252">
        <f>CX5*CX17</f>
        <v>132.95759956269546</v>
      </c>
      <c r="CY14" s="253">
        <f>CU14+CV14+CW14+CX14</f>
        <v>410.92336403449889</v>
      </c>
      <c r="CZ14" s="342"/>
      <c r="DA14" s="251">
        <f>DA5*DA17</f>
        <v>92.066986349902848</v>
      </c>
      <c r="DB14" s="252">
        <f>DB5*DB17</f>
        <v>94.323285856951159</v>
      </c>
      <c r="DC14" s="252">
        <f>DC5*DC17</f>
        <v>90.391169616238514</v>
      </c>
      <c r="DD14" s="252">
        <f>DD5*DD17</f>
        <v>132.71302443510882</v>
      </c>
      <c r="DE14" s="253">
        <f>DA14+DB14+DC14+DD14</f>
        <v>409.49446625820133</v>
      </c>
      <c r="DF14" s="342"/>
      <c r="DG14" s="251">
        <f>DG5*DG17</f>
        <v>91.645596181751131</v>
      </c>
      <c r="DH14" s="252">
        <f>DH5*DH17</f>
        <v>93.947156063365867</v>
      </c>
      <c r="DI14" s="252">
        <f>DI5*DI17</f>
        <v>89.985574558665746</v>
      </c>
      <c r="DJ14" s="252">
        <f>DJ5*DJ17</f>
        <v>132.46267961625728</v>
      </c>
      <c r="DK14" s="253">
        <f>DG14+DH14+DI14+DJ14</f>
        <v>408.04100642003999</v>
      </c>
    </row>
    <row r="15" spans="2:115" s="241" customFormat="1" ht="15" x14ac:dyDescent="0.3">
      <c r="B15" s="40" t="s">
        <v>40</v>
      </c>
      <c r="C15" s="216"/>
      <c r="D15" s="166"/>
      <c r="E15" s="166"/>
      <c r="F15" s="166"/>
      <c r="G15" s="243"/>
      <c r="H15" s="166"/>
      <c r="I15" s="216" t="s">
        <v>35</v>
      </c>
      <c r="J15" s="166" t="s">
        <v>35</v>
      </c>
      <c r="K15" s="166" t="s">
        <v>35</v>
      </c>
      <c r="L15" s="166" t="s">
        <v>35</v>
      </c>
      <c r="M15" s="243" t="s">
        <v>35</v>
      </c>
      <c r="N15" s="166"/>
      <c r="O15" s="410">
        <v>0.20100000000000001</v>
      </c>
      <c r="P15" s="409">
        <v>-8.5999999999999993E-2</v>
      </c>
      <c r="Q15" s="409">
        <v>-0.503</v>
      </c>
      <c r="R15" s="409">
        <v>-3.3000000000000002E-2</v>
      </c>
      <c r="S15" s="297">
        <f>S14/M14-1</f>
        <v>-0.17241777959808757</v>
      </c>
      <c r="T15" s="166"/>
      <c r="U15" s="237">
        <f>U14/O14-1</f>
        <v>-8.0745341614906874E-2</v>
      </c>
      <c r="V15" s="233">
        <f>V14/P14-1</f>
        <v>0.28654970760233911</v>
      </c>
      <c r="W15" s="233">
        <f>W14/Q14-1</f>
        <v>0.4375</v>
      </c>
      <c r="X15" s="233">
        <f>X14/R14-1</f>
        <v>-0.26829268292682928</v>
      </c>
      <c r="Y15" s="297">
        <f>Y14/S14-1</f>
        <v>6.4610866372980968E-2</v>
      </c>
      <c r="AA15" s="237">
        <f>AA14/U14-1</f>
        <v>0.65540540540540548</v>
      </c>
      <c r="AB15" s="233">
        <f>AB14/V14-1</f>
        <v>0.14999999999999991</v>
      </c>
      <c r="AC15" s="233">
        <f>AC14/W14-1</f>
        <v>0.42995169082125595</v>
      </c>
      <c r="AD15" s="233">
        <f>AD14/X14-1</f>
        <v>3.1266666666666669</v>
      </c>
      <c r="AE15" s="297">
        <f>AE14/Y14-1</f>
        <v>0.94896551724137934</v>
      </c>
      <c r="AG15" s="237">
        <f>AG14/AA14-1</f>
        <v>-9.3877551020408179E-2</v>
      </c>
      <c r="AH15" s="233">
        <f>AH14/AB14-1</f>
        <v>0.11857707509881421</v>
      </c>
      <c r="AI15" s="233">
        <f>AI14/AC14-1</f>
        <v>-2.3648648648648685E-2</v>
      </c>
      <c r="AJ15" s="233">
        <f>AJ14/AD14-1</f>
        <v>-0.36510500807754442</v>
      </c>
      <c r="AK15" s="297">
        <f>AK14/AE14-1</f>
        <v>-0.15994338287331922</v>
      </c>
      <c r="AM15" s="237">
        <f>AM14/AG14-1</f>
        <v>-5.8558558558558516E-2</v>
      </c>
      <c r="AN15" s="233">
        <f>AN14/AH14-1</f>
        <v>-0.24734982332155475</v>
      </c>
      <c r="AO15" s="233">
        <f>AO14/AI14-1</f>
        <v>-6.5743944636678209E-2</v>
      </c>
      <c r="AP15" s="233">
        <f>AP14/AJ14-1</f>
        <v>-4.8346055979643809E-2</v>
      </c>
      <c r="AQ15" s="297">
        <f>AQ14/AK14-1</f>
        <v>-0.10193765796124687</v>
      </c>
      <c r="AS15" s="237">
        <f>AS14/AM14-1</f>
        <v>0.21052631578947367</v>
      </c>
      <c r="AT15" s="233">
        <f>AT14/AN14-1</f>
        <v>0.19248826291079801</v>
      </c>
      <c r="AU15" s="233">
        <f>AU14/AO14-1</f>
        <v>0.18148148148148158</v>
      </c>
      <c r="AV15" s="233">
        <f>AV14/AP14-1</f>
        <v>-7.7540106951871635E-2</v>
      </c>
      <c r="AW15" s="297">
        <f>AW14/AQ14-1</f>
        <v>9.8499061913696062E-2</v>
      </c>
      <c r="AY15" s="237">
        <f>AY14/AS14-1</f>
        <v>-1.9762845849802368E-2</v>
      </c>
      <c r="AZ15" s="233">
        <f>AZ14/AT14-1</f>
        <v>8.6614173228346525E-2</v>
      </c>
      <c r="BA15" s="233">
        <f>BA14/AU14-1</f>
        <v>-0.11598746081504707</v>
      </c>
      <c r="BB15" s="233">
        <f>BB14/AV14-1</f>
        <v>0</v>
      </c>
      <c r="BC15" s="297">
        <f>BC14/AW14-1</f>
        <v>-1.707941929974377E-2</v>
      </c>
      <c r="BE15" s="237">
        <v>-4.435483870967738E-2</v>
      </c>
      <c r="BF15" s="233">
        <v>-5.7971014492753659E-2</v>
      </c>
      <c r="BG15" s="233">
        <v>-0.14539007092198586</v>
      </c>
      <c r="BH15" s="233">
        <v>-7.2463768115942018E-2</v>
      </c>
      <c r="BI15" s="297">
        <v>-8.0799304952215434E-2</v>
      </c>
      <c r="BK15" s="237">
        <f>BK14/BE14-1</f>
        <v>0.10256410256410264</v>
      </c>
      <c r="BL15" s="233">
        <f>BL14/BF14-1</f>
        <v>-5.208333333333337E-2</v>
      </c>
      <c r="BM15" s="233">
        <f>BM14/BG14-1</f>
        <v>2.3529411764705799E-2</v>
      </c>
      <c r="BN15" s="233">
        <f>BN14/BH14-1</f>
        <v>-0.16083916083916083</v>
      </c>
      <c r="BO15" s="297">
        <f>BO14/BI14-1</f>
        <v>-4.4776119402985093E-2</v>
      </c>
      <c r="BQ15" s="237">
        <f>BQ14/BK14-1</f>
        <v>0.13204186046511612</v>
      </c>
      <c r="BR15" s="233">
        <f>BR14/BL14-1</f>
        <v>0.10367472527472543</v>
      </c>
      <c r="BS15" s="233">
        <f>BS14/BM14-1</f>
        <v>9.8103448275862037E-2</v>
      </c>
      <c r="BT15" s="233">
        <f>BT14/BN14-1</f>
        <v>0.14006750000000001</v>
      </c>
      <c r="BU15" s="297">
        <f>BU14/BO14-1</f>
        <v>0.12013828125000003</v>
      </c>
      <c r="BW15" s="237">
        <f>BW14/BQ14-1</f>
        <v>-2.8833685992382452E-2</v>
      </c>
      <c r="BX15" s="233">
        <f>BX14/BR14-1</f>
        <v>-3.823290426387782E-2</v>
      </c>
      <c r="BY15" s="233">
        <f>BY14/BS14-1</f>
        <v>-2.8755220599780307E-2</v>
      </c>
      <c r="BZ15" s="233">
        <f>BZ14/BT14-1</f>
        <v>-1.6515703017584538E-2</v>
      </c>
      <c r="CA15" s="297">
        <f>CA14/BU14-1</f>
        <v>-2.7093082466799201E-2</v>
      </c>
      <c r="CC15" s="237">
        <f>CC14/BW14-1</f>
        <v>-9.0959559294530035E-3</v>
      </c>
      <c r="CD15" s="233">
        <f>CD14/BX14-1</f>
        <v>-8.5601849973629962E-3</v>
      </c>
      <c r="CE15" s="233">
        <f>CE14/BY14-1</f>
        <v>-9.0144325977090656E-3</v>
      </c>
      <c r="CF15" s="233">
        <f>CF14/BZ14-1</f>
        <v>-6.6251215576867972E-3</v>
      </c>
      <c r="CG15" s="297">
        <f>CG14/CA14-1</f>
        <v>-8.1597947030657147E-3</v>
      </c>
      <c r="CI15" s="237">
        <f>CI14/CC14-1</f>
        <v>-4.2253490777452996E-3</v>
      </c>
      <c r="CJ15" s="233">
        <f>CJ14/CD14-1</f>
        <v>-3.6772649152957415E-3</v>
      </c>
      <c r="CK15" s="233">
        <f>CK14/CE14-1</f>
        <v>-4.1419139276124284E-3</v>
      </c>
      <c r="CL15" s="233">
        <f>CL14/CF14-1</f>
        <v>-1.702653056734893E-3</v>
      </c>
      <c r="CM15" s="297">
        <f>CM14/CG14-1</f>
        <v>-3.2680593434158967E-3</v>
      </c>
      <c r="CO15" s="237">
        <f>CO14/CI14-1</f>
        <v>-4.3108172763255403E-3</v>
      </c>
      <c r="CP15" s="233">
        <f>CP14/CJ14-1</f>
        <v>-3.752837743014048E-3</v>
      </c>
      <c r="CQ15" s="233">
        <f>CQ14/CK14-1</f>
        <v>-4.2258361163545199E-3</v>
      </c>
      <c r="CR15" s="233">
        <f>CR14/CL14-1</f>
        <v>-1.7476552378351551E-3</v>
      </c>
      <c r="CS15" s="297">
        <f>CS14/CM14-1</f>
        <v>-3.3366442883924208E-3</v>
      </c>
      <c r="CU15" s="237">
        <f>CU14/CO14-1</f>
        <v>-4.3978839230837119E-3</v>
      </c>
      <c r="CV15" s="233">
        <f>CV14/CP14-1</f>
        <v>-3.8297385076617729E-3</v>
      </c>
      <c r="CW15" s="233">
        <f>CW14/CQ14-1</f>
        <v>-4.3113133813138527E-3</v>
      </c>
      <c r="CX15" s="233">
        <f>CX14/CR14-1</f>
        <v>-1.7932658005828106E-3</v>
      </c>
      <c r="CY15" s="297">
        <f>CY14/CS14-1</f>
        <v>-3.4063765982974559E-3</v>
      </c>
      <c r="DA15" s="237">
        <f>DA14/CU14-1</f>
        <v>-4.4865942831819883E-3</v>
      </c>
      <c r="DB15" s="233">
        <f>DB14/CV14-1</f>
        <v>-3.9080025204790703E-3</v>
      </c>
      <c r="DC15" s="233">
        <f>DC14/CW14-1</f>
        <v>-4.3983893499878191E-3</v>
      </c>
      <c r="DD15" s="233">
        <f>DD14/CX14-1</f>
        <v>-1.8394971659465575E-3</v>
      </c>
      <c r="DE15" s="297">
        <f>DE14/CY14-1</f>
        <v>-3.4772853075777377E-3</v>
      </c>
      <c r="DG15" s="237">
        <f>DG14/DA14-1</f>
        <v>-4.5769953471727076E-3</v>
      </c>
      <c r="DH15" s="233">
        <f>DH14/DB14-1</f>
        <v>-3.9876663558532366E-3</v>
      </c>
      <c r="DI15" s="233">
        <f>DI14/DC14-1</f>
        <v>-4.4871092972327276E-3</v>
      </c>
      <c r="DJ15" s="233">
        <f>DJ14/DD14-1</f>
        <v>-1.8863620953341043E-3</v>
      </c>
      <c r="DK15" s="297">
        <f>DK14/DE14-1</f>
        <v>-3.5494004386493749E-3</v>
      </c>
    </row>
    <row r="16" spans="2:115" s="241" customFormat="1" ht="15" x14ac:dyDescent="0.3">
      <c r="B16" s="39"/>
      <c r="C16" s="216"/>
      <c r="D16" s="166"/>
      <c r="E16" s="166"/>
      <c r="F16" s="166"/>
      <c r="G16" s="243"/>
      <c r="H16" s="166"/>
      <c r="I16" s="216"/>
      <c r="J16" s="166"/>
      <c r="K16" s="166"/>
      <c r="L16" s="166"/>
      <c r="M16" s="243"/>
      <c r="N16" s="166"/>
      <c r="O16" s="216"/>
      <c r="P16" s="166"/>
      <c r="Q16" s="166"/>
      <c r="R16" s="166"/>
      <c r="S16" s="243"/>
      <c r="T16" s="166"/>
      <c r="U16" s="216"/>
      <c r="V16" s="166"/>
      <c r="W16" s="166"/>
      <c r="X16" s="166"/>
      <c r="Y16" s="243"/>
      <c r="AA16" s="216"/>
      <c r="AB16" s="166"/>
      <c r="AC16" s="166"/>
      <c r="AD16" s="166"/>
      <c r="AE16" s="243"/>
      <c r="AG16" s="216"/>
      <c r="AH16" s="166"/>
      <c r="AI16" s="166"/>
      <c r="AJ16" s="166"/>
      <c r="AK16" s="243"/>
      <c r="AM16" s="216"/>
      <c r="AN16" s="166"/>
      <c r="AO16" s="166"/>
      <c r="AP16" s="166"/>
      <c r="AQ16" s="243"/>
      <c r="AS16" s="216"/>
      <c r="AT16" s="166"/>
      <c r="AU16" s="166"/>
      <c r="AV16" s="166"/>
      <c r="AW16" s="243"/>
      <c r="AY16" s="216"/>
      <c r="AZ16" s="166"/>
      <c r="BA16" s="166"/>
      <c r="BB16" s="166"/>
      <c r="BC16" s="243"/>
      <c r="BE16" s="216"/>
      <c r="BF16" s="166"/>
      <c r="BG16" s="166"/>
      <c r="BH16" s="166"/>
      <c r="BI16" s="243"/>
      <c r="BK16" s="216"/>
      <c r="BL16" s="166"/>
      <c r="BM16" s="166"/>
      <c r="BN16" s="166"/>
      <c r="BO16" s="243"/>
      <c r="BQ16" s="216"/>
      <c r="BR16" s="166"/>
      <c r="BS16" s="166"/>
      <c r="BT16" s="166"/>
      <c r="BU16" s="243"/>
      <c r="BW16" s="216"/>
      <c r="BX16" s="166"/>
      <c r="BY16" s="166"/>
      <c r="BZ16" s="166"/>
      <c r="CA16" s="243"/>
      <c r="CC16" s="216"/>
      <c r="CD16" s="166"/>
      <c r="CE16" s="166"/>
      <c r="CF16" s="166"/>
      <c r="CG16" s="243"/>
      <c r="CI16" s="216"/>
      <c r="CJ16" s="166"/>
      <c r="CK16" s="166"/>
      <c r="CL16" s="166"/>
      <c r="CM16" s="243"/>
      <c r="CO16" s="216"/>
      <c r="CP16" s="166"/>
      <c r="CQ16" s="166"/>
      <c r="CR16" s="166"/>
      <c r="CS16" s="243"/>
      <c r="CU16" s="216"/>
      <c r="CV16" s="166"/>
      <c r="CW16" s="166"/>
      <c r="CX16" s="166"/>
      <c r="CY16" s="243"/>
      <c r="DA16" s="216"/>
      <c r="DB16" s="166"/>
      <c r="DC16" s="166"/>
      <c r="DD16" s="166"/>
      <c r="DE16" s="243"/>
      <c r="DG16" s="216"/>
      <c r="DH16" s="166"/>
      <c r="DI16" s="166"/>
      <c r="DJ16" s="166"/>
      <c r="DK16" s="243"/>
    </row>
    <row r="17" spans="1:115" s="241" customFormat="1" ht="15" x14ac:dyDescent="0.3">
      <c r="B17" s="39" t="s">
        <v>24</v>
      </c>
      <c r="C17" s="216"/>
      <c r="D17" s="166"/>
      <c r="E17" s="166"/>
      <c r="F17" s="166"/>
      <c r="G17" s="243"/>
      <c r="H17" s="166"/>
      <c r="I17" s="296">
        <f>I14/I5</f>
        <v>6.0916709959174559E-2</v>
      </c>
      <c r="J17" s="228">
        <f>J14/J5</f>
        <v>8.3112824524529436E-2</v>
      </c>
      <c r="K17" s="228">
        <f>K14/K5</f>
        <v>0.12639412948277903</v>
      </c>
      <c r="L17" s="228">
        <f>L14/L5</f>
        <v>8.1584672760562568E-2</v>
      </c>
      <c r="M17" s="298">
        <f>M14/M5</f>
        <v>8.8079309073162707E-2</v>
      </c>
      <c r="N17" s="166"/>
      <c r="O17" s="296">
        <f>O14/O5</f>
        <v>7.6448243114909775E-2</v>
      </c>
      <c r="P17" s="228">
        <f>P14/P5</f>
        <v>7.8476365305185869E-2</v>
      </c>
      <c r="Q17" s="228">
        <f>Q14/Q5</f>
        <v>6.7764705882352935E-2</v>
      </c>
      <c r="R17" s="228">
        <f>R14/R5</f>
        <v>8.5845896147403691E-2</v>
      </c>
      <c r="S17" s="298">
        <f>S14/S5</f>
        <v>7.7403955444419192E-2</v>
      </c>
      <c r="T17" s="134"/>
      <c r="U17" s="296">
        <f>U14/U5</f>
        <v>6.9450961989676208E-2</v>
      </c>
      <c r="V17" s="228">
        <f>V14/V5</f>
        <v>9.8126672613737739E-2</v>
      </c>
      <c r="W17" s="228">
        <f>W14/W5</f>
        <v>9.3877551020408165E-2</v>
      </c>
      <c r="X17" s="228">
        <f>X14/X5</f>
        <v>6.0508269463493344E-2</v>
      </c>
      <c r="Y17" s="298">
        <f>Y14/Y5</f>
        <v>8.0048581207905492E-2</v>
      </c>
      <c r="Z17" s="260"/>
      <c r="AA17" s="296">
        <f>AA14/AA5</f>
        <v>0.10359408033826638</v>
      </c>
      <c r="AB17" s="228">
        <f>AB14/AB5</f>
        <v>0.10625787484250315</v>
      </c>
      <c r="AC17" s="228">
        <f>AC14/AC5</f>
        <v>0.1177875049741345</v>
      </c>
      <c r="AD17" s="228">
        <f>AD14/AD5</f>
        <v>0.22976985894580548</v>
      </c>
      <c r="AE17" s="298">
        <f>AE14/AE5</f>
        <v>0.14196724605646538</v>
      </c>
      <c r="AF17" s="260"/>
      <c r="AG17" s="296">
        <f>AG14/AG5</f>
        <v>9.039087947882736E-2</v>
      </c>
      <c r="AH17" s="228">
        <f>AH14/AH5</f>
        <v>0.11383748994368463</v>
      </c>
      <c r="AI17" s="228">
        <f>AI14/AI5</f>
        <v>0.12873051224944321</v>
      </c>
      <c r="AJ17" s="228">
        <f>AJ14/AJ5</f>
        <v>0.13891834570519618</v>
      </c>
      <c r="AK17" s="298">
        <f>AK14/AK5</f>
        <v>0.11851038338658147</v>
      </c>
      <c r="AL17" s="260"/>
      <c r="AM17" s="296">
        <f>AM14/AM5</f>
        <v>9.3890386343216531E-2</v>
      </c>
      <c r="AN17" s="228">
        <f>AN14/AN5</f>
        <v>9.8156682027649766E-2</v>
      </c>
      <c r="AO17" s="228">
        <f>AO14/AO5</f>
        <v>0.12419503219871206</v>
      </c>
      <c r="AP17" s="228">
        <f>AP14/AP5</f>
        <v>0.15153970826580226</v>
      </c>
      <c r="AQ17" s="298">
        <f>AQ14/AQ5</f>
        <v>0.11794644832927639</v>
      </c>
      <c r="AR17" s="260"/>
      <c r="AS17" s="296">
        <f>AS14/AS5</f>
        <v>0.1232943469785575</v>
      </c>
      <c r="AT17" s="228">
        <f>AT14/AT5</f>
        <v>0.11614083219021491</v>
      </c>
      <c r="AU17" s="228">
        <f>AU14/AU5</f>
        <v>0.15425531914893617</v>
      </c>
      <c r="AV17" s="228">
        <f>AV14/AV5</f>
        <v>0.15039232781168266</v>
      </c>
      <c r="AW17" s="298">
        <f>AW14/AW5</f>
        <v>0.13614695965585397</v>
      </c>
      <c r="AX17" s="260"/>
      <c r="AY17" s="296">
        <f>AY14/AY5</f>
        <v>0.12869745718733783</v>
      </c>
      <c r="AZ17" s="228">
        <f>AZ14/AZ5</f>
        <v>0.13314037626628075</v>
      </c>
      <c r="BA17" s="228">
        <f>BA14/BA5</f>
        <v>0.13884785819793205</v>
      </c>
      <c r="BB17" s="228">
        <f>BB14/BB5</f>
        <v>0.15950069348127602</v>
      </c>
      <c r="BC17" s="298">
        <f>BC14/BC5</f>
        <v>0.14046863558701489</v>
      </c>
      <c r="BD17" s="260"/>
      <c r="BE17" s="296">
        <f>BE14/BE5</f>
        <v>4.195804195804196E-2</v>
      </c>
      <c r="BF17" s="228">
        <f>BF14/BF5</f>
        <v>5.5846422338568937E-2</v>
      </c>
      <c r="BG17" s="228">
        <f>BG14/BG5</f>
        <v>5.0776583034647549E-2</v>
      </c>
      <c r="BH17" s="228">
        <f>BH14/BH5</f>
        <v>8.213670304422746E-2</v>
      </c>
      <c r="BI17" s="298">
        <f>BI14/BI5</f>
        <v>5.7486057486057486E-2</v>
      </c>
      <c r="BJ17" s="260"/>
      <c r="BK17" s="296">
        <f>BK14/BK5</f>
        <v>5.0469483568075117E-2</v>
      </c>
      <c r="BL17" s="228">
        <f>BL14/BL5</f>
        <v>5.3909952606635073E-2</v>
      </c>
      <c r="BM17" s="228">
        <f>BM14/BM5</f>
        <v>5.0966608084358524E-2</v>
      </c>
      <c r="BN17" s="228">
        <f>BN14/BN5</f>
        <v>6.5970313358988453E-2</v>
      </c>
      <c r="BO17" s="298">
        <f>BO14/BO5</f>
        <v>5.5507372072853424E-2</v>
      </c>
      <c r="BP17" s="260"/>
      <c r="BQ17" s="296">
        <f>BK17+BQ18</f>
        <v>5.5469483568075115E-2</v>
      </c>
      <c r="BR17" s="228">
        <f>BL17+BR18</f>
        <v>5.890995260663507E-2</v>
      </c>
      <c r="BS17" s="228">
        <f>BM17+BS18</f>
        <v>5.5966608084358521E-2</v>
      </c>
      <c r="BT17" s="228">
        <f>BN17+BT18</f>
        <v>7.5970313358988448E-2</v>
      </c>
      <c r="BU17" s="298">
        <f>BU14/BU5</f>
        <v>6.1731462252845593E-2</v>
      </c>
      <c r="BV17" s="260"/>
      <c r="BW17" s="296">
        <f>BQ17+BW18</f>
        <v>5.4969483568075114E-2</v>
      </c>
      <c r="BX17" s="228">
        <f>BR17+BX18</f>
        <v>5.840995260663507E-2</v>
      </c>
      <c r="BY17" s="228">
        <f>BS17+BY18</f>
        <v>5.5466608084358521E-2</v>
      </c>
      <c r="BZ17" s="228">
        <f>BT17+BZ18</f>
        <v>7.5470313358988447E-2</v>
      </c>
      <c r="CA17" s="298">
        <f>CA14/CA5</f>
        <v>6.1276051444303467E-2</v>
      </c>
      <c r="CB17" s="260"/>
      <c r="CC17" s="296">
        <f>BW17+CC18</f>
        <v>5.4469483568075114E-2</v>
      </c>
      <c r="CD17" s="228">
        <f>BX17+CD18</f>
        <v>5.7909952606635069E-2</v>
      </c>
      <c r="CE17" s="228">
        <f>BY17+CE18</f>
        <v>5.496660808435852E-2</v>
      </c>
      <c r="CF17" s="228">
        <f>BZ17+CF18</f>
        <v>7.4970313358988447E-2</v>
      </c>
      <c r="CG17" s="298">
        <f>CG14/CG5</f>
        <v>6.077605144430346E-2</v>
      </c>
      <c r="CH17" s="260"/>
      <c r="CI17" s="296">
        <f>CC17+CI18</f>
        <v>5.3969483568075113E-2</v>
      </c>
      <c r="CJ17" s="228">
        <f>CD17+CJ18</f>
        <v>5.7409952606635069E-2</v>
      </c>
      <c r="CK17" s="228">
        <f>CE17+CK18</f>
        <v>5.446660808435852E-2</v>
      </c>
      <c r="CL17" s="228">
        <f>CF17+CL18</f>
        <v>7.4470313358988446E-2</v>
      </c>
      <c r="CM17" s="298">
        <f>CM14/CM5</f>
        <v>6.0276051444303466E-2</v>
      </c>
      <c r="CN17" s="260"/>
      <c r="CO17" s="296">
        <f>CI17+CO18</f>
        <v>5.3469483568075113E-2</v>
      </c>
      <c r="CP17" s="228">
        <f>CJ17+CP18</f>
        <v>5.6909952606635068E-2</v>
      </c>
      <c r="CQ17" s="228">
        <f>CK17+CQ18</f>
        <v>5.3966608084358519E-2</v>
      </c>
      <c r="CR17" s="228">
        <f>CL17+CR18</f>
        <v>7.3970313358988446E-2</v>
      </c>
      <c r="CS17" s="298">
        <f>CS14/CS5</f>
        <v>5.9776051444303466E-2</v>
      </c>
      <c r="CT17" s="260"/>
      <c r="CU17" s="296">
        <f>CO17+CU18</f>
        <v>5.2969483568075112E-2</v>
      </c>
      <c r="CV17" s="228">
        <f>CP17+CV18</f>
        <v>5.6409952606635068E-2</v>
      </c>
      <c r="CW17" s="228">
        <f>CQ17+CW18</f>
        <v>5.3466608084358519E-2</v>
      </c>
      <c r="CX17" s="228">
        <f>CR17+CX18</f>
        <v>7.3470313358988446E-2</v>
      </c>
      <c r="CY17" s="298">
        <f>CY14/CY5</f>
        <v>5.9276051444303458E-2</v>
      </c>
      <c r="CZ17" s="260"/>
      <c r="DA17" s="296">
        <f>CU17+DA18</f>
        <v>5.2469483568075112E-2</v>
      </c>
      <c r="DB17" s="228">
        <f>CV17+DB18</f>
        <v>5.5909952606635067E-2</v>
      </c>
      <c r="DC17" s="228">
        <f>CW17+DC18</f>
        <v>5.2966608084358519E-2</v>
      </c>
      <c r="DD17" s="228">
        <f>CX17+DD18</f>
        <v>7.2970313358988445E-2</v>
      </c>
      <c r="DE17" s="298">
        <f>DE14/DE5</f>
        <v>5.8776051444303451E-2</v>
      </c>
      <c r="DF17" s="260"/>
      <c r="DG17" s="296">
        <f>DA17+DG18</f>
        <v>5.1969483568075112E-2</v>
      </c>
      <c r="DH17" s="228">
        <f>DB17+DH18</f>
        <v>5.5409952606635067E-2</v>
      </c>
      <c r="DI17" s="228">
        <f>DC17+DI18</f>
        <v>5.2466608084358518E-2</v>
      </c>
      <c r="DJ17" s="228">
        <f>DD17+DJ18</f>
        <v>7.2470313358988445E-2</v>
      </c>
      <c r="DK17" s="298">
        <f>DK14/DK5</f>
        <v>5.8276051444303457E-2</v>
      </c>
    </row>
    <row r="18" spans="1:115" s="241" customFormat="1" ht="15.75" thickBot="1" x14ac:dyDescent="0.35">
      <c r="B18" s="41" t="s">
        <v>40</v>
      </c>
      <c r="C18" s="130"/>
      <c r="D18" s="131"/>
      <c r="E18" s="131"/>
      <c r="F18" s="131"/>
      <c r="G18" s="275"/>
      <c r="H18" s="166"/>
      <c r="I18" s="130" t="s">
        <v>35</v>
      </c>
      <c r="J18" s="131" t="s">
        <v>35</v>
      </c>
      <c r="K18" s="131" t="s">
        <v>35</v>
      </c>
      <c r="L18" s="131" t="s">
        <v>35</v>
      </c>
      <c r="M18" s="275" t="s">
        <v>35</v>
      </c>
      <c r="N18" s="166"/>
      <c r="O18" s="290">
        <f>O17-I17</f>
        <v>1.5531533155735217E-2</v>
      </c>
      <c r="P18" s="175">
        <f>P17-J17</f>
        <v>-4.6364592193435666E-3</v>
      </c>
      <c r="Q18" s="175">
        <f>Q17-K17</f>
        <v>-5.8629423600426098E-2</v>
      </c>
      <c r="R18" s="175">
        <f>R17-L17</f>
        <v>4.2612233868411231E-3</v>
      </c>
      <c r="S18" s="177">
        <f>S17-M17</f>
        <v>-1.0675353628743514E-2</v>
      </c>
      <c r="T18" s="103"/>
      <c r="U18" s="174">
        <f>U17-O17</f>
        <v>-6.9972811252335676E-3</v>
      </c>
      <c r="V18" s="175">
        <f>V17-P17</f>
        <v>1.965030730855187E-2</v>
      </c>
      <c r="W18" s="175">
        <f>W17-Q17</f>
        <v>2.611284513805523E-2</v>
      </c>
      <c r="X18" s="175">
        <f>X17-R17</f>
        <v>-2.5337626683910347E-2</v>
      </c>
      <c r="Y18" s="177">
        <f>Y17-S17</f>
        <v>2.6446257634862996E-3</v>
      </c>
      <c r="AA18" s="174">
        <f>AA17-U17</f>
        <v>3.4143118348590171E-2</v>
      </c>
      <c r="AB18" s="175">
        <f>AB17-V17</f>
        <v>8.1312022287654134E-3</v>
      </c>
      <c r="AC18" s="175">
        <f>AC17-W17</f>
        <v>2.3909953953726332E-2</v>
      </c>
      <c r="AD18" s="175">
        <f>AD17-X17</f>
        <v>0.16926158948231212</v>
      </c>
      <c r="AE18" s="177">
        <f>AE17-Y17</f>
        <v>6.1918664848559887E-2</v>
      </c>
      <c r="AG18" s="174">
        <f>AG17-AA17</f>
        <v>-1.3203200859439018E-2</v>
      </c>
      <c r="AH18" s="175">
        <f>AH17-AB17</f>
        <v>7.5796151011814777E-3</v>
      </c>
      <c r="AI18" s="175">
        <f>AI17-AC17</f>
        <v>1.0943007275308711E-2</v>
      </c>
      <c r="AJ18" s="175">
        <f>AJ17-AD17</f>
        <v>-9.0851513240609305E-2</v>
      </c>
      <c r="AK18" s="177">
        <f>AK17-AE17</f>
        <v>-2.3456862669883907E-2</v>
      </c>
      <c r="AM18" s="174">
        <f>AM17-AG17</f>
        <v>3.4995068643891708E-3</v>
      </c>
      <c r="AN18" s="175">
        <f>AN17-AH17</f>
        <v>-1.5680807916034864E-2</v>
      </c>
      <c r="AO18" s="175">
        <f>AO17-AI17</f>
        <v>-4.5354800507311499E-3</v>
      </c>
      <c r="AP18" s="175">
        <f>AP17-AJ17</f>
        <v>1.2621362560606086E-2</v>
      </c>
      <c r="AQ18" s="177">
        <f>AQ17-AK17</f>
        <v>-5.6393505730507887E-4</v>
      </c>
      <c r="AS18" s="174">
        <f>AS17-AM17</f>
        <v>2.9403960635340967E-2</v>
      </c>
      <c r="AT18" s="175">
        <f>AT17-AN17</f>
        <v>1.7984150162565146E-2</v>
      </c>
      <c r="AU18" s="175">
        <f>AU17-AO17</f>
        <v>3.0060286950224113E-2</v>
      </c>
      <c r="AV18" s="175">
        <f>AV17-AP17</f>
        <v>-1.1473804541196064E-3</v>
      </c>
      <c r="AW18" s="177">
        <f>AW17-AQ17</f>
        <v>1.8200511326577573E-2</v>
      </c>
      <c r="AY18" s="174">
        <f>AY17-AS17</f>
        <v>5.403110208780329E-3</v>
      </c>
      <c r="AZ18" s="175">
        <f>AZ17-AT17</f>
        <v>1.699954407606584E-2</v>
      </c>
      <c r="BA18" s="175">
        <f>BA17-AU17</f>
        <v>-1.540746095100412E-2</v>
      </c>
      <c r="BB18" s="175">
        <f>BB17-AV17</f>
        <v>9.1083656695933601E-3</v>
      </c>
      <c r="BC18" s="177">
        <f>BC17-AW17</f>
        <v>4.3216759311609232E-3</v>
      </c>
      <c r="BE18" s="174">
        <v>-1.2999999999999999E-2</v>
      </c>
      <c r="BF18" s="175">
        <v>-4.0000000000000001E-3</v>
      </c>
      <c r="BG18" s="175">
        <v>-0.01</v>
      </c>
      <c r="BH18" s="175">
        <v>2E-3</v>
      </c>
      <c r="BI18" s="177">
        <f>BI17-BC17</f>
        <v>-8.298257810095741E-2</v>
      </c>
      <c r="BK18" s="174">
        <f>BK17-BE17</f>
        <v>8.5114416100331575E-3</v>
      </c>
      <c r="BL18" s="175">
        <f>BL17-BF17</f>
        <v>-1.9364697319338639E-3</v>
      </c>
      <c r="BM18" s="175">
        <f>BM17-BG17</f>
        <v>1.9002504971097484E-4</v>
      </c>
      <c r="BN18" s="175">
        <f>BN17-BH17</f>
        <v>-1.6166389685239008E-2</v>
      </c>
      <c r="BO18" s="177">
        <f>BO17-BI17</f>
        <v>-1.9786854132040621E-3</v>
      </c>
      <c r="BQ18" s="174">
        <v>5.0000000000000001E-3</v>
      </c>
      <c r="BR18" s="175">
        <v>5.0000000000000001E-3</v>
      </c>
      <c r="BS18" s="175">
        <v>5.0000000000000001E-3</v>
      </c>
      <c r="BT18" s="175">
        <v>0.01</v>
      </c>
      <c r="BU18" s="177">
        <f>BU17-BO17</f>
        <v>6.2240901799921686E-3</v>
      </c>
      <c r="BW18" s="174">
        <v>-5.0000000000000001E-4</v>
      </c>
      <c r="BX18" s="175">
        <f>BW18</f>
        <v>-5.0000000000000001E-4</v>
      </c>
      <c r="BY18" s="175">
        <f>BX18</f>
        <v>-5.0000000000000001E-4</v>
      </c>
      <c r="BZ18" s="175">
        <f>BY18</f>
        <v>-5.0000000000000001E-4</v>
      </c>
      <c r="CA18" s="177">
        <f>CA17-BU17</f>
        <v>-4.5541080854212546E-4</v>
      </c>
      <c r="CC18" s="174">
        <v>-5.0000000000000001E-4</v>
      </c>
      <c r="CD18" s="175">
        <f>CC18</f>
        <v>-5.0000000000000001E-4</v>
      </c>
      <c r="CE18" s="175">
        <f>CD18</f>
        <v>-5.0000000000000001E-4</v>
      </c>
      <c r="CF18" s="175">
        <f>CE18</f>
        <v>-5.0000000000000001E-4</v>
      </c>
      <c r="CG18" s="177">
        <f>CG17-CA17</f>
        <v>-5.0000000000000738E-4</v>
      </c>
      <c r="CI18" s="174">
        <v>-5.0000000000000001E-4</v>
      </c>
      <c r="CJ18" s="175">
        <f>CI18</f>
        <v>-5.0000000000000001E-4</v>
      </c>
      <c r="CK18" s="175">
        <f>CJ18</f>
        <v>-5.0000000000000001E-4</v>
      </c>
      <c r="CL18" s="175">
        <f>CK18</f>
        <v>-5.0000000000000001E-4</v>
      </c>
      <c r="CM18" s="177">
        <f>CM17-CG17</f>
        <v>-4.9999999999999351E-4</v>
      </c>
      <c r="CO18" s="174">
        <v>-5.0000000000000001E-4</v>
      </c>
      <c r="CP18" s="175">
        <f>CO18</f>
        <v>-5.0000000000000001E-4</v>
      </c>
      <c r="CQ18" s="175">
        <f>CP18</f>
        <v>-5.0000000000000001E-4</v>
      </c>
      <c r="CR18" s="175">
        <f>CQ18</f>
        <v>-5.0000000000000001E-4</v>
      </c>
      <c r="CS18" s="177">
        <f>CS17-CM17</f>
        <v>-5.0000000000000044E-4</v>
      </c>
      <c r="CU18" s="174">
        <v>-5.0000000000000001E-4</v>
      </c>
      <c r="CV18" s="175">
        <f>CU18</f>
        <v>-5.0000000000000001E-4</v>
      </c>
      <c r="CW18" s="175">
        <f>CV18</f>
        <v>-5.0000000000000001E-4</v>
      </c>
      <c r="CX18" s="175">
        <f>CW18</f>
        <v>-5.0000000000000001E-4</v>
      </c>
      <c r="CY18" s="177">
        <f>CY17-CS17</f>
        <v>-5.0000000000000738E-4</v>
      </c>
      <c r="DA18" s="174">
        <v>-5.0000000000000001E-4</v>
      </c>
      <c r="DB18" s="175">
        <f>DA18</f>
        <v>-5.0000000000000001E-4</v>
      </c>
      <c r="DC18" s="175">
        <f>DB18</f>
        <v>-5.0000000000000001E-4</v>
      </c>
      <c r="DD18" s="175">
        <f>DC18</f>
        <v>-5.0000000000000001E-4</v>
      </c>
      <c r="DE18" s="177">
        <f>DE17-CY17</f>
        <v>-5.0000000000000738E-4</v>
      </c>
      <c r="DG18" s="174">
        <v>-5.0000000000000001E-4</v>
      </c>
      <c r="DH18" s="175">
        <f>DG18</f>
        <v>-5.0000000000000001E-4</v>
      </c>
      <c r="DI18" s="175">
        <f>DH18</f>
        <v>-5.0000000000000001E-4</v>
      </c>
      <c r="DJ18" s="175">
        <f>DI18</f>
        <v>-5.0000000000000001E-4</v>
      </c>
      <c r="DK18" s="177">
        <f>DK17-DE17</f>
        <v>-4.9999999999999351E-4</v>
      </c>
    </row>
    <row r="19" spans="1:115" s="241" customFormat="1" ht="15.75" thickBot="1" x14ac:dyDescent="0.35">
      <c r="B19" s="1"/>
      <c r="C19" s="166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07"/>
      <c r="Q19" s="107"/>
      <c r="R19" s="107"/>
      <c r="S19" s="107"/>
      <c r="T19" s="103"/>
      <c r="U19" s="107"/>
      <c r="V19" s="107"/>
      <c r="W19" s="166"/>
      <c r="X19" s="166"/>
      <c r="Y19" s="166"/>
      <c r="AA19" s="166"/>
      <c r="AB19" s="166"/>
      <c r="AC19" s="166"/>
      <c r="AD19" s="166"/>
      <c r="AE19" s="166"/>
      <c r="AG19" s="166"/>
      <c r="AH19" s="166"/>
      <c r="AI19" s="166"/>
      <c r="AJ19" s="166"/>
      <c r="AK19" s="166"/>
      <c r="AM19" s="166"/>
      <c r="AN19" s="166"/>
      <c r="AO19" s="166"/>
      <c r="AP19" s="166"/>
      <c r="AQ19" s="166"/>
      <c r="AS19" s="166"/>
      <c r="AT19" s="166"/>
      <c r="AU19" s="166"/>
      <c r="AV19" s="166"/>
      <c r="AW19" s="166"/>
      <c r="AY19" s="166"/>
      <c r="AZ19" s="166"/>
      <c r="BA19" s="166"/>
      <c r="BB19" s="166"/>
      <c r="BC19" s="166"/>
      <c r="BE19" s="166"/>
      <c r="BF19" s="166"/>
      <c r="BG19" s="166"/>
      <c r="BH19" s="166"/>
      <c r="BI19" s="166"/>
      <c r="BK19" s="166"/>
      <c r="BL19" s="166"/>
      <c r="BM19" s="166"/>
      <c r="BN19" s="166"/>
      <c r="BO19" s="166"/>
      <c r="BQ19" s="166"/>
      <c r="BR19" s="166"/>
      <c r="BS19" s="166"/>
      <c r="BT19" s="166"/>
      <c r="BU19" s="166"/>
      <c r="BW19" s="166"/>
      <c r="BX19" s="166"/>
      <c r="BY19" s="166"/>
      <c r="BZ19" s="166"/>
      <c r="CA19" s="166"/>
      <c r="CC19" s="166"/>
      <c r="CD19" s="166"/>
      <c r="CE19" s="166"/>
      <c r="CF19" s="166"/>
      <c r="CG19" s="166"/>
      <c r="CI19" s="166"/>
      <c r="CJ19" s="166"/>
      <c r="CK19" s="166"/>
      <c r="CL19" s="166"/>
      <c r="CM19" s="166"/>
      <c r="CO19" s="166"/>
      <c r="CP19" s="166"/>
      <c r="CQ19" s="166"/>
      <c r="CR19" s="166"/>
      <c r="CS19" s="166"/>
      <c r="CU19" s="166"/>
      <c r="CV19" s="166"/>
      <c r="CW19" s="166"/>
      <c r="CX19" s="166"/>
      <c r="CY19" s="166"/>
      <c r="DA19" s="166"/>
      <c r="DB19" s="166"/>
      <c r="DC19" s="166"/>
      <c r="DD19" s="166"/>
      <c r="DE19" s="166"/>
      <c r="DG19" s="166"/>
      <c r="DH19" s="166"/>
      <c r="DI19" s="166"/>
      <c r="DJ19" s="166"/>
      <c r="DK19" s="166"/>
    </row>
    <row r="20" spans="1:115" s="241" customFormat="1" ht="15" x14ac:dyDescent="0.3">
      <c r="B20" s="42" t="s">
        <v>38</v>
      </c>
      <c r="C20" s="126"/>
      <c r="D20" s="127"/>
      <c r="E20" s="127"/>
      <c r="F20" s="127"/>
      <c r="G20" s="167"/>
      <c r="H20" s="166"/>
      <c r="I20" s="251">
        <f>I8-I14</f>
        <v>70.006941346427936</v>
      </c>
      <c r="J20" s="252">
        <f>J8-J14</f>
        <v>0.86797364208862859</v>
      </c>
      <c r="K20" s="252">
        <f>K8-K14</f>
        <v>-86.750732868210974</v>
      </c>
      <c r="L20" s="258">
        <f>L8-L14</f>
        <v>19.057740940882752</v>
      </c>
      <c r="M20" s="253">
        <f>I20+J20+K20+L20</f>
        <v>3.1819230611883427</v>
      </c>
      <c r="N20" s="166"/>
      <c r="O20" s="126">
        <f>O8-O14</f>
        <v>50</v>
      </c>
      <c r="P20" s="127">
        <f>P8-P14</f>
        <v>60</v>
      </c>
      <c r="Q20" s="127">
        <f>Q8-Q14</f>
        <v>87</v>
      </c>
      <c r="R20" s="128">
        <f>R8-R14</f>
        <v>45</v>
      </c>
      <c r="S20" s="167">
        <f>O20+P20+Q20+R20</f>
        <v>242</v>
      </c>
      <c r="T20" s="166"/>
      <c r="U20" s="251">
        <f>U8-U14</f>
        <v>48</v>
      </c>
      <c r="V20" s="252">
        <f>V8-V14</f>
        <v>11</v>
      </c>
      <c r="W20" s="252">
        <f>W8-W14</f>
        <v>15</v>
      </c>
      <c r="X20" s="252">
        <f>X8-X14</f>
        <v>149</v>
      </c>
      <c r="Y20" s="253">
        <f>U20+V20+W20+X20</f>
        <v>223</v>
      </c>
      <c r="Z20" s="342"/>
      <c r="AA20" s="251">
        <f>AA8-AA14</f>
        <v>-101</v>
      </c>
      <c r="AB20" s="252">
        <f>AB8-AB14</f>
        <v>-100</v>
      </c>
      <c r="AC20" s="252">
        <f>AC8-AC14</f>
        <v>-141</v>
      </c>
      <c r="AD20" s="252">
        <f>AD8-AD14</f>
        <v>-399</v>
      </c>
      <c r="AE20" s="253">
        <f>AA20+AB20+AC20+AD20</f>
        <v>-741</v>
      </c>
      <c r="AF20" s="342"/>
      <c r="AG20" s="251">
        <f>AG8-AG14</f>
        <v>-80</v>
      </c>
      <c r="AH20" s="252">
        <f>AH8-AH14</f>
        <v>-104</v>
      </c>
      <c r="AI20" s="252">
        <f>AI8-AI14</f>
        <v>-103</v>
      </c>
      <c r="AJ20" s="252">
        <f>AJ8-AJ14</f>
        <v>-153</v>
      </c>
      <c r="AK20" s="253">
        <f>AG20+AH20+AI20+AJ20</f>
        <v>-440</v>
      </c>
      <c r="AL20" s="342"/>
      <c r="AM20" s="251">
        <f>AM8-AM14</f>
        <v>-41</v>
      </c>
      <c r="AN20" s="252">
        <f>AN8-AN14</f>
        <v>-3</v>
      </c>
      <c r="AO20" s="252">
        <f>AO8-AO14</f>
        <v>-73</v>
      </c>
      <c r="AP20" s="252">
        <f>AP8-AP14</f>
        <v>-175</v>
      </c>
      <c r="AQ20" s="253">
        <f>AM20+AN20+AO20+AP20</f>
        <v>-292</v>
      </c>
      <c r="AR20" s="342"/>
      <c r="AS20" s="251">
        <f>AS8-AS14</f>
        <v>-115</v>
      </c>
      <c r="AT20" s="252">
        <f>AT8-AT14</f>
        <v>34</v>
      </c>
      <c r="AU20" s="252">
        <f>AU8-AU14</f>
        <v>-122</v>
      </c>
      <c r="AV20" s="252">
        <f>AV8-AV14</f>
        <v>-133</v>
      </c>
      <c r="AW20" s="253">
        <f>AS20+AT20+AU20+AV20</f>
        <v>-336</v>
      </c>
      <c r="AX20" s="342"/>
      <c r="AY20" s="251">
        <f>AY8-AY14</f>
        <v>-103</v>
      </c>
      <c r="AZ20" s="252">
        <f>AZ8-AZ14</f>
        <v>-73</v>
      </c>
      <c r="BA20" s="252">
        <f>BA8-BA14</f>
        <v>-106</v>
      </c>
      <c r="BB20" s="252">
        <f>BB8-BB14</f>
        <v>-129</v>
      </c>
      <c r="BC20" s="253">
        <f>AY20+AZ20+BA20+BB20</f>
        <v>-411</v>
      </c>
      <c r="BD20" s="342"/>
      <c r="BE20" s="251">
        <f>BE8-BE14</f>
        <v>118</v>
      </c>
      <c r="BF20" s="252">
        <f>BF8-BF14</f>
        <v>15</v>
      </c>
      <c r="BG20" s="252">
        <f>BG8-BG14</f>
        <v>54</v>
      </c>
      <c r="BH20" s="252">
        <f>BH8-BH14</f>
        <v>-59</v>
      </c>
      <c r="BI20" s="253">
        <f>BE20+BF20+BG20+BH20</f>
        <v>128</v>
      </c>
      <c r="BJ20" s="342"/>
      <c r="BK20" s="251">
        <f>BK8-BK14</f>
        <v>10</v>
      </c>
      <c r="BL20" s="252">
        <f>BL8-BL14</f>
        <v>45</v>
      </c>
      <c r="BM20" s="252">
        <f>BM8-BM14</f>
        <v>44</v>
      </c>
      <c r="BN20" s="252">
        <f>BN8-BN14</f>
        <v>27</v>
      </c>
      <c r="BO20" s="253">
        <f>BK20+BL20+BM20+BN20</f>
        <v>126</v>
      </c>
      <c r="BP20" s="342"/>
      <c r="BQ20" s="251">
        <f>BQ8-BQ14</f>
        <v>-2.8633999999999844</v>
      </c>
      <c r="BR20" s="252">
        <f>BR8-BR14</f>
        <v>28.401199999999989</v>
      </c>
      <c r="BS20" s="252">
        <f>BS8-BS14</f>
        <v>22.662499999999994</v>
      </c>
      <c r="BT20" s="252">
        <f>BT8-BT14</f>
        <v>-45.302400000000006</v>
      </c>
      <c r="BU20" s="253">
        <f>BQ20+BR20+BS20+BT20</f>
        <v>2.8978999999999928</v>
      </c>
      <c r="BV20" s="342"/>
      <c r="BW20" s="251">
        <f>BW8-BW14</f>
        <v>2.3539208000000116</v>
      </c>
      <c r="BX20" s="252">
        <f>BX8-BX14</f>
        <v>32.510364799999991</v>
      </c>
      <c r="BY20" s="252">
        <f>BY8-BY14</f>
        <v>27.227829999999997</v>
      </c>
      <c r="BZ20" s="252">
        <f>BZ8-BZ14</f>
        <v>-39.500970299999992</v>
      </c>
      <c r="CA20" s="253">
        <f>BW20+BX20+BY20+BZ20</f>
        <v>22.591145300000008</v>
      </c>
      <c r="CB20" s="342"/>
      <c r="CC20" s="251">
        <f>CC8-CC14</f>
        <v>4.9339472000000058</v>
      </c>
      <c r="CD20" s="252">
        <f>CD8-CD14</f>
        <v>34.990965200000005</v>
      </c>
      <c r="CE20" s="252">
        <f>CE8-CE14</f>
        <v>29.737120000000004</v>
      </c>
      <c r="CF20" s="252">
        <f>CF8-CF14</f>
        <v>-36.826767449999963</v>
      </c>
      <c r="CG20" s="253">
        <f>CC20+CD20+CE20+CF20</f>
        <v>32.835264950000052</v>
      </c>
      <c r="CH20" s="342"/>
      <c r="CI20" s="251">
        <f>CI8-CI14</f>
        <v>7.5515434680000197</v>
      </c>
      <c r="CJ20" s="252">
        <f>CJ8-CJ14</f>
        <v>37.658923428000008</v>
      </c>
      <c r="CK20" s="252">
        <f>CK8-CK14</f>
        <v>32.407642049999993</v>
      </c>
      <c r="CL20" s="252">
        <f>CL8-CL14</f>
        <v>-34.323327422999981</v>
      </c>
      <c r="CM20" s="253">
        <f>CI20+CJ20+CK20+CL20</f>
        <v>43.29478152300004</v>
      </c>
      <c r="CN20" s="342"/>
      <c r="CO20" s="251">
        <f>CO8-CO14</f>
        <v>10.195192350000013</v>
      </c>
      <c r="CP20" s="252">
        <f>CP8-CP14</f>
        <v>40.352686464149983</v>
      </c>
      <c r="CQ20" s="252">
        <f>CQ8-CQ14</f>
        <v>35.104125892499994</v>
      </c>
      <c r="CR20" s="252">
        <f>CR8-CR14</f>
        <v>-31.793932326543725</v>
      </c>
      <c r="CS20" s="253">
        <f>CO20+CP20+CQ20+CR20</f>
        <v>53.858072380106265</v>
      </c>
      <c r="CT20" s="342"/>
      <c r="CU20" s="251">
        <f>CU8-CU14</f>
        <v>12.865088932233306</v>
      </c>
      <c r="CV20" s="252">
        <f>CV8-CV14</f>
        <v>43.072445657575798</v>
      </c>
      <c r="CW20" s="252">
        <f>CW8-CW14</f>
        <v>37.826764382373739</v>
      </c>
      <c r="CX20" s="252">
        <f>CX8-CX14</f>
        <v>-29.238385195937326</v>
      </c>
      <c r="CY20" s="253">
        <f>CU20+CV20+CW20+CX20</f>
        <v>64.525913776245517</v>
      </c>
      <c r="CZ20" s="342"/>
      <c r="DA20" s="251">
        <f>DA8-DA14</f>
        <v>13.806752784756384</v>
      </c>
      <c r="DB20" s="252">
        <f>DB8-DB14</f>
        <v>44.131336465833883</v>
      </c>
      <c r="DC20" s="252">
        <f>DC8-DC14</f>
        <v>38.869182687523377</v>
      </c>
      <c r="DD20" s="252">
        <f>DD8-DD14</f>
        <v>-28.475213996516899</v>
      </c>
      <c r="DE20" s="253">
        <f>DA20+DB20+DC20+DD20</f>
        <v>68.332057941596744</v>
      </c>
      <c r="DF20" s="342"/>
      <c r="DG20" s="251">
        <f>DG8-DG14</f>
        <v>14.757511648581385</v>
      </c>
      <c r="DH20" s="252">
        <f>DH8-DH14</f>
        <v>45.199739371033075</v>
      </c>
      <c r="DI20" s="252">
        <f>DI8-DI14</f>
        <v>39.921079506614944</v>
      </c>
      <c r="DJ20" s="252">
        <f>DJ8-DJ14</f>
        <v>-27.703680125472403</v>
      </c>
      <c r="DK20" s="253">
        <f>DG20+DH20+DI20+DJ20</f>
        <v>72.174650400757002</v>
      </c>
    </row>
    <row r="21" spans="1:115" s="241" customFormat="1" ht="15.75" thickBot="1" x14ac:dyDescent="0.35">
      <c r="B21" s="41" t="s">
        <v>23</v>
      </c>
      <c r="C21" s="130"/>
      <c r="D21" s="131"/>
      <c r="E21" s="131"/>
      <c r="F21" s="131"/>
      <c r="G21" s="275"/>
      <c r="H21" s="166"/>
      <c r="I21" s="130" t="s">
        <v>35</v>
      </c>
      <c r="J21" s="131" t="s">
        <v>35</v>
      </c>
      <c r="K21" s="131" t="s">
        <v>35</v>
      </c>
      <c r="L21" s="131" t="s">
        <v>35</v>
      </c>
      <c r="M21" s="275" t="s">
        <v>35</v>
      </c>
      <c r="N21" s="166"/>
      <c r="O21" s="289" t="s">
        <v>35</v>
      </c>
      <c r="P21" s="293" t="s">
        <v>35</v>
      </c>
      <c r="Q21" s="293" t="s">
        <v>35</v>
      </c>
      <c r="R21" s="293" t="s">
        <v>35</v>
      </c>
      <c r="S21" s="295" t="s">
        <v>35</v>
      </c>
      <c r="T21" s="166"/>
      <c r="U21" s="289">
        <f>U20/O20-1</f>
        <v>-4.0000000000000036E-2</v>
      </c>
      <c r="V21" s="293">
        <f>V20/P20-1</f>
        <v>-0.81666666666666665</v>
      </c>
      <c r="W21" s="293">
        <f>W20/Q20-1</f>
        <v>-0.82758620689655171</v>
      </c>
      <c r="X21" s="293">
        <f>X20/R20-1</f>
        <v>2.3111111111111109</v>
      </c>
      <c r="Y21" s="295">
        <f>Y20/S20-1</f>
        <v>-7.8512396694214837E-2</v>
      </c>
      <c r="AA21" s="289" t="s">
        <v>35</v>
      </c>
      <c r="AB21" s="293" t="s">
        <v>35</v>
      </c>
      <c r="AC21" s="293" t="s">
        <v>35</v>
      </c>
      <c r="AD21" s="294" t="s">
        <v>35</v>
      </c>
      <c r="AE21" s="295" t="s">
        <v>35</v>
      </c>
      <c r="AG21" s="289">
        <f>AG20/AA20-1</f>
        <v>-0.20792079207920788</v>
      </c>
      <c r="AH21" s="293">
        <f>AH20/AB20-1</f>
        <v>4.0000000000000036E-2</v>
      </c>
      <c r="AI21" s="293">
        <f>AI20/AC20-1</f>
        <v>-0.26950354609929073</v>
      </c>
      <c r="AJ21" s="294">
        <f>AJ20/AD20-1</f>
        <v>-0.61654135338345872</v>
      </c>
      <c r="AK21" s="295">
        <f>AK20/AE20-1</f>
        <v>-0.40620782726045879</v>
      </c>
      <c r="AM21" s="289">
        <f>AM20/AG20-1</f>
        <v>-0.48750000000000004</v>
      </c>
      <c r="AN21" s="293">
        <f>AN20/AH20-1</f>
        <v>-0.97115384615384615</v>
      </c>
      <c r="AO21" s="293">
        <f>AO20/AI20-1</f>
        <v>-0.29126213592233008</v>
      </c>
      <c r="AP21" s="294">
        <f>AP20/AJ20-1</f>
        <v>0.14379084967320255</v>
      </c>
      <c r="AQ21" s="295">
        <f>AQ20/AK20-1</f>
        <v>-0.33636363636363631</v>
      </c>
      <c r="AS21" s="289">
        <f>AS20/AM20-1</f>
        <v>1.8048780487804876</v>
      </c>
      <c r="AT21" s="293">
        <f>AT20/AN20-1</f>
        <v>-12.333333333333334</v>
      </c>
      <c r="AU21" s="293">
        <f>AU20/AO20-1</f>
        <v>0.67123287671232879</v>
      </c>
      <c r="AV21" s="294">
        <f>AV20/AP20-1</f>
        <v>-0.24</v>
      </c>
      <c r="AW21" s="295">
        <f>AW20/AQ20-1</f>
        <v>0.15068493150684925</v>
      </c>
      <c r="AY21" s="289">
        <f>AY20/AS20-1</f>
        <v>-0.10434782608695647</v>
      </c>
      <c r="AZ21" s="293">
        <f>AZ20/AT20-1</f>
        <v>-3.1470588235294117</v>
      </c>
      <c r="BA21" s="293">
        <f>BA20/AU20-1</f>
        <v>-0.13114754098360659</v>
      </c>
      <c r="BB21" s="294">
        <f>BB20/AV20-1</f>
        <v>-3.007518796992481E-2</v>
      </c>
      <c r="BC21" s="295">
        <f>BC20/AW20-1</f>
        <v>0.22321428571428581</v>
      </c>
      <c r="BE21" s="289">
        <v>-0.69902912621359226</v>
      </c>
      <c r="BF21" s="293">
        <v>0.16438356164383561</v>
      </c>
      <c r="BG21" s="293">
        <v>-5.6603773584905648E-2</v>
      </c>
      <c r="BH21" s="294">
        <v>1.0155038759689923</v>
      </c>
      <c r="BI21" s="295">
        <v>0.15815085158150843</v>
      </c>
      <c r="BK21" s="289">
        <f>BK20/BE20-1</f>
        <v>-0.9152542372881356</v>
      </c>
      <c r="BL21" s="293">
        <v>0.16438356164383561</v>
      </c>
      <c r="BM21" s="293">
        <v>0.16438356164383561</v>
      </c>
      <c r="BN21" s="294">
        <f>BN20/BH20-1</f>
        <v>-1.4576271186440679</v>
      </c>
      <c r="BO21" s="295">
        <f>BO20/BI20-1</f>
        <v>-1.5625E-2</v>
      </c>
      <c r="BQ21" s="289">
        <f>BQ20/BK20-1</f>
        <v>-1.2863399999999985</v>
      </c>
      <c r="BR21" s="293">
        <f>BR20/BL20-1</f>
        <v>-0.36886222222222242</v>
      </c>
      <c r="BS21" s="293">
        <f>BS20/BM20-1</f>
        <v>-0.48494318181818197</v>
      </c>
      <c r="BT21" s="294">
        <f>BT20/BN20-1</f>
        <v>-2.6778666666666666</v>
      </c>
      <c r="BU21" s="295">
        <f>BU20/BO20-1</f>
        <v>-0.97700079365079373</v>
      </c>
      <c r="BW21" s="289">
        <f>BW20/BQ20-1</f>
        <v>-1.8220719424460516</v>
      </c>
      <c r="BX21" s="293">
        <f>BX20/BR20-1</f>
        <v>0.14468278805120915</v>
      </c>
      <c r="BY21" s="293">
        <f>BY20/BS20-1</f>
        <v>0.20144864864864886</v>
      </c>
      <c r="BZ21" s="294">
        <f>BZ20/BT20-1</f>
        <v>-0.1280600961538465</v>
      </c>
      <c r="CA21" s="295">
        <f>CA20/BU20-1</f>
        <v>6.7956952620863609</v>
      </c>
      <c r="CC21" s="289">
        <f>CC20/BW20-1</f>
        <v>1.096054888507711</v>
      </c>
      <c r="CD21" s="293">
        <f>CD20/BX20-1</f>
        <v>7.6301832208293563E-2</v>
      </c>
      <c r="CE21" s="293">
        <f>CE20/BY20-1</f>
        <v>9.2159015242860187E-2</v>
      </c>
      <c r="CF21" s="294">
        <f>CF20/BZ20-1</f>
        <v>-6.7699674962162337E-2</v>
      </c>
      <c r="CG21" s="295">
        <f>CG20/CA20-1</f>
        <v>0.45345729550064195</v>
      </c>
      <c r="CI21" s="289">
        <f>CI20/CC20-1</f>
        <v>0.53052782324059145</v>
      </c>
      <c r="CJ21" s="293">
        <f>CJ20/CD20-1</f>
        <v>7.6247060141113376E-2</v>
      </c>
      <c r="CK21" s="293">
        <f>CK20/CE20-1</f>
        <v>8.9804327049828325E-2</v>
      </c>
      <c r="CL21" s="294">
        <f>CL20/CF20-1</f>
        <v>-6.7978815420031813E-2</v>
      </c>
      <c r="CM21" s="295">
        <f>CM20/CG20-1</f>
        <v>0.31854521621577381</v>
      </c>
      <c r="CO21" s="289">
        <f>CO20/CI20-1</f>
        <v>0.35008060182697309</v>
      </c>
      <c r="CP21" s="293">
        <f>CP20/CJ20-1</f>
        <v>7.153053754444616E-2</v>
      </c>
      <c r="CQ21" s="293">
        <f>CQ20/CK20-1</f>
        <v>8.3205184701180768E-2</v>
      </c>
      <c r="CR21" s="294">
        <f>CR20/CL20-1</f>
        <v>-7.3693178557079908E-2</v>
      </c>
      <c r="CS21" s="295">
        <f>CS20/CM20-1</f>
        <v>0.24398531383036426</v>
      </c>
      <c r="CU21" s="289">
        <f>CU20/CO20-1</f>
        <v>0.26187799999999894</v>
      </c>
      <c r="CV21" s="293">
        <f>CV20/CP20-1</f>
        <v>6.7399705738107274E-2</v>
      </c>
      <c r="CW21" s="293">
        <f>CW20/CQ20-1</f>
        <v>7.7558931340758308E-2</v>
      </c>
      <c r="CX21" s="294">
        <f>CX20/CR20-1</f>
        <v>-8.037845411380129E-2</v>
      </c>
      <c r="CY21" s="295">
        <f>CY20/CS20-1</f>
        <v>0.19807321214265494</v>
      </c>
      <c r="DA21" s="289">
        <f>DA20/CU20-1</f>
        <v>7.3195285122650944E-2</v>
      </c>
      <c r="DB21" s="293">
        <f>DB20/CV20-1</f>
        <v>2.4583949021056872E-2</v>
      </c>
      <c r="DC21" s="293">
        <f>DC20/CW20-1</f>
        <v>2.7557691549092045E-2</v>
      </c>
      <c r="DD21" s="294">
        <f>DD20/CX20-1</f>
        <v>-2.6101687706285182E-2</v>
      </c>
      <c r="DE21" s="295">
        <f>DE20/CY20-1</f>
        <v>5.8986288494102812E-2</v>
      </c>
      <c r="DG21" s="289">
        <f>DG20/DA20-1</f>
        <v>6.8861873508353488E-2</v>
      </c>
      <c r="DH21" s="293">
        <f>DH20/DB20-1</f>
        <v>2.4209620436633328E-2</v>
      </c>
      <c r="DI21" s="293">
        <f>DI20/DC20-1</f>
        <v>2.7062488747138458E-2</v>
      </c>
      <c r="DJ21" s="294">
        <f>DJ20/DD20-1</f>
        <v>-2.7094927930616075E-2</v>
      </c>
      <c r="DK21" s="295">
        <f>DK20/DE20-1</f>
        <v>5.6234109946527777E-2</v>
      </c>
    </row>
    <row r="22" spans="1:115" s="241" customFormat="1" x14ac:dyDescent="0.2">
      <c r="C22" s="166"/>
      <c r="D22" s="166"/>
      <c r="E22" s="166"/>
      <c r="F22" s="166"/>
      <c r="G22" s="166"/>
      <c r="H22" s="166"/>
      <c r="I22" s="166"/>
      <c r="J22" s="166"/>
      <c r="K22" s="166"/>
      <c r="L22" s="166"/>
      <c r="M22" s="166"/>
      <c r="N22" s="166"/>
      <c r="O22" s="166"/>
      <c r="P22" s="166"/>
      <c r="Q22" s="194"/>
      <c r="R22" s="166"/>
      <c r="S22" s="166"/>
      <c r="T22" s="166"/>
      <c r="U22" s="166"/>
      <c r="V22" s="166"/>
      <c r="W22" s="194"/>
      <c r="X22" s="166"/>
      <c r="Y22" s="166"/>
      <c r="AA22" s="166"/>
      <c r="AB22" s="166"/>
      <c r="AC22" s="194"/>
      <c r="AD22" s="166"/>
      <c r="AE22" s="166"/>
      <c r="AG22" s="166"/>
      <c r="AH22" s="166"/>
      <c r="AI22" s="166"/>
      <c r="AJ22" s="166"/>
      <c r="AK22" s="166"/>
      <c r="AM22" s="166"/>
      <c r="AN22" s="166"/>
      <c r="AO22" s="166"/>
      <c r="AP22" s="166"/>
      <c r="AQ22" s="166"/>
      <c r="AS22" s="194">
        <f>AS20-AM20</f>
        <v>-74</v>
      </c>
      <c r="AT22" s="194">
        <f>AT20-AN20</f>
        <v>37</v>
      </c>
      <c r="AU22" s="194">
        <f>AU20-AO20</f>
        <v>-49</v>
      </c>
      <c r="AV22" s="194">
        <f>AV20-AP20</f>
        <v>42</v>
      </c>
      <c r="AW22" s="166"/>
      <c r="AY22" s="194">
        <f>AY20-AS20</f>
        <v>12</v>
      </c>
      <c r="AZ22" s="194">
        <f>AZ20-AT20</f>
        <v>-107</v>
      </c>
      <c r="BA22" s="194">
        <f>BA20-AU20</f>
        <v>16</v>
      </c>
      <c r="BB22" s="194">
        <f>BB20-AV20</f>
        <v>4</v>
      </c>
      <c r="BC22" s="194">
        <f>BC20-AW20</f>
        <v>-75</v>
      </c>
      <c r="BE22" s="194">
        <f>BE20-AY20</f>
        <v>221</v>
      </c>
      <c r="BF22" s="194">
        <f>BF20-AZ20</f>
        <v>88</v>
      </c>
      <c r="BG22" s="194">
        <f>BG20-BA20</f>
        <v>160</v>
      </c>
      <c r="BH22" s="194">
        <f>BH20-BB20</f>
        <v>70</v>
      </c>
      <c r="BI22" s="194">
        <f>BI20-BC20</f>
        <v>539</v>
      </c>
      <c r="BK22" s="194">
        <f>BK20-BE20</f>
        <v>-108</v>
      </c>
      <c r="BL22" s="194">
        <f>BL20-BF20</f>
        <v>30</v>
      </c>
      <c r="BM22" s="194">
        <f>BM20-BG20</f>
        <v>-10</v>
      </c>
      <c r="BN22" s="194">
        <f>BN20-BH20</f>
        <v>86</v>
      </c>
      <c r="BO22" s="194">
        <f>BO20-BI20</f>
        <v>-2</v>
      </c>
      <c r="BQ22" s="194">
        <f>BQ20-BK20</f>
        <v>-12.863399999999984</v>
      </c>
      <c r="BR22" s="194">
        <f>BR20-BL20</f>
        <v>-16.598800000000011</v>
      </c>
      <c r="BS22" s="194">
        <f>BS20-BM20</f>
        <v>-21.337500000000006</v>
      </c>
      <c r="BT22" s="194">
        <f>BT20-BN20</f>
        <v>-72.302400000000006</v>
      </c>
      <c r="BU22" s="194">
        <f>BU20-BO20</f>
        <v>-123.10210000000001</v>
      </c>
      <c r="BW22" s="166"/>
      <c r="BX22" s="166"/>
      <c r="BY22" s="166"/>
      <c r="BZ22" s="166"/>
      <c r="CA22" s="166"/>
      <c r="CC22" s="166"/>
      <c r="CD22" s="166"/>
      <c r="CE22" s="166"/>
      <c r="CF22" s="166"/>
      <c r="CG22" s="166"/>
      <c r="CI22" s="166"/>
      <c r="CJ22" s="166"/>
      <c r="CK22" s="166"/>
      <c r="CL22" s="166"/>
      <c r="CM22" s="166"/>
      <c r="CO22" s="166"/>
      <c r="CP22" s="166"/>
      <c r="CQ22" s="166"/>
      <c r="CR22" s="166"/>
      <c r="CS22" s="166"/>
      <c r="CU22" s="166"/>
      <c r="CV22" s="166"/>
      <c r="CW22" s="166"/>
      <c r="CX22" s="166"/>
      <c r="CY22" s="166"/>
      <c r="DA22" s="166"/>
      <c r="DB22" s="166"/>
      <c r="DC22" s="166"/>
      <c r="DD22" s="166"/>
      <c r="DE22" s="166"/>
      <c r="DG22" s="166"/>
      <c r="DH22" s="166"/>
      <c r="DI22" s="166"/>
      <c r="DJ22" s="166"/>
      <c r="DK22" s="166"/>
    </row>
    <row r="23" spans="1:115" s="241" customFormat="1" x14ac:dyDescent="0.2">
      <c r="C23" s="166"/>
      <c r="D23" s="166"/>
      <c r="E23" s="166"/>
      <c r="F23" s="166"/>
      <c r="G23" s="166"/>
      <c r="H23" s="166"/>
      <c r="I23" s="166"/>
      <c r="J23" s="166"/>
      <c r="K23" s="166"/>
      <c r="L23" s="166"/>
      <c r="M23" s="166"/>
      <c r="N23" s="166"/>
      <c r="O23" s="411"/>
      <c r="P23" s="166"/>
      <c r="Q23" s="166"/>
      <c r="R23" s="166"/>
      <c r="S23" s="166"/>
      <c r="T23" s="166"/>
      <c r="U23" s="166"/>
      <c r="V23" s="166"/>
      <c r="W23" s="166"/>
      <c r="X23" s="166"/>
      <c r="Y23" s="166"/>
      <c r="AA23" s="166"/>
      <c r="AB23" s="166"/>
      <c r="AC23" s="166"/>
      <c r="AD23" s="166"/>
      <c r="AE23" s="166"/>
      <c r="AG23" s="166"/>
      <c r="AH23" s="166"/>
      <c r="AI23" s="166"/>
      <c r="AJ23" s="166"/>
      <c r="AK23" s="166"/>
      <c r="AM23" s="166"/>
      <c r="AN23" s="166"/>
      <c r="AO23" s="166"/>
      <c r="AP23" s="166"/>
      <c r="AQ23" s="166"/>
      <c r="AS23" s="166"/>
      <c r="AT23" s="166"/>
      <c r="AU23" s="166"/>
      <c r="AV23" s="166"/>
      <c r="AW23" s="166"/>
      <c r="AY23" s="166"/>
      <c r="AZ23" s="166"/>
      <c r="BA23" s="166"/>
      <c r="BB23" s="166"/>
      <c r="BC23" s="166"/>
      <c r="BE23" s="166"/>
      <c r="BF23" s="166"/>
      <c r="BG23" s="166"/>
      <c r="BH23" s="166"/>
      <c r="BI23" s="166"/>
      <c r="BK23" s="166"/>
      <c r="BL23" s="166"/>
      <c r="BM23" s="166"/>
      <c r="BN23" s="166"/>
      <c r="BO23" s="194">
        <f>BO20+BU20+CA20+CG20</f>
        <v>184.32431025000005</v>
      </c>
      <c r="BQ23" s="166"/>
      <c r="BR23" s="166"/>
      <c r="BS23" s="166"/>
      <c r="BT23" s="166"/>
      <c r="BU23" s="166"/>
      <c r="BW23" s="166"/>
      <c r="BX23" s="166"/>
      <c r="BY23" s="166"/>
      <c r="BZ23" s="166"/>
      <c r="CA23" s="166"/>
      <c r="CC23" s="166"/>
      <c r="CD23" s="166"/>
      <c r="CE23" s="166"/>
      <c r="CF23" s="166"/>
      <c r="CG23" s="166"/>
      <c r="CI23" s="166"/>
      <c r="CJ23" s="166"/>
      <c r="CK23" s="166"/>
      <c r="CL23" s="166"/>
      <c r="CM23" s="166"/>
      <c r="CO23" s="166"/>
      <c r="CP23" s="166"/>
      <c r="CQ23" s="166"/>
      <c r="CR23" s="166"/>
      <c r="CS23" s="166"/>
      <c r="CU23" s="166"/>
      <c r="CV23" s="166"/>
      <c r="CW23" s="166"/>
      <c r="CX23" s="166"/>
      <c r="CY23" s="166"/>
      <c r="DA23" s="166"/>
      <c r="DB23" s="166"/>
      <c r="DC23" s="166"/>
      <c r="DD23" s="166"/>
      <c r="DE23" s="166"/>
      <c r="DG23" s="166"/>
      <c r="DH23" s="166"/>
      <c r="DI23" s="166"/>
      <c r="DJ23" s="166"/>
      <c r="DK23" s="166"/>
    </row>
    <row r="24" spans="1:115" s="241" customFormat="1" x14ac:dyDescent="0.2">
      <c r="A24" s="276"/>
      <c r="B24" s="276"/>
      <c r="C24" s="277"/>
      <c r="D24" s="277"/>
      <c r="E24" s="277"/>
      <c r="F24" s="277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7"/>
      <c r="V24" s="277"/>
      <c r="W24" s="277"/>
      <c r="X24" s="277"/>
      <c r="Y24" s="277"/>
      <c r="Z24" s="276"/>
      <c r="AA24" s="277"/>
      <c r="AB24" s="277"/>
      <c r="AC24" s="277"/>
      <c r="AD24" s="277"/>
      <c r="AE24" s="277"/>
      <c r="AF24" s="276"/>
      <c r="AG24" s="277"/>
      <c r="AH24" s="277"/>
      <c r="AI24" s="277"/>
      <c r="AJ24" s="277"/>
      <c r="AK24" s="277"/>
      <c r="AL24" s="276"/>
      <c r="AM24" s="277"/>
      <c r="AN24" s="277"/>
      <c r="AO24" s="277"/>
      <c r="AP24" s="277"/>
      <c r="AQ24" s="277"/>
      <c r="AR24" s="276"/>
      <c r="AS24" s="277"/>
      <c r="AT24" s="277"/>
      <c r="AU24" s="277"/>
      <c r="AV24" s="277"/>
      <c r="AW24" s="277"/>
      <c r="AX24" s="276"/>
      <c r="AY24" s="277"/>
      <c r="AZ24" s="277"/>
      <c r="BA24" s="277"/>
      <c r="BB24" s="277"/>
      <c r="BC24" s="277"/>
      <c r="BD24" s="276"/>
      <c r="BE24" s="277"/>
      <c r="BF24" s="277"/>
      <c r="BG24" s="277"/>
      <c r="BH24" s="277"/>
      <c r="BI24" s="277"/>
      <c r="BJ24" s="276"/>
      <c r="BK24" s="277"/>
      <c r="BL24" s="277"/>
      <c r="BM24" s="277"/>
      <c r="BN24" s="277"/>
      <c r="BO24" s="277"/>
      <c r="BP24" s="276"/>
      <c r="BQ24" s="277"/>
      <c r="BR24" s="277"/>
      <c r="BS24" s="277"/>
      <c r="BT24" s="277"/>
      <c r="BU24" s="277"/>
      <c r="BV24" s="276"/>
      <c r="BW24" s="277"/>
      <c r="BX24" s="277"/>
      <c r="BY24" s="277"/>
      <c r="BZ24" s="277"/>
      <c r="CA24" s="277"/>
      <c r="CB24" s="276"/>
      <c r="CC24" s="277"/>
      <c r="CD24" s="277"/>
      <c r="CE24" s="277"/>
      <c r="CF24" s="277"/>
      <c r="CG24" s="277"/>
      <c r="CH24" s="276"/>
      <c r="CI24" s="277"/>
      <c r="CJ24" s="277"/>
      <c r="CK24" s="277"/>
      <c r="CL24" s="277"/>
      <c r="CM24" s="277"/>
      <c r="CN24" s="276"/>
      <c r="CO24" s="277"/>
      <c r="CP24" s="277"/>
      <c r="CQ24" s="277"/>
      <c r="CR24" s="277"/>
      <c r="CS24" s="277"/>
      <c r="CT24" s="276"/>
      <c r="CU24" s="277"/>
      <c r="CV24" s="277"/>
      <c r="CW24" s="277"/>
      <c r="CX24" s="277"/>
      <c r="CY24" s="277"/>
      <c r="CZ24" s="276"/>
      <c r="DA24" s="277"/>
      <c r="DB24" s="277"/>
      <c r="DC24" s="277"/>
      <c r="DD24" s="277"/>
      <c r="DE24" s="277"/>
      <c r="DF24" s="276"/>
      <c r="DG24" s="277"/>
      <c r="DH24" s="277"/>
      <c r="DI24" s="277"/>
      <c r="DJ24" s="277"/>
      <c r="DK24" s="277"/>
    </row>
    <row r="25" spans="1:115" s="241" customFormat="1" x14ac:dyDescent="0.2">
      <c r="C25" s="166"/>
      <c r="D25" s="166"/>
      <c r="E25" s="166"/>
      <c r="F25" s="166"/>
      <c r="G25" s="166"/>
      <c r="H25" s="166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166"/>
      <c r="X25" s="166"/>
      <c r="Y25" s="166"/>
      <c r="AA25" s="166"/>
      <c r="AB25" s="166"/>
      <c r="AC25" s="166"/>
      <c r="AD25" s="166"/>
      <c r="AE25" s="166"/>
      <c r="AG25" s="166"/>
      <c r="AH25" s="166"/>
      <c r="AI25" s="166"/>
      <c r="AJ25" s="166"/>
      <c r="AK25" s="166"/>
      <c r="AM25" s="166"/>
      <c r="AN25" s="166"/>
      <c r="AO25" s="166"/>
      <c r="AP25" s="166"/>
      <c r="AQ25" s="166"/>
      <c r="AS25" s="166"/>
      <c r="AT25" s="166"/>
      <c r="AU25" s="166"/>
      <c r="AV25" s="166"/>
      <c r="AW25" s="166"/>
      <c r="AY25" s="166"/>
      <c r="AZ25" s="166"/>
      <c r="BA25" s="166"/>
      <c r="BB25" s="166"/>
      <c r="BC25" s="166"/>
      <c r="BE25" s="166"/>
      <c r="BF25" s="166"/>
      <c r="BG25" s="166"/>
      <c r="BH25" s="166"/>
      <c r="BI25" s="166"/>
      <c r="BK25" s="166"/>
      <c r="BL25" s="166"/>
      <c r="BM25" s="166"/>
      <c r="BN25" s="166"/>
      <c r="BO25" s="166"/>
      <c r="BQ25" s="166"/>
      <c r="BR25" s="166"/>
      <c r="BS25" s="166"/>
      <c r="BT25" s="166"/>
      <c r="BU25" s="166"/>
    </row>
    <row r="26" spans="1:115" s="241" customFormat="1" ht="13.5" thickBot="1" x14ac:dyDescent="0.25">
      <c r="B26" s="282" t="s">
        <v>110</v>
      </c>
      <c r="C26" s="166"/>
      <c r="D26" s="166"/>
      <c r="E26" s="166"/>
      <c r="F26" s="166"/>
      <c r="G26" s="166"/>
      <c r="H26" s="166"/>
      <c r="I26" s="166"/>
      <c r="J26" s="166"/>
      <c r="K26" s="166"/>
      <c r="L26" s="166"/>
      <c r="M26" s="166"/>
      <c r="N26" s="166"/>
      <c r="O26" s="166"/>
      <c r="P26" s="166"/>
      <c r="Q26" s="166"/>
      <c r="R26" s="166"/>
      <c r="S26" s="166"/>
      <c r="T26" s="166"/>
      <c r="U26" s="166"/>
      <c r="V26" s="166"/>
      <c r="W26" s="166"/>
      <c r="X26" s="166"/>
      <c r="Y26" s="166"/>
      <c r="AA26" s="166"/>
      <c r="AB26" s="166"/>
      <c r="AC26" s="166"/>
      <c r="AD26" s="166"/>
      <c r="AE26" s="166"/>
      <c r="AG26" s="166"/>
      <c r="AH26" s="166"/>
      <c r="AI26" s="166"/>
      <c r="AJ26" s="166"/>
      <c r="AK26" s="166"/>
      <c r="AM26" s="166"/>
      <c r="AN26" s="166"/>
      <c r="AO26" s="166"/>
      <c r="AP26" s="166"/>
      <c r="AQ26" s="166"/>
      <c r="AS26" s="166"/>
      <c r="AT26" s="166"/>
      <c r="AU26" s="166"/>
      <c r="AV26" s="166"/>
      <c r="AW26" s="166"/>
      <c r="AY26" s="166"/>
      <c r="AZ26" s="166"/>
      <c r="BA26" s="166"/>
      <c r="BB26" s="166"/>
      <c r="BC26" s="166"/>
      <c r="BE26" s="166"/>
      <c r="BF26" s="166"/>
      <c r="BG26" s="166"/>
      <c r="BH26" s="166"/>
      <c r="BI26" s="166"/>
      <c r="BK26" s="166"/>
      <c r="BL26" s="166"/>
      <c r="BM26" s="166"/>
      <c r="BN26" s="166"/>
      <c r="BO26" s="166"/>
      <c r="BQ26" s="166"/>
      <c r="BR26" s="166"/>
      <c r="BS26" s="166"/>
      <c r="BT26" s="166"/>
      <c r="BU26" s="166"/>
    </row>
    <row r="27" spans="1:115" s="241" customFormat="1" x14ac:dyDescent="0.2">
      <c r="B27"/>
      <c r="C27" s="712">
        <v>2007</v>
      </c>
      <c r="D27" s="713"/>
      <c r="E27" s="713"/>
      <c r="F27" s="713"/>
      <c r="G27" s="714"/>
      <c r="H27" s="129"/>
      <c r="I27" s="712">
        <v>2008</v>
      </c>
      <c r="J27" s="713"/>
      <c r="K27" s="713"/>
      <c r="L27" s="713"/>
      <c r="M27" s="714"/>
      <c r="N27" s="129"/>
      <c r="O27" s="712">
        <v>2009</v>
      </c>
      <c r="P27" s="713"/>
      <c r="Q27" s="713"/>
      <c r="R27" s="713"/>
      <c r="S27" s="714"/>
      <c r="T27" s="129"/>
      <c r="U27" s="712">
        <v>2010</v>
      </c>
      <c r="V27" s="713"/>
      <c r="W27" s="713"/>
      <c r="X27" s="713"/>
      <c r="Y27" s="714"/>
      <c r="Z27"/>
      <c r="AA27" s="712">
        <v>2011</v>
      </c>
      <c r="AB27" s="713"/>
      <c r="AC27" s="713"/>
      <c r="AD27" s="713"/>
      <c r="AE27" s="714"/>
      <c r="AF27"/>
      <c r="AG27" s="712">
        <v>2012</v>
      </c>
      <c r="AH27" s="713"/>
      <c r="AI27" s="713"/>
      <c r="AJ27" s="713"/>
      <c r="AK27" s="714"/>
      <c r="AL27"/>
      <c r="AM27" s="712">
        <v>2013</v>
      </c>
      <c r="AN27" s="713"/>
      <c r="AO27" s="713"/>
      <c r="AP27" s="713"/>
      <c r="AQ27" s="714"/>
      <c r="AR27"/>
      <c r="AS27" s="712">
        <v>2014</v>
      </c>
      <c r="AT27" s="713"/>
      <c r="AU27" s="713"/>
      <c r="AV27" s="713"/>
      <c r="AW27" s="714"/>
      <c r="AX27"/>
      <c r="AY27" s="712">
        <v>2015</v>
      </c>
      <c r="AZ27" s="713"/>
      <c r="BA27" s="713"/>
      <c r="BB27" s="713"/>
      <c r="BC27" s="714"/>
      <c r="BD27"/>
      <c r="BE27" s="712">
        <v>2016</v>
      </c>
      <c r="BF27" s="713"/>
      <c r="BG27" s="713"/>
      <c r="BH27" s="713"/>
      <c r="BI27" s="714"/>
      <c r="BJ27"/>
      <c r="BK27" s="712">
        <v>2017</v>
      </c>
      <c r="BL27" s="713"/>
      <c r="BM27" s="713"/>
      <c r="BN27" s="713"/>
      <c r="BO27" s="714"/>
      <c r="BP27"/>
      <c r="BQ27" s="712">
        <v>2018</v>
      </c>
      <c r="BR27" s="713"/>
      <c r="BS27" s="713"/>
      <c r="BT27" s="713"/>
      <c r="BU27" s="714"/>
    </row>
    <row r="28" spans="1:115" s="241" customFormat="1" ht="13.5" thickBot="1" x14ac:dyDescent="0.25">
      <c r="B28"/>
      <c r="C28" s="130" t="s">
        <v>20</v>
      </c>
      <c r="D28" s="131" t="s">
        <v>19</v>
      </c>
      <c r="E28" s="131" t="s">
        <v>22</v>
      </c>
      <c r="F28" s="131" t="s">
        <v>21</v>
      </c>
      <c r="G28" s="132" t="s">
        <v>39</v>
      </c>
      <c r="H28" s="129"/>
      <c r="I28" s="130" t="s">
        <v>20</v>
      </c>
      <c r="J28" s="131" t="s">
        <v>19</v>
      </c>
      <c r="K28" s="131" t="s">
        <v>22</v>
      </c>
      <c r="L28" s="131" t="s">
        <v>21</v>
      </c>
      <c r="M28" s="132" t="s">
        <v>39</v>
      </c>
      <c r="N28" s="129"/>
      <c r="O28" s="130" t="s">
        <v>20</v>
      </c>
      <c r="P28" s="131" t="s">
        <v>19</v>
      </c>
      <c r="Q28" s="131" t="s">
        <v>22</v>
      </c>
      <c r="R28" s="131" t="s">
        <v>21</v>
      </c>
      <c r="S28" s="132" t="s">
        <v>39</v>
      </c>
      <c r="T28" s="129"/>
      <c r="U28" s="130" t="s">
        <v>20</v>
      </c>
      <c r="V28" s="131" t="s">
        <v>19</v>
      </c>
      <c r="W28" s="131" t="s">
        <v>22</v>
      </c>
      <c r="X28" s="131" t="s">
        <v>21</v>
      </c>
      <c r="Y28" s="132" t="s">
        <v>39</v>
      </c>
      <c r="Z28"/>
      <c r="AA28" s="130" t="s">
        <v>20</v>
      </c>
      <c r="AB28" s="131" t="s">
        <v>19</v>
      </c>
      <c r="AC28" s="131" t="s">
        <v>22</v>
      </c>
      <c r="AD28" s="131" t="s">
        <v>21</v>
      </c>
      <c r="AE28" s="132" t="s">
        <v>39</v>
      </c>
      <c r="AF28"/>
      <c r="AG28" s="130" t="s">
        <v>20</v>
      </c>
      <c r="AH28" s="131" t="s">
        <v>19</v>
      </c>
      <c r="AI28" s="131" t="s">
        <v>22</v>
      </c>
      <c r="AJ28" s="131" t="s">
        <v>21</v>
      </c>
      <c r="AK28" s="132" t="s">
        <v>39</v>
      </c>
      <c r="AL28"/>
      <c r="AM28" s="130" t="s">
        <v>20</v>
      </c>
      <c r="AN28" s="131" t="s">
        <v>19</v>
      </c>
      <c r="AO28" s="131" t="s">
        <v>22</v>
      </c>
      <c r="AP28" s="131" t="s">
        <v>21</v>
      </c>
      <c r="AQ28" s="132" t="s">
        <v>39</v>
      </c>
      <c r="AR28"/>
      <c r="AS28" s="130" t="s">
        <v>20</v>
      </c>
      <c r="AT28" s="131" t="s">
        <v>19</v>
      </c>
      <c r="AU28" s="131" t="s">
        <v>22</v>
      </c>
      <c r="AV28" s="131" t="s">
        <v>21</v>
      </c>
      <c r="AW28" s="132" t="s">
        <v>39</v>
      </c>
      <c r="AX28"/>
      <c r="AY28" s="130" t="s">
        <v>20</v>
      </c>
      <c r="AZ28" s="131" t="s">
        <v>19</v>
      </c>
      <c r="BA28" s="131" t="s">
        <v>22</v>
      </c>
      <c r="BB28" s="131" t="s">
        <v>21</v>
      </c>
      <c r="BC28" s="132" t="s">
        <v>39</v>
      </c>
      <c r="BD28"/>
      <c r="BE28" s="130" t="s">
        <v>20</v>
      </c>
      <c r="BF28" s="131" t="s">
        <v>19</v>
      </c>
      <c r="BG28" s="131" t="s">
        <v>22</v>
      </c>
      <c r="BH28" s="131" t="s">
        <v>21</v>
      </c>
      <c r="BI28" s="132" t="s">
        <v>39</v>
      </c>
      <c r="BJ28"/>
      <c r="BK28" s="130" t="s">
        <v>20</v>
      </c>
      <c r="BL28" s="131" t="s">
        <v>19</v>
      </c>
      <c r="BM28" s="131" t="s">
        <v>22</v>
      </c>
      <c r="BN28" s="131" t="s">
        <v>21</v>
      </c>
      <c r="BO28" s="132" t="s">
        <v>39</v>
      </c>
      <c r="BP28"/>
      <c r="BQ28" s="130" t="s">
        <v>20</v>
      </c>
      <c r="BR28" s="131" t="s">
        <v>19</v>
      </c>
      <c r="BS28" s="131" t="s">
        <v>22</v>
      </c>
      <c r="BT28" s="131" t="s">
        <v>21</v>
      </c>
      <c r="BU28" s="132" t="s">
        <v>39</v>
      </c>
    </row>
    <row r="29" spans="1:115" s="241" customFormat="1" ht="13.5" thickBot="1" x14ac:dyDescent="0.25"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AA29" s="166"/>
      <c r="AB29" s="166"/>
      <c r="AC29" s="166"/>
      <c r="AD29" s="166"/>
      <c r="AE29" s="166"/>
      <c r="AG29" s="166"/>
      <c r="AH29" s="166"/>
      <c r="AI29" s="166"/>
      <c r="AJ29" s="166"/>
      <c r="AK29" s="166"/>
      <c r="AM29" s="166"/>
      <c r="AN29" s="166"/>
      <c r="AO29" s="166"/>
      <c r="AP29" s="166"/>
      <c r="AQ29" s="166"/>
      <c r="AS29" s="166"/>
      <c r="AT29" s="166"/>
      <c r="AU29" s="166"/>
      <c r="AV29" s="166"/>
      <c r="AW29" s="166"/>
      <c r="AY29" s="166"/>
      <c r="AZ29" s="166"/>
      <c r="BA29" s="166"/>
      <c r="BB29" s="166"/>
      <c r="BC29" s="166"/>
      <c r="BE29" s="166"/>
      <c r="BF29" s="166"/>
      <c r="BG29" s="166"/>
      <c r="BH29" s="166"/>
      <c r="BI29" s="166"/>
      <c r="BK29" s="166"/>
      <c r="BL29" s="166"/>
      <c r="BM29" s="166"/>
      <c r="BN29" s="166"/>
      <c r="BO29" s="166"/>
      <c r="BQ29" s="166"/>
      <c r="BR29" s="166"/>
      <c r="BS29" s="166"/>
      <c r="BT29" s="166"/>
      <c r="BU29" s="166"/>
    </row>
    <row r="30" spans="1:115" s="241" customFormat="1" x14ac:dyDescent="0.2">
      <c r="B30" s="231" t="s">
        <v>106</v>
      </c>
      <c r="C30" s="126"/>
      <c r="D30" s="127"/>
      <c r="E30" s="127"/>
      <c r="F30" s="128"/>
      <c r="G30" s="167"/>
      <c r="H30" s="129"/>
      <c r="I30" s="126"/>
      <c r="J30" s="127"/>
      <c r="K30" s="127"/>
      <c r="L30" s="127"/>
      <c r="M30" s="167"/>
      <c r="N30" s="166"/>
      <c r="O30" s="198">
        <v>688</v>
      </c>
      <c r="P30" s="199">
        <v>707</v>
      </c>
      <c r="Q30" s="199">
        <v>723</v>
      </c>
      <c r="R30" s="200">
        <v>807</v>
      </c>
      <c r="S30" s="201">
        <f>O30+P30+Q30+R30</f>
        <v>2925</v>
      </c>
      <c r="T30" s="204"/>
      <c r="U30" s="198">
        <v>750</v>
      </c>
      <c r="V30" s="199">
        <v>777</v>
      </c>
      <c r="W30" s="199">
        <v>766</v>
      </c>
      <c r="X30" s="200">
        <v>835</v>
      </c>
      <c r="Y30" s="201">
        <f>U30+V30+W30+X30</f>
        <v>3128</v>
      </c>
      <c r="Z30" s="312"/>
      <c r="AA30" s="198">
        <v>799</v>
      </c>
      <c r="AB30" s="199">
        <v>775</v>
      </c>
      <c r="AC30" s="199">
        <v>763</v>
      </c>
      <c r="AD30" s="199">
        <v>826</v>
      </c>
      <c r="AE30" s="201">
        <f>AA30+AB30+AC30+AD30</f>
        <v>3163</v>
      </c>
      <c r="AF30" s="312"/>
      <c r="AG30" s="198">
        <v>760</v>
      </c>
      <c r="AH30" s="199">
        <v>777</v>
      </c>
      <c r="AI30" s="199">
        <f>AC30*(1+AI31)</f>
        <v>770.63</v>
      </c>
      <c r="AJ30" s="199">
        <f>AD30*(1+AJ31)</f>
        <v>838.38999999999987</v>
      </c>
      <c r="AK30" s="201">
        <f>AG30+AH30+AI30+AJ30</f>
        <v>3146.02</v>
      </c>
      <c r="AL30" s="312"/>
      <c r="AM30" s="198">
        <f>AG30*(1+AM31)</f>
        <v>771.4</v>
      </c>
      <c r="AN30" s="199">
        <f>AH30*(1+AN31)</f>
        <v>788.65499999999997</v>
      </c>
      <c r="AO30" s="199">
        <f>AI30*(1+AO31)</f>
        <v>782.18944999999997</v>
      </c>
      <c r="AP30" s="199">
        <f>AJ30*(1+AP31)</f>
        <v>850.96584999999982</v>
      </c>
      <c r="AQ30" s="201">
        <f>AM30+AN30+AO30+AP30</f>
        <v>3193.2102999999997</v>
      </c>
      <c r="AR30" s="312"/>
      <c r="AS30" s="198">
        <f>AM30*(1+AS31)</f>
        <v>781.0424999999999</v>
      </c>
      <c r="AT30" s="199">
        <f>AN30*(1+AT31)</f>
        <v>798.51318749999996</v>
      </c>
      <c r="AU30" s="199">
        <f>AO30*(1+AU31)</f>
        <v>791.96681812499992</v>
      </c>
      <c r="AV30" s="199">
        <f>AP30*(1+AV31)</f>
        <v>861.60292312499973</v>
      </c>
      <c r="AW30" s="201">
        <f>AS30+AT30+AU30+AV30</f>
        <v>3233.1254287499996</v>
      </c>
      <c r="AX30" s="312"/>
      <c r="AY30" s="198">
        <f>AS30*(1+AY31)</f>
        <v>788.85292499999991</v>
      </c>
      <c r="AZ30" s="199">
        <f>AT30*(1+AZ31)</f>
        <v>806.49831937499994</v>
      </c>
      <c r="BA30" s="199">
        <f>AU30*(1+BA31)</f>
        <v>799.88648630624994</v>
      </c>
      <c r="BB30" s="199">
        <f>AV30*(1+BB31)</f>
        <v>870.2189523562497</v>
      </c>
      <c r="BC30" s="201">
        <f>AY30+AZ30+BA30+BB30</f>
        <v>3265.4566830374993</v>
      </c>
      <c r="BD30" s="312"/>
      <c r="BE30" s="198">
        <f>AY30*(1+BE31)</f>
        <v>796.74145424999995</v>
      </c>
      <c r="BF30" s="199">
        <f>AZ30*(1+BF31)</f>
        <v>814.56330256874992</v>
      </c>
      <c r="BG30" s="199">
        <f>BA30*(1+BG31)</f>
        <v>807.88535116931246</v>
      </c>
      <c r="BH30" s="199">
        <f>BB30*(1+BH31)</f>
        <v>878.92114187981224</v>
      </c>
      <c r="BI30" s="201">
        <f>BE30+BF30+BG30+BH30</f>
        <v>3298.1112498678744</v>
      </c>
      <c r="BJ30" s="312"/>
      <c r="BK30" s="198">
        <f>BE30*(1+BK31)</f>
        <v>804.70886879249997</v>
      </c>
      <c r="BL30" s="199">
        <f>BF30*(1+BL31)</f>
        <v>822.70893559443743</v>
      </c>
      <c r="BM30" s="199">
        <f>BG30*(1+BM31)</f>
        <v>815.96420468100564</v>
      </c>
      <c r="BN30" s="199">
        <f>BH30*(1+BN31)</f>
        <v>887.71035329861036</v>
      </c>
      <c r="BO30" s="201">
        <f>BK30+BL30+BM30+BN30</f>
        <v>3331.0923623665531</v>
      </c>
      <c r="BP30" s="312"/>
      <c r="BQ30" s="198">
        <f>BK30*(1+BQ31)</f>
        <v>812.75595748042497</v>
      </c>
      <c r="BR30" s="199">
        <f>BL30*(1+BR31)</f>
        <v>830.93602495038181</v>
      </c>
      <c r="BS30" s="199">
        <f>BM30*(1+BS31)</f>
        <v>824.1238467278157</v>
      </c>
      <c r="BT30" s="199">
        <f>BN30*(1+BT31)</f>
        <v>896.58745683159646</v>
      </c>
      <c r="BU30" s="201">
        <f>BQ30+BR30+BS30+BT30</f>
        <v>3364.403285990219</v>
      </c>
    </row>
    <row r="31" spans="1:115" s="241" customFormat="1" ht="13.5" thickBot="1" x14ac:dyDescent="0.25">
      <c r="B31" s="242" t="s">
        <v>83</v>
      </c>
      <c r="C31" s="155"/>
      <c r="D31" s="106"/>
      <c r="E31" s="106"/>
      <c r="F31" s="154"/>
      <c r="G31" s="108"/>
      <c r="H31" s="103"/>
      <c r="I31" s="155"/>
      <c r="J31" s="106"/>
      <c r="K31" s="106"/>
      <c r="L31" s="106"/>
      <c r="M31" s="122"/>
      <c r="N31" s="107"/>
      <c r="O31" s="174"/>
      <c r="P31" s="175"/>
      <c r="Q31" s="175"/>
      <c r="R31" s="120"/>
      <c r="S31" s="122"/>
      <c r="T31" s="166"/>
      <c r="U31" s="109">
        <f>U30/O30-1</f>
        <v>9.011627906976738E-2</v>
      </c>
      <c r="V31" s="110">
        <f>V30/P30-1</f>
        <v>9.9009900990099098E-2</v>
      </c>
      <c r="W31" s="110">
        <f>W30/Q30-1</f>
        <v>5.9474412171507618E-2</v>
      </c>
      <c r="X31" s="110">
        <f>X30/R30-1</f>
        <v>3.4696406443618377E-2</v>
      </c>
      <c r="Y31" s="122">
        <f>Y30/S30-1</f>
        <v>6.9401709401709422E-2</v>
      </c>
      <c r="AA31" s="109">
        <f>AA30/U30-1</f>
        <v>6.5333333333333243E-2</v>
      </c>
      <c r="AB31" s="110">
        <f>AB30/V30-1</f>
        <v>-2.5740025740025319E-3</v>
      </c>
      <c r="AC31" s="110">
        <f>AC30/W30-1</f>
        <v>-3.916449086161844E-3</v>
      </c>
      <c r="AD31" s="110">
        <f>AD30/X30-1</f>
        <v>-1.0778443113772407E-2</v>
      </c>
      <c r="AE31" s="122">
        <f>AE30/Y30-1</f>
        <v>1.1189258312020556E-2</v>
      </c>
      <c r="AG31" s="109">
        <f>AG30/AA30-1</f>
        <v>-4.8811013767208977E-2</v>
      </c>
      <c r="AH31" s="110">
        <f>AH30/AB30-1</f>
        <v>2.580645161290418E-3</v>
      </c>
      <c r="AI31" s="175">
        <v>0.01</v>
      </c>
      <c r="AJ31" s="175">
        <v>1.4999999999999999E-2</v>
      </c>
      <c r="AK31" s="122">
        <f>AK30/AE30-1</f>
        <v>-5.3683212140372971E-3</v>
      </c>
      <c r="AM31" s="174">
        <v>1.4999999999999999E-2</v>
      </c>
      <c r="AN31" s="175">
        <v>1.4999999999999999E-2</v>
      </c>
      <c r="AO31" s="175">
        <v>1.4999999999999999E-2</v>
      </c>
      <c r="AP31" s="175">
        <v>1.4999999999999999E-2</v>
      </c>
      <c r="AQ31" s="122">
        <f>AQ30/AK30-1</f>
        <v>1.4999999999999902E-2</v>
      </c>
      <c r="AS31" s="438">
        <v>1.2500000000000001E-2</v>
      </c>
      <c r="AT31" s="439">
        <v>1.2500000000000001E-2</v>
      </c>
      <c r="AU31" s="439">
        <v>1.2500000000000001E-2</v>
      </c>
      <c r="AV31" s="439">
        <v>1.2500000000000001E-2</v>
      </c>
      <c r="AW31" s="122">
        <f>AW30/AQ30-1</f>
        <v>1.2499999999999956E-2</v>
      </c>
      <c r="AY31" s="174">
        <v>0.01</v>
      </c>
      <c r="AZ31" s="175">
        <v>0.01</v>
      </c>
      <c r="BA31" s="175">
        <v>0.01</v>
      </c>
      <c r="BB31" s="175">
        <v>0.01</v>
      </c>
      <c r="BC31" s="122">
        <f>BC30/AW30-1</f>
        <v>9.9999999999997868E-3</v>
      </c>
      <c r="BE31" s="174">
        <v>0.01</v>
      </c>
      <c r="BF31" s="175">
        <v>0.01</v>
      </c>
      <c r="BG31" s="175">
        <v>0.01</v>
      </c>
      <c r="BH31" s="175">
        <v>0.01</v>
      </c>
      <c r="BI31" s="122">
        <f>BI30/BC30-1</f>
        <v>1.0000000000000009E-2</v>
      </c>
      <c r="BK31" s="174">
        <v>0.01</v>
      </c>
      <c r="BL31" s="175">
        <v>0.01</v>
      </c>
      <c r="BM31" s="175">
        <v>0.01</v>
      </c>
      <c r="BN31" s="175">
        <v>0.01</v>
      </c>
      <c r="BO31" s="122">
        <f>BO30/BI30-1</f>
        <v>1.0000000000000009E-2</v>
      </c>
      <c r="BQ31" s="174">
        <v>0.01</v>
      </c>
      <c r="BR31" s="175">
        <v>0.01</v>
      </c>
      <c r="BS31" s="175">
        <v>0.01</v>
      </c>
      <c r="BT31" s="175">
        <v>0.01</v>
      </c>
      <c r="BU31" s="122">
        <f>BU30/BO30-1</f>
        <v>1.0000000000000231E-2</v>
      </c>
    </row>
    <row r="32" spans="1:115" s="241" customFormat="1" ht="13.5" thickBot="1" x14ac:dyDescent="0.25">
      <c r="C32" s="166"/>
      <c r="D32" s="166"/>
      <c r="E32" s="166"/>
      <c r="F32" s="166"/>
      <c r="G32" s="166"/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AA32" s="166"/>
      <c r="AB32" s="166"/>
      <c r="AC32" s="166"/>
      <c r="AD32" s="166"/>
      <c r="AE32" s="166"/>
      <c r="AG32" s="166"/>
      <c r="AH32" s="166"/>
      <c r="AI32" s="166"/>
      <c r="AJ32" s="166"/>
      <c r="AK32" s="166"/>
      <c r="AM32" s="166"/>
      <c r="AN32" s="166"/>
      <c r="AO32" s="166"/>
      <c r="AP32" s="166"/>
      <c r="AQ32" s="166"/>
      <c r="AS32" s="166"/>
      <c r="AT32" s="166"/>
      <c r="AU32" s="166"/>
      <c r="AV32" s="166"/>
      <c r="AW32" s="166"/>
      <c r="AY32" s="166"/>
      <c r="AZ32" s="166"/>
      <c r="BA32" s="166"/>
      <c r="BB32" s="166"/>
      <c r="BC32" s="166"/>
      <c r="BE32" s="166"/>
      <c r="BF32" s="166"/>
      <c r="BG32" s="166"/>
      <c r="BH32" s="166"/>
      <c r="BI32" s="166"/>
      <c r="BK32" s="166"/>
      <c r="BL32" s="166"/>
      <c r="BM32" s="166"/>
      <c r="BN32" s="166"/>
      <c r="BO32" s="166"/>
      <c r="BQ32" s="166"/>
      <c r="BR32" s="166"/>
      <c r="BS32" s="166"/>
      <c r="BT32" s="166"/>
      <c r="BU32" s="166"/>
    </row>
    <row r="33" spans="1:73" s="241" customFormat="1" ht="15" x14ac:dyDescent="0.3">
      <c r="A33" s="260"/>
      <c r="B33" s="139" t="s">
        <v>61</v>
      </c>
      <c r="C33" s="178"/>
      <c r="D33" s="179"/>
      <c r="E33" s="179"/>
      <c r="F33" s="179"/>
      <c r="G33" s="137"/>
      <c r="H33" s="134"/>
      <c r="I33" s="178"/>
      <c r="J33" s="179"/>
      <c r="K33" s="179"/>
      <c r="L33" s="179"/>
      <c r="M33" s="137"/>
      <c r="N33" s="299"/>
      <c r="O33" s="178">
        <v>43</v>
      </c>
      <c r="P33" s="179">
        <v>124</v>
      </c>
      <c r="Q33" s="179">
        <v>119</v>
      </c>
      <c r="R33" s="179">
        <v>123</v>
      </c>
      <c r="S33" s="137">
        <f>O33+P33+Q33+R33</f>
        <v>409</v>
      </c>
      <c r="T33" s="134"/>
      <c r="U33" s="211">
        <v>110</v>
      </c>
      <c r="V33" s="212">
        <v>110</v>
      </c>
      <c r="W33" s="212">
        <v>90</v>
      </c>
      <c r="X33" s="212">
        <v>139</v>
      </c>
      <c r="Y33" s="202">
        <f>U33+V33+W33+X33</f>
        <v>449</v>
      </c>
      <c r="Z33" s="343"/>
      <c r="AA33" s="211">
        <v>113</v>
      </c>
      <c r="AB33" s="212">
        <v>56</v>
      </c>
      <c r="AC33" s="212">
        <v>89</v>
      </c>
      <c r="AD33" s="212">
        <v>119</v>
      </c>
      <c r="AE33" s="202">
        <f>AA33+AB33+AC33+AD33</f>
        <v>377</v>
      </c>
      <c r="AF33" s="343"/>
      <c r="AG33" s="211">
        <v>143</v>
      </c>
      <c r="AH33" s="212">
        <v>123</v>
      </c>
      <c r="AI33" s="212">
        <f>AI30*AI36</f>
        <v>105.3026</v>
      </c>
      <c r="AJ33" s="212">
        <f>AJ30*AJ36</f>
        <v>124.97694999999999</v>
      </c>
      <c r="AK33" s="202">
        <f>AG33+AH33+AI33+AJ33</f>
        <v>496.27954999999997</v>
      </c>
      <c r="AL33" s="343"/>
      <c r="AM33" s="211">
        <f>AM30*AM36</f>
        <v>149.00200000000001</v>
      </c>
      <c r="AN33" s="212">
        <f>AN30*AN36</f>
        <v>128.788275</v>
      </c>
      <c r="AO33" s="212">
        <f>AO30*AO36</f>
        <v>108.83761262500001</v>
      </c>
      <c r="AP33" s="212">
        <f>AP30*AP36</f>
        <v>128.97901887499998</v>
      </c>
      <c r="AQ33" s="202">
        <f>AM33+AN33+AO33+AP33</f>
        <v>515.60690650000004</v>
      </c>
      <c r="AR33" s="343"/>
      <c r="AS33" s="211">
        <f>AS30*AS36</f>
        <v>152.81713124999999</v>
      </c>
      <c r="AT33" s="212">
        <f>AT30*AT36</f>
        <v>132.39441140624999</v>
      </c>
      <c r="AU33" s="212">
        <f>AU30*AU36</f>
        <v>112.177999828125</v>
      </c>
      <c r="AV33" s="212">
        <f>AV30*AV36</f>
        <v>132.74526391874997</v>
      </c>
      <c r="AW33" s="202">
        <f>AS33+AT33+AU33+AV33</f>
        <v>530.13480640312491</v>
      </c>
      <c r="AX33" s="343"/>
      <c r="AY33" s="211">
        <f>AY30*AY36</f>
        <v>156.317434875</v>
      </c>
      <c r="AZ33" s="212">
        <f>AZ30*AZ36</f>
        <v>135.73460131874998</v>
      </c>
      <c r="BA33" s="212">
        <f>BA30*BA36</f>
        <v>115.29949604217188</v>
      </c>
      <c r="BB33" s="212">
        <f>BB30*BB36</f>
        <v>136.2482639388281</v>
      </c>
      <c r="BC33" s="202">
        <f>AY33+AZ33+BA33+BB33</f>
        <v>543.59979617474994</v>
      </c>
      <c r="BD33" s="343"/>
      <c r="BE33" s="211">
        <f>BE30*BE36</f>
        <v>159.87246285937499</v>
      </c>
      <c r="BF33" s="212">
        <f>BF30*BF36</f>
        <v>139.12835558835937</v>
      </c>
      <c r="BG33" s="212">
        <f>BG30*BG36</f>
        <v>118.47220438051689</v>
      </c>
      <c r="BH33" s="212">
        <f>BH30*BH36</f>
        <v>139.80804943291591</v>
      </c>
      <c r="BI33" s="202">
        <f>BE33+BF33+BG33+BH33</f>
        <v>557.28107226116708</v>
      </c>
      <c r="BJ33" s="343"/>
      <c r="BK33" s="211">
        <f>BK30*BK36</f>
        <v>163.48295965995001</v>
      </c>
      <c r="BL33" s="212">
        <f>BL30*BL36</f>
        <v>142.57641148322907</v>
      </c>
      <c r="BM33" s="212">
        <f>BM30*BM36</f>
        <v>121.69683693602457</v>
      </c>
      <c r="BN33" s="212">
        <f>BN30*BN36</f>
        <v>143.42540581049161</v>
      </c>
      <c r="BO33" s="202">
        <f>BK33+BL33+BM33+BN33</f>
        <v>571.1816138896952</v>
      </c>
      <c r="BP33" s="343"/>
      <c r="BQ33" s="211">
        <f>BQ30*BQ36</f>
        <v>165.11778925654951</v>
      </c>
      <c r="BR33" s="212">
        <f>BR30*BR36</f>
        <v>144.00217559806134</v>
      </c>
      <c r="BS33" s="212">
        <f>BS30*BS36</f>
        <v>122.91380530538481</v>
      </c>
      <c r="BT33" s="212">
        <f>BT30*BT36</f>
        <v>144.85965986859651</v>
      </c>
      <c r="BU33" s="202">
        <f>BQ33+BR33+BS33+BT33</f>
        <v>576.89343002859221</v>
      </c>
    </row>
    <row r="34" spans="1:73" s="241" customFormat="1" ht="13.5" thickBot="1" x14ac:dyDescent="0.25">
      <c r="B34" s="242" t="s">
        <v>83</v>
      </c>
      <c r="C34" s="155"/>
      <c r="D34" s="106"/>
      <c r="E34" s="106"/>
      <c r="F34" s="106"/>
      <c r="G34" s="108"/>
      <c r="H34" s="103"/>
      <c r="I34" s="155"/>
      <c r="J34" s="106"/>
      <c r="K34" s="106"/>
      <c r="L34" s="106"/>
      <c r="M34" s="122"/>
      <c r="N34" s="107"/>
      <c r="O34" s="174"/>
      <c r="P34" s="175"/>
      <c r="Q34" s="175"/>
      <c r="R34" s="110"/>
      <c r="S34" s="122"/>
      <c r="T34" s="103"/>
      <c r="U34" s="109">
        <f>U33/O33-1</f>
        <v>1.558139534883721</v>
      </c>
      <c r="V34" s="110">
        <f>V33/P33-1</f>
        <v>-0.11290322580645162</v>
      </c>
      <c r="W34" s="293">
        <f>W33/Q33-1</f>
        <v>-0.24369747899159666</v>
      </c>
      <c r="X34" s="293">
        <f>X33/R33-1</f>
        <v>0.13008130081300817</v>
      </c>
      <c r="Y34" s="295">
        <f>Y33/S33-1</f>
        <v>9.7799511002444994E-2</v>
      </c>
      <c r="AA34" s="289">
        <f>AA33/U33-1</f>
        <v>2.7272727272727337E-2</v>
      </c>
      <c r="AB34" s="110">
        <f>AB33/V33-1</f>
        <v>-0.49090909090909096</v>
      </c>
      <c r="AC34" s="293">
        <f>AC33/W33-1</f>
        <v>-1.1111111111111072E-2</v>
      </c>
      <c r="AD34" s="293">
        <f>AD33/X33-1</f>
        <v>-0.14388489208633093</v>
      </c>
      <c r="AE34" s="295">
        <f>AE33/Y33-1</f>
        <v>-0.16035634743875282</v>
      </c>
      <c r="AG34" s="289">
        <f>AG33/AA33-1</f>
        <v>0.26548672566371678</v>
      </c>
      <c r="AH34" s="293">
        <f>AH33/AB33-1</f>
        <v>1.1964285714285716</v>
      </c>
      <c r="AI34" s="293">
        <f>AI33/AC33-1</f>
        <v>0.18317528089887647</v>
      </c>
      <c r="AJ34" s="293">
        <f>AJ33/AD33-1</f>
        <v>5.022647058823515E-2</v>
      </c>
      <c r="AK34" s="295">
        <f>AK33/AE33-1</f>
        <v>0.31639137931034478</v>
      </c>
      <c r="AM34" s="289">
        <f>AM33/AG33-1</f>
        <v>4.1972027972028148E-2</v>
      </c>
      <c r="AN34" s="293">
        <f>AN33/AH33-1</f>
        <v>4.7059146341463354E-2</v>
      </c>
      <c r="AO34" s="293">
        <f>AO33/AI33-1</f>
        <v>3.3570041243046411E-2</v>
      </c>
      <c r="AP34" s="293">
        <f>AP33/AJ33-1</f>
        <v>3.2022455940875494E-2</v>
      </c>
      <c r="AQ34" s="295">
        <f>AQ33/AK33-1</f>
        <v>3.8944495093541587E-2</v>
      </c>
      <c r="AS34" s="289">
        <f>AS33/AM33-1</f>
        <v>2.5604564032697397E-2</v>
      </c>
      <c r="AT34" s="293">
        <f>AT33/AN33-1</f>
        <v>2.8000502423454199E-2</v>
      </c>
      <c r="AU34" s="293">
        <f>AU33/AO33-1</f>
        <v>3.0691478088868962E-2</v>
      </c>
      <c r="AV34" s="293">
        <f>AV33/AP33-1</f>
        <v>2.9200447302208499E-2</v>
      </c>
      <c r="AW34" s="295">
        <f>AW33/AQ33-1</f>
        <v>2.8176309742904637E-2</v>
      </c>
      <c r="AY34" s="289">
        <f>AY33/AS33-1</f>
        <v>2.2905178211163557E-2</v>
      </c>
      <c r="AZ34" s="293">
        <f>AZ33/AT33-1</f>
        <v>2.5229085404901763E-2</v>
      </c>
      <c r="BA34" s="293">
        <f>BA33/AU33-1</f>
        <v>2.7826278047652142E-2</v>
      </c>
      <c r="BB34" s="293">
        <f>BB33/AV33-1</f>
        <v>2.6388888888889017E-2</v>
      </c>
      <c r="BC34" s="295">
        <f>BC33/AW33-1</f>
        <v>2.5399180753632677E-2</v>
      </c>
      <c r="BE34" s="289">
        <f>BE33/AY33-1</f>
        <v>2.2742363877821914E-2</v>
      </c>
      <c r="BF34" s="293">
        <f>BF33/AZ33-1</f>
        <v>2.5002867630190551E-2</v>
      </c>
      <c r="BG34" s="293">
        <f>BG33/BA33-1</f>
        <v>2.7517104993976416E-2</v>
      </c>
      <c r="BH34" s="293">
        <f>BH33/BB33-1</f>
        <v>2.6127198917456074E-2</v>
      </c>
      <c r="BI34" s="295">
        <f>BI33/BC33-1</f>
        <v>2.5167919823904983E-2</v>
      </c>
      <c r="BK34" s="289">
        <f>BK33/BE33-1</f>
        <v>2.2583606557377234E-2</v>
      </c>
      <c r="BL34" s="293">
        <f>BL33/BF33-1</f>
        <v>2.4783272110765919E-2</v>
      </c>
      <c r="BM34" s="293">
        <f>BM33/BG33-1</f>
        <v>2.7218473500759677E-2</v>
      </c>
      <c r="BN34" s="293">
        <f>BN33/BH33-1</f>
        <v>2.5873734683004912E-2</v>
      </c>
      <c r="BO34" s="295">
        <f>BO33/BI33-1</f>
        <v>2.4943502157944719E-2</v>
      </c>
      <c r="BQ34" s="289">
        <f>BQ33/BK33-1</f>
        <v>1.0000000000000009E-2</v>
      </c>
      <c r="BR34" s="293">
        <f>BR33/BL33-1</f>
        <v>1.0000000000000009E-2</v>
      </c>
      <c r="BS34" s="293">
        <f>BS33/BM33-1</f>
        <v>1.0000000000000009E-2</v>
      </c>
      <c r="BT34" s="293">
        <f>BT33/BN33-1</f>
        <v>9.9999999999997868E-3</v>
      </c>
      <c r="BU34" s="295">
        <f>BU33/BO33-1</f>
        <v>1.0000000000000009E-2</v>
      </c>
    </row>
    <row r="35" spans="1:73" s="241" customFormat="1" ht="13.5" thickBot="1" x14ac:dyDescent="0.25">
      <c r="C35" s="107"/>
      <c r="D35" s="107"/>
      <c r="E35" s="107"/>
      <c r="F35" s="107"/>
      <c r="G35" s="107"/>
      <c r="H35" s="103"/>
      <c r="I35" s="107"/>
      <c r="J35" s="107"/>
      <c r="K35" s="107"/>
      <c r="L35" s="107"/>
      <c r="M35" s="107"/>
      <c r="N35" s="107"/>
      <c r="O35" s="107"/>
      <c r="P35" s="107"/>
      <c r="Q35" s="107"/>
      <c r="R35" s="107"/>
      <c r="S35" s="107"/>
      <c r="T35" s="103"/>
      <c r="U35" s="166"/>
      <c r="V35" s="166"/>
      <c r="W35" s="166"/>
      <c r="X35" s="166"/>
      <c r="Y35" s="166"/>
      <c r="AA35" s="166"/>
      <c r="AB35" s="166"/>
      <c r="AC35" s="166"/>
      <c r="AD35" s="166"/>
      <c r="AE35" s="166"/>
      <c r="AG35" s="166"/>
      <c r="AH35" s="166"/>
      <c r="AI35" s="166"/>
      <c r="AJ35" s="166"/>
      <c r="AK35" s="166"/>
      <c r="AM35" s="166"/>
      <c r="AN35" s="166"/>
      <c r="AO35" s="166"/>
      <c r="AP35" s="166"/>
      <c r="AQ35" s="166"/>
      <c r="AS35" s="166"/>
      <c r="AT35" s="166"/>
      <c r="AU35" s="166"/>
      <c r="AV35" s="166"/>
      <c r="AW35" s="166"/>
      <c r="AY35" s="166"/>
      <c r="AZ35" s="166"/>
      <c r="BA35" s="166"/>
      <c r="BB35" s="166"/>
      <c r="BC35" s="166"/>
      <c r="BE35" s="166"/>
      <c r="BF35" s="166"/>
      <c r="BG35" s="166"/>
      <c r="BH35" s="166"/>
      <c r="BI35" s="166"/>
      <c r="BK35" s="166"/>
      <c r="BL35" s="166"/>
      <c r="BM35" s="166"/>
      <c r="BN35" s="166"/>
      <c r="BO35" s="166"/>
      <c r="BQ35" s="166"/>
      <c r="BR35" s="166"/>
      <c r="BS35" s="166"/>
      <c r="BT35" s="166"/>
      <c r="BU35" s="166"/>
    </row>
    <row r="36" spans="1:73" s="241" customFormat="1" ht="15" x14ac:dyDescent="0.3">
      <c r="A36" s="260"/>
      <c r="B36" s="139" t="s">
        <v>36</v>
      </c>
      <c r="C36" s="178"/>
      <c r="D36" s="179"/>
      <c r="E36" s="179"/>
      <c r="F36" s="179"/>
      <c r="G36" s="137"/>
      <c r="H36" s="134"/>
      <c r="I36" s="300"/>
      <c r="J36" s="301"/>
      <c r="K36" s="301"/>
      <c r="L36" s="301"/>
      <c r="M36" s="302"/>
      <c r="N36" s="299"/>
      <c r="O36" s="300">
        <f>O33/O30</f>
        <v>6.25E-2</v>
      </c>
      <c r="P36" s="301">
        <f>P33/P30</f>
        <v>0.17538896746817539</v>
      </c>
      <c r="Q36" s="301">
        <f>Q33/Q30</f>
        <v>0.16459197786998617</v>
      </c>
      <c r="R36" s="303">
        <f>R33/R30</f>
        <v>0.15241635687732341</v>
      </c>
      <c r="S36" s="302">
        <f>S33/S30</f>
        <v>0.13982905982905983</v>
      </c>
      <c r="T36" s="134"/>
      <c r="U36" s="300">
        <f>U33/U30</f>
        <v>0.14666666666666667</v>
      </c>
      <c r="V36" s="301">
        <f>V33/V30</f>
        <v>0.14157014157014158</v>
      </c>
      <c r="W36" s="301">
        <f>W33/W30</f>
        <v>0.1174934725848564</v>
      </c>
      <c r="X36" s="301">
        <f>X33/X30</f>
        <v>0.16646706586826349</v>
      </c>
      <c r="Y36" s="302">
        <f>Y33/Y30</f>
        <v>0.14354219948849106</v>
      </c>
      <c r="Z36" s="260"/>
      <c r="AA36" s="300">
        <f>AA33/AA30</f>
        <v>0.1414267834793492</v>
      </c>
      <c r="AB36" s="301">
        <f>AB33/AB30</f>
        <v>7.2258064516129039E-2</v>
      </c>
      <c r="AC36" s="301">
        <f>AC33/AC30</f>
        <v>0.11664482306684142</v>
      </c>
      <c r="AD36" s="301">
        <f>AD33/AD30</f>
        <v>0.1440677966101695</v>
      </c>
      <c r="AE36" s="302">
        <f>AE33/AE30</f>
        <v>0.11919064179576351</v>
      </c>
      <c r="AF36" s="260"/>
      <c r="AG36" s="300">
        <f>AG33/AG30</f>
        <v>0.18815789473684211</v>
      </c>
      <c r="AH36" s="301">
        <f>AH33/AH30</f>
        <v>0.15830115830115829</v>
      </c>
      <c r="AI36" s="304">
        <f>AC36+AI37</f>
        <v>0.13664482306684142</v>
      </c>
      <c r="AJ36" s="305">
        <f>AD36+AJ37</f>
        <v>0.1490677966101695</v>
      </c>
      <c r="AK36" s="302">
        <f>AK33/AK30</f>
        <v>0.15774837731482952</v>
      </c>
      <c r="AL36" s="260"/>
      <c r="AM36" s="306">
        <f>AG36+AM37</f>
        <v>0.19315789473684211</v>
      </c>
      <c r="AN36" s="304">
        <f>AH36+AN37</f>
        <v>0.16330115830115829</v>
      </c>
      <c r="AO36" s="304">
        <f>AI36+AO37</f>
        <v>0.13914482306684142</v>
      </c>
      <c r="AP36" s="305">
        <f>AJ36+AP37</f>
        <v>0.1515677966101695</v>
      </c>
      <c r="AQ36" s="302">
        <f>AQ33/AQ30</f>
        <v>0.16146976179426706</v>
      </c>
      <c r="AR36" s="260"/>
      <c r="AS36" s="306">
        <f>AM36+AS37</f>
        <v>0.19565789473684211</v>
      </c>
      <c r="AT36" s="304">
        <f>AN36+AT37</f>
        <v>0.1658011583011583</v>
      </c>
      <c r="AU36" s="304">
        <f>AO36+AU37</f>
        <v>0.14164482306684142</v>
      </c>
      <c r="AV36" s="305">
        <f>AP36+AV37</f>
        <v>0.15406779661016951</v>
      </c>
      <c r="AW36" s="302">
        <f>AW33/AW30</f>
        <v>0.16396976179426703</v>
      </c>
      <c r="AX36" s="260"/>
      <c r="AY36" s="306">
        <f>AS36+AY37</f>
        <v>0.19815789473684212</v>
      </c>
      <c r="AZ36" s="304">
        <f>AT36+AZ37</f>
        <v>0.1683011583011583</v>
      </c>
      <c r="BA36" s="304">
        <f>AU36+BA37</f>
        <v>0.14414482306684143</v>
      </c>
      <c r="BB36" s="305">
        <f>AV36+BB37</f>
        <v>0.15656779661016951</v>
      </c>
      <c r="BC36" s="302">
        <f>BC33/BC30</f>
        <v>0.16646976179426706</v>
      </c>
      <c r="BD36" s="260"/>
      <c r="BE36" s="306">
        <f>AY36+BE37</f>
        <v>0.20065789473684212</v>
      </c>
      <c r="BF36" s="304">
        <f>AZ36+BF37</f>
        <v>0.1708011583011583</v>
      </c>
      <c r="BG36" s="304">
        <f>BA36+BG37</f>
        <v>0.14664482306684143</v>
      </c>
      <c r="BH36" s="305">
        <f>BB36+BH37</f>
        <v>0.15906779661016951</v>
      </c>
      <c r="BI36" s="302">
        <f>BI33/BI30</f>
        <v>0.16896976179426704</v>
      </c>
      <c r="BJ36" s="260"/>
      <c r="BK36" s="306">
        <f>BE36+BK37</f>
        <v>0.20315789473684212</v>
      </c>
      <c r="BL36" s="304">
        <f>BF36+BL37</f>
        <v>0.1733011583011583</v>
      </c>
      <c r="BM36" s="304">
        <f>BG36+BM37</f>
        <v>0.14914482306684143</v>
      </c>
      <c r="BN36" s="305">
        <f>BH36+BN37</f>
        <v>0.16156779661016951</v>
      </c>
      <c r="BO36" s="302">
        <f>BO33/BO30</f>
        <v>0.17146976179426707</v>
      </c>
      <c r="BP36" s="260"/>
      <c r="BQ36" s="306">
        <f>BK36+BQ37</f>
        <v>0.20315789473684212</v>
      </c>
      <c r="BR36" s="304">
        <f>BL36+BR37</f>
        <v>0.1733011583011583</v>
      </c>
      <c r="BS36" s="304">
        <f>BM36+BS37</f>
        <v>0.14914482306684143</v>
      </c>
      <c r="BT36" s="305">
        <f>BN36+BT37</f>
        <v>0.16156779661016951</v>
      </c>
      <c r="BU36" s="302">
        <f>BU33/BU30</f>
        <v>0.17146976179426707</v>
      </c>
    </row>
    <row r="37" spans="1:73" s="241" customFormat="1" ht="15.75" thickBot="1" x14ac:dyDescent="0.35">
      <c r="B37" s="140" t="s">
        <v>37</v>
      </c>
      <c r="C37" s="155"/>
      <c r="D37" s="106"/>
      <c r="E37" s="106"/>
      <c r="F37" s="106"/>
      <c r="G37" s="108"/>
      <c r="H37" s="103"/>
      <c r="I37" s="155"/>
      <c r="J37" s="106"/>
      <c r="K37" s="106"/>
      <c r="L37" s="106"/>
      <c r="M37" s="108"/>
      <c r="N37" s="107"/>
      <c r="O37" s="155"/>
      <c r="P37" s="106"/>
      <c r="Q37" s="106"/>
      <c r="R37" s="154"/>
      <c r="S37" s="108"/>
      <c r="T37" s="103"/>
      <c r="U37" s="174">
        <f>U36-O36</f>
        <v>8.4166666666666667E-2</v>
      </c>
      <c r="V37" s="175">
        <f>V36-P36</f>
        <v>-3.3818825898033811E-2</v>
      </c>
      <c r="W37" s="175">
        <f>W36-Q36</f>
        <v>-4.7098505285129766E-2</v>
      </c>
      <c r="X37" s="175">
        <f>X36-R36</f>
        <v>1.4050708990940075E-2</v>
      </c>
      <c r="Y37" s="177">
        <f>Y36-S36</f>
        <v>3.713139659431236E-3</v>
      </c>
      <c r="AA37" s="174">
        <f>AA36-U36</f>
        <v>-5.2398831873174678E-3</v>
      </c>
      <c r="AB37" s="175">
        <f>AB36-V36</f>
        <v>-6.9312077054012544E-2</v>
      </c>
      <c r="AC37" s="175">
        <f>AC36-W36</f>
        <v>-8.48649518014985E-4</v>
      </c>
      <c r="AD37" s="175">
        <f>AD36-X36</f>
        <v>-2.239926925809399E-2</v>
      </c>
      <c r="AE37" s="177">
        <f>AE36-Y36</f>
        <v>-2.4351557692727552E-2</v>
      </c>
      <c r="AG37" s="174">
        <f>AG36-AA36</f>
        <v>4.6731111257492908E-2</v>
      </c>
      <c r="AH37" s="175">
        <f>AH36-AB36</f>
        <v>8.6043093785029251E-2</v>
      </c>
      <c r="AI37" s="175">
        <v>0.02</v>
      </c>
      <c r="AJ37" s="175">
        <v>5.0000000000000001E-3</v>
      </c>
      <c r="AK37" s="177">
        <f>AK36-AE36</f>
        <v>3.8557735519066008E-2</v>
      </c>
      <c r="AM37" s="174">
        <v>5.0000000000000001E-3</v>
      </c>
      <c r="AN37" s="175">
        <v>5.0000000000000001E-3</v>
      </c>
      <c r="AO37" s="175">
        <v>2.5000000000000001E-3</v>
      </c>
      <c r="AP37" s="175">
        <v>2.5000000000000001E-3</v>
      </c>
      <c r="AQ37" s="177">
        <f>AQ36-AK36</f>
        <v>3.7213844794375395E-3</v>
      </c>
      <c r="AS37" s="174">
        <v>2.5000000000000001E-3</v>
      </c>
      <c r="AT37" s="175">
        <v>2.5000000000000001E-3</v>
      </c>
      <c r="AU37" s="175">
        <v>2.5000000000000001E-3</v>
      </c>
      <c r="AV37" s="175">
        <v>2.5000000000000001E-3</v>
      </c>
      <c r="AW37" s="177">
        <f>AW36-AQ36</f>
        <v>2.4999999999999745E-3</v>
      </c>
      <c r="AY37" s="174">
        <v>2.5000000000000001E-3</v>
      </c>
      <c r="AZ37" s="175">
        <v>2.5000000000000001E-3</v>
      </c>
      <c r="BA37" s="175">
        <v>2.5000000000000001E-3</v>
      </c>
      <c r="BB37" s="175">
        <v>2.5000000000000001E-3</v>
      </c>
      <c r="BC37" s="177">
        <f>BC36-AW36</f>
        <v>2.50000000000003E-3</v>
      </c>
      <c r="BE37" s="174">
        <v>2.5000000000000001E-3</v>
      </c>
      <c r="BF37" s="175">
        <v>2.5000000000000001E-3</v>
      </c>
      <c r="BG37" s="175">
        <v>2.5000000000000001E-3</v>
      </c>
      <c r="BH37" s="175">
        <v>2.5000000000000001E-3</v>
      </c>
      <c r="BI37" s="177">
        <f>BI36-BC36</f>
        <v>2.4999999999999745E-3</v>
      </c>
      <c r="BK37" s="174">
        <v>2.5000000000000001E-3</v>
      </c>
      <c r="BL37" s="175">
        <v>2.5000000000000001E-3</v>
      </c>
      <c r="BM37" s="175">
        <v>2.5000000000000001E-3</v>
      </c>
      <c r="BN37" s="175">
        <v>2.5000000000000001E-3</v>
      </c>
      <c r="BO37" s="177">
        <f>BO36-BI36</f>
        <v>2.50000000000003E-3</v>
      </c>
      <c r="BQ37" s="174">
        <v>0</v>
      </c>
      <c r="BR37" s="175">
        <v>0</v>
      </c>
      <c r="BS37" s="175">
        <v>0</v>
      </c>
      <c r="BT37" s="176">
        <v>0</v>
      </c>
      <c r="BU37" s="177">
        <f>BU36-BO36</f>
        <v>0</v>
      </c>
    </row>
    <row r="38" spans="1:73" s="241" customFormat="1" ht="15.75" thickBot="1" x14ac:dyDescent="0.35">
      <c r="B38" s="6"/>
      <c r="C38" s="107"/>
      <c r="D38" s="107"/>
      <c r="E38" s="107"/>
      <c r="F38" s="107"/>
      <c r="G38" s="107"/>
      <c r="H38" s="103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3"/>
      <c r="U38" s="166"/>
      <c r="V38" s="166"/>
      <c r="W38" s="166"/>
      <c r="X38" s="166"/>
      <c r="Y38" s="166"/>
      <c r="AA38" s="166"/>
      <c r="AB38" s="166"/>
      <c r="AC38" s="166"/>
      <c r="AD38" s="166"/>
      <c r="AE38" s="166"/>
      <c r="AG38" s="166"/>
      <c r="AH38" s="166"/>
      <c r="AI38" s="166"/>
      <c r="AJ38" s="166"/>
      <c r="AK38" s="166"/>
      <c r="AM38" s="166"/>
      <c r="AN38" s="166"/>
      <c r="AO38" s="166"/>
      <c r="AP38" s="166"/>
      <c r="AQ38" s="166"/>
      <c r="AS38" s="166"/>
      <c r="AT38" s="166"/>
      <c r="AU38" s="166"/>
      <c r="AV38" s="166"/>
      <c r="AW38" s="166"/>
      <c r="AY38" s="166"/>
      <c r="AZ38" s="166"/>
      <c r="BA38" s="166"/>
      <c r="BB38" s="166"/>
      <c r="BC38" s="166"/>
      <c r="BE38" s="166"/>
      <c r="BF38" s="166"/>
      <c r="BG38" s="166"/>
      <c r="BH38" s="166"/>
      <c r="BI38" s="166"/>
      <c r="BK38" s="166"/>
      <c r="BL38" s="166"/>
      <c r="BM38" s="166"/>
      <c r="BN38" s="166"/>
      <c r="BO38" s="166"/>
      <c r="BQ38" s="166"/>
      <c r="BR38" s="166"/>
      <c r="BS38" s="166"/>
      <c r="BT38" s="166"/>
      <c r="BU38" s="166"/>
    </row>
    <row r="39" spans="1:73" s="241" customFormat="1" ht="15" x14ac:dyDescent="0.3">
      <c r="A39" s="260"/>
      <c r="B39" s="139" t="s">
        <v>62</v>
      </c>
      <c r="C39" s="178"/>
      <c r="D39" s="179"/>
      <c r="E39" s="179"/>
      <c r="F39" s="179"/>
      <c r="G39" s="137"/>
      <c r="H39" s="134"/>
      <c r="I39" s="178"/>
      <c r="J39" s="179"/>
      <c r="K39" s="179"/>
      <c r="L39" s="179"/>
      <c r="M39" s="137"/>
      <c r="N39" s="299"/>
      <c r="O39" s="178">
        <v>82</v>
      </c>
      <c r="P39" s="179">
        <v>96</v>
      </c>
      <c r="Q39" s="179">
        <v>91</v>
      </c>
      <c r="R39" s="179">
        <v>112</v>
      </c>
      <c r="S39" s="137">
        <f>O39+P39+Q39+R39</f>
        <v>381</v>
      </c>
      <c r="T39" s="134"/>
      <c r="U39" s="211">
        <v>138</v>
      </c>
      <c r="V39" s="212">
        <v>147</v>
      </c>
      <c r="W39" s="212">
        <v>116</v>
      </c>
      <c r="X39" s="210">
        <v>138</v>
      </c>
      <c r="Y39" s="202">
        <f>U39+V39+W39+X39</f>
        <v>539</v>
      </c>
      <c r="Z39" s="343"/>
      <c r="AA39" s="211">
        <v>67</v>
      </c>
      <c r="AB39" s="212">
        <v>88</v>
      </c>
      <c r="AC39" s="212">
        <v>82</v>
      </c>
      <c r="AD39" s="210">
        <v>98</v>
      </c>
      <c r="AE39" s="202">
        <f>AA39+AB39+AC39+AD39</f>
        <v>335</v>
      </c>
      <c r="AF39" s="344"/>
      <c r="AG39" s="211">
        <v>70</v>
      </c>
      <c r="AH39" s="212">
        <v>65</v>
      </c>
      <c r="AI39" s="212">
        <f>AI42*AI30</f>
        <v>78.966849999999994</v>
      </c>
      <c r="AJ39" s="210">
        <f>AJ42*AJ30</f>
        <v>97.374024999999989</v>
      </c>
      <c r="AK39" s="202">
        <f>AG39+AH39+AI39+AJ39</f>
        <v>311.34087499999998</v>
      </c>
      <c r="AL39" s="344"/>
      <c r="AM39" s="211">
        <f>AM42*AM30</f>
        <v>69.121499999999997</v>
      </c>
      <c r="AN39" s="212">
        <f>AN42*AN30</f>
        <v>64.003362499999994</v>
      </c>
      <c r="AO39" s="212">
        <f>AO42*AO30</f>
        <v>78.19587912499999</v>
      </c>
      <c r="AP39" s="210">
        <f>AP42*AP30</f>
        <v>96.707220749999976</v>
      </c>
      <c r="AQ39" s="202">
        <f>AM39+AN39+AO39+AP39</f>
        <v>308.02796237499996</v>
      </c>
      <c r="AR39" s="344"/>
      <c r="AS39" s="211">
        <f>AS42*AS30</f>
        <v>68.032912499999981</v>
      </c>
      <c r="AT39" s="212">
        <f>AT42*AT30</f>
        <v>62.807121562499994</v>
      </c>
      <c r="AU39" s="212">
        <f>AU42*AU30</f>
        <v>77.193410568749982</v>
      </c>
      <c r="AV39" s="210">
        <f>AV42*AV30</f>
        <v>95.762053701562465</v>
      </c>
      <c r="AW39" s="202">
        <f>AS39+AT39+AU39+AV39</f>
        <v>303.79549833281243</v>
      </c>
      <c r="AX39" s="344"/>
      <c r="AY39" s="211">
        <f>AY42*AY30</f>
        <v>66.741109312499987</v>
      </c>
      <c r="AZ39" s="212">
        <f>AZ42*AZ30</f>
        <v>61.41894697968749</v>
      </c>
      <c r="BA39" s="212">
        <f>BA42*BA30</f>
        <v>75.965628458671858</v>
      </c>
      <c r="BB39" s="210">
        <f>BB42*BB30</f>
        <v>94.544126857687459</v>
      </c>
      <c r="BC39" s="202">
        <f>AY39+AZ39+BA39+BB39</f>
        <v>298.66981160854681</v>
      </c>
      <c r="BD39" s="344"/>
      <c r="BE39" s="211">
        <f>BE42*BE30</f>
        <v>67.408520405624984</v>
      </c>
      <c r="BF39" s="212">
        <f>BF42*BF30</f>
        <v>62.033136449484367</v>
      </c>
      <c r="BG39" s="212">
        <f>BG42*BG30</f>
        <v>76.725284743258584</v>
      </c>
      <c r="BH39" s="210">
        <f>BH42*BH30</f>
        <v>95.489568126264345</v>
      </c>
      <c r="BI39" s="202">
        <f>BE39+BF39+BG39+BH39</f>
        <v>301.65650972463231</v>
      </c>
      <c r="BJ39" s="344"/>
      <c r="BK39" s="211">
        <f>BK42*BK30</f>
        <v>68.082605609681238</v>
      </c>
      <c r="BL39" s="212">
        <f>BL42*BL30</f>
        <v>62.653467813979212</v>
      </c>
      <c r="BM39" s="212">
        <f>BM42*BM30</f>
        <v>77.492537590691171</v>
      </c>
      <c r="BN39" s="210">
        <f>BN42*BN30</f>
        <v>96.444463807526986</v>
      </c>
      <c r="BO39" s="202">
        <f>BK39+BL39+BM39+BN39</f>
        <v>304.67307482187863</v>
      </c>
      <c r="BP39" s="344"/>
      <c r="BQ39" s="211">
        <f>BQ42*BQ30</f>
        <v>68.763431665778043</v>
      </c>
      <c r="BR39" s="212">
        <f>BR42*BR30</f>
        <v>63.280002492119003</v>
      </c>
      <c r="BS39" s="212">
        <f>BS42*BS30</f>
        <v>78.267462966598089</v>
      </c>
      <c r="BT39" s="210">
        <f>BT42*BT30</f>
        <v>97.40890844560225</v>
      </c>
      <c r="BU39" s="202">
        <f>BQ39+BR39+BS39+BT39</f>
        <v>307.71980557009738</v>
      </c>
    </row>
    <row r="40" spans="1:73" s="241" customFormat="1" ht="15" x14ac:dyDescent="0.3">
      <c r="B40" s="5" t="s">
        <v>40</v>
      </c>
      <c r="C40" s="144"/>
      <c r="D40" s="107"/>
      <c r="E40" s="107"/>
      <c r="F40" s="107"/>
      <c r="G40" s="138"/>
      <c r="H40" s="103"/>
      <c r="I40" s="144"/>
      <c r="J40" s="107"/>
      <c r="K40" s="107"/>
      <c r="L40" s="107"/>
      <c r="M40" s="153"/>
      <c r="N40" s="107"/>
      <c r="O40" s="151"/>
      <c r="P40" s="133"/>
      <c r="Q40" s="133"/>
      <c r="R40" s="133"/>
      <c r="S40" s="153"/>
      <c r="T40" s="103"/>
      <c r="U40" s="151">
        <f>U39/O39-1</f>
        <v>0.68292682926829262</v>
      </c>
      <c r="V40" s="133">
        <f>V39/P39-1</f>
        <v>0.53125</v>
      </c>
      <c r="W40" s="133">
        <f>W39/Q39-1</f>
        <v>0.27472527472527464</v>
      </c>
      <c r="X40" s="133">
        <f>X39/R39-1</f>
        <v>0.23214285714285721</v>
      </c>
      <c r="Y40" s="153">
        <f>Y39/S39-1</f>
        <v>0.41469816272965887</v>
      </c>
      <c r="AA40" s="151">
        <f>AA39/U39-1</f>
        <v>-0.51449275362318847</v>
      </c>
      <c r="AB40" s="133">
        <f>AB39/V39-1</f>
        <v>-0.40136054421768708</v>
      </c>
      <c r="AC40" s="133">
        <f>AC39/W39-1</f>
        <v>-0.2931034482758621</v>
      </c>
      <c r="AD40" s="133">
        <f>AD39/X39-1</f>
        <v>-0.28985507246376807</v>
      </c>
      <c r="AE40" s="153">
        <f>AE39/Y39-1</f>
        <v>-0.37847866419294995</v>
      </c>
      <c r="AF40"/>
      <c r="AG40" s="151">
        <f>AG39/AA39-1</f>
        <v>4.4776119402984982E-2</v>
      </c>
      <c r="AH40" s="133">
        <f>AH39/AB39-1</f>
        <v>-0.26136363636363635</v>
      </c>
      <c r="AI40" s="133">
        <f>AI39/AC39-1</f>
        <v>-3.6989634146341488E-2</v>
      </c>
      <c r="AJ40" s="152">
        <f>AJ39/AD39-1</f>
        <v>-6.3875000000001014E-3</v>
      </c>
      <c r="AK40" s="153">
        <f>AK39/AE39-1</f>
        <v>-7.0624253731343289E-2</v>
      </c>
      <c r="AL40"/>
      <c r="AM40" s="151">
        <f>AM39/AG39-1</f>
        <v>-1.2550000000000061E-2</v>
      </c>
      <c r="AN40" s="133">
        <f>AN39/AH39-1</f>
        <v>-1.5332884615384734E-2</v>
      </c>
      <c r="AO40" s="133">
        <f>AO39/AI39-1</f>
        <v>-9.7632218456226161E-3</v>
      </c>
      <c r="AP40" s="152">
        <f>AP39/AJ39-1</f>
        <v>-6.8478657424299039E-3</v>
      </c>
      <c r="AQ40" s="153">
        <f>AQ39/AK39-1</f>
        <v>-1.0640789215357715E-2</v>
      </c>
      <c r="AR40"/>
      <c r="AS40" s="151">
        <f>AS39/AM39-1</f>
        <v>-1.5748898678414336E-2</v>
      </c>
      <c r="AT40" s="133">
        <f>AT39/AN39-1</f>
        <v>-1.8690282678507697E-2</v>
      </c>
      <c r="AU40" s="133">
        <f>AU39/AO39-1</f>
        <v>-1.2819966569434071E-2</v>
      </c>
      <c r="AV40" s="152">
        <f>AV39/AP39-1</f>
        <v>-9.7734899328860703E-3</v>
      </c>
      <c r="AW40" s="153">
        <f>AW39/AQ39-1</f>
        <v>-1.3740518911185218E-2</v>
      </c>
      <c r="AX40"/>
      <c r="AY40" s="151">
        <f>AY39/AS39-1</f>
        <v>-1.8987915407854938E-2</v>
      </c>
      <c r="AZ40" s="133">
        <f>AZ39/AT39-1</f>
        <v>-2.2102184406446956E-2</v>
      </c>
      <c r="BA40" s="133">
        <f>BA39/AU39-1</f>
        <v>-1.5905270942584315E-2</v>
      </c>
      <c r="BB40" s="152">
        <f>BB39/AV39-1</f>
        <v>-1.2718261532596364E-2</v>
      </c>
      <c r="BC40" s="153">
        <f>BC39/AW39-1</f>
        <v>-1.6872161544179143E-2</v>
      </c>
      <c r="BD40"/>
      <c r="BE40" s="151">
        <f>BE39/AY39-1</f>
        <v>1.0000000000000009E-2</v>
      </c>
      <c r="BF40" s="133">
        <f>BF39/AZ39-1</f>
        <v>1.0000000000000009E-2</v>
      </c>
      <c r="BG40" s="133">
        <f>BG39/BA39-1</f>
        <v>1.0000000000000009E-2</v>
      </c>
      <c r="BH40" s="152">
        <f>BH39/BB39-1</f>
        <v>1.0000000000000009E-2</v>
      </c>
      <c r="BI40" s="153">
        <f>BI39/BC39-1</f>
        <v>1.0000000000000231E-2</v>
      </c>
      <c r="BJ40"/>
      <c r="BK40" s="151">
        <f>BK39/BE39-1</f>
        <v>1.0000000000000009E-2</v>
      </c>
      <c r="BL40" s="133">
        <f>BL39/BF39-1</f>
        <v>1.0000000000000009E-2</v>
      </c>
      <c r="BM40" s="133">
        <f>BM39/BG39-1</f>
        <v>1.0000000000000009E-2</v>
      </c>
      <c r="BN40" s="152">
        <f>BN39/BH39-1</f>
        <v>1.0000000000000009E-2</v>
      </c>
      <c r="BO40" s="153">
        <f>BO39/BI39-1</f>
        <v>1.0000000000000009E-2</v>
      </c>
      <c r="BP40"/>
      <c r="BQ40" s="151">
        <f>BQ39/BK39-1</f>
        <v>9.9999999999997868E-3</v>
      </c>
      <c r="BR40" s="133">
        <f>BR39/BL39-1</f>
        <v>1.0000000000000009E-2</v>
      </c>
      <c r="BS40" s="133">
        <f>BS39/BM39-1</f>
        <v>1.0000000000000009E-2</v>
      </c>
      <c r="BT40" s="152">
        <f>BT39/BN39-1</f>
        <v>1.0000000000000009E-2</v>
      </c>
      <c r="BU40" s="153">
        <f>BU39/BO39-1</f>
        <v>9.9999999999997868E-3</v>
      </c>
    </row>
    <row r="41" spans="1:73" ht="15" x14ac:dyDescent="0.3">
      <c r="B41" s="105"/>
      <c r="C41" s="144"/>
      <c r="D41" s="107"/>
      <c r="E41" s="107"/>
      <c r="F41" s="107"/>
      <c r="G41" s="138"/>
      <c r="I41" s="144"/>
      <c r="J41" s="107"/>
      <c r="K41" s="107"/>
      <c r="L41" s="107"/>
      <c r="M41" s="153"/>
      <c r="N41" s="107"/>
      <c r="O41" s="151"/>
      <c r="P41" s="133"/>
      <c r="Q41" s="133"/>
      <c r="R41" s="133"/>
      <c r="S41" s="153"/>
      <c r="U41" s="144"/>
      <c r="V41" s="107"/>
      <c r="W41" s="107"/>
      <c r="X41" s="145"/>
      <c r="Y41" s="138"/>
      <c r="Z41" s="241"/>
      <c r="AA41" s="144"/>
      <c r="AB41" s="107"/>
      <c r="AC41" s="107"/>
      <c r="AD41" s="145"/>
      <c r="AE41" s="138"/>
      <c r="AG41" s="144"/>
      <c r="AH41" s="107"/>
      <c r="AI41" s="107"/>
      <c r="AJ41" s="145"/>
      <c r="AK41" s="138"/>
      <c r="AM41" s="144"/>
      <c r="AN41" s="107"/>
      <c r="AO41" s="107"/>
      <c r="AP41" s="145"/>
      <c r="AQ41" s="138"/>
      <c r="AS41" s="144"/>
      <c r="AT41" s="107"/>
      <c r="AU41" s="107"/>
      <c r="AV41" s="145"/>
      <c r="AW41" s="138"/>
      <c r="AY41" s="144"/>
      <c r="AZ41" s="107"/>
      <c r="BA41" s="107"/>
      <c r="BB41" s="145"/>
      <c r="BC41" s="138"/>
      <c r="BE41" s="144"/>
      <c r="BF41" s="107"/>
      <c r="BG41" s="107"/>
      <c r="BH41" s="145"/>
      <c r="BI41" s="138"/>
      <c r="BK41" s="144"/>
      <c r="BL41" s="107"/>
      <c r="BM41" s="107"/>
      <c r="BN41" s="145"/>
      <c r="BO41" s="138"/>
      <c r="BQ41" s="144"/>
      <c r="BR41" s="107"/>
      <c r="BS41" s="107"/>
      <c r="BT41" s="145"/>
      <c r="BU41" s="138"/>
    </row>
    <row r="42" spans="1:73" ht="15" x14ac:dyDescent="0.3">
      <c r="A42" s="135"/>
      <c r="B42" s="105" t="s">
        <v>24</v>
      </c>
      <c r="C42" s="307"/>
      <c r="D42" s="299"/>
      <c r="E42" s="299"/>
      <c r="F42" s="299"/>
      <c r="G42" s="308"/>
      <c r="H42" s="134"/>
      <c r="I42" s="296"/>
      <c r="J42" s="228"/>
      <c r="K42" s="228"/>
      <c r="L42" s="228"/>
      <c r="M42" s="298"/>
      <c r="N42" s="299"/>
      <c r="O42" s="296">
        <f>O39/O30</f>
        <v>0.11918604651162791</v>
      </c>
      <c r="P42" s="228">
        <f>P39/P30</f>
        <v>0.13578500707213578</v>
      </c>
      <c r="Q42" s="228">
        <f>Q39/Q30</f>
        <v>0.12586445366528354</v>
      </c>
      <c r="R42" s="228">
        <f>R39/R30</f>
        <v>0.13878562577447337</v>
      </c>
      <c r="S42" s="298">
        <f>S39/S30</f>
        <v>0.13025641025641024</v>
      </c>
      <c r="T42" s="134"/>
      <c r="U42" s="296">
        <f>U39/U30</f>
        <v>0.184</v>
      </c>
      <c r="V42" s="228">
        <f>V39/V30</f>
        <v>0.1891891891891892</v>
      </c>
      <c r="W42" s="228">
        <f>W39/W30</f>
        <v>0.1514360313315927</v>
      </c>
      <c r="X42" s="228">
        <f>X39/X30</f>
        <v>0.16526946107784432</v>
      </c>
      <c r="Y42" s="298">
        <f>Y39/Y30</f>
        <v>0.1723145780051151</v>
      </c>
      <c r="Z42" s="135"/>
      <c r="AA42" s="296">
        <f>AA39/AA30</f>
        <v>8.3854818523153948E-2</v>
      </c>
      <c r="AB42" s="228">
        <f>AB39/AB30</f>
        <v>0.1135483870967742</v>
      </c>
      <c r="AC42" s="228">
        <f>AC39/AC30</f>
        <v>0.10747051114023591</v>
      </c>
      <c r="AD42" s="228">
        <f>AD39/AD30</f>
        <v>0.11864406779661017</v>
      </c>
      <c r="AE42" s="298">
        <f>AE39/AE30</f>
        <v>0.1059121087575087</v>
      </c>
      <c r="AF42" s="135"/>
      <c r="AG42" s="296">
        <f>AG39/AG30</f>
        <v>9.2105263157894732E-2</v>
      </c>
      <c r="AH42" s="228">
        <f>AH39/AH30</f>
        <v>8.3655083655083659E-2</v>
      </c>
      <c r="AI42" s="309">
        <f>AC42+AI43</f>
        <v>0.10247051114023591</v>
      </c>
      <c r="AJ42" s="310">
        <f>AD42+AJ43</f>
        <v>0.11614406779661017</v>
      </c>
      <c r="AK42" s="298">
        <f>AK39/AK30</f>
        <v>9.8963412502145562E-2</v>
      </c>
      <c r="AL42" s="135"/>
      <c r="AM42" s="311">
        <f>AG42+AM43</f>
        <v>8.960526315789473E-2</v>
      </c>
      <c r="AN42" s="309">
        <f>AH42+AN43</f>
        <v>8.1155083655083657E-2</v>
      </c>
      <c r="AO42" s="309">
        <f>AI42+AO43</f>
        <v>9.9970511140235904E-2</v>
      </c>
      <c r="AP42" s="310">
        <f>AJ42+AP43</f>
        <v>0.11364406779661017</v>
      </c>
      <c r="AQ42" s="298">
        <f>AQ39/AQ30</f>
        <v>9.646341250214556E-2</v>
      </c>
      <c r="AR42" s="135"/>
      <c r="AS42" s="311">
        <f>AM42+AS43</f>
        <v>8.7105263157894727E-2</v>
      </c>
      <c r="AT42" s="309">
        <f>AN42+AT43</f>
        <v>7.8655083655083655E-2</v>
      </c>
      <c r="AU42" s="309">
        <f>AO42+AU43</f>
        <v>9.7470511140235902E-2</v>
      </c>
      <c r="AV42" s="310">
        <f>AP42+AV43</f>
        <v>0.11114406779661017</v>
      </c>
      <c r="AW42" s="298">
        <f>AW39/AW30</f>
        <v>9.3963412502145557E-2</v>
      </c>
      <c r="AX42" s="135"/>
      <c r="AY42" s="311">
        <f>AS42+AY43</f>
        <v>8.4605263157894725E-2</v>
      </c>
      <c r="AZ42" s="309">
        <f>AT42+AZ43</f>
        <v>7.6155083655083652E-2</v>
      </c>
      <c r="BA42" s="309">
        <f>AU42+BA43</f>
        <v>9.49705111402359E-2</v>
      </c>
      <c r="BB42" s="310">
        <f>AV42+BB43</f>
        <v>0.10864406779661016</v>
      </c>
      <c r="BC42" s="298">
        <f>BC39/BC30</f>
        <v>9.1463412502145569E-2</v>
      </c>
      <c r="BD42" s="135"/>
      <c r="BE42" s="311">
        <f>AY42+BE43</f>
        <v>8.4605263157894725E-2</v>
      </c>
      <c r="BF42" s="309">
        <f>AZ42+BF43</f>
        <v>7.6155083655083652E-2</v>
      </c>
      <c r="BG42" s="309">
        <f>BA42+BG43</f>
        <v>9.49705111402359E-2</v>
      </c>
      <c r="BH42" s="310">
        <f>BB42+BH43</f>
        <v>0.10864406779661016</v>
      </c>
      <c r="BI42" s="298">
        <f>BI39/BI30</f>
        <v>9.1463412502145569E-2</v>
      </c>
      <c r="BJ42" s="135"/>
      <c r="BK42" s="311">
        <f>BE42+BK43</f>
        <v>8.4605263157894725E-2</v>
      </c>
      <c r="BL42" s="309">
        <f>BF42+BL43</f>
        <v>7.6155083655083652E-2</v>
      </c>
      <c r="BM42" s="309">
        <f>BG42+BM43</f>
        <v>9.49705111402359E-2</v>
      </c>
      <c r="BN42" s="310">
        <f>BH42+BN43</f>
        <v>0.10864406779661016</v>
      </c>
      <c r="BO42" s="298">
        <f>BO39/BO30</f>
        <v>9.1463412502145569E-2</v>
      </c>
      <c r="BP42" s="135"/>
      <c r="BQ42" s="311">
        <f>BK42+BQ43</f>
        <v>8.4605263157894725E-2</v>
      </c>
      <c r="BR42" s="309">
        <f>BL42+BR43</f>
        <v>7.6155083655083652E-2</v>
      </c>
      <c r="BS42" s="309">
        <f>BM42+BS43</f>
        <v>9.49705111402359E-2</v>
      </c>
      <c r="BT42" s="310">
        <f>BN42+BT43</f>
        <v>0.10864406779661016</v>
      </c>
      <c r="BU42" s="298">
        <f>BU39/BU30</f>
        <v>9.1463412502145555E-2</v>
      </c>
    </row>
    <row r="43" spans="1:73" ht="15.75" thickBot="1" x14ac:dyDescent="0.35">
      <c r="B43" s="140" t="s">
        <v>40</v>
      </c>
      <c r="C43" s="155"/>
      <c r="D43" s="106"/>
      <c r="E43" s="106"/>
      <c r="F43" s="106"/>
      <c r="G43" s="108"/>
      <c r="I43" s="155"/>
      <c r="J43" s="106"/>
      <c r="K43" s="106"/>
      <c r="L43" s="106"/>
      <c r="M43" s="108"/>
      <c r="N43" s="107"/>
      <c r="O43" s="155"/>
      <c r="P43" s="106"/>
      <c r="Q43" s="106"/>
      <c r="R43" s="106"/>
      <c r="S43" s="108"/>
      <c r="U43" s="174">
        <f>U42-O42</f>
        <v>6.4813953488372086E-2</v>
      </c>
      <c r="V43" s="175">
        <f>V42-P42</f>
        <v>5.3404182117053417E-2</v>
      </c>
      <c r="W43" s="175">
        <f>W42-Q42</f>
        <v>2.5571577666309159E-2</v>
      </c>
      <c r="X43" s="175">
        <f>X42-R42</f>
        <v>2.6483835303370951E-2</v>
      </c>
      <c r="Y43" s="177">
        <f>Y42-S42</f>
        <v>4.2058167748704856E-2</v>
      </c>
      <c r="AA43" s="174">
        <f>AA42-U42</f>
        <v>-0.10014518147684605</v>
      </c>
      <c r="AB43" s="175">
        <f>AB42-V42</f>
        <v>-7.5640802092414999E-2</v>
      </c>
      <c r="AC43" s="175">
        <f>AC42-W42</f>
        <v>-4.3965520191356786E-2</v>
      </c>
      <c r="AD43" s="175">
        <f>AD42-X42</f>
        <v>-4.6625393281234148E-2</v>
      </c>
      <c r="AE43" s="177">
        <f>AE42-Y42</f>
        <v>-6.6402469247606399E-2</v>
      </c>
      <c r="AG43" s="174">
        <f>AG42-AA42</f>
        <v>8.2504446347407834E-3</v>
      </c>
      <c r="AH43" s="175">
        <f>AH42-AB42</f>
        <v>-2.9893303441690541E-2</v>
      </c>
      <c r="AI43" s="439">
        <v>-5.0000000000000001E-3</v>
      </c>
      <c r="AJ43" s="439">
        <v>-2.5000000000000001E-3</v>
      </c>
      <c r="AK43" s="177">
        <f>AK42-AE42</f>
        <v>-6.9486962553631376E-3</v>
      </c>
      <c r="AM43" s="438">
        <v>-2.5000000000000001E-3</v>
      </c>
      <c r="AN43" s="439">
        <v>-2.5000000000000001E-3</v>
      </c>
      <c r="AO43" s="439">
        <v>-2.5000000000000001E-3</v>
      </c>
      <c r="AP43" s="439">
        <v>-2.5000000000000001E-3</v>
      </c>
      <c r="AQ43" s="379">
        <f>AQ42-AK42</f>
        <v>-2.5000000000000022E-3</v>
      </c>
      <c r="AS43" s="438">
        <v>-2.5000000000000001E-3</v>
      </c>
      <c r="AT43" s="439">
        <v>-2.5000000000000001E-3</v>
      </c>
      <c r="AU43" s="439">
        <v>-2.5000000000000001E-3</v>
      </c>
      <c r="AV43" s="439">
        <v>-2.5000000000000001E-3</v>
      </c>
      <c r="AW43" s="379">
        <f>AW42-AQ42</f>
        <v>-2.5000000000000022E-3</v>
      </c>
      <c r="AY43" s="438">
        <v>-2.5000000000000001E-3</v>
      </c>
      <c r="AZ43" s="439">
        <v>-2.5000000000000001E-3</v>
      </c>
      <c r="BA43" s="439">
        <v>-2.5000000000000001E-3</v>
      </c>
      <c r="BB43" s="439">
        <v>-2.5000000000000001E-3</v>
      </c>
      <c r="BC43" s="379">
        <f>BC42-AW42</f>
        <v>-2.4999999999999883E-3</v>
      </c>
      <c r="BE43" s="174">
        <v>0</v>
      </c>
      <c r="BF43" s="175">
        <v>0</v>
      </c>
      <c r="BG43" s="175">
        <v>0</v>
      </c>
      <c r="BH43" s="176">
        <v>0</v>
      </c>
      <c r="BI43" s="177">
        <f>BI42-BC42</f>
        <v>0</v>
      </c>
      <c r="BK43" s="174">
        <v>0</v>
      </c>
      <c r="BL43" s="175">
        <v>0</v>
      </c>
      <c r="BM43" s="175">
        <v>0</v>
      </c>
      <c r="BN43" s="176">
        <v>0</v>
      </c>
      <c r="BO43" s="177">
        <f>BO42-BI42</f>
        <v>0</v>
      </c>
      <c r="BQ43" s="174">
        <v>0</v>
      </c>
      <c r="BR43" s="175">
        <v>0</v>
      </c>
      <c r="BS43" s="175">
        <v>0</v>
      </c>
      <c r="BT43" s="176">
        <v>0</v>
      </c>
      <c r="BU43" s="177">
        <f>BU42-BO42</f>
        <v>0</v>
      </c>
    </row>
    <row r="44" spans="1:73" ht="15.75" thickBot="1" x14ac:dyDescent="0.35">
      <c r="B44" s="6"/>
      <c r="C44" s="107"/>
      <c r="D44" s="107"/>
      <c r="E44" s="107"/>
      <c r="F44" s="107"/>
      <c r="G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U44" s="107"/>
      <c r="V44" s="107"/>
      <c r="W44" s="107"/>
      <c r="X44" s="107"/>
      <c r="Y44" s="107"/>
      <c r="AA44" s="107"/>
      <c r="AB44" s="107"/>
      <c r="AC44" s="107"/>
      <c r="AD44" s="107"/>
      <c r="AE44" s="107"/>
      <c r="AG44" s="107"/>
      <c r="AH44" s="107"/>
      <c r="AI44" s="107"/>
      <c r="AJ44" s="107"/>
      <c r="AK44" s="107"/>
      <c r="AM44" s="107"/>
      <c r="AN44" s="107"/>
      <c r="AO44" s="107"/>
      <c r="AP44" s="107"/>
      <c r="AQ44" s="107"/>
      <c r="AS44" s="107"/>
      <c r="AT44" s="107"/>
      <c r="AU44" s="107"/>
      <c r="AV44" s="107"/>
      <c r="AW44" s="107"/>
      <c r="AY44" s="107"/>
      <c r="AZ44" s="107"/>
      <c r="BA44" s="107"/>
      <c r="BB44" s="107"/>
      <c r="BC44" s="107"/>
      <c r="BE44" s="107"/>
      <c r="BF44" s="107"/>
      <c r="BG44" s="107"/>
      <c r="BH44" s="107"/>
      <c r="BI44" s="107"/>
      <c r="BK44" s="107"/>
      <c r="BL44" s="107"/>
      <c r="BM44" s="107"/>
      <c r="BN44" s="107"/>
      <c r="BO44" s="107"/>
      <c r="BQ44" s="107"/>
      <c r="BR44" s="107"/>
      <c r="BS44" s="107"/>
      <c r="BT44" s="107"/>
      <c r="BU44" s="107"/>
    </row>
    <row r="45" spans="1:73" ht="15" x14ac:dyDescent="0.3">
      <c r="B45" s="42" t="s">
        <v>38</v>
      </c>
      <c r="C45" s="126"/>
      <c r="D45" s="127"/>
      <c r="E45" s="127"/>
      <c r="F45" s="127"/>
      <c r="G45" s="167"/>
      <c r="H45" s="166"/>
      <c r="I45" s="126"/>
      <c r="J45" s="127"/>
      <c r="K45" s="127"/>
      <c r="L45" s="127"/>
      <c r="M45" s="167"/>
      <c r="N45" s="166"/>
      <c r="O45" s="126">
        <f>O33-O39</f>
        <v>-39</v>
      </c>
      <c r="P45" s="127">
        <f>P33-P39</f>
        <v>28</v>
      </c>
      <c r="Q45" s="127">
        <f>Q33-Q39</f>
        <v>28</v>
      </c>
      <c r="R45" s="127">
        <f>R33-R39</f>
        <v>11</v>
      </c>
      <c r="S45" s="137">
        <f>O45+P45+Q45+R45</f>
        <v>28</v>
      </c>
      <c r="T45" s="166"/>
      <c r="U45" s="126">
        <f>U33-U39</f>
        <v>-28</v>
      </c>
      <c r="V45" s="127">
        <f>V33-V39</f>
        <v>-37</v>
      </c>
      <c r="W45" s="252">
        <f>W33-W39</f>
        <v>-26</v>
      </c>
      <c r="X45" s="252">
        <f>X33-X39</f>
        <v>1</v>
      </c>
      <c r="Y45" s="202">
        <f>U45+V45+W45+X45</f>
        <v>-90</v>
      </c>
      <c r="Z45" s="342"/>
      <c r="AA45" s="251">
        <f>AA33-AA39</f>
        <v>46</v>
      </c>
      <c r="AB45" s="252">
        <f>AB33-AB39</f>
        <v>-32</v>
      </c>
      <c r="AC45" s="252">
        <f>AC33-AC39</f>
        <v>7</v>
      </c>
      <c r="AD45" s="252">
        <f>AD33-AD39</f>
        <v>21</v>
      </c>
      <c r="AE45" s="202">
        <f>AA45+AB45+AC45+AD45</f>
        <v>42</v>
      </c>
      <c r="AF45" s="342"/>
      <c r="AG45" s="251">
        <f>AG33-AG39</f>
        <v>73</v>
      </c>
      <c r="AH45" s="252">
        <f>AH33-AH39</f>
        <v>58</v>
      </c>
      <c r="AI45" s="252">
        <f>AI33-AI39</f>
        <v>26.335750000000004</v>
      </c>
      <c r="AJ45" s="252">
        <f>AJ33-AJ39</f>
        <v>27.602924999999999</v>
      </c>
      <c r="AK45" s="202">
        <f>AG45+AH45+AI45+AJ45</f>
        <v>184.93867500000002</v>
      </c>
      <c r="AL45" s="342"/>
      <c r="AM45" s="251">
        <f>AM33-AM39</f>
        <v>79.880500000000012</v>
      </c>
      <c r="AN45" s="252">
        <f>AN33-AN39</f>
        <v>64.784912500000004</v>
      </c>
      <c r="AO45" s="252">
        <f>AO33-AO39</f>
        <v>30.641733500000015</v>
      </c>
      <c r="AP45" s="252">
        <f>AP33-AP39</f>
        <v>32.271798125000004</v>
      </c>
      <c r="AQ45" s="202">
        <f>AM45+AN45+AO45+AP45</f>
        <v>207.57894412500002</v>
      </c>
      <c r="AR45" s="342"/>
      <c r="AS45" s="251">
        <f>AS33-AS39</f>
        <v>84.784218750000008</v>
      </c>
      <c r="AT45" s="252">
        <f>AT33-AT39</f>
        <v>69.58728984375</v>
      </c>
      <c r="AU45" s="252">
        <f>AU33-AU39</f>
        <v>34.984589259375014</v>
      </c>
      <c r="AV45" s="252">
        <f>AV33-AV39</f>
        <v>36.983210217187505</v>
      </c>
      <c r="AW45" s="202">
        <f>AS45+AT45+AU45+AV45</f>
        <v>226.33930807031254</v>
      </c>
      <c r="AX45" s="342"/>
      <c r="AY45" s="251">
        <f>AY33-AY39</f>
        <v>89.576325562500017</v>
      </c>
      <c r="AZ45" s="252">
        <f>AZ33-AZ39</f>
        <v>74.31565433906249</v>
      </c>
      <c r="BA45" s="252">
        <f>BA33-BA39</f>
        <v>39.333867583500023</v>
      </c>
      <c r="BB45" s="252">
        <f>BB33-BB39</f>
        <v>41.704137081140644</v>
      </c>
      <c r="BC45" s="202">
        <f>AY45+AZ45+BA45+BB45</f>
        <v>244.92998456620319</v>
      </c>
      <c r="BD45" s="342"/>
      <c r="BE45" s="251">
        <f>BE33-BE39</f>
        <v>92.463942453750008</v>
      </c>
      <c r="BF45" s="252">
        <f>BF33-BF39</f>
        <v>77.095219138874995</v>
      </c>
      <c r="BG45" s="252">
        <f>BG33-BG39</f>
        <v>41.746919637258301</v>
      </c>
      <c r="BH45" s="252">
        <f>BH33-BH39</f>
        <v>44.318481306651563</v>
      </c>
      <c r="BI45" s="202">
        <f>BE45+BF45+BG45+BH45</f>
        <v>255.62456253653488</v>
      </c>
      <c r="BJ45" s="342"/>
      <c r="BK45" s="251">
        <f>BK33-BK39</f>
        <v>95.400354050268774</v>
      </c>
      <c r="BL45" s="252">
        <f>BL33-BL39</f>
        <v>79.922943669249861</v>
      </c>
      <c r="BM45" s="252">
        <f>BM33-BM39</f>
        <v>44.204299345333396</v>
      </c>
      <c r="BN45" s="252">
        <f>BN33-BN39</f>
        <v>46.980942002964625</v>
      </c>
      <c r="BO45" s="202">
        <f>BK45+BL45+BM45+BN45</f>
        <v>266.50853906781663</v>
      </c>
      <c r="BP45" s="342"/>
      <c r="BQ45" s="251">
        <f>BQ33-BQ39</f>
        <v>96.354357590771471</v>
      </c>
      <c r="BR45" s="252">
        <f>BR33-BR39</f>
        <v>80.722173105942346</v>
      </c>
      <c r="BS45" s="252">
        <f>BS33-BS39</f>
        <v>44.646342338786724</v>
      </c>
      <c r="BT45" s="252">
        <f>BT33-BT39</f>
        <v>47.450751422994259</v>
      </c>
      <c r="BU45" s="202">
        <f>BQ45+BR45+BS45+BT45</f>
        <v>269.17362445849477</v>
      </c>
    </row>
    <row r="46" spans="1:73" ht="15.75" thickBot="1" x14ac:dyDescent="0.35">
      <c r="A46" s="241"/>
      <c r="B46" s="41" t="s">
        <v>23</v>
      </c>
      <c r="C46" s="130"/>
      <c r="D46" s="131"/>
      <c r="E46" s="131"/>
      <c r="F46" s="131"/>
      <c r="G46" s="275"/>
      <c r="H46" s="166"/>
      <c r="I46" s="130"/>
      <c r="J46" s="131"/>
      <c r="K46" s="131"/>
      <c r="L46" s="131"/>
      <c r="M46" s="275"/>
      <c r="N46" s="166"/>
      <c r="O46" s="130"/>
      <c r="P46" s="131"/>
      <c r="Q46" s="131"/>
      <c r="R46" s="131"/>
      <c r="S46" s="275"/>
      <c r="T46" s="166"/>
      <c r="U46" s="289">
        <f>U45/O45-1</f>
        <v>-0.28205128205128205</v>
      </c>
      <c r="V46" s="293">
        <f>V45/P45-1</f>
        <v>-2.3214285714285712</v>
      </c>
      <c r="W46" s="293">
        <f>W45/Q45-1</f>
        <v>-1.9285714285714286</v>
      </c>
      <c r="X46" s="293">
        <f>X45/R45-1</f>
        <v>-0.90909090909090906</v>
      </c>
      <c r="Y46" s="295">
        <f>Y45/S45-1</f>
        <v>-4.2142857142857144</v>
      </c>
      <c r="Z46" s="241"/>
      <c r="AA46" s="289">
        <f>AA45/U45-1</f>
        <v>-2.6428571428571428</v>
      </c>
      <c r="AB46" s="293">
        <f>AB45/V45-1</f>
        <v>-0.13513513513513509</v>
      </c>
      <c r="AC46" s="293">
        <f>AC45/W45-1</f>
        <v>-1.2692307692307692</v>
      </c>
      <c r="AD46" s="294">
        <f>AD45/X45-1</f>
        <v>20</v>
      </c>
      <c r="AE46" s="295">
        <f>AE45/Y45-1</f>
        <v>-1.4666666666666668</v>
      </c>
      <c r="AF46" s="241"/>
      <c r="AG46" s="289">
        <f>AG45/AA45-1</f>
        <v>0.58695652173913038</v>
      </c>
      <c r="AH46" s="293">
        <f>AH45/AB45-1</f>
        <v>-2.8125</v>
      </c>
      <c r="AI46" s="293">
        <f>AI45/AC45-1</f>
        <v>2.7622500000000008</v>
      </c>
      <c r="AJ46" s="294">
        <f>AJ45/AD45-1</f>
        <v>0.31442499999999995</v>
      </c>
      <c r="AK46" s="295">
        <f>AK45/AE45-1</f>
        <v>3.4033017857142864</v>
      </c>
      <c r="AL46" s="241"/>
      <c r="AM46" s="289">
        <f>AM45/AG45-1</f>
        <v>9.425342465753439E-2</v>
      </c>
      <c r="AN46" s="293">
        <f>AN45/AH45-1</f>
        <v>0.11698125000000004</v>
      </c>
      <c r="AO46" s="293">
        <f>AO45/AI45-1</f>
        <v>0.16350335570469832</v>
      </c>
      <c r="AP46" s="294">
        <f>AP45/AJ45-1</f>
        <v>0.16914414414414436</v>
      </c>
      <c r="AQ46" s="295">
        <f>AQ45/AK45-1</f>
        <v>0.12242041382095992</v>
      </c>
      <c r="AR46" s="241"/>
      <c r="AS46" s="289">
        <f>AS45/AM45-1</f>
        <v>6.1388182973316274E-2</v>
      </c>
      <c r="AT46" s="293">
        <f>AT45/AN45-1</f>
        <v>7.4128020837413322E-2</v>
      </c>
      <c r="AU46" s="293">
        <f>AU45/AO45-1</f>
        <v>0.14173009367681488</v>
      </c>
      <c r="AV46" s="294">
        <f>AV45/AP45-1</f>
        <v>0.14599162011173195</v>
      </c>
      <c r="AW46" s="295">
        <f>AW45/AQ45-1</f>
        <v>9.0377008248078372E-2</v>
      </c>
      <c r="AX46" s="241"/>
      <c r="AY46" s="289">
        <f>AY45/AS45-1</f>
        <v>5.6521212121212194E-2</v>
      </c>
      <c r="AZ46" s="293">
        <f>AZ45/AT45-1</f>
        <v>6.7948680081225676E-2</v>
      </c>
      <c r="BA46" s="293">
        <f>BA45/AU45-1</f>
        <v>0.12431983385254441</v>
      </c>
      <c r="BB46" s="294">
        <f>BB45/AV45-1</f>
        <v>0.12765054294175759</v>
      </c>
      <c r="BC46" s="295">
        <f>BC45/AW45-1</f>
        <v>8.213631407813371E-2</v>
      </c>
      <c r="BD46" s="241"/>
      <c r="BE46" s="289">
        <f>BE45/AY45-1</f>
        <v>3.2236384704519061E-2</v>
      </c>
      <c r="BF46" s="293">
        <f>BF45/AZ45-1</f>
        <v>3.7402143929606613E-2</v>
      </c>
      <c r="BG46" s="293">
        <f>BG45/BA45-1</f>
        <v>6.134794776119401E-2</v>
      </c>
      <c r="BH46" s="294">
        <f>BH45/BB45-1</f>
        <v>6.2687886825817385E-2</v>
      </c>
      <c r="BI46" s="295">
        <f>BI45/BC45-1</f>
        <v>4.3663816781244202E-2</v>
      </c>
      <c r="BJ46" s="241"/>
      <c r="BK46" s="289">
        <f>BK45/BE45-1</f>
        <v>3.1757369614512587E-2</v>
      </c>
      <c r="BL46" s="293">
        <f>BL45/BF45-1</f>
        <v>3.6678338319282355E-2</v>
      </c>
      <c r="BM46" s="293">
        <f>BM45/BG45-1</f>
        <v>5.8863737239236436E-2</v>
      </c>
      <c r="BN46" s="294">
        <f>BN45/BH45-1</f>
        <v>6.0075630252101275E-2</v>
      </c>
      <c r="BO46" s="295">
        <f>BO45/BI45-1</f>
        <v>4.2577976166614073E-2</v>
      </c>
      <c r="BP46" s="241"/>
      <c r="BQ46" s="289">
        <f>BQ45/BK45-1</f>
        <v>1.0000000000000009E-2</v>
      </c>
      <c r="BR46" s="293">
        <f>BR45/BL45-1</f>
        <v>9.9999999999997868E-3</v>
      </c>
      <c r="BS46" s="293">
        <f>BS45/BM45-1</f>
        <v>9.9999999999997868E-3</v>
      </c>
      <c r="BT46" s="294">
        <f>BT45/BN45-1</f>
        <v>9.9999999999997868E-3</v>
      </c>
      <c r="BU46" s="295">
        <f>BU45/BO45-1</f>
        <v>1.0000000000000009E-2</v>
      </c>
    </row>
    <row r="47" spans="1:73" x14ac:dyDescent="0.2"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  <c r="Y47" s="107"/>
      <c r="Z47" s="241"/>
    </row>
    <row r="48" spans="1:73" x14ac:dyDescent="0.2">
      <c r="A48" s="278"/>
      <c r="B48" s="278"/>
      <c r="C48" s="279"/>
      <c r="D48" s="279"/>
      <c r="E48" s="279"/>
      <c r="F48" s="279"/>
      <c r="G48" s="280"/>
      <c r="H48" s="280"/>
      <c r="I48" s="280"/>
      <c r="J48" s="280"/>
      <c r="K48" s="280"/>
      <c r="L48" s="280"/>
      <c r="M48" s="280"/>
      <c r="N48" s="280"/>
      <c r="O48" s="280"/>
      <c r="P48" s="280"/>
      <c r="Q48" s="280"/>
      <c r="R48" s="280"/>
      <c r="S48" s="280"/>
      <c r="T48" s="280"/>
      <c r="U48" s="280"/>
      <c r="V48" s="280"/>
      <c r="W48" s="280"/>
      <c r="X48" s="280"/>
      <c r="Y48" s="280"/>
      <c r="Z48" s="276"/>
      <c r="AA48" s="278"/>
      <c r="AB48" s="278"/>
      <c r="AC48" s="278"/>
      <c r="AD48" s="278"/>
      <c r="AE48" s="278"/>
      <c r="AF48" s="278"/>
      <c r="AG48" s="278"/>
      <c r="AH48" s="278"/>
      <c r="AI48" s="278"/>
      <c r="AJ48" s="278"/>
      <c r="AK48" s="278"/>
      <c r="AL48" s="278"/>
      <c r="AM48" s="278"/>
      <c r="AN48" s="278"/>
      <c r="AO48" s="278"/>
      <c r="AP48" s="278"/>
      <c r="AQ48" s="278"/>
      <c r="AR48" s="278"/>
      <c r="AS48" s="278"/>
      <c r="AT48" s="278"/>
      <c r="AU48" s="278"/>
      <c r="AV48" s="278"/>
      <c r="AW48" s="278"/>
      <c r="AX48" s="278"/>
      <c r="AY48" s="278"/>
      <c r="AZ48" s="278"/>
      <c r="BA48" s="278"/>
      <c r="BB48" s="278"/>
      <c r="BC48" s="278"/>
      <c r="BD48" s="278"/>
      <c r="BE48" s="278"/>
      <c r="BF48" s="278"/>
      <c r="BG48" s="278"/>
      <c r="BH48" s="278"/>
      <c r="BI48" s="278"/>
      <c r="BJ48" s="278"/>
      <c r="BK48" s="278"/>
      <c r="BL48" s="278"/>
      <c r="BM48" s="278"/>
      <c r="BN48" s="278"/>
      <c r="BO48" s="278"/>
      <c r="BP48" s="278"/>
      <c r="BQ48" s="278"/>
      <c r="BR48" s="278"/>
      <c r="BS48" s="278"/>
      <c r="BT48" s="278"/>
      <c r="BU48" s="278"/>
    </row>
    <row r="49" spans="1:73" x14ac:dyDescent="0.2">
      <c r="A49" s="285"/>
      <c r="B49" s="285"/>
      <c r="C49" s="286"/>
      <c r="D49" s="286"/>
      <c r="E49" s="286"/>
      <c r="F49" s="286"/>
      <c r="G49" s="287"/>
      <c r="H49" s="287"/>
      <c r="I49" s="287"/>
      <c r="J49" s="287"/>
      <c r="K49" s="287"/>
      <c r="L49" s="287"/>
      <c r="M49" s="287"/>
      <c r="N49" s="287"/>
      <c r="O49" s="287"/>
      <c r="P49" s="287"/>
      <c r="Q49" s="287"/>
      <c r="R49" s="287"/>
      <c r="S49" s="287"/>
      <c r="T49" s="287"/>
      <c r="U49" s="287"/>
      <c r="V49" s="287"/>
      <c r="W49" s="287"/>
      <c r="X49" s="287"/>
      <c r="Y49" s="287"/>
      <c r="Z49" s="288"/>
      <c r="AA49" s="285"/>
      <c r="AB49" s="285"/>
      <c r="AC49" s="285"/>
      <c r="AD49" s="285"/>
      <c r="AE49" s="285"/>
      <c r="AF49" s="285"/>
      <c r="AG49" s="285"/>
      <c r="AH49" s="285"/>
      <c r="AI49" s="285"/>
      <c r="AJ49" s="285"/>
      <c r="AK49" s="285"/>
      <c r="AL49" s="285"/>
      <c r="AM49" s="285"/>
      <c r="AN49" s="285"/>
      <c r="AO49" s="285"/>
      <c r="AP49" s="285"/>
      <c r="AQ49" s="285"/>
      <c r="AR49" s="285"/>
      <c r="AS49" s="285"/>
      <c r="AT49" s="285"/>
      <c r="AU49" s="285"/>
      <c r="AV49" s="285"/>
      <c r="AW49" s="285"/>
      <c r="AX49" s="285"/>
      <c r="AY49" s="285"/>
      <c r="AZ49" s="285"/>
      <c r="BA49" s="285"/>
      <c r="BB49" s="285"/>
      <c r="BC49" s="285"/>
      <c r="BD49" s="285"/>
      <c r="BE49" s="285"/>
      <c r="BF49" s="285"/>
      <c r="BG49" s="285"/>
      <c r="BH49" s="285"/>
      <c r="BI49" s="285"/>
      <c r="BJ49" s="285"/>
      <c r="BK49" s="285"/>
      <c r="BL49" s="285"/>
      <c r="BM49" s="285"/>
      <c r="BN49" s="285"/>
      <c r="BO49" s="285"/>
      <c r="BP49" s="285"/>
      <c r="BQ49" s="285"/>
      <c r="BR49" s="285"/>
      <c r="BS49" s="285"/>
      <c r="BT49" s="285"/>
      <c r="BU49" s="285"/>
    </row>
    <row r="50" spans="1:73" ht="13.5" thickBot="1" x14ac:dyDescent="0.25">
      <c r="A50" s="285"/>
      <c r="B50" s="285"/>
      <c r="C50" s="286"/>
      <c r="D50" s="286"/>
      <c r="E50" s="286"/>
      <c r="F50" s="286"/>
      <c r="G50" s="287"/>
      <c r="H50" s="287"/>
      <c r="I50" s="287"/>
      <c r="J50" s="287"/>
      <c r="K50" s="287"/>
      <c r="L50" s="287"/>
      <c r="M50" s="287"/>
      <c r="N50" s="287"/>
      <c r="O50" s="287"/>
      <c r="P50" s="287"/>
      <c r="Q50" s="287"/>
      <c r="R50" s="287"/>
      <c r="S50" s="287"/>
      <c r="T50" s="287"/>
      <c r="U50" s="287"/>
      <c r="V50" s="287"/>
      <c r="W50" s="287"/>
      <c r="X50" s="287"/>
      <c r="Y50" s="287"/>
      <c r="Z50" s="288"/>
      <c r="AA50" s="285"/>
      <c r="AB50" s="285"/>
      <c r="AC50" s="285"/>
      <c r="AD50" s="285"/>
      <c r="AE50" s="285"/>
      <c r="AF50" s="285"/>
      <c r="AG50" s="285"/>
      <c r="AH50" s="285"/>
      <c r="AI50" s="285"/>
      <c r="AJ50" s="285"/>
      <c r="AK50" s="285"/>
      <c r="AL50" s="285"/>
      <c r="AM50" s="285"/>
      <c r="AN50" s="285"/>
      <c r="AO50" s="285"/>
      <c r="AP50" s="285"/>
      <c r="AQ50" s="285"/>
      <c r="AR50" s="285"/>
      <c r="AS50" s="285"/>
      <c r="AT50" s="285"/>
      <c r="AU50" s="285"/>
      <c r="AV50" s="285"/>
      <c r="AW50" s="285"/>
      <c r="AX50" s="285"/>
      <c r="AY50" s="285"/>
      <c r="AZ50" s="285"/>
      <c r="BA50" s="285"/>
      <c r="BB50" s="285"/>
      <c r="BC50" s="285"/>
      <c r="BD50" s="285"/>
      <c r="BE50" s="285"/>
      <c r="BF50" s="285"/>
      <c r="BG50" s="285"/>
      <c r="BH50" s="285"/>
      <c r="BI50" s="285"/>
      <c r="BJ50" s="285"/>
      <c r="BK50" s="285"/>
      <c r="BL50" s="285"/>
      <c r="BM50" s="285"/>
      <c r="BN50" s="285"/>
      <c r="BO50" s="285"/>
      <c r="BP50" s="285"/>
      <c r="BQ50" s="285"/>
      <c r="BR50" s="285"/>
      <c r="BS50" s="285"/>
      <c r="BT50" s="285"/>
      <c r="BU50" s="285"/>
    </row>
    <row r="51" spans="1:73" x14ac:dyDescent="0.2">
      <c r="C51" s="712">
        <v>2007</v>
      </c>
      <c r="D51" s="713"/>
      <c r="E51" s="713"/>
      <c r="F51" s="713"/>
      <c r="G51" s="714"/>
      <c r="H51" s="129"/>
      <c r="I51" s="712">
        <v>2008</v>
      </c>
      <c r="J51" s="713"/>
      <c r="K51" s="713"/>
      <c r="L51" s="713"/>
      <c r="M51" s="714"/>
      <c r="N51" s="129"/>
      <c r="O51" s="712">
        <v>2009</v>
      </c>
      <c r="P51" s="713"/>
      <c r="Q51" s="713"/>
      <c r="R51" s="713"/>
      <c r="S51" s="714"/>
      <c r="T51" s="129"/>
      <c r="U51" s="712">
        <v>2010</v>
      </c>
      <c r="V51" s="713"/>
      <c r="W51" s="713"/>
      <c r="X51" s="713"/>
      <c r="Y51" s="714"/>
      <c r="AA51" s="712">
        <v>2011</v>
      </c>
      <c r="AB51" s="713"/>
      <c r="AC51" s="713"/>
      <c r="AD51" s="713"/>
      <c r="AE51" s="714"/>
      <c r="AG51" s="712">
        <v>2012</v>
      </c>
      <c r="AH51" s="713"/>
      <c r="AI51" s="713"/>
      <c r="AJ51" s="713"/>
      <c r="AK51" s="714"/>
      <c r="AM51" s="712">
        <v>2013</v>
      </c>
      <c r="AN51" s="713"/>
      <c r="AO51" s="713"/>
      <c r="AP51" s="713"/>
      <c r="AQ51" s="714"/>
      <c r="AS51" s="712">
        <v>2014</v>
      </c>
      <c r="AT51" s="713"/>
      <c r="AU51" s="713"/>
      <c r="AV51" s="713"/>
      <c r="AW51" s="714"/>
      <c r="AY51" s="712">
        <v>2015</v>
      </c>
      <c r="AZ51" s="713"/>
      <c r="BA51" s="713"/>
      <c r="BB51" s="713"/>
      <c r="BC51" s="714"/>
      <c r="BE51" s="712">
        <v>2016</v>
      </c>
      <c r="BF51" s="713"/>
      <c r="BG51" s="713"/>
      <c r="BH51" s="713"/>
      <c r="BI51" s="714"/>
      <c r="BK51" s="712">
        <v>2017</v>
      </c>
      <c r="BL51" s="713"/>
      <c r="BM51" s="713"/>
      <c r="BN51" s="713"/>
      <c r="BO51" s="714"/>
      <c r="BQ51" s="712">
        <v>2018</v>
      </c>
      <c r="BR51" s="713"/>
      <c r="BS51" s="713"/>
      <c r="BT51" s="713"/>
      <c r="BU51" s="714"/>
    </row>
    <row r="52" spans="1:73" ht="13.5" thickBot="1" x14ac:dyDescent="0.25">
      <c r="B52" s="282" t="s">
        <v>111</v>
      </c>
      <c r="C52" s="130" t="s">
        <v>20</v>
      </c>
      <c r="D52" s="131" t="s">
        <v>19</v>
      </c>
      <c r="E52" s="131" t="s">
        <v>22</v>
      </c>
      <c r="F52" s="131" t="s">
        <v>21</v>
      </c>
      <c r="G52" s="132" t="s">
        <v>39</v>
      </c>
      <c r="H52" s="129"/>
      <c r="I52" s="130" t="s">
        <v>20</v>
      </c>
      <c r="J52" s="131" t="s">
        <v>19</v>
      </c>
      <c r="K52" s="131" t="s">
        <v>22</v>
      </c>
      <c r="L52" s="131" t="s">
        <v>21</v>
      </c>
      <c r="M52" s="132" t="s">
        <v>39</v>
      </c>
      <c r="N52" s="129"/>
      <c r="O52" s="130" t="s">
        <v>20</v>
      </c>
      <c r="P52" s="131" t="s">
        <v>19</v>
      </c>
      <c r="Q52" s="131" t="s">
        <v>22</v>
      </c>
      <c r="R52" s="131" t="s">
        <v>21</v>
      </c>
      <c r="S52" s="132" t="s">
        <v>39</v>
      </c>
      <c r="T52" s="129"/>
      <c r="U52" s="130" t="s">
        <v>20</v>
      </c>
      <c r="V52" s="131" t="s">
        <v>19</v>
      </c>
      <c r="W52" s="131" t="s">
        <v>22</v>
      </c>
      <c r="X52" s="131" t="s">
        <v>21</v>
      </c>
      <c r="Y52" s="132" t="s">
        <v>39</v>
      </c>
      <c r="AA52" s="130" t="s">
        <v>20</v>
      </c>
      <c r="AB52" s="131" t="s">
        <v>19</v>
      </c>
      <c r="AC52" s="131" t="s">
        <v>22</v>
      </c>
      <c r="AD52" s="131" t="s">
        <v>21</v>
      </c>
      <c r="AE52" s="132" t="s">
        <v>39</v>
      </c>
      <c r="AG52" s="130" t="s">
        <v>20</v>
      </c>
      <c r="AH52" s="131" t="s">
        <v>19</v>
      </c>
      <c r="AI52" s="131" t="s">
        <v>22</v>
      </c>
      <c r="AJ52" s="131" t="s">
        <v>21</v>
      </c>
      <c r="AK52" s="132" t="s">
        <v>39</v>
      </c>
      <c r="AM52" s="130" t="s">
        <v>20</v>
      </c>
      <c r="AN52" s="131" t="s">
        <v>19</v>
      </c>
      <c r="AO52" s="131" t="s">
        <v>22</v>
      </c>
      <c r="AP52" s="131" t="s">
        <v>21</v>
      </c>
      <c r="AQ52" s="132" t="s">
        <v>39</v>
      </c>
      <c r="AS52" s="130" t="s">
        <v>20</v>
      </c>
      <c r="AT52" s="131" t="s">
        <v>19</v>
      </c>
      <c r="AU52" s="131" t="s">
        <v>22</v>
      </c>
      <c r="AV52" s="131" t="s">
        <v>21</v>
      </c>
      <c r="AW52" s="132" t="s">
        <v>39</v>
      </c>
      <c r="AY52" s="130" t="s">
        <v>20</v>
      </c>
      <c r="AZ52" s="131" t="s">
        <v>19</v>
      </c>
      <c r="BA52" s="131" t="s">
        <v>22</v>
      </c>
      <c r="BB52" s="131" t="s">
        <v>21</v>
      </c>
      <c r="BC52" s="132" t="s">
        <v>39</v>
      </c>
      <c r="BE52" s="130" t="s">
        <v>20</v>
      </c>
      <c r="BF52" s="131" t="s">
        <v>19</v>
      </c>
      <c r="BG52" s="131" t="s">
        <v>22</v>
      </c>
      <c r="BH52" s="131" t="s">
        <v>21</v>
      </c>
      <c r="BI52" s="132" t="s">
        <v>39</v>
      </c>
      <c r="BK52" s="130" t="s">
        <v>20</v>
      </c>
      <c r="BL52" s="131" t="s">
        <v>19</v>
      </c>
      <c r="BM52" s="131" t="s">
        <v>22</v>
      </c>
      <c r="BN52" s="131" t="s">
        <v>21</v>
      </c>
      <c r="BO52" s="132" t="s">
        <v>39</v>
      </c>
      <c r="BQ52" s="130" t="s">
        <v>20</v>
      </c>
      <c r="BR52" s="131" t="s">
        <v>19</v>
      </c>
      <c r="BS52" s="131" t="s">
        <v>22</v>
      </c>
      <c r="BT52" s="131" t="s">
        <v>21</v>
      </c>
      <c r="BU52" s="132" t="s">
        <v>39</v>
      </c>
    </row>
    <row r="53" spans="1:73" ht="13.5" thickBot="1" x14ac:dyDescent="0.25">
      <c r="C53" s="166"/>
      <c r="D53" s="166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241"/>
      <c r="AA53" s="166"/>
      <c r="AB53" s="166"/>
      <c r="AC53" s="166"/>
      <c r="AD53" s="166"/>
      <c r="AE53" s="166"/>
      <c r="AF53" s="241"/>
      <c r="AG53" s="166"/>
      <c r="AH53" s="166"/>
      <c r="AI53" s="166"/>
      <c r="AJ53" s="166"/>
      <c r="AK53" s="166"/>
      <c r="AL53" s="241"/>
      <c r="AM53" s="166"/>
      <c r="AN53" s="166"/>
      <c r="AO53" s="166"/>
      <c r="AP53" s="166"/>
      <c r="AQ53" s="166"/>
      <c r="AR53" s="241"/>
      <c r="AS53" s="166"/>
      <c r="AT53" s="166"/>
      <c r="AU53" s="166"/>
      <c r="AV53" s="166"/>
      <c r="AW53" s="166"/>
      <c r="AX53" s="241"/>
      <c r="AY53" s="166"/>
      <c r="AZ53" s="166"/>
      <c r="BA53" s="166"/>
      <c r="BB53" s="166"/>
      <c r="BC53" s="166"/>
      <c r="BD53" s="241"/>
      <c r="BE53" s="166"/>
      <c r="BF53" s="166"/>
      <c r="BG53" s="166"/>
      <c r="BH53" s="166"/>
      <c r="BI53" s="166"/>
      <c r="BJ53" s="241"/>
      <c r="BK53" s="166"/>
      <c r="BL53" s="166"/>
      <c r="BM53" s="166"/>
      <c r="BN53" s="166"/>
      <c r="BO53" s="166"/>
      <c r="BP53" s="241"/>
      <c r="BQ53" s="166"/>
      <c r="BR53" s="166"/>
      <c r="BS53" s="166"/>
      <c r="BT53" s="166"/>
      <c r="BU53" s="166"/>
    </row>
    <row r="54" spans="1:73" x14ac:dyDescent="0.2">
      <c r="A54" s="226"/>
      <c r="B54" s="231" t="s">
        <v>106</v>
      </c>
      <c r="C54" s="126"/>
      <c r="D54" s="127"/>
      <c r="E54" s="127"/>
      <c r="F54" s="128"/>
      <c r="G54" s="167"/>
      <c r="H54" s="129"/>
      <c r="I54" s="126"/>
      <c r="J54" s="127"/>
      <c r="K54" s="127"/>
      <c r="L54" s="127"/>
      <c r="M54" s="167"/>
      <c r="N54" s="166"/>
      <c r="O54" s="198">
        <v>326</v>
      </c>
      <c r="P54" s="199">
        <v>346</v>
      </c>
      <c r="Q54" s="199">
        <v>352</v>
      </c>
      <c r="R54" s="200">
        <v>381</v>
      </c>
      <c r="S54" s="201">
        <f>O54+P54+Q54+R54</f>
        <v>1405</v>
      </c>
      <c r="T54" s="204"/>
      <c r="U54" s="198">
        <v>344</v>
      </c>
      <c r="V54" s="199">
        <v>361</v>
      </c>
      <c r="W54" s="199">
        <v>348</v>
      </c>
      <c r="X54" s="200">
        <v>409</v>
      </c>
      <c r="Y54" s="201">
        <f>U54+V54+W54+X54</f>
        <v>1462</v>
      </c>
      <c r="Z54" s="312"/>
      <c r="AA54" s="198">
        <v>335</v>
      </c>
      <c r="AB54" s="199">
        <v>340</v>
      </c>
      <c r="AC54" s="199">
        <v>325</v>
      </c>
      <c r="AD54" s="199">
        <v>374</v>
      </c>
      <c r="AE54" s="201">
        <f>AA54+AB54+AC54+AD54</f>
        <v>1374</v>
      </c>
      <c r="AF54" s="312"/>
      <c r="AG54" s="198">
        <v>809</v>
      </c>
      <c r="AH54" s="199">
        <v>302</v>
      </c>
      <c r="AI54" s="199">
        <f>AC54*(1+AI55)</f>
        <v>299</v>
      </c>
      <c r="AJ54" s="199">
        <f>AD54*(1+AJ55)</f>
        <v>351.56</v>
      </c>
      <c r="AK54" s="201">
        <f>AG54+AH54+AI54+AJ54</f>
        <v>1761.56</v>
      </c>
      <c r="AL54" s="312"/>
      <c r="AM54" s="198">
        <f>AG54*(1+AM55)</f>
        <v>776.64</v>
      </c>
      <c r="AN54" s="199">
        <f>AH54*(1+AN55)</f>
        <v>295.95999999999998</v>
      </c>
      <c r="AO54" s="199">
        <f>AI54*(1+AO55)</f>
        <v>296.01</v>
      </c>
      <c r="AP54" s="199">
        <f>AJ54*(1+AP55)</f>
        <v>348.0444</v>
      </c>
      <c r="AQ54" s="201">
        <f>AM54+AN54+AO54+AP54</f>
        <v>1716.6543999999999</v>
      </c>
      <c r="AR54" s="312"/>
      <c r="AS54" s="198">
        <f>AM54*(1+AS55)</f>
        <v>768.87360000000001</v>
      </c>
      <c r="AT54" s="199">
        <f>AN54*(1+AT55)</f>
        <v>293.00039999999996</v>
      </c>
      <c r="AU54" s="199">
        <f>AO54*(1+AU55)</f>
        <v>293.04989999999998</v>
      </c>
      <c r="AV54" s="199">
        <f>AP54*(1+AV55)</f>
        <v>344.56395600000002</v>
      </c>
      <c r="AW54" s="201">
        <f>AS54+AT54+AU54+AV54</f>
        <v>1699.487856</v>
      </c>
      <c r="AX54" s="312"/>
      <c r="AY54" s="198">
        <f>AS54*(1+AY55)</f>
        <v>761.18486399999995</v>
      </c>
      <c r="AZ54" s="199">
        <f>AT54*(1+AZ55)</f>
        <v>290.07039599999996</v>
      </c>
      <c r="BA54" s="199">
        <f>AU54*(1+BA55)</f>
        <v>290.11940099999998</v>
      </c>
      <c r="BB54" s="199">
        <f>AV54*(1+BB55)</f>
        <v>341.11831644</v>
      </c>
      <c r="BC54" s="201">
        <f>AY54+AZ54+BA54+BB54</f>
        <v>1682.4929774399998</v>
      </c>
      <c r="BD54" s="312"/>
      <c r="BE54" s="198">
        <f>AY54*(1+BE55)</f>
        <v>753.57301535999989</v>
      </c>
      <c r="BF54" s="199">
        <f>AZ54*(1+BF55)</f>
        <v>287.16969203999997</v>
      </c>
      <c r="BG54" s="199">
        <f>BA54*(1+BG55)</f>
        <v>287.21820699</v>
      </c>
      <c r="BH54" s="199">
        <f>BB54*(1+BH55)</f>
        <v>337.70713327559997</v>
      </c>
      <c r="BI54" s="201">
        <f>BE54+BF54+BG54+BH54</f>
        <v>1665.6680476655997</v>
      </c>
      <c r="BJ54" s="312"/>
      <c r="BK54" s="198">
        <f>BE54*(1+BK55)</f>
        <v>746.03728520639993</v>
      </c>
      <c r="BL54" s="199">
        <f>BF54*(1+BL55)</f>
        <v>284.29799511959999</v>
      </c>
      <c r="BM54" s="199">
        <f>BG54*(1+BM55)</f>
        <v>284.34602492009998</v>
      </c>
      <c r="BN54" s="199">
        <f>BH54*(1+BN55)</f>
        <v>334.330061942844</v>
      </c>
      <c r="BO54" s="201">
        <f>BK54+BL54+BM54+BN54</f>
        <v>1649.011367188944</v>
      </c>
      <c r="BP54" s="312"/>
      <c r="BQ54" s="198">
        <f>BK54*(1+BQ55)</f>
        <v>738.57691235433595</v>
      </c>
      <c r="BR54" s="199">
        <f>BL54*(1+BR55)</f>
        <v>281.45501516840397</v>
      </c>
      <c r="BS54" s="199">
        <f>BM54*(1+BS55)</f>
        <v>281.50256467089895</v>
      </c>
      <c r="BT54" s="199">
        <f>BN54*(1+BT55)</f>
        <v>330.98676132341558</v>
      </c>
      <c r="BU54" s="201">
        <f>BQ54+BR54+BS54+BT54</f>
        <v>1632.5212535170544</v>
      </c>
    </row>
    <row r="55" spans="1:73" ht="13.5" thickBot="1" x14ac:dyDescent="0.25">
      <c r="B55" s="242" t="s">
        <v>83</v>
      </c>
      <c r="C55" s="155"/>
      <c r="D55" s="106"/>
      <c r="E55" s="106"/>
      <c r="F55" s="154"/>
      <c r="G55" s="108"/>
      <c r="I55" s="155"/>
      <c r="J55" s="106"/>
      <c r="K55" s="106"/>
      <c r="L55" s="106"/>
      <c r="M55" s="122"/>
      <c r="N55" s="107"/>
      <c r="O55" s="174"/>
      <c r="P55" s="175"/>
      <c r="Q55" s="175"/>
      <c r="R55" s="120"/>
      <c r="S55" s="122"/>
      <c r="T55" s="166"/>
      <c r="U55" s="109">
        <f>U54/O54-1</f>
        <v>5.5214723926380271E-2</v>
      </c>
      <c r="V55" s="110">
        <f>V54/P54-1</f>
        <v>4.3352601156069426E-2</v>
      </c>
      <c r="W55" s="110">
        <f>W54/Q54-1</f>
        <v>-1.1363636363636354E-2</v>
      </c>
      <c r="X55" s="110">
        <f>X54/R54-1</f>
        <v>7.3490813648293907E-2</v>
      </c>
      <c r="Y55" s="122">
        <f>Y54/S54-1</f>
        <v>4.0569395017793664E-2</v>
      </c>
      <c r="Z55" s="241"/>
      <c r="AA55" s="109">
        <f>AA54/U54-1</f>
        <v>-2.6162790697674465E-2</v>
      </c>
      <c r="AB55" s="110">
        <f>AB54/V54-1</f>
        <v>-5.817174515235457E-2</v>
      </c>
      <c r="AC55" s="110">
        <f>AC54/W54-1</f>
        <v>-6.6091954022988508E-2</v>
      </c>
      <c r="AD55" s="110">
        <f>AD54/X54-1</f>
        <v>-8.557457212713937E-2</v>
      </c>
      <c r="AE55" s="122">
        <f>AE54/Y54-1</f>
        <v>-6.0191518467852312E-2</v>
      </c>
      <c r="AF55" s="241"/>
      <c r="AG55" s="109">
        <f>AG54/AA54-1</f>
        <v>1.4149253731343285</v>
      </c>
      <c r="AH55" s="110">
        <f>AH54/AB54-1</f>
        <v>-0.11176470588235299</v>
      </c>
      <c r="AI55" s="175">
        <v>-0.08</v>
      </c>
      <c r="AJ55" s="175">
        <v>-0.06</v>
      </c>
      <c r="AK55" s="122">
        <f>AK54/AE54-1</f>
        <v>0.2820669577874817</v>
      </c>
      <c r="AL55" s="241"/>
      <c r="AM55" s="174">
        <v>-0.04</v>
      </c>
      <c r="AN55" s="175">
        <v>-0.02</v>
      </c>
      <c r="AO55" s="175">
        <v>-0.01</v>
      </c>
      <c r="AP55" s="175">
        <v>-0.01</v>
      </c>
      <c r="AQ55" s="122">
        <f>AQ54/AK54-1</f>
        <v>-2.5491950316764767E-2</v>
      </c>
      <c r="AR55" s="241"/>
      <c r="AS55" s="174">
        <v>-0.01</v>
      </c>
      <c r="AT55" s="175">
        <v>-0.01</v>
      </c>
      <c r="AU55" s="175">
        <v>-0.01</v>
      </c>
      <c r="AV55" s="175">
        <v>-0.01</v>
      </c>
      <c r="AW55" s="122">
        <f>AW54/AQ54-1</f>
        <v>-1.0000000000000009E-2</v>
      </c>
      <c r="AX55" s="241"/>
      <c r="AY55" s="174">
        <v>-0.01</v>
      </c>
      <c r="AZ55" s="175">
        <v>-0.01</v>
      </c>
      <c r="BA55" s="175">
        <v>-0.01</v>
      </c>
      <c r="BB55" s="175">
        <v>-0.01</v>
      </c>
      <c r="BC55" s="122">
        <f>BC54/AW54-1</f>
        <v>-1.000000000000012E-2</v>
      </c>
      <c r="BD55" s="241"/>
      <c r="BE55" s="174">
        <v>-0.01</v>
      </c>
      <c r="BF55" s="175">
        <v>-0.01</v>
      </c>
      <c r="BG55" s="175">
        <v>-0.01</v>
      </c>
      <c r="BH55" s="175">
        <v>-0.01</v>
      </c>
      <c r="BI55" s="122">
        <f>BI54/BC54-1</f>
        <v>-1.0000000000000009E-2</v>
      </c>
      <c r="BJ55" s="241"/>
      <c r="BK55" s="174">
        <v>-0.01</v>
      </c>
      <c r="BL55" s="175">
        <v>-0.01</v>
      </c>
      <c r="BM55" s="175">
        <v>-0.01</v>
      </c>
      <c r="BN55" s="175">
        <v>-0.01</v>
      </c>
      <c r="BO55" s="122">
        <f>BO54/BI54-1</f>
        <v>-9.9999999999998979E-3</v>
      </c>
      <c r="BP55" s="241"/>
      <c r="BQ55" s="174">
        <v>-0.01</v>
      </c>
      <c r="BR55" s="175">
        <v>-0.01</v>
      </c>
      <c r="BS55" s="175">
        <v>-0.01</v>
      </c>
      <c r="BT55" s="175">
        <v>-0.01</v>
      </c>
      <c r="BU55" s="122">
        <f>BU54/BO54-1</f>
        <v>-1.0000000000000009E-2</v>
      </c>
    </row>
    <row r="56" spans="1:73" ht="13.5" thickBot="1" x14ac:dyDescent="0.25">
      <c r="B56" s="241"/>
      <c r="C56" s="166"/>
      <c r="D56" s="166"/>
      <c r="E56" s="166"/>
      <c r="F56" s="166"/>
      <c r="G56" s="166"/>
      <c r="H56" s="166"/>
      <c r="I56" s="166"/>
      <c r="J56" s="166"/>
      <c r="K56" s="166"/>
      <c r="L56" s="166"/>
      <c r="M56" s="166"/>
      <c r="N56" s="166"/>
      <c r="O56" s="166"/>
      <c r="P56" s="166"/>
      <c r="Q56" s="166"/>
      <c r="R56" s="166"/>
      <c r="S56" s="166"/>
      <c r="T56" s="166"/>
      <c r="U56" s="166"/>
      <c r="V56" s="166"/>
      <c r="W56" s="166"/>
      <c r="X56" s="166"/>
      <c r="Y56" s="166"/>
      <c r="Z56" s="241"/>
      <c r="AA56" s="166"/>
      <c r="AB56" s="166"/>
      <c r="AC56" s="166"/>
      <c r="AD56" s="166"/>
      <c r="AE56" s="166"/>
      <c r="AF56" s="241"/>
      <c r="AG56" s="166"/>
      <c r="AH56" s="166"/>
      <c r="AI56" s="166"/>
      <c r="AJ56" s="166"/>
      <c r="AK56" s="166"/>
      <c r="AL56" s="241"/>
      <c r="AM56" s="166"/>
      <c r="AN56" s="166"/>
      <c r="AO56" s="166"/>
      <c r="AP56" s="166"/>
      <c r="AQ56" s="166"/>
      <c r="AR56" s="241"/>
      <c r="AS56" s="166"/>
      <c r="AT56" s="166"/>
      <c r="AU56" s="166"/>
      <c r="AV56" s="166"/>
      <c r="AW56" s="166"/>
      <c r="AX56" s="241"/>
      <c r="AY56" s="166"/>
      <c r="AZ56" s="166"/>
      <c r="BA56" s="166"/>
      <c r="BB56" s="166"/>
      <c r="BC56" s="166"/>
      <c r="BD56" s="241"/>
      <c r="BE56" s="166"/>
      <c r="BF56" s="166"/>
      <c r="BG56" s="166"/>
      <c r="BH56" s="166"/>
      <c r="BI56" s="166"/>
      <c r="BJ56" s="241"/>
      <c r="BK56" s="166"/>
      <c r="BL56" s="166"/>
      <c r="BM56" s="166"/>
      <c r="BN56" s="166"/>
      <c r="BO56" s="166"/>
      <c r="BP56" s="241"/>
      <c r="BQ56" s="166"/>
      <c r="BR56" s="166"/>
      <c r="BS56" s="166"/>
      <c r="BT56" s="166"/>
      <c r="BU56" s="166"/>
    </row>
    <row r="57" spans="1:73" ht="15" x14ac:dyDescent="0.3">
      <c r="B57" s="139" t="s">
        <v>61</v>
      </c>
      <c r="C57" s="221"/>
      <c r="D57" s="222"/>
      <c r="E57" s="222"/>
      <c r="F57" s="222"/>
      <c r="G57" s="224"/>
      <c r="I57" s="221"/>
      <c r="J57" s="222"/>
      <c r="K57" s="222"/>
      <c r="L57" s="222"/>
      <c r="M57" s="224"/>
      <c r="N57" s="107"/>
      <c r="O57" s="126">
        <v>18</v>
      </c>
      <c r="P57" s="127">
        <v>34</v>
      </c>
      <c r="Q57" s="127">
        <v>29</v>
      </c>
      <c r="R57" s="127">
        <v>52</v>
      </c>
      <c r="S57" s="167">
        <f>O57+P57+Q57+R57</f>
        <v>133</v>
      </c>
      <c r="T57" s="129"/>
      <c r="U57" s="126">
        <v>31</v>
      </c>
      <c r="V57" s="127">
        <v>29</v>
      </c>
      <c r="W57" s="212">
        <v>34</v>
      </c>
      <c r="X57" s="210">
        <v>39</v>
      </c>
      <c r="Y57" s="202">
        <f>U57+V57+W57+X57</f>
        <v>133</v>
      </c>
      <c r="Z57" s="342"/>
      <c r="AA57" s="211">
        <v>16</v>
      </c>
      <c r="AB57" s="212">
        <v>31</v>
      </c>
      <c r="AC57" s="212">
        <v>34</v>
      </c>
      <c r="AD57" s="212">
        <v>17</v>
      </c>
      <c r="AE57" s="202">
        <f>AA57+AB57+AC57+AD57</f>
        <v>98</v>
      </c>
      <c r="AF57" s="343"/>
      <c r="AG57" s="211">
        <v>148</v>
      </c>
      <c r="AH57" s="212">
        <v>-3</v>
      </c>
      <c r="AI57" s="212">
        <f>AI54*AI60</f>
        <v>8.8549999999999986</v>
      </c>
      <c r="AJ57" s="212">
        <f>AJ54*AJ60</f>
        <v>1.9176000000000002</v>
      </c>
      <c r="AK57" s="202">
        <f>AG57+AH57+AI57+AJ57</f>
        <v>155.77259999999998</v>
      </c>
      <c r="AL57" s="343"/>
      <c r="AM57" s="211">
        <f>AM54*AM60</f>
        <v>118.7808</v>
      </c>
      <c r="AN57" s="212">
        <f>AN54*AN60</f>
        <v>-8.8591999999999995</v>
      </c>
      <c r="AO57" s="212">
        <f>AO54*AO60</f>
        <v>5.8063499999999983</v>
      </c>
      <c r="AP57" s="212">
        <f>AP54*AP60</f>
        <v>1.8984240000000001</v>
      </c>
      <c r="AQ57" s="202">
        <f>AM57+AN57+AO57+AP57</f>
        <v>117.626374</v>
      </c>
      <c r="AR57" s="343"/>
      <c r="AS57" s="211">
        <f>AS54*AS60</f>
        <v>117.59299200000001</v>
      </c>
      <c r="AT57" s="212">
        <f>AT54*AT60</f>
        <v>-8.7706079999999993</v>
      </c>
      <c r="AU57" s="212">
        <f>AU54*AU60</f>
        <v>5.7482864999999981</v>
      </c>
      <c r="AV57" s="212">
        <f>AV54*AV60</f>
        <v>1.8794397600000003</v>
      </c>
      <c r="AW57" s="202">
        <f>AS57+AT57+AU57+AV57</f>
        <v>116.45011026</v>
      </c>
      <c r="AX57" s="343"/>
      <c r="AY57" s="211">
        <f>AY54*AY60</f>
        <v>118.32002424</v>
      </c>
      <c r="AZ57" s="212">
        <f>AZ54*AZ60</f>
        <v>-7.9577259299999987</v>
      </c>
      <c r="BA57" s="212">
        <f>BA54*BA60</f>
        <v>6.4161021374999976</v>
      </c>
      <c r="BB57" s="212">
        <f>BB54*BB60</f>
        <v>2.7134411535000003</v>
      </c>
      <c r="BC57" s="202">
        <f>AY57+AZ57+BA57+BB57</f>
        <v>119.49184160099999</v>
      </c>
      <c r="BD57" s="343"/>
      <c r="BE57" s="211">
        <f>BE54*BE60</f>
        <v>119.02075653599999</v>
      </c>
      <c r="BF57" s="212">
        <f>BF54*BF60</f>
        <v>-7.1602244405999995</v>
      </c>
      <c r="BG57" s="212">
        <f>BG54*BG60</f>
        <v>7.0699866335999983</v>
      </c>
      <c r="BH57" s="212">
        <f>BH54*BH60</f>
        <v>3.5305745751540001</v>
      </c>
      <c r="BI57" s="202">
        <f>BE57+BF57+BG57+BH57</f>
        <v>122.46109330415399</v>
      </c>
      <c r="BJ57" s="343"/>
      <c r="BK57" s="211">
        <f>BK54*BK60</f>
        <v>119.69564218365599</v>
      </c>
      <c r="BL57" s="212">
        <f>BL54*BL60</f>
        <v>-6.3778772083950006</v>
      </c>
      <c r="BM57" s="212">
        <f>BM54*BM60</f>
        <v>7.7101518295642473</v>
      </c>
      <c r="BN57" s="212">
        <f>BN54*BN60</f>
        <v>4.3310939842595708</v>
      </c>
      <c r="BO57" s="202">
        <f>BK57+BL57+BM57+BN57</f>
        <v>125.35901078908481</v>
      </c>
      <c r="BP57" s="343"/>
      <c r="BQ57" s="211">
        <f>BQ54*BQ60</f>
        <v>120.34512804270528</v>
      </c>
      <c r="BR57" s="212">
        <f>BR54*BR60</f>
        <v>-5.6104608983900404</v>
      </c>
      <c r="BS57" s="212">
        <f>BS54*BS60</f>
        <v>8.33680672294585</v>
      </c>
      <c r="BT57" s="212">
        <f>BT54*BT60</f>
        <v>5.1152499477255144</v>
      </c>
      <c r="BU57" s="202">
        <f>BQ57+BR57+BS57+BT57</f>
        <v>128.18672381498661</v>
      </c>
    </row>
    <row r="58" spans="1:73" ht="13.5" thickBot="1" x14ac:dyDescent="0.25">
      <c r="B58" s="242" t="s">
        <v>83</v>
      </c>
      <c r="C58" s="155"/>
      <c r="D58" s="106"/>
      <c r="E58" s="106"/>
      <c r="F58" s="106"/>
      <c r="G58" s="108"/>
      <c r="I58" s="155"/>
      <c r="J58" s="106"/>
      <c r="K58" s="106"/>
      <c r="L58" s="106"/>
      <c r="M58" s="122"/>
      <c r="N58" s="107"/>
      <c r="O58" s="174"/>
      <c r="P58" s="175"/>
      <c r="Q58" s="175"/>
      <c r="R58" s="110"/>
      <c r="S58" s="122"/>
      <c r="U58" s="109">
        <f>U57/O57-1</f>
        <v>0.72222222222222232</v>
      </c>
      <c r="V58" s="110">
        <f>V57/P57-1</f>
        <v>-0.1470588235294118</v>
      </c>
      <c r="W58" s="293">
        <f>W57/Q57-1</f>
        <v>0.17241379310344818</v>
      </c>
      <c r="X58" s="293">
        <f>X57/R57-1</f>
        <v>-0.25</v>
      </c>
      <c r="Y58" s="295">
        <f>Y57/S57-1</f>
        <v>0</v>
      </c>
      <c r="Z58" s="241"/>
      <c r="AA58" s="289">
        <f>AA57/U57-1</f>
        <v>-0.4838709677419355</v>
      </c>
      <c r="AB58" s="293">
        <f>AB57/V57-1</f>
        <v>6.8965517241379226E-2</v>
      </c>
      <c r="AC58" s="293">
        <f>AC57/W57-1</f>
        <v>0</v>
      </c>
      <c r="AD58" s="293">
        <f>AD57/X57-1</f>
        <v>-0.5641025641025641</v>
      </c>
      <c r="AE58" s="295">
        <f>AE57/Y57-1</f>
        <v>-0.26315789473684215</v>
      </c>
      <c r="AF58" s="241"/>
      <c r="AG58" s="289">
        <f>AG57/AA57-1</f>
        <v>8.25</v>
      </c>
      <c r="AH58" s="293">
        <f>AH57/AB57-1</f>
        <v>-1.096774193548387</v>
      </c>
      <c r="AI58" s="293">
        <f>AI57/AC57-1</f>
        <v>-0.73955882352941182</v>
      </c>
      <c r="AJ58" s="293">
        <f>AJ57/AD57-1</f>
        <v>-0.88719999999999999</v>
      </c>
      <c r="AK58" s="295">
        <f>AK57/AE57-1</f>
        <v>0.58951632653061203</v>
      </c>
      <c r="AL58" s="241"/>
      <c r="AM58" s="289">
        <f>AM57/AG57-1</f>
        <v>-0.19742702702702708</v>
      </c>
      <c r="AN58" s="293">
        <f>AN57/AH57-1</f>
        <v>1.9530666666666665</v>
      </c>
      <c r="AO58" s="293">
        <f>AO57/AI57-1</f>
        <v>-0.34428571428571442</v>
      </c>
      <c r="AP58" s="293">
        <f>AP57/AJ57-1</f>
        <v>-1.0000000000000009E-2</v>
      </c>
      <c r="AQ58" s="295">
        <f>AQ57/AK57-1</f>
        <v>-0.24488405534734603</v>
      </c>
      <c r="AR58" s="241"/>
      <c r="AS58" s="289">
        <f>AS57/AM57-1</f>
        <v>-9.9999999999998979E-3</v>
      </c>
      <c r="AT58" s="293">
        <f>AT57/AN57-1</f>
        <v>-1.0000000000000009E-2</v>
      </c>
      <c r="AU58" s="293">
        <f>AU57/AO57-1</f>
        <v>-1.0000000000000009E-2</v>
      </c>
      <c r="AV58" s="293">
        <f>AV57/AP57-1</f>
        <v>-9.9999999999998979E-3</v>
      </c>
      <c r="AW58" s="295">
        <f>AW57/AQ57-1</f>
        <v>-1.0000000000000009E-2</v>
      </c>
      <c r="AX58" s="241"/>
      <c r="AY58" s="289">
        <f>AY57/AS57-1</f>
        <v>6.1826153721813437E-3</v>
      </c>
      <c r="AZ58" s="293">
        <f>AZ57/AT57-1</f>
        <v>-9.2682522123893829E-2</v>
      </c>
      <c r="BA58" s="293">
        <f>BA57/AU57-1</f>
        <v>0.11617647058823533</v>
      </c>
      <c r="BB58" s="293">
        <f>BB57/AV57-1</f>
        <v>0.44374999999999987</v>
      </c>
      <c r="BC58" s="295">
        <f>BC57/AW57-1</f>
        <v>2.612046767674725E-2</v>
      </c>
      <c r="BD58" s="241"/>
      <c r="BE58" s="289">
        <f>BE57/AY57-1</f>
        <v>5.9223474682412736E-3</v>
      </c>
      <c r="BF58" s="293">
        <f>BF57/AZ57-1</f>
        <v>-0.10021726010862997</v>
      </c>
      <c r="BG58" s="293">
        <f>BG57/BA57-1</f>
        <v>0.10191304347826113</v>
      </c>
      <c r="BH58" s="293">
        <f>BH57/BB57-1</f>
        <v>0.30114285714285716</v>
      </c>
      <c r="BI58" s="295">
        <f>BI57/BC57-1</f>
        <v>2.4848991055546277E-2</v>
      </c>
      <c r="BJ58" s="241"/>
      <c r="BK58" s="289">
        <f>BK57/BE57-1</f>
        <v>5.6703189199764914E-3</v>
      </c>
      <c r="BL58" s="293">
        <f>BL57/BF57-1</f>
        <v>-0.1092629482071712</v>
      </c>
      <c r="BM58" s="293">
        <f>BM57/BG57-1</f>
        <v>9.0546874999999805E-2</v>
      </c>
      <c r="BN58" s="293">
        <f>BN57/BH57-1</f>
        <v>0.22673913043478278</v>
      </c>
      <c r="BO58" s="295">
        <f>BO57/BI57-1</f>
        <v>2.3663985080823347E-2</v>
      </c>
      <c r="BP58" s="241"/>
      <c r="BQ58" s="289">
        <f>BQ57/BK57-1</f>
        <v>5.4261445713517098E-3</v>
      </c>
      <c r="BR58" s="293">
        <f>BR57/BL57-1</f>
        <v>-0.12032472324723253</v>
      </c>
      <c r="BS58" s="293">
        <f>BS57/BM57-1</f>
        <v>8.1276595744680602E-2</v>
      </c>
      <c r="BT58" s="293">
        <f>BT57/BN57-1</f>
        <v>0.18105263157894735</v>
      </c>
      <c r="BU58" s="295">
        <f>BU57/BO57-1</f>
        <v>2.2556918789502944E-2</v>
      </c>
    </row>
    <row r="59" spans="1:73" ht="13.5" thickBot="1" x14ac:dyDescent="0.25">
      <c r="B59" s="241"/>
      <c r="C59" s="107"/>
      <c r="D59" s="107"/>
      <c r="E59" s="107"/>
      <c r="F59" s="107"/>
      <c r="G59" s="107"/>
      <c r="I59" s="107"/>
      <c r="J59" s="107"/>
      <c r="K59" s="107"/>
      <c r="L59" s="107"/>
      <c r="M59" s="107"/>
      <c r="N59" s="107"/>
      <c r="O59" s="107"/>
      <c r="P59" s="107"/>
      <c r="Q59" s="107"/>
      <c r="R59" s="107"/>
      <c r="S59" s="107"/>
      <c r="U59" s="166"/>
      <c r="V59" s="166"/>
      <c r="W59" s="166"/>
      <c r="X59" s="166"/>
      <c r="Y59" s="166"/>
      <c r="Z59" s="241"/>
      <c r="AA59" s="166"/>
      <c r="AB59" s="166"/>
      <c r="AC59" s="166"/>
      <c r="AD59" s="166"/>
      <c r="AE59" s="166"/>
      <c r="AF59" s="241"/>
      <c r="AG59" s="166"/>
      <c r="AH59" s="166"/>
      <c r="AI59" s="166"/>
      <c r="AJ59" s="166"/>
      <c r="AK59" s="166"/>
      <c r="AL59" s="241"/>
      <c r="AM59" s="166"/>
      <c r="AN59" s="166"/>
      <c r="AO59" s="166"/>
      <c r="AP59" s="166"/>
      <c r="AQ59" s="166"/>
      <c r="AR59" s="241"/>
      <c r="AS59" s="166"/>
      <c r="AT59" s="166"/>
      <c r="AU59" s="166"/>
      <c r="AV59" s="166"/>
      <c r="AW59" s="166"/>
      <c r="AX59" s="241"/>
      <c r="AY59" s="166"/>
      <c r="AZ59" s="166"/>
      <c r="BA59" s="166"/>
      <c r="BB59" s="166"/>
      <c r="BC59" s="166"/>
      <c r="BD59" s="241"/>
      <c r="BE59" s="166"/>
      <c r="BF59" s="166"/>
      <c r="BG59" s="166"/>
      <c r="BH59" s="166"/>
      <c r="BI59" s="166"/>
      <c r="BJ59" s="241"/>
      <c r="BK59" s="166"/>
      <c r="BL59" s="166"/>
      <c r="BM59" s="166"/>
      <c r="BN59" s="166"/>
      <c r="BO59" s="166"/>
      <c r="BP59" s="241"/>
      <c r="BQ59" s="166"/>
      <c r="BR59" s="166"/>
      <c r="BS59" s="166"/>
      <c r="BT59" s="166"/>
      <c r="BU59" s="166"/>
    </row>
    <row r="60" spans="1:73" ht="15" x14ac:dyDescent="0.3">
      <c r="B60" s="139" t="s">
        <v>36</v>
      </c>
      <c r="C60" s="221"/>
      <c r="D60" s="222"/>
      <c r="E60" s="222"/>
      <c r="F60" s="222"/>
      <c r="G60" s="224"/>
      <c r="I60" s="283"/>
      <c r="J60" s="284"/>
      <c r="K60" s="284"/>
      <c r="L60" s="284"/>
      <c r="M60" s="191"/>
      <c r="N60" s="107"/>
      <c r="O60" s="209">
        <f>O57/O54</f>
        <v>5.5214723926380369E-2</v>
      </c>
      <c r="P60" s="206">
        <f>P57/P54</f>
        <v>9.8265895953757232E-2</v>
      </c>
      <c r="Q60" s="206">
        <f>Q57/Q54</f>
        <v>8.2386363636363633E-2</v>
      </c>
      <c r="R60" s="207">
        <f>R57/R54</f>
        <v>0.13648293963254593</v>
      </c>
      <c r="S60" s="208">
        <f>S57/S54</f>
        <v>9.4661921708185048E-2</v>
      </c>
      <c r="T60" s="129"/>
      <c r="U60" s="209">
        <f>U57/U54</f>
        <v>9.0116279069767435E-2</v>
      </c>
      <c r="V60" s="206">
        <f>V57/V54</f>
        <v>8.0332409972299165E-2</v>
      </c>
      <c r="W60" s="206">
        <f>W57/W54</f>
        <v>9.7701149425287362E-2</v>
      </c>
      <c r="X60" s="206">
        <f>X57/X54</f>
        <v>9.5354523227383858E-2</v>
      </c>
      <c r="Y60" s="302">
        <f>Y57/Y54</f>
        <v>9.0971272229822167E-2</v>
      </c>
      <c r="Z60" s="241"/>
      <c r="AA60" s="209">
        <f>AA57/AA54</f>
        <v>4.7761194029850747E-2</v>
      </c>
      <c r="AB60" s="206">
        <f>AB57/AB54</f>
        <v>9.1176470588235289E-2</v>
      </c>
      <c r="AC60" s="206">
        <f>AC57/AC54</f>
        <v>0.10461538461538461</v>
      </c>
      <c r="AD60" s="206">
        <f>AD57/AD54</f>
        <v>4.5454545454545456E-2</v>
      </c>
      <c r="AE60" s="302">
        <f>AE57/AE54</f>
        <v>7.132459970887918E-2</v>
      </c>
      <c r="AF60" s="260"/>
      <c r="AG60" s="209">
        <f>AG57/AG54</f>
        <v>0.18294190358467244</v>
      </c>
      <c r="AH60" s="206">
        <f>AH57/AH54</f>
        <v>-9.9337748344370865E-3</v>
      </c>
      <c r="AI60" s="304">
        <f>AC60+AI61</f>
        <v>2.9615384615384613E-2</v>
      </c>
      <c r="AJ60" s="305">
        <f>AD60+AJ61</f>
        <v>5.454545454545455E-3</v>
      </c>
      <c r="AK60" s="302">
        <f>AK57/AK54</f>
        <v>8.8428779036762856E-2</v>
      </c>
      <c r="AL60" s="260"/>
      <c r="AM60" s="306">
        <f>AG60+AM61</f>
        <v>0.15294190358467244</v>
      </c>
      <c r="AN60" s="304">
        <f>AH60+AN61</f>
        <v>-2.9933774834437085E-2</v>
      </c>
      <c r="AO60" s="304">
        <f>AI60+AO61</f>
        <v>1.9615384615384611E-2</v>
      </c>
      <c r="AP60" s="305">
        <f>AJ60+AP61</f>
        <v>5.454545454545455E-3</v>
      </c>
      <c r="AQ60" s="302">
        <f>AQ57/AQ54</f>
        <v>6.8520707487773891E-2</v>
      </c>
      <c r="AR60" s="260"/>
      <c r="AS60" s="306">
        <f>AM60+AS61</f>
        <v>0.15294190358467244</v>
      </c>
      <c r="AT60" s="304">
        <f>AN60+AT61</f>
        <v>-2.9933774834437085E-2</v>
      </c>
      <c r="AU60" s="304">
        <f>AO60+AU61</f>
        <v>1.9615384615384611E-2</v>
      </c>
      <c r="AV60" s="305">
        <f>AP60+AV61</f>
        <v>5.454545454545455E-3</v>
      </c>
      <c r="AW60" s="302">
        <f>AW57/AW54</f>
        <v>6.8520707487773891E-2</v>
      </c>
      <c r="AX60" s="260"/>
      <c r="AY60" s="306">
        <f>AS60+AY61</f>
        <v>0.15544190358467244</v>
      </c>
      <c r="AZ60" s="304">
        <f>AT60+AZ61</f>
        <v>-2.7433774834437086E-2</v>
      </c>
      <c r="BA60" s="304">
        <f>AU60+BA61</f>
        <v>2.211538461538461E-2</v>
      </c>
      <c r="BB60" s="305">
        <f>AV60+BB61</f>
        <v>7.9545454545454555E-3</v>
      </c>
      <c r="BC60" s="302">
        <f>BC57/BC54</f>
        <v>7.1020707487773893E-2</v>
      </c>
      <c r="BD60" s="260"/>
      <c r="BE60" s="306">
        <f>AY60+BE61</f>
        <v>0.15794190358467244</v>
      </c>
      <c r="BF60" s="304">
        <f>AZ60+BF61</f>
        <v>-2.4933774834437088E-2</v>
      </c>
      <c r="BG60" s="304">
        <f>BA60+BG61</f>
        <v>2.4615384615384608E-2</v>
      </c>
      <c r="BH60" s="305">
        <f>BB60+BH61</f>
        <v>1.0454545454545456E-2</v>
      </c>
      <c r="BI60" s="302">
        <f>BI57/BI54</f>
        <v>7.3520707487773895E-2</v>
      </c>
      <c r="BJ60" s="260"/>
      <c r="BK60" s="306">
        <f>BE60+BK61</f>
        <v>0.16044190358467245</v>
      </c>
      <c r="BL60" s="304">
        <f>BF60+BL61</f>
        <v>-2.2433774834437089E-2</v>
      </c>
      <c r="BM60" s="304">
        <f>BG60+BM61</f>
        <v>2.7115384615384607E-2</v>
      </c>
      <c r="BN60" s="305">
        <f>BH60+BN61</f>
        <v>1.2954545454545456E-2</v>
      </c>
      <c r="BO60" s="302">
        <f>BO57/BO54</f>
        <v>7.6020707487773884E-2</v>
      </c>
      <c r="BP60" s="260"/>
      <c r="BQ60" s="306">
        <f>BK60+BQ61</f>
        <v>0.16294190358467245</v>
      </c>
      <c r="BR60" s="304">
        <f>BL60+BR61</f>
        <v>-1.993377483443709E-2</v>
      </c>
      <c r="BS60" s="304">
        <f>BM60+BS61</f>
        <v>2.9615384615384606E-2</v>
      </c>
      <c r="BT60" s="305">
        <f>BN60+BT61</f>
        <v>1.5454545454545457E-2</v>
      </c>
      <c r="BU60" s="302">
        <f>BU57/BU54</f>
        <v>7.85207074877739E-2</v>
      </c>
    </row>
    <row r="61" spans="1:73" ht="15.75" thickBot="1" x14ac:dyDescent="0.35">
      <c r="B61" s="140" t="s">
        <v>37</v>
      </c>
      <c r="C61" s="155"/>
      <c r="D61" s="106"/>
      <c r="E61" s="106"/>
      <c r="F61" s="106"/>
      <c r="G61" s="108"/>
      <c r="I61" s="155"/>
      <c r="J61" s="106"/>
      <c r="K61" s="106"/>
      <c r="L61" s="106"/>
      <c r="M61" s="108"/>
      <c r="N61" s="107"/>
      <c r="O61" s="155"/>
      <c r="P61" s="106"/>
      <c r="Q61" s="106"/>
      <c r="R61" s="154"/>
      <c r="S61" s="108"/>
      <c r="U61" s="174">
        <f>U60-O60</f>
        <v>3.4901555143387067E-2</v>
      </c>
      <c r="V61" s="175">
        <f>V60-P60</f>
        <v>-1.7933485981458067E-2</v>
      </c>
      <c r="W61" s="175">
        <f>W60-Q60</f>
        <v>1.5314785788923729E-2</v>
      </c>
      <c r="X61" s="175">
        <f>X60-R60</f>
        <v>-4.1128416405162072E-2</v>
      </c>
      <c r="Y61" s="177">
        <f>Y60-S60</f>
        <v>-3.6906494783628813E-3</v>
      </c>
      <c r="Z61" s="241"/>
      <c r="AA61" s="174">
        <f>AA60-U60</f>
        <v>-4.2355085039916689E-2</v>
      </c>
      <c r="AB61" s="175">
        <f>AB60-V60</f>
        <v>1.0844060615936124E-2</v>
      </c>
      <c r="AC61" s="175">
        <f>AC60-W60</f>
        <v>6.9142351900972482E-3</v>
      </c>
      <c r="AD61" s="175">
        <f>AD60-X60</f>
        <v>-4.9899977772838403E-2</v>
      </c>
      <c r="AE61" s="177">
        <f>AE60-Y60</f>
        <v>-1.9646672520942987E-2</v>
      </c>
      <c r="AF61" s="241"/>
      <c r="AG61" s="174">
        <f>AG60-AA60</f>
        <v>0.1351807095548217</v>
      </c>
      <c r="AH61" s="175">
        <f>AH60-AB60</f>
        <v>-0.10111024542267237</v>
      </c>
      <c r="AI61" s="175">
        <v>-7.4999999999999997E-2</v>
      </c>
      <c r="AJ61" s="175">
        <v>-0.04</v>
      </c>
      <c r="AK61" s="177">
        <f>AK60-AE60</f>
        <v>1.7104179327883676E-2</v>
      </c>
      <c r="AL61" s="241"/>
      <c r="AM61" s="174">
        <v>-0.03</v>
      </c>
      <c r="AN61" s="175">
        <v>-0.02</v>
      </c>
      <c r="AO61" s="175">
        <v>-0.01</v>
      </c>
      <c r="AP61" s="175">
        <v>0</v>
      </c>
      <c r="AQ61" s="379">
        <f>AQ60-AK60</f>
        <v>-1.9908071548988965E-2</v>
      </c>
      <c r="AR61" s="446"/>
      <c r="AS61" s="174">
        <v>0</v>
      </c>
      <c r="AT61" s="175">
        <v>0</v>
      </c>
      <c r="AU61" s="175">
        <v>0</v>
      </c>
      <c r="AV61" s="175">
        <v>0</v>
      </c>
      <c r="AW61" s="379">
        <f>AW60-AQ60</f>
        <v>0</v>
      </c>
      <c r="AX61" s="446"/>
      <c r="AY61" s="174">
        <v>2.5000000000000001E-3</v>
      </c>
      <c r="AZ61" s="175">
        <v>2.5000000000000001E-3</v>
      </c>
      <c r="BA61" s="175">
        <v>2.5000000000000001E-3</v>
      </c>
      <c r="BB61" s="175">
        <v>2.5000000000000001E-3</v>
      </c>
      <c r="BC61" s="379">
        <f>BC60-AW60</f>
        <v>2.5000000000000022E-3</v>
      </c>
      <c r="BD61" s="446"/>
      <c r="BE61" s="174">
        <v>2.5000000000000001E-3</v>
      </c>
      <c r="BF61" s="175">
        <v>2.5000000000000001E-3</v>
      </c>
      <c r="BG61" s="175">
        <v>2.5000000000000001E-3</v>
      </c>
      <c r="BH61" s="175">
        <v>2.5000000000000001E-3</v>
      </c>
      <c r="BI61" s="379">
        <f>BI60-BC60</f>
        <v>2.5000000000000022E-3</v>
      </c>
      <c r="BJ61" s="241"/>
      <c r="BK61" s="174">
        <v>2.5000000000000001E-3</v>
      </c>
      <c r="BL61" s="175">
        <v>2.5000000000000001E-3</v>
      </c>
      <c r="BM61" s="175">
        <v>2.5000000000000001E-3</v>
      </c>
      <c r="BN61" s="175">
        <v>2.5000000000000001E-3</v>
      </c>
      <c r="BO61" s="379">
        <f>BO60-BI60</f>
        <v>2.4999999999999883E-3</v>
      </c>
      <c r="BP61" s="241"/>
      <c r="BQ61" s="174">
        <v>2.5000000000000001E-3</v>
      </c>
      <c r="BR61" s="175">
        <v>2.5000000000000001E-3</v>
      </c>
      <c r="BS61" s="175">
        <v>2.5000000000000001E-3</v>
      </c>
      <c r="BT61" s="175">
        <v>2.5000000000000001E-3</v>
      </c>
      <c r="BU61" s="379">
        <f>BU60-BO60</f>
        <v>2.5000000000000161E-3</v>
      </c>
    </row>
    <row r="62" spans="1:73" ht="15.75" thickBot="1" x14ac:dyDescent="0.35">
      <c r="B62" s="6"/>
      <c r="C62" s="107"/>
      <c r="D62" s="107"/>
      <c r="E62" s="107"/>
      <c r="F62" s="107"/>
      <c r="G62" s="107"/>
      <c r="I62" s="107"/>
      <c r="J62" s="107"/>
      <c r="K62" s="107"/>
      <c r="L62" s="107"/>
      <c r="M62" s="107"/>
      <c r="N62" s="107"/>
      <c r="O62" s="107"/>
      <c r="P62" s="107"/>
      <c r="Q62" s="107"/>
      <c r="R62" s="107"/>
      <c r="S62" s="107"/>
      <c r="U62" s="166"/>
      <c r="V62" s="166"/>
      <c r="W62" s="166"/>
      <c r="X62" s="166"/>
      <c r="Y62" s="166"/>
      <c r="Z62" s="241"/>
      <c r="AA62" s="166"/>
      <c r="AB62" s="166"/>
      <c r="AC62" s="166"/>
      <c r="AD62" s="166"/>
      <c r="AE62" s="166"/>
      <c r="AF62" s="241"/>
      <c r="AG62" s="166"/>
      <c r="AH62" s="166"/>
      <c r="AI62" s="166"/>
      <c r="AJ62" s="166"/>
      <c r="AK62" s="166"/>
      <c r="AL62" s="241"/>
      <c r="AM62" s="166"/>
      <c r="AN62" s="166"/>
      <c r="AO62" s="166"/>
      <c r="AP62" s="166"/>
      <c r="AQ62" s="166"/>
      <c r="AR62" s="241"/>
      <c r="AS62" s="166"/>
      <c r="AT62" s="166"/>
      <c r="AU62" s="166"/>
      <c r="AV62" s="166"/>
      <c r="AW62" s="166"/>
      <c r="AX62" s="241"/>
      <c r="AY62" s="166"/>
      <c r="AZ62" s="166"/>
      <c r="BA62" s="166"/>
      <c r="BB62" s="166"/>
      <c r="BC62" s="166"/>
      <c r="BD62" s="241"/>
      <c r="BE62" s="166"/>
      <c r="BF62" s="166"/>
      <c r="BG62" s="166"/>
      <c r="BH62" s="166"/>
      <c r="BI62" s="166"/>
      <c r="BJ62" s="241"/>
      <c r="BK62" s="166"/>
      <c r="BL62" s="166"/>
      <c r="BM62" s="166"/>
      <c r="BN62" s="166"/>
      <c r="BO62" s="166"/>
      <c r="BP62" s="241"/>
      <c r="BQ62" s="166"/>
      <c r="BR62" s="166"/>
      <c r="BS62" s="166"/>
      <c r="BT62" s="166"/>
      <c r="BU62" s="166"/>
    </row>
    <row r="63" spans="1:73" ht="15" x14ac:dyDescent="0.3">
      <c r="B63" s="139" t="s">
        <v>62</v>
      </c>
      <c r="C63" s="221"/>
      <c r="D63" s="222"/>
      <c r="E63" s="222"/>
      <c r="F63" s="222"/>
      <c r="G63" s="224"/>
      <c r="I63" s="221"/>
      <c r="J63" s="222"/>
      <c r="K63" s="222"/>
      <c r="L63" s="222"/>
      <c r="M63" s="224"/>
      <c r="N63" s="107"/>
      <c r="O63" s="126">
        <v>35</v>
      </c>
      <c r="P63" s="127">
        <v>34</v>
      </c>
      <c r="Q63" s="127">
        <v>29</v>
      </c>
      <c r="R63" s="128">
        <v>37</v>
      </c>
      <c r="S63" s="167">
        <f>O63+P63+Q63+R63</f>
        <v>135</v>
      </c>
      <c r="T63" s="129"/>
      <c r="U63" s="251">
        <v>18</v>
      </c>
      <c r="V63" s="252">
        <v>28</v>
      </c>
      <c r="W63" s="212">
        <v>26</v>
      </c>
      <c r="X63" s="210">
        <v>25</v>
      </c>
      <c r="Y63" s="202">
        <f>U63+V63+W63+X63</f>
        <v>97</v>
      </c>
      <c r="Z63" s="343"/>
      <c r="AA63" s="211">
        <v>19</v>
      </c>
      <c r="AB63" s="212">
        <v>22</v>
      </c>
      <c r="AC63" s="212">
        <v>17</v>
      </c>
      <c r="AD63" s="210">
        <v>18</v>
      </c>
      <c r="AE63" s="202">
        <f>AA63+AB63+AC63+AD63</f>
        <v>76</v>
      </c>
      <c r="AF63" s="344"/>
      <c r="AG63" s="211">
        <v>15</v>
      </c>
      <c r="AH63" s="212">
        <v>14</v>
      </c>
      <c r="AI63" s="212">
        <f>AI66*AI54</f>
        <v>12.649999999999999</v>
      </c>
      <c r="AJ63" s="210">
        <f>AJ66*AJ54</f>
        <v>15.1622</v>
      </c>
      <c r="AK63" s="202">
        <f>AG63+AH63+AI63+AJ63</f>
        <v>56.812199999999997</v>
      </c>
      <c r="AL63" s="344"/>
      <c r="AM63" s="211">
        <f>AM66*AM54</f>
        <v>10.516799999999998</v>
      </c>
      <c r="AN63" s="212">
        <f>AN66*AN54</f>
        <v>13.719999999999999</v>
      </c>
      <c r="AO63" s="212">
        <f>AO66*AO54</f>
        <v>12.523499999999999</v>
      </c>
      <c r="AP63" s="210">
        <f>AP66*AP54</f>
        <v>15.010578000000001</v>
      </c>
      <c r="AQ63" s="202">
        <f>AM63+AN63+AO63+AP63</f>
        <v>51.770877999999996</v>
      </c>
      <c r="AR63" s="344"/>
      <c r="AS63" s="211">
        <f>AS66*AS54</f>
        <v>10.411631999999999</v>
      </c>
      <c r="AT63" s="212">
        <f>AT66*AT54</f>
        <v>13.582799999999999</v>
      </c>
      <c r="AU63" s="212">
        <f>AU66*AU54</f>
        <v>12.398264999999999</v>
      </c>
      <c r="AV63" s="210">
        <f>AV66*AV54</f>
        <v>14.86047222</v>
      </c>
      <c r="AW63" s="202">
        <f>AS63+AT63+AU63+AV63</f>
        <v>51.253169219999997</v>
      </c>
      <c r="AX63" s="344"/>
      <c r="AY63" s="211">
        <f>AY66*AY54</f>
        <v>10.307515679999998</v>
      </c>
      <c r="AZ63" s="212">
        <f>AZ66*AZ54</f>
        <v>13.446971999999999</v>
      </c>
      <c r="BA63" s="212">
        <f>BA66*BA54</f>
        <v>12.274282349999998</v>
      </c>
      <c r="BB63" s="210">
        <f>BB66*BB54</f>
        <v>14.7118674978</v>
      </c>
      <c r="BC63" s="202">
        <f>AY63+AZ63+BA63+BB63</f>
        <v>50.740637527799997</v>
      </c>
      <c r="BD63" s="344"/>
      <c r="BE63" s="211">
        <f>BE66*BE54</f>
        <v>10.204440523199997</v>
      </c>
      <c r="BF63" s="212">
        <f>BF66*BF54</f>
        <v>13.312502279999999</v>
      </c>
      <c r="BG63" s="212">
        <f>BG66*BG54</f>
        <v>12.151539526499999</v>
      </c>
      <c r="BH63" s="210">
        <f>BH66*BH54</f>
        <v>14.564748822821999</v>
      </c>
      <c r="BI63" s="202">
        <f>BE63+BF63+BG63+BH63</f>
        <v>50.233231152521995</v>
      </c>
      <c r="BJ63" s="344"/>
      <c r="BK63" s="211">
        <f>BK66*BK54</f>
        <v>10.102396117967997</v>
      </c>
      <c r="BL63" s="212">
        <f>BL66*BL54</f>
        <v>13.179377257200001</v>
      </c>
      <c r="BM63" s="212">
        <f>BM66*BM54</f>
        <v>12.030024131234997</v>
      </c>
      <c r="BN63" s="210">
        <f>BN66*BN54</f>
        <v>14.41910133459378</v>
      </c>
      <c r="BO63" s="202">
        <f>BK63+BL63+BM63+BN63</f>
        <v>49.730898840996772</v>
      </c>
      <c r="BP63" s="344"/>
      <c r="BQ63" s="211">
        <f>BQ66*BQ54</f>
        <v>10.001372156788317</v>
      </c>
      <c r="BR63" s="212">
        <f>BR66*BR54</f>
        <v>13.047583484627999</v>
      </c>
      <c r="BS63" s="212">
        <f>BS66*BS54</f>
        <v>11.909723889922647</v>
      </c>
      <c r="BT63" s="210">
        <f>BT66*BT54</f>
        <v>14.274910321247843</v>
      </c>
      <c r="BU63" s="202">
        <f>BQ63+BR63+BS63+BT63</f>
        <v>49.23358985258681</v>
      </c>
    </row>
    <row r="64" spans="1:73" ht="15" x14ac:dyDescent="0.3">
      <c r="B64" s="5" t="s">
        <v>40</v>
      </c>
      <c r="C64" s="144"/>
      <c r="D64" s="107"/>
      <c r="E64" s="107"/>
      <c r="F64" s="107"/>
      <c r="G64" s="138"/>
      <c r="I64" s="144"/>
      <c r="J64" s="107"/>
      <c r="K64" s="107"/>
      <c r="L64" s="107"/>
      <c r="M64" s="153"/>
      <c r="N64" s="107"/>
      <c r="O64" s="151"/>
      <c r="P64" s="133"/>
      <c r="Q64" s="133"/>
      <c r="R64" s="152"/>
      <c r="S64" s="153"/>
      <c r="U64" s="151">
        <f>U63/O63-1</f>
        <v>-0.48571428571428577</v>
      </c>
      <c r="V64" s="133">
        <f>V63/P63-1</f>
        <v>-0.17647058823529416</v>
      </c>
      <c r="W64" s="133">
        <f>W63/Q63-1</f>
        <v>-0.10344827586206895</v>
      </c>
      <c r="X64" s="133">
        <f>X63/R63-1</f>
        <v>-0.32432432432432434</v>
      </c>
      <c r="Y64" s="153">
        <f>Y63/S63-1</f>
        <v>-0.28148148148148144</v>
      </c>
      <c r="Z64" s="241"/>
      <c r="AA64" s="151">
        <f>AA63/U63-1</f>
        <v>5.555555555555558E-2</v>
      </c>
      <c r="AB64" s="133">
        <f>AB63/V63-1</f>
        <v>-0.2142857142857143</v>
      </c>
      <c r="AC64" s="133">
        <f>AC63/W63-1</f>
        <v>-0.34615384615384615</v>
      </c>
      <c r="AD64" s="133">
        <f>AD63/X63-1</f>
        <v>-0.28000000000000003</v>
      </c>
      <c r="AE64" s="153">
        <f>AE63/Y63-1</f>
        <v>-0.21649484536082475</v>
      </c>
      <c r="AG64" s="151">
        <f>AG63/AA63-1</f>
        <v>-0.21052631578947367</v>
      </c>
      <c r="AH64" s="133">
        <f>AH63/AB63-1</f>
        <v>-0.36363636363636365</v>
      </c>
      <c r="AI64" s="133">
        <f>AI63/AC63-1</f>
        <v>-0.25588235294117656</v>
      </c>
      <c r="AJ64" s="152">
        <f>AJ63/AD63-1</f>
        <v>-0.15765555555555555</v>
      </c>
      <c r="AK64" s="153">
        <f>AK63/AE63-1</f>
        <v>-0.25247105263157898</v>
      </c>
      <c r="AM64" s="151">
        <f>AM63/AG63-1</f>
        <v>-0.29888000000000015</v>
      </c>
      <c r="AN64" s="133">
        <f>AN63/AH63-1</f>
        <v>-2.0000000000000129E-2</v>
      </c>
      <c r="AO64" s="133">
        <f>AO63/AI63-1</f>
        <v>-1.0000000000000009E-2</v>
      </c>
      <c r="AP64" s="152">
        <f>AP63/AJ63-1</f>
        <v>-1.0000000000000009E-2</v>
      </c>
      <c r="AQ64" s="153">
        <f>AQ63/AK63-1</f>
        <v>-8.8736609390236643E-2</v>
      </c>
      <c r="AS64" s="151">
        <f>AS63/AM63-1</f>
        <v>-9.9999999999998979E-3</v>
      </c>
      <c r="AT64" s="133">
        <f>AT63/AN63-1</f>
        <v>-1.0000000000000009E-2</v>
      </c>
      <c r="AU64" s="133">
        <f>AU63/AO63-1</f>
        <v>-1.0000000000000009E-2</v>
      </c>
      <c r="AV64" s="152">
        <f>AV63/AP63-1</f>
        <v>-1.0000000000000009E-2</v>
      </c>
      <c r="AW64" s="153">
        <f>AW63/AQ63-1</f>
        <v>-1.0000000000000009E-2</v>
      </c>
      <c r="AY64" s="151">
        <f>AY63/AS63-1</f>
        <v>-1.000000000000012E-2</v>
      </c>
      <c r="AZ64" s="133">
        <f>AZ63/AT63-1</f>
        <v>-1.0000000000000009E-2</v>
      </c>
      <c r="BA64" s="133">
        <f>BA63/AU63-1</f>
        <v>-1.0000000000000009E-2</v>
      </c>
      <c r="BB64" s="152">
        <f>BB63/AV63-1</f>
        <v>-1.0000000000000009E-2</v>
      </c>
      <c r="BC64" s="153">
        <f>BC63/AW63-1</f>
        <v>-1.0000000000000009E-2</v>
      </c>
      <c r="BE64" s="151">
        <f>BE63/AY63-1</f>
        <v>-1.000000000000012E-2</v>
      </c>
      <c r="BF64" s="133">
        <f>BF63/AZ63-1</f>
        <v>-1.0000000000000009E-2</v>
      </c>
      <c r="BG64" s="133">
        <f>BG63/BA63-1</f>
        <v>-1.0000000000000009E-2</v>
      </c>
      <c r="BH64" s="152">
        <f>BH63/BB63-1</f>
        <v>-1.000000000000012E-2</v>
      </c>
      <c r="BI64" s="153">
        <f>BI63/BC63-1</f>
        <v>-1.0000000000000009E-2</v>
      </c>
      <c r="BK64" s="151">
        <f>BK63/BE63-1</f>
        <v>-1.0000000000000009E-2</v>
      </c>
      <c r="BL64" s="133">
        <f>BL63/BF63-1</f>
        <v>-9.9999999999998979E-3</v>
      </c>
      <c r="BM64" s="133">
        <f>BM63/BG63-1</f>
        <v>-1.000000000000012E-2</v>
      </c>
      <c r="BN64" s="152">
        <f>BN63/BH63-1</f>
        <v>-9.9999999999998979E-3</v>
      </c>
      <c r="BO64" s="153">
        <f>BO63/BI63-1</f>
        <v>-1.0000000000000009E-2</v>
      </c>
      <c r="BQ64" s="151">
        <f>BQ63/BK63-1</f>
        <v>-9.9999999999998979E-3</v>
      </c>
      <c r="BR64" s="133">
        <f>BR63/BL63-1</f>
        <v>-1.000000000000012E-2</v>
      </c>
      <c r="BS64" s="133">
        <f>BS63/BM63-1</f>
        <v>-1.0000000000000009E-2</v>
      </c>
      <c r="BT64" s="152">
        <f>BT63/BN63-1</f>
        <v>-9.9999999999998979E-3</v>
      </c>
      <c r="BU64" s="153">
        <f>BU63/BO63-1</f>
        <v>-9.9999999999998979E-3</v>
      </c>
    </row>
    <row r="65" spans="1:73" ht="15" x14ac:dyDescent="0.3">
      <c r="B65" s="105"/>
      <c r="C65" s="144"/>
      <c r="D65" s="107"/>
      <c r="E65" s="107"/>
      <c r="F65" s="107"/>
      <c r="G65" s="138"/>
      <c r="I65" s="144"/>
      <c r="J65" s="107"/>
      <c r="K65" s="107"/>
      <c r="L65" s="107"/>
      <c r="M65" s="153"/>
      <c r="N65" s="107"/>
      <c r="O65" s="151"/>
      <c r="P65" s="133"/>
      <c r="Q65" s="133"/>
      <c r="R65" s="152"/>
      <c r="S65" s="153"/>
      <c r="U65" s="144"/>
      <c r="V65" s="107"/>
      <c r="W65" s="107"/>
      <c r="X65" s="107"/>
      <c r="Y65" s="138"/>
      <c r="Z65" s="241"/>
      <c r="AA65" s="144"/>
      <c r="AB65" s="107"/>
      <c r="AC65" s="107"/>
      <c r="AD65" s="107"/>
      <c r="AE65" s="138"/>
      <c r="AG65" s="144"/>
      <c r="AH65" s="107"/>
      <c r="AI65" s="107"/>
      <c r="AJ65" s="107"/>
      <c r="AK65" s="138"/>
      <c r="AM65" s="144"/>
      <c r="AN65" s="107"/>
      <c r="AO65" s="107"/>
      <c r="AP65" s="107"/>
      <c r="AQ65" s="138"/>
      <c r="AS65" s="144"/>
      <c r="AT65" s="107"/>
      <c r="AU65" s="107"/>
      <c r="AV65" s="107"/>
      <c r="AW65" s="138"/>
      <c r="AY65" s="144"/>
      <c r="AZ65" s="107"/>
      <c r="BA65" s="107"/>
      <c r="BB65" s="107"/>
      <c r="BC65" s="138"/>
      <c r="BE65" s="144"/>
      <c r="BF65" s="107"/>
      <c r="BG65" s="107"/>
      <c r="BH65" s="107"/>
      <c r="BI65" s="138"/>
      <c r="BK65" s="144"/>
      <c r="BL65" s="107"/>
      <c r="BM65" s="107"/>
      <c r="BN65" s="107"/>
      <c r="BO65" s="138"/>
      <c r="BQ65" s="144"/>
      <c r="BR65" s="107"/>
      <c r="BS65" s="107"/>
      <c r="BT65" s="107"/>
      <c r="BU65" s="138"/>
    </row>
    <row r="66" spans="1:73" ht="15" x14ac:dyDescent="0.3">
      <c r="B66" s="105" t="s">
        <v>24</v>
      </c>
      <c r="C66" s="144"/>
      <c r="D66" s="107"/>
      <c r="E66" s="107"/>
      <c r="F66" s="107"/>
      <c r="G66" s="138"/>
      <c r="I66" s="151"/>
      <c r="J66" s="133"/>
      <c r="K66" s="133"/>
      <c r="L66" s="133"/>
      <c r="M66" s="153"/>
      <c r="N66" s="107"/>
      <c r="O66" s="171">
        <f>O63/O54</f>
        <v>0.10736196319018405</v>
      </c>
      <c r="P66" s="165">
        <f>P63/P54</f>
        <v>9.8265895953757232E-2</v>
      </c>
      <c r="Q66" s="165">
        <f>Q63/Q54</f>
        <v>8.2386363636363633E-2</v>
      </c>
      <c r="R66" s="172">
        <f>R63/R54</f>
        <v>9.711286089238845E-2</v>
      </c>
      <c r="S66" s="173">
        <f>S63/S54</f>
        <v>9.6085409252669035E-2</v>
      </c>
      <c r="T66" s="129"/>
      <c r="U66" s="171">
        <f>U63/U54</f>
        <v>5.232558139534884E-2</v>
      </c>
      <c r="V66" s="165">
        <f>V63/V54</f>
        <v>7.7562326869806089E-2</v>
      </c>
      <c r="W66" s="165">
        <f>W63/W54</f>
        <v>7.4712643678160925E-2</v>
      </c>
      <c r="X66" s="165">
        <f>X63/X54</f>
        <v>6.1124694376528114E-2</v>
      </c>
      <c r="Y66" s="298">
        <f>Y63/Y54</f>
        <v>6.6347469220246244E-2</v>
      </c>
      <c r="Z66" s="135"/>
      <c r="AA66" s="171">
        <f>AA63/AA54</f>
        <v>5.6716417910447764E-2</v>
      </c>
      <c r="AB66" s="165">
        <f>AB63/AB54</f>
        <v>6.4705882352941183E-2</v>
      </c>
      <c r="AC66" s="165">
        <f>AC63/AC54</f>
        <v>5.2307692307692305E-2</v>
      </c>
      <c r="AD66" s="165">
        <f>AD63/AD54</f>
        <v>4.8128342245989303E-2</v>
      </c>
      <c r="AE66" s="298">
        <f>AE63/AE54</f>
        <v>5.5312954876273655E-2</v>
      </c>
      <c r="AF66" s="135"/>
      <c r="AG66" s="171">
        <f>AG63/AG54</f>
        <v>1.8541409147095178E-2</v>
      </c>
      <c r="AH66" s="165">
        <f>AH63/AH54</f>
        <v>4.6357615894039736E-2</v>
      </c>
      <c r="AI66" s="309">
        <f>AC66+AI67</f>
        <v>4.2307692307692303E-2</v>
      </c>
      <c r="AJ66" s="310">
        <f>AD66+AJ67</f>
        <v>4.3128342245989305E-2</v>
      </c>
      <c r="AK66" s="298">
        <f>AK63/AK54</f>
        <v>3.2251072912645611E-2</v>
      </c>
      <c r="AL66" s="135"/>
      <c r="AM66" s="311">
        <f>AG66+AM67</f>
        <v>1.3541409147095177E-2</v>
      </c>
      <c r="AN66" s="309">
        <f>AH66+AN67</f>
        <v>4.6357615894039736E-2</v>
      </c>
      <c r="AO66" s="309">
        <f>AI66+AO67</f>
        <v>4.2307692307692303E-2</v>
      </c>
      <c r="AP66" s="310">
        <f>AJ66+AP67</f>
        <v>4.3128342245989305E-2</v>
      </c>
      <c r="AQ66" s="298">
        <f>AQ63/AQ54</f>
        <v>3.0158008507711279E-2</v>
      </c>
      <c r="AR66" s="135"/>
      <c r="AS66" s="311">
        <f>AM66+AS67</f>
        <v>1.3541409147095177E-2</v>
      </c>
      <c r="AT66" s="309">
        <f>AN66+AT67</f>
        <v>4.6357615894039736E-2</v>
      </c>
      <c r="AU66" s="309">
        <f>AO66+AU67</f>
        <v>4.2307692307692303E-2</v>
      </c>
      <c r="AV66" s="310">
        <f>AP66+AV67</f>
        <v>4.3128342245989305E-2</v>
      </c>
      <c r="AW66" s="298">
        <f>AW63/AW54</f>
        <v>3.0158008507711276E-2</v>
      </c>
      <c r="AX66" s="135"/>
      <c r="AY66" s="311">
        <f>AS66+AY67</f>
        <v>1.3541409147095177E-2</v>
      </c>
      <c r="AZ66" s="309">
        <f>AT66+AZ67</f>
        <v>4.6357615894039736E-2</v>
      </c>
      <c r="BA66" s="309">
        <f>AU66+BA67</f>
        <v>4.2307692307692303E-2</v>
      </c>
      <c r="BB66" s="310">
        <f>AV66+BB67</f>
        <v>4.3128342245989305E-2</v>
      </c>
      <c r="BC66" s="298">
        <f>BC63/BC54</f>
        <v>3.0158008507711279E-2</v>
      </c>
      <c r="BD66" s="135"/>
      <c r="BE66" s="311">
        <f>AY66+BE67</f>
        <v>1.3541409147095177E-2</v>
      </c>
      <c r="BF66" s="309">
        <f>AZ66+BF67</f>
        <v>4.6357615894039736E-2</v>
      </c>
      <c r="BG66" s="309">
        <f>BA66+BG67</f>
        <v>4.2307692307692303E-2</v>
      </c>
      <c r="BH66" s="310">
        <f>BB66+BH67</f>
        <v>4.3128342245989305E-2</v>
      </c>
      <c r="BI66" s="298">
        <f>BI63/BI54</f>
        <v>3.0158008507711279E-2</v>
      </c>
      <c r="BJ66" s="135"/>
      <c r="BK66" s="311">
        <f>BE66+BK67</f>
        <v>1.3541409147095177E-2</v>
      </c>
      <c r="BL66" s="309">
        <f>BF66+BL67</f>
        <v>4.6357615894039736E-2</v>
      </c>
      <c r="BM66" s="309">
        <f>BG66+BM67</f>
        <v>4.2307692307692303E-2</v>
      </c>
      <c r="BN66" s="310">
        <f>BH66+BN67</f>
        <v>4.3128342245989305E-2</v>
      </c>
      <c r="BO66" s="298">
        <f>BO63/BO54</f>
        <v>3.0158008507711276E-2</v>
      </c>
      <c r="BP66" s="135"/>
      <c r="BQ66" s="311">
        <f>BK66+BQ67</f>
        <v>1.3541409147095177E-2</v>
      </c>
      <c r="BR66" s="309">
        <f>BL66+BR67</f>
        <v>4.6357615894039736E-2</v>
      </c>
      <c r="BS66" s="309">
        <f>BM66+BS67</f>
        <v>4.2307692307692303E-2</v>
      </c>
      <c r="BT66" s="310">
        <f>BN66+BT67</f>
        <v>4.3128342245989305E-2</v>
      </c>
      <c r="BU66" s="298">
        <f>BU63/BU54</f>
        <v>3.0158008507711279E-2</v>
      </c>
    </row>
    <row r="67" spans="1:73" ht="15.75" thickBot="1" x14ac:dyDescent="0.35">
      <c r="B67" s="140" t="s">
        <v>40</v>
      </c>
      <c r="C67" s="155"/>
      <c r="D67" s="106"/>
      <c r="E67" s="106"/>
      <c r="F67" s="106"/>
      <c r="G67" s="108"/>
      <c r="I67" s="155"/>
      <c r="J67" s="106"/>
      <c r="K67" s="106"/>
      <c r="L67" s="106"/>
      <c r="M67" s="108"/>
      <c r="N67" s="107"/>
      <c r="O67" s="155"/>
      <c r="P67" s="106"/>
      <c r="Q67" s="106"/>
      <c r="R67" s="154"/>
      <c r="S67" s="108"/>
      <c r="U67" s="174">
        <f>U66-O66</f>
        <v>-5.5036381794835214E-2</v>
      </c>
      <c r="V67" s="175">
        <f>V66-P66</f>
        <v>-2.0703569083951143E-2</v>
      </c>
      <c r="W67" s="175">
        <f>W66-Q66</f>
        <v>-7.6737199582027071E-3</v>
      </c>
      <c r="X67" s="175">
        <f>X66-R66</f>
        <v>-3.5988166515860336E-2</v>
      </c>
      <c r="Y67" s="177">
        <f>Y66-S66</f>
        <v>-2.9737940032422791E-2</v>
      </c>
      <c r="AA67" s="174">
        <f>AA66-U66</f>
        <v>4.390836515098924E-3</v>
      </c>
      <c r="AB67" s="175">
        <f>AB66-V66</f>
        <v>-1.2856444516864907E-2</v>
      </c>
      <c r="AC67" s="175">
        <f>AC66-W66</f>
        <v>-2.240495137046862E-2</v>
      </c>
      <c r="AD67" s="175">
        <f>AD66-X66</f>
        <v>-1.2996352130538812E-2</v>
      </c>
      <c r="AE67" s="177">
        <f>AE66-Y66</f>
        <v>-1.1034514343972589E-2</v>
      </c>
      <c r="AG67" s="174">
        <f>AG66-AA66</f>
        <v>-3.8175008763352586E-2</v>
      </c>
      <c r="AH67" s="175">
        <f>AH66-AB66</f>
        <v>-1.8348266458901447E-2</v>
      </c>
      <c r="AI67" s="175">
        <v>-0.01</v>
      </c>
      <c r="AJ67" s="176">
        <v>-5.0000000000000001E-3</v>
      </c>
      <c r="AK67" s="177">
        <f>AK66-AE66</f>
        <v>-2.3061881963628045E-2</v>
      </c>
      <c r="AM67" s="174">
        <v>-5.0000000000000001E-3</v>
      </c>
      <c r="AN67" s="175">
        <v>0</v>
      </c>
      <c r="AO67" s="175">
        <v>0</v>
      </c>
      <c r="AP67" s="176">
        <v>0</v>
      </c>
      <c r="AQ67" s="177">
        <f>AQ66-AK66</f>
        <v>-2.0930644049343312E-3</v>
      </c>
      <c r="AS67" s="174">
        <v>0</v>
      </c>
      <c r="AT67" s="175">
        <v>0</v>
      </c>
      <c r="AU67" s="175">
        <v>0</v>
      </c>
      <c r="AV67" s="176">
        <v>0</v>
      </c>
      <c r="AW67" s="177">
        <f>AW66-AQ66</f>
        <v>0</v>
      </c>
      <c r="AY67" s="174">
        <v>0</v>
      </c>
      <c r="AZ67" s="175">
        <v>0</v>
      </c>
      <c r="BA67" s="175">
        <v>0</v>
      </c>
      <c r="BB67" s="176">
        <v>0</v>
      </c>
      <c r="BC67" s="177">
        <f>BC66-AW66</f>
        <v>0</v>
      </c>
      <c r="BE67" s="174">
        <v>0</v>
      </c>
      <c r="BF67" s="175">
        <v>0</v>
      </c>
      <c r="BG67" s="175">
        <v>0</v>
      </c>
      <c r="BH67" s="176">
        <v>0</v>
      </c>
      <c r="BI67" s="177">
        <f>BI66-BC66</f>
        <v>0</v>
      </c>
      <c r="BK67" s="174">
        <v>0</v>
      </c>
      <c r="BL67" s="175">
        <v>0</v>
      </c>
      <c r="BM67" s="175">
        <v>0</v>
      </c>
      <c r="BN67" s="176">
        <v>0</v>
      </c>
      <c r="BO67" s="177">
        <f>BO66-BI66</f>
        <v>0</v>
      </c>
      <c r="BQ67" s="174">
        <v>0</v>
      </c>
      <c r="BR67" s="175">
        <v>0</v>
      </c>
      <c r="BS67" s="175">
        <v>0</v>
      </c>
      <c r="BT67" s="176">
        <v>0</v>
      </c>
      <c r="BU67" s="177">
        <f>BU66-BO66</f>
        <v>0</v>
      </c>
    </row>
    <row r="68" spans="1:73" ht="15.75" thickBot="1" x14ac:dyDescent="0.35">
      <c r="B68" s="6"/>
      <c r="C68" s="107"/>
      <c r="D68" s="107"/>
      <c r="E68" s="107"/>
      <c r="F68" s="107"/>
      <c r="G68" s="107"/>
      <c r="I68" s="107"/>
      <c r="J68" s="107"/>
      <c r="K68" s="107"/>
      <c r="L68" s="107"/>
      <c r="M68" s="107"/>
      <c r="N68" s="107"/>
      <c r="O68" s="107"/>
      <c r="P68" s="107"/>
      <c r="Q68" s="107"/>
      <c r="R68" s="107"/>
      <c r="S68" s="107"/>
      <c r="U68" s="107"/>
      <c r="V68" s="107"/>
      <c r="W68" s="107"/>
      <c r="X68" s="107"/>
      <c r="Y68" s="107"/>
      <c r="AA68" s="107"/>
      <c r="AB68" s="107"/>
      <c r="AC68" s="107"/>
      <c r="AD68" s="107"/>
      <c r="AE68" s="107"/>
      <c r="AG68" s="107"/>
      <c r="AH68" s="107"/>
      <c r="AI68" s="107"/>
      <c r="AJ68" s="107"/>
      <c r="AK68" s="107"/>
      <c r="AM68" s="107"/>
      <c r="AN68" s="107"/>
      <c r="AO68" s="107"/>
      <c r="AP68" s="107"/>
      <c r="AQ68" s="107"/>
      <c r="AS68" s="107"/>
      <c r="AT68" s="107"/>
      <c r="AU68" s="107"/>
      <c r="AV68" s="107"/>
      <c r="AW68" s="107"/>
      <c r="AY68" s="107"/>
      <c r="AZ68" s="107"/>
      <c r="BA68" s="107"/>
      <c r="BB68" s="107"/>
      <c r="BC68" s="107"/>
      <c r="BE68" s="107"/>
      <c r="BF68" s="107"/>
      <c r="BG68" s="107"/>
      <c r="BH68" s="107"/>
      <c r="BI68" s="107"/>
      <c r="BK68" s="107"/>
      <c r="BL68" s="107"/>
      <c r="BM68" s="107"/>
      <c r="BN68" s="107"/>
      <c r="BO68" s="107"/>
      <c r="BQ68" s="107"/>
      <c r="BR68" s="107"/>
      <c r="BS68" s="107"/>
      <c r="BT68" s="107"/>
      <c r="BU68" s="107"/>
    </row>
    <row r="69" spans="1:73" ht="15" x14ac:dyDescent="0.3">
      <c r="B69" s="42" t="s">
        <v>38</v>
      </c>
      <c r="C69" s="126"/>
      <c r="D69" s="127"/>
      <c r="E69" s="127"/>
      <c r="F69" s="127"/>
      <c r="G69" s="167"/>
      <c r="H69" s="166"/>
      <c r="I69" s="126"/>
      <c r="J69" s="127"/>
      <c r="K69" s="127"/>
      <c r="L69" s="127"/>
      <c r="M69" s="167"/>
      <c r="N69" s="166"/>
      <c r="O69" s="251">
        <f>O57-O63</f>
        <v>-17</v>
      </c>
      <c r="P69" s="252">
        <f>P57-P63</f>
        <v>0</v>
      </c>
      <c r="Q69" s="252">
        <f>Q57-Q63</f>
        <v>0</v>
      </c>
      <c r="R69" s="258">
        <f>R57-R63</f>
        <v>15</v>
      </c>
      <c r="S69" s="202">
        <f>O69+P69+Q69+R69</f>
        <v>-2</v>
      </c>
      <c r="T69" s="194"/>
      <c r="U69" s="251">
        <f>U57-U63</f>
        <v>13</v>
      </c>
      <c r="V69" s="252">
        <f>V57-V63</f>
        <v>1</v>
      </c>
      <c r="W69" s="252">
        <f>W57-W63</f>
        <v>8</v>
      </c>
      <c r="X69" s="252">
        <f>X57-X63</f>
        <v>14</v>
      </c>
      <c r="Y69" s="202">
        <f>U69+V69+W69+X69</f>
        <v>36</v>
      </c>
      <c r="Z69" s="342"/>
      <c r="AA69" s="251">
        <f>AA57-AA63</f>
        <v>-3</v>
      </c>
      <c r="AB69" s="252">
        <f>AB57-AB63</f>
        <v>9</v>
      </c>
      <c r="AC69" s="252">
        <f>AC57-AC63</f>
        <v>17</v>
      </c>
      <c r="AD69" s="252">
        <f>AD57-AD63</f>
        <v>-1</v>
      </c>
      <c r="AE69" s="202">
        <f>AA69+AB69+AC69+AD69</f>
        <v>22</v>
      </c>
      <c r="AF69" s="342"/>
      <c r="AG69" s="251">
        <f>AG57-AG63</f>
        <v>133</v>
      </c>
      <c r="AH69" s="252">
        <f>AH57-AH63</f>
        <v>-17</v>
      </c>
      <c r="AI69" s="252">
        <f>AI57-AI63</f>
        <v>-3.7949999999999999</v>
      </c>
      <c r="AJ69" s="252">
        <f>AJ57-AJ63</f>
        <v>-13.2446</v>
      </c>
      <c r="AK69" s="202">
        <f>AG69+AH69+AI69+AJ69</f>
        <v>98.960399999999993</v>
      </c>
      <c r="AL69" s="342"/>
      <c r="AM69" s="251">
        <f>AM57-AM63</f>
        <v>108.264</v>
      </c>
      <c r="AN69" s="252">
        <f>AN57-AN63</f>
        <v>-22.5792</v>
      </c>
      <c r="AO69" s="252">
        <f>AO57-AO63</f>
        <v>-6.7171500000000002</v>
      </c>
      <c r="AP69" s="252">
        <f>AP57-AP63</f>
        <v>-13.112154</v>
      </c>
      <c r="AQ69" s="202">
        <f>AM69+AN69+AO69+AP69</f>
        <v>65.855495999999988</v>
      </c>
      <c r="AR69" s="342"/>
      <c r="AS69" s="251">
        <f>AS57-AS63</f>
        <v>107.18136000000001</v>
      </c>
      <c r="AT69" s="252">
        <f>AT57-AT63</f>
        <v>-22.353407999999998</v>
      </c>
      <c r="AU69" s="252">
        <f>AU57-AU63</f>
        <v>-6.6499785000000005</v>
      </c>
      <c r="AV69" s="252">
        <f>AV57-AV63</f>
        <v>-12.98103246</v>
      </c>
      <c r="AW69" s="202">
        <f>AS69+AT69+AU69+AV69</f>
        <v>65.196941040000013</v>
      </c>
      <c r="AX69" s="342"/>
      <c r="AY69" s="251">
        <f>AY57-AY63</f>
        <v>108.01250856</v>
      </c>
      <c r="AZ69" s="252">
        <f>AZ57-AZ63</f>
        <v>-21.404697929999998</v>
      </c>
      <c r="BA69" s="252">
        <f>BA57-BA63</f>
        <v>-5.8581802125000006</v>
      </c>
      <c r="BB69" s="252">
        <f>BB57-BB63</f>
        <v>-11.9984263443</v>
      </c>
      <c r="BC69" s="202">
        <f>AY69+AZ69+BA69+BB69</f>
        <v>68.7512040732</v>
      </c>
      <c r="BD69" s="342"/>
      <c r="BE69" s="251">
        <f>BE57-BE63</f>
        <v>108.8163160128</v>
      </c>
      <c r="BF69" s="252">
        <f>BF57-BF63</f>
        <v>-20.472726720599997</v>
      </c>
      <c r="BG69" s="252">
        <f>BG57-BG63</f>
        <v>-5.0815528929000005</v>
      </c>
      <c r="BH69" s="252">
        <f>BH57-BH63</f>
        <v>-11.034174247667998</v>
      </c>
      <c r="BI69" s="202">
        <f>BE69+BF69+BG69+BH69</f>
        <v>72.227862151631996</v>
      </c>
      <c r="BJ69" s="342"/>
      <c r="BK69" s="251">
        <f>BK57-BK63</f>
        <v>109.59324606568799</v>
      </c>
      <c r="BL69" s="252">
        <f>BL57-BL63</f>
        <v>-19.557254465595001</v>
      </c>
      <c r="BM69" s="252">
        <f>BM57-BM63</f>
        <v>-4.3198723016707499</v>
      </c>
      <c r="BN69" s="252">
        <f>BN57-BN63</f>
        <v>-10.088007350334209</v>
      </c>
      <c r="BO69" s="202">
        <f>BK69+BL69+BM69+BN69</f>
        <v>75.628111948088019</v>
      </c>
      <c r="BP69" s="342"/>
      <c r="BQ69" s="251">
        <f>BQ57-BQ63</f>
        <v>110.34375588591696</v>
      </c>
      <c r="BR69" s="252">
        <f>BR57-BR63</f>
        <v>-18.658044383018041</v>
      </c>
      <c r="BS69" s="252">
        <f>BS57-BS63</f>
        <v>-3.5729171669767972</v>
      </c>
      <c r="BT69" s="252">
        <f>BT57-BT63</f>
        <v>-9.1596603735223283</v>
      </c>
      <c r="BU69" s="202">
        <f>BQ69+BR69+BS69+BT69</f>
        <v>78.953133962399804</v>
      </c>
    </row>
    <row r="70" spans="1:73" ht="15.75" thickBot="1" x14ac:dyDescent="0.35">
      <c r="B70" s="41" t="s">
        <v>23</v>
      </c>
      <c r="C70" s="130"/>
      <c r="D70" s="131"/>
      <c r="E70" s="131"/>
      <c r="F70" s="131"/>
      <c r="G70" s="275"/>
      <c r="H70" s="166"/>
      <c r="I70" s="130"/>
      <c r="J70" s="131"/>
      <c r="K70" s="131"/>
      <c r="L70" s="131"/>
      <c r="M70" s="275"/>
      <c r="N70" s="166"/>
      <c r="O70" s="130"/>
      <c r="P70" s="131"/>
      <c r="Q70" s="131"/>
      <c r="R70" s="132"/>
      <c r="S70" s="275"/>
      <c r="T70" s="166"/>
      <c r="U70" s="289">
        <f>U69/O69-1</f>
        <v>-1.7647058823529411</v>
      </c>
      <c r="V70" s="293" t="s">
        <v>35</v>
      </c>
      <c r="W70" s="293" t="s">
        <v>35</v>
      </c>
      <c r="X70" s="293">
        <f>X69/R69-1</f>
        <v>-6.6666666666666652E-2</v>
      </c>
      <c r="Y70" s="295">
        <f>Y69/S69-1</f>
        <v>-19</v>
      </c>
      <c r="Z70" s="241"/>
      <c r="AA70" s="289">
        <f>AA69/U69-1</f>
        <v>-1.2307692307692308</v>
      </c>
      <c r="AB70" s="293">
        <f>AB69/V69-1</f>
        <v>8</v>
      </c>
      <c r="AC70" s="293">
        <f>AC69/W69-1</f>
        <v>1.125</v>
      </c>
      <c r="AD70" s="294">
        <f>AD69/X69-1</f>
        <v>-1.0714285714285714</v>
      </c>
      <c r="AE70" s="295">
        <f>AE69/Y69-1</f>
        <v>-0.38888888888888884</v>
      </c>
      <c r="AF70" s="241"/>
      <c r="AG70" s="289">
        <f>AG69/AA69-1</f>
        <v>-45.333333333333336</v>
      </c>
      <c r="AH70" s="293">
        <f>AH69/AB69-1</f>
        <v>-2.8888888888888888</v>
      </c>
      <c r="AI70" s="293">
        <f>AI69/AC69-1</f>
        <v>-1.223235294117647</v>
      </c>
      <c r="AJ70" s="294">
        <f>AJ69/AD69-1</f>
        <v>12.2446</v>
      </c>
      <c r="AK70" s="295">
        <f>AK69/AE69-1</f>
        <v>3.4981999999999998</v>
      </c>
      <c r="AL70" s="241"/>
      <c r="AM70" s="289">
        <f>AM69/AG69-1</f>
        <v>-0.18598496240601503</v>
      </c>
      <c r="AN70" s="293">
        <f>AN69/AH69-1</f>
        <v>0.32818823529411767</v>
      </c>
      <c r="AO70" s="293">
        <f>AO69/AI69-1</f>
        <v>0.77</v>
      </c>
      <c r="AP70" s="294">
        <f>AP69/AJ69-1</f>
        <v>-1.0000000000000009E-2</v>
      </c>
      <c r="AQ70" s="295">
        <f>AQ69/AK69-1</f>
        <v>-0.33452678040913342</v>
      </c>
      <c r="AR70" s="241"/>
      <c r="AS70" s="289">
        <f>AS69/AM69-1</f>
        <v>-9.9999999999998979E-3</v>
      </c>
      <c r="AT70" s="293">
        <f>AT69/AN69-1</f>
        <v>-1.000000000000012E-2</v>
      </c>
      <c r="AU70" s="293">
        <f>AU69/AO69-1</f>
        <v>-1.0000000000000009E-2</v>
      </c>
      <c r="AV70" s="294">
        <f>AV69/AP69-1</f>
        <v>-1.0000000000000009E-2</v>
      </c>
      <c r="AW70" s="295">
        <f>AW69/AQ69-1</f>
        <v>-9.9999999999996758E-3</v>
      </c>
      <c r="AX70" s="241"/>
      <c r="AY70" s="289">
        <f>AY69/AS69-1</f>
        <v>7.7545998669916738E-3</v>
      </c>
      <c r="AZ70" s="293">
        <f>AZ69/AT69-1</f>
        <v>-4.2441406250000036E-2</v>
      </c>
      <c r="BA70" s="293">
        <f>BA69/AU69-1</f>
        <v>-0.11906779661016942</v>
      </c>
      <c r="BB70" s="294">
        <f>BB69/AV69-1</f>
        <v>-7.569552874378993E-2</v>
      </c>
      <c r="BC70" s="295">
        <f>BC69/AW69-1</f>
        <v>5.4515794399300876E-2</v>
      </c>
      <c r="BD70" s="241"/>
      <c r="BE70" s="289">
        <f>BE69/AY69-1</f>
        <v>7.4417996907598649E-3</v>
      </c>
      <c r="BF70" s="293">
        <f>BF69/AZ69-1</f>
        <v>-4.3540498092887625E-2</v>
      </c>
      <c r="BG70" s="293">
        <f>BG69/BA69-1</f>
        <v>-0.13257142857142856</v>
      </c>
      <c r="BH70" s="294">
        <f>BH69/BB69-1</f>
        <v>-8.03648802736604E-2</v>
      </c>
      <c r="BI70" s="295">
        <f>BI69/BC69-1</f>
        <v>5.0568686400464635E-2</v>
      </c>
      <c r="BJ70" s="241"/>
      <c r="BK70" s="289">
        <f>BK69/BE69-1</f>
        <v>7.1398305084744429E-3</v>
      </c>
      <c r="BL70" s="293">
        <f>BL69/BF69-1</f>
        <v>-4.4716674407802914E-2</v>
      </c>
      <c r="BM70" s="293">
        <f>BM69/BG69-1</f>
        <v>-0.14989130434782616</v>
      </c>
      <c r="BN70" s="294">
        <f>BN69/BH69-1</f>
        <v>-8.574877250409163E-2</v>
      </c>
      <c r="BO70" s="295">
        <f>BO69/BI69-1</f>
        <v>4.7076705514524031E-2</v>
      </c>
      <c r="BP70" s="241"/>
      <c r="BQ70" s="289">
        <f>BQ69/BK69-1</f>
        <v>6.8481393440900096E-3</v>
      </c>
      <c r="BR70" s="293">
        <f>BR69/BL69-1</f>
        <v>-4.5978339350180475E-2</v>
      </c>
      <c r="BS70" s="293">
        <f>BS69/BM69-1</f>
        <v>-0.17291139240506281</v>
      </c>
      <c r="BT70" s="294">
        <f>BT69/BN69-1</f>
        <v>-9.2024811696942765E-2</v>
      </c>
      <c r="BU70" s="295">
        <f>BU69/BO69-1</f>
        <v>4.3965424081909177E-2</v>
      </c>
    </row>
    <row r="71" spans="1:73" x14ac:dyDescent="0.2">
      <c r="G71" s="107"/>
      <c r="H71" s="107"/>
      <c r="I71" s="107"/>
      <c r="J71" s="107"/>
      <c r="K71" s="107"/>
      <c r="L71" s="107"/>
      <c r="M71" s="107"/>
      <c r="N71" s="107"/>
      <c r="O71" s="107"/>
      <c r="P71" s="107"/>
      <c r="Q71" s="107"/>
      <c r="R71" s="107"/>
      <c r="S71" s="107"/>
      <c r="T71" s="107"/>
      <c r="U71" s="107"/>
      <c r="V71" s="107"/>
      <c r="W71" s="107"/>
      <c r="X71" s="107"/>
      <c r="Y71" s="107"/>
      <c r="Z71" s="241"/>
    </row>
    <row r="72" spans="1:73" x14ac:dyDescent="0.2"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107"/>
      <c r="Z72" s="241"/>
    </row>
    <row r="73" spans="1:73" x14ac:dyDescent="0.2">
      <c r="A73" s="278"/>
      <c r="B73" s="278"/>
      <c r="C73" s="279"/>
      <c r="D73" s="279"/>
      <c r="E73" s="279"/>
      <c r="F73" s="279"/>
      <c r="G73" s="280"/>
      <c r="H73" s="280"/>
      <c r="I73" s="280"/>
      <c r="J73" s="280"/>
      <c r="K73" s="280"/>
      <c r="L73" s="280"/>
      <c r="M73" s="280"/>
      <c r="N73" s="280"/>
      <c r="O73" s="280"/>
      <c r="P73" s="280"/>
      <c r="Q73" s="280"/>
      <c r="R73" s="280"/>
      <c r="S73" s="280"/>
      <c r="T73" s="280"/>
      <c r="U73" s="280"/>
      <c r="V73" s="280"/>
      <c r="W73" s="280"/>
      <c r="X73" s="280"/>
      <c r="Y73" s="280"/>
      <c r="Z73" s="276"/>
      <c r="AA73" s="278"/>
      <c r="AB73" s="278"/>
      <c r="AC73" s="278"/>
      <c r="AD73" s="278"/>
      <c r="AE73" s="278"/>
      <c r="AF73" s="278"/>
      <c r="AG73" s="278"/>
      <c r="AH73" s="278"/>
      <c r="AI73" s="278"/>
      <c r="AJ73" s="278"/>
      <c r="AK73" s="278"/>
      <c r="AL73" s="278"/>
      <c r="AM73" s="278"/>
      <c r="AN73" s="278"/>
      <c r="AO73" s="278"/>
      <c r="AP73" s="278"/>
      <c r="AQ73" s="278"/>
      <c r="AR73" s="278"/>
      <c r="AS73" s="278"/>
      <c r="AT73" s="278"/>
      <c r="AU73" s="278"/>
      <c r="AV73" s="278"/>
      <c r="AW73" s="278"/>
      <c r="AX73" s="278"/>
      <c r="AY73" s="278"/>
      <c r="AZ73" s="278"/>
      <c r="BA73" s="278"/>
      <c r="BB73" s="278"/>
      <c r="BC73" s="278"/>
      <c r="BD73" s="278"/>
      <c r="BE73" s="278"/>
      <c r="BF73" s="278"/>
      <c r="BG73" s="278"/>
      <c r="BH73" s="278"/>
      <c r="BI73" s="278"/>
      <c r="BJ73" s="278"/>
      <c r="BK73" s="278"/>
      <c r="BL73" s="278"/>
      <c r="BM73" s="278"/>
      <c r="BN73" s="278"/>
      <c r="BO73" s="278"/>
      <c r="BP73" s="278"/>
      <c r="BQ73" s="278"/>
      <c r="BR73" s="278"/>
      <c r="BS73" s="278"/>
      <c r="BT73" s="278"/>
      <c r="BU73" s="278"/>
    </row>
    <row r="74" spans="1:73" x14ac:dyDescent="0.2">
      <c r="G74" s="107"/>
      <c r="H74" s="107"/>
      <c r="I74" s="107"/>
      <c r="J74" s="107"/>
      <c r="K74" s="107"/>
      <c r="L74" s="107"/>
      <c r="M74" s="107"/>
      <c r="N74" s="107"/>
      <c r="O74" s="107"/>
      <c r="P74" s="107"/>
      <c r="Q74" s="107"/>
      <c r="R74" s="107"/>
      <c r="S74" s="107"/>
      <c r="T74" s="107"/>
      <c r="U74" s="107"/>
      <c r="V74" s="107"/>
      <c r="W74" s="107"/>
      <c r="X74" s="107"/>
      <c r="Y74" s="107"/>
      <c r="Z74" s="241"/>
    </row>
    <row r="75" spans="1:73" ht="13.5" thickBot="1" x14ac:dyDescent="0.25">
      <c r="B75" s="281" t="s">
        <v>107</v>
      </c>
      <c r="G75" s="107"/>
      <c r="H75" s="107"/>
      <c r="I75" s="107"/>
      <c r="J75" s="107"/>
      <c r="K75" s="107"/>
      <c r="L75" s="107"/>
      <c r="M75" s="107"/>
      <c r="N75" s="107"/>
      <c r="O75" s="107"/>
      <c r="P75" s="107"/>
      <c r="Q75" s="107"/>
      <c r="R75" s="107"/>
      <c r="S75" s="107"/>
      <c r="T75" s="107"/>
      <c r="U75" s="107"/>
      <c r="V75" s="107"/>
      <c r="W75" s="107"/>
      <c r="X75" s="107"/>
      <c r="Y75" s="107"/>
      <c r="Z75" s="241"/>
    </row>
    <row r="76" spans="1:73" x14ac:dyDescent="0.2">
      <c r="C76" s="712">
        <v>2007</v>
      </c>
      <c r="D76" s="713"/>
      <c r="E76" s="713"/>
      <c r="F76" s="713"/>
      <c r="G76" s="714"/>
      <c r="H76" s="129"/>
      <c r="I76" s="712">
        <v>2008</v>
      </c>
      <c r="J76" s="713"/>
      <c r="K76" s="713"/>
      <c r="L76" s="713"/>
      <c r="M76" s="714"/>
      <c r="N76" s="129"/>
      <c r="O76" s="712">
        <v>2009</v>
      </c>
      <c r="P76" s="713"/>
      <c r="Q76" s="713"/>
      <c r="R76" s="713"/>
      <c r="S76" s="714"/>
      <c r="T76" s="129"/>
      <c r="U76" s="712">
        <v>2010</v>
      </c>
      <c r="V76" s="713"/>
      <c r="W76" s="713"/>
      <c r="X76" s="713"/>
      <c r="Y76" s="714"/>
      <c r="Z76" s="241"/>
      <c r="AA76" s="712">
        <v>2011</v>
      </c>
      <c r="AB76" s="713"/>
      <c r="AC76" s="713"/>
      <c r="AD76" s="713"/>
      <c r="AE76" s="714"/>
      <c r="AG76" s="712">
        <v>2012</v>
      </c>
      <c r="AH76" s="713"/>
      <c r="AI76" s="713"/>
      <c r="AJ76" s="713"/>
      <c r="AK76" s="714"/>
      <c r="AM76" s="712">
        <v>2013</v>
      </c>
      <c r="AN76" s="713"/>
      <c r="AO76" s="713"/>
      <c r="AP76" s="713"/>
      <c r="AQ76" s="714"/>
      <c r="AS76" s="712">
        <v>2014</v>
      </c>
      <c r="AT76" s="713"/>
      <c r="AU76" s="713"/>
      <c r="AV76" s="713"/>
      <c r="AW76" s="714"/>
      <c r="AY76" s="712">
        <v>2015</v>
      </c>
      <c r="AZ76" s="713"/>
      <c r="BA76" s="713"/>
      <c r="BB76" s="713"/>
      <c r="BC76" s="714"/>
      <c r="BE76" s="712">
        <v>2016</v>
      </c>
      <c r="BF76" s="713"/>
      <c r="BG76" s="713"/>
      <c r="BH76" s="713"/>
      <c r="BI76" s="714"/>
      <c r="BK76" s="712">
        <v>2017</v>
      </c>
      <c r="BL76" s="713"/>
      <c r="BM76" s="713"/>
      <c r="BN76" s="713"/>
      <c r="BO76" s="714"/>
      <c r="BQ76" s="712">
        <v>2018</v>
      </c>
      <c r="BR76" s="713"/>
      <c r="BS76" s="713"/>
      <c r="BT76" s="713"/>
      <c r="BU76" s="714"/>
    </row>
    <row r="77" spans="1:73" ht="13.5" thickBot="1" x14ac:dyDescent="0.25">
      <c r="C77" s="130" t="s">
        <v>20</v>
      </c>
      <c r="D77" s="131" t="s">
        <v>19</v>
      </c>
      <c r="E77" s="131" t="s">
        <v>22</v>
      </c>
      <c r="F77" s="131" t="s">
        <v>21</v>
      </c>
      <c r="G77" s="132" t="s">
        <v>39</v>
      </c>
      <c r="H77" s="129"/>
      <c r="I77" s="130" t="s">
        <v>20</v>
      </c>
      <c r="J77" s="131" t="s">
        <v>19</v>
      </c>
      <c r="K77" s="131" t="s">
        <v>22</v>
      </c>
      <c r="L77" s="131" t="s">
        <v>21</v>
      </c>
      <c r="M77" s="132" t="s">
        <v>39</v>
      </c>
      <c r="N77" s="129"/>
      <c r="O77" s="130" t="s">
        <v>20</v>
      </c>
      <c r="P77" s="131" t="s">
        <v>19</v>
      </c>
      <c r="Q77" s="131" t="s">
        <v>22</v>
      </c>
      <c r="R77" s="131" t="s">
        <v>21</v>
      </c>
      <c r="S77" s="132" t="s">
        <v>39</v>
      </c>
      <c r="T77" s="129"/>
      <c r="U77" s="130" t="s">
        <v>20</v>
      </c>
      <c r="V77" s="131" t="s">
        <v>19</v>
      </c>
      <c r="W77" s="131" t="s">
        <v>22</v>
      </c>
      <c r="X77" s="131" t="s">
        <v>21</v>
      </c>
      <c r="Y77" s="132" t="s">
        <v>39</v>
      </c>
      <c r="Z77" s="241"/>
      <c r="AA77" s="130" t="s">
        <v>20</v>
      </c>
      <c r="AB77" s="131" t="s">
        <v>19</v>
      </c>
      <c r="AC77" s="131" t="s">
        <v>22</v>
      </c>
      <c r="AD77" s="131" t="s">
        <v>21</v>
      </c>
      <c r="AE77" s="132" t="s">
        <v>39</v>
      </c>
      <c r="AG77" s="130" t="s">
        <v>20</v>
      </c>
      <c r="AH77" s="131" t="s">
        <v>19</v>
      </c>
      <c r="AI77" s="131" t="s">
        <v>22</v>
      </c>
      <c r="AJ77" s="131" t="s">
        <v>21</v>
      </c>
      <c r="AK77" s="132" t="s">
        <v>39</v>
      </c>
      <c r="AM77" s="130" t="s">
        <v>20</v>
      </c>
      <c r="AN77" s="131" t="s">
        <v>19</v>
      </c>
      <c r="AO77" s="131" t="s">
        <v>22</v>
      </c>
      <c r="AP77" s="131" t="s">
        <v>21</v>
      </c>
      <c r="AQ77" s="132" t="s">
        <v>39</v>
      </c>
      <c r="AS77" s="130" t="s">
        <v>20</v>
      </c>
      <c r="AT77" s="131" t="s">
        <v>19</v>
      </c>
      <c r="AU77" s="131" t="s">
        <v>22</v>
      </c>
      <c r="AV77" s="131" t="s">
        <v>21</v>
      </c>
      <c r="AW77" s="132" t="s">
        <v>39</v>
      </c>
      <c r="AY77" s="130" t="s">
        <v>20</v>
      </c>
      <c r="AZ77" s="131" t="s">
        <v>19</v>
      </c>
      <c r="BA77" s="131" t="s">
        <v>22</v>
      </c>
      <c r="BB77" s="131" t="s">
        <v>21</v>
      </c>
      <c r="BC77" s="132" t="s">
        <v>39</v>
      </c>
      <c r="BE77" s="130" t="s">
        <v>20</v>
      </c>
      <c r="BF77" s="131" t="s">
        <v>19</v>
      </c>
      <c r="BG77" s="131" t="s">
        <v>22</v>
      </c>
      <c r="BH77" s="131" t="s">
        <v>21</v>
      </c>
      <c r="BI77" s="132" t="s">
        <v>39</v>
      </c>
      <c r="BK77" s="130" t="s">
        <v>20</v>
      </c>
      <c r="BL77" s="131" t="s">
        <v>19</v>
      </c>
      <c r="BM77" s="131" t="s">
        <v>22</v>
      </c>
      <c r="BN77" s="131" t="s">
        <v>21</v>
      </c>
      <c r="BO77" s="132" t="s">
        <v>39</v>
      </c>
      <c r="BQ77" s="130" t="s">
        <v>20</v>
      </c>
      <c r="BR77" s="131" t="s">
        <v>19</v>
      </c>
      <c r="BS77" s="131" t="s">
        <v>22</v>
      </c>
      <c r="BT77" s="131" t="s">
        <v>21</v>
      </c>
      <c r="BU77" s="132" t="s">
        <v>39</v>
      </c>
    </row>
    <row r="78" spans="1:73" s="241" customFormat="1" ht="13.5" thickBot="1" x14ac:dyDescent="0.25">
      <c r="B78" s="273"/>
      <c r="C78" s="166"/>
      <c r="D78" s="166"/>
      <c r="E78" s="166"/>
      <c r="F78" s="166"/>
      <c r="G78" s="166"/>
      <c r="H78" s="107"/>
      <c r="I78" s="166"/>
      <c r="J78" s="166"/>
      <c r="K78" s="166"/>
      <c r="L78" s="166"/>
      <c r="M78" s="166"/>
      <c r="N78" s="107"/>
      <c r="O78" s="166"/>
      <c r="P78" s="166"/>
      <c r="Q78" s="166"/>
      <c r="R78" s="166"/>
      <c r="S78" s="166"/>
      <c r="T78" s="107"/>
      <c r="U78" s="166"/>
      <c r="V78" s="166"/>
      <c r="W78" s="166"/>
      <c r="X78" s="166"/>
      <c r="Y78" s="166"/>
    </row>
    <row r="79" spans="1:73" x14ac:dyDescent="0.2">
      <c r="B79" s="231" t="s">
        <v>106</v>
      </c>
      <c r="C79" s="221"/>
      <c r="D79" s="222"/>
      <c r="E79" s="222"/>
      <c r="F79" s="222"/>
      <c r="G79" s="224"/>
      <c r="I79" s="221"/>
      <c r="J79" s="222"/>
      <c r="K79" s="222"/>
      <c r="L79" s="222"/>
      <c r="M79" s="224"/>
      <c r="O79" s="198">
        <v>432</v>
      </c>
      <c r="P79" s="199">
        <v>428</v>
      </c>
      <c r="Q79" s="199">
        <v>398</v>
      </c>
      <c r="R79" s="199">
        <v>483</v>
      </c>
      <c r="S79" s="201">
        <f>O79+P79+Q79+R79</f>
        <v>1741</v>
      </c>
      <c r="T79" s="204"/>
      <c r="U79" s="198">
        <v>426</v>
      </c>
      <c r="V79" s="199">
        <v>437</v>
      </c>
      <c r="W79" s="199">
        <v>436</v>
      </c>
      <c r="X79" s="200">
        <v>503</v>
      </c>
      <c r="Y79" s="201">
        <f>U79+V79+W79+X79</f>
        <v>1802</v>
      </c>
      <c r="Z79" s="312"/>
      <c r="AA79" s="198">
        <v>466</v>
      </c>
      <c r="AB79" s="199">
        <v>464</v>
      </c>
      <c r="AC79" s="199">
        <v>453</v>
      </c>
      <c r="AD79" s="199">
        <v>489</v>
      </c>
      <c r="AE79" s="201">
        <f>AA79+AB79+AC79+AD79</f>
        <v>1872</v>
      </c>
      <c r="AF79" s="312"/>
      <c r="AG79" s="198">
        <v>416</v>
      </c>
      <c r="AH79" s="199">
        <v>411</v>
      </c>
      <c r="AI79" s="199">
        <f>AC79*(1+AI80)</f>
        <v>407.7</v>
      </c>
      <c r="AJ79" s="199">
        <f>AD79*(1+AJ80)</f>
        <v>444.99</v>
      </c>
      <c r="AK79" s="201">
        <f>AG79+AH79+AI79+AJ79</f>
        <v>1679.69</v>
      </c>
      <c r="AL79" s="312"/>
      <c r="AM79" s="198">
        <f>AG79*(1+AM80)</f>
        <v>386.88</v>
      </c>
      <c r="AN79" s="199">
        <f>AH79*(1+AN80)</f>
        <v>390.45</v>
      </c>
      <c r="AO79" s="199">
        <f>AI79*(1+AO80)</f>
        <v>395.46899999999999</v>
      </c>
      <c r="AP79" s="199">
        <f>AJ79*(1+AP80)</f>
        <v>436.09019999999998</v>
      </c>
      <c r="AQ79" s="201">
        <f>AM79+AN79+AO79+AP79</f>
        <v>1608.8892000000001</v>
      </c>
      <c r="AR79" s="312"/>
      <c r="AS79" s="198">
        <f>AM79*(1+AS80)</f>
        <v>383.01119999999997</v>
      </c>
      <c r="AT79" s="199">
        <f>AN79*(1+AT80)</f>
        <v>386.5455</v>
      </c>
      <c r="AU79" s="199">
        <f>AO79*(1+AU80)</f>
        <v>391.51430999999997</v>
      </c>
      <c r="AV79" s="199">
        <f>AP79*(1+AV80)</f>
        <v>431.72929799999997</v>
      </c>
      <c r="AW79" s="201">
        <f>AS79+AT79+AU79+AV79</f>
        <v>1592.8003079999999</v>
      </c>
      <c r="AX79" s="312"/>
      <c r="AY79" s="198">
        <f>AS79*(1+AY80)</f>
        <v>379.18108799999999</v>
      </c>
      <c r="AZ79" s="199">
        <f>AT79*(1+AZ80)</f>
        <v>382.68004500000001</v>
      </c>
      <c r="BA79" s="199">
        <f>AU79*(1+BA80)</f>
        <v>387.59916689999994</v>
      </c>
      <c r="BB79" s="199">
        <f>AV79*(1+BB80)</f>
        <v>427.41200501999998</v>
      </c>
      <c r="BC79" s="201">
        <f>AY79+AZ79+BA79+BB79</f>
        <v>1576.8723049199998</v>
      </c>
      <c r="BD79" s="312"/>
      <c r="BE79" s="198">
        <f>AY79*(1+BE80)</f>
        <v>375.38927711999997</v>
      </c>
      <c r="BF79" s="199">
        <f>AZ79*(1+BF80)</f>
        <v>378.85324455</v>
      </c>
      <c r="BG79" s="199">
        <f>BA79*(1+BG80)</f>
        <v>383.72317523099991</v>
      </c>
      <c r="BH79" s="199">
        <f>BB79*(1+BH80)</f>
        <v>423.13788496979998</v>
      </c>
      <c r="BI79" s="201">
        <f>BE79+BF79+BG79+BH79</f>
        <v>1561.1035818707996</v>
      </c>
      <c r="BJ79" s="312"/>
      <c r="BK79" s="198">
        <f>BE79*(1+BK80)</f>
        <v>371.63538434879996</v>
      </c>
      <c r="BL79" s="199">
        <f>BF79*(1+BL80)</f>
        <v>375.06471210450002</v>
      </c>
      <c r="BM79" s="199">
        <f>BG79*(1+BM80)</f>
        <v>379.88594347868991</v>
      </c>
      <c r="BN79" s="199">
        <f>BH79*(1+BN80)</f>
        <v>418.90650612010199</v>
      </c>
      <c r="BO79" s="201">
        <f>BK79+BL79+BM79+BN79</f>
        <v>1545.4925460520919</v>
      </c>
      <c r="BP79" s="312"/>
      <c r="BQ79" s="198">
        <f>BK79*(1+BQ80)</f>
        <v>367.91903050531198</v>
      </c>
      <c r="BR79" s="199">
        <f>BL79*(1+BR80)</f>
        <v>371.31406498345501</v>
      </c>
      <c r="BS79" s="199">
        <f>BM79*(1+BS80)</f>
        <v>376.08708404390302</v>
      </c>
      <c r="BT79" s="199">
        <f>BN79*(1+BT80)</f>
        <v>414.71744105890099</v>
      </c>
      <c r="BU79" s="201">
        <f>BQ79+BR79+BS79+BT79</f>
        <v>1530.0376205915709</v>
      </c>
    </row>
    <row r="80" spans="1:73" ht="13.5" thickBot="1" x14ac:dyDescent="0.25">
      <c r="B80" s="242" t="s">
        <v>83</v>
      </c>
      <c r="C80" s="155"/>
      <c r="D80" s="106"/>
      <c r="E80" s="106"/>
      <c r="F80" s="106"/>
      <c r="G80" s="108"/>
      <c r="I80" s="155"/>
      <c r="J80" s="106"/>
      <c r="K80" s="106"/>
      <c r="L80" s="106"/>
      <c r="M80" s="122"/>
      <c r="O80" s="109"/>
      <c r="P80" s="110"/>
      <c r="Q80" s="110"/>
      <c r="R80" s="110"/>
      <c r="S80" s="122"/>
      <c r="T80" s="107"/>
      <c r="U80" s="109">
        <f>U79/O79-1</f>
        <v>-1.388888888888884E-2</v>
      </c>
      <c r="V80" s="110">
        <f>V79/P79-1</f>
        <v>2.1028037383177489E-2</v>
      </c>
      <c r="W80" s="110">
        <f>W79/Q79-1</f>
        <v>9.5477386934673447E-2</v>
      </c>
      <c r="X80" s="110">
        <f>X79/R79-1</f>
        <v>4.1407867494823947E-2</v>
      </c>
      <c r="Y80" s="122">
        <f>Y79/S79-1</f>
        <v>3.5037334865020142E-2</v>
      </c>
      <c r="Z80" s="241"/>
      <c r="AA80" s="109">
        <f>AA79/U79-1</f>
        <v>9.3896713615023497E-2</v>
      </c>
      <c r="AB80" s="110">
        <f>AB79/V79-1</f>
        <v>6.1784897025171537E-2</v>
      </c>
      <c r="AC80" s="110">
        <f>AC79/W79-1</f>
        <v>3.8990825688073327E-2</v>
      </c>
      <c r="AD80" s="110">
        <f>AD79/X79-1</f>
        <v>-2.7833001988071593E-2</v>
      </c>
      <c r="AE80" s="122">
        <f>AE79/Y79-1</f>
        <v>3.8845726970033301E-2</v>
      </c>
      <c r="AF80" s="241"/>
      <c r="AG80" s="109">
        <f>AG79/AA79-1</f>
        <v>-0.10729613733905574</v>
      </c>
      <c r="AH80" s="110">
        <f>AH79/AB79-1</f>
        <v>-0.11422413793103448</v>
      </c>
      <c r="AI80" s="175">
        <v>-0.1</v>
      </c>
      <c r="AJ80" s="175">
        <v>-0.09</v>
      </c>
      <c r="AK80" s="122">
        <f>AK79/AE79-1</f>
        <v>-0.10272970085470079</v>
      </c>
      <c r="AL80" s="241"/>
      <c r="AM80" s="174">
        <v>-7.0000000000000007E-2</v>
      </c>
      <c r="AN80" s="175">
        <v>-0.05</v>
      </c>
      <c r="AO80" s="175">
        <v>-0.03</v>
      </c>
      <c r="AP80" s="175">
        <v>-0.02</v>
      </c>
      <c r="AQ80" s="122">
        <f>AQ79/AK79-1</f>
        <v>-4.2151111216950699E-2</v>
      </c>
      <c r="AR80" s="241"/>
      <c r="AS80" s="174">
        <v>-0.01</v>
      </c>
      <c r="AT80" s="175">
        <v>-0.01</v>
      </c>
      <c r="AU80" s="175">
        <v>-0.01</v>
      </c>
      <c r="AV80" s="175">
        <v>-0.01</v>
      </c>
      <c r="AW80" s="122">
        <f>AW79/AQ79-1</f>
        <v>-1.000000000000012E-2</v>
      </c>
      <c r="AX80" s="241"/>
      <c r="AY80" s="174">
        <v>-0.01</v>
      </c>
      <c r="AZ80" s="175">
        <v>-0.01</v>
      </c>
      <c r="BA80" s="175">
        <v>-0.01</v>
      </c>
      <c r="BB80" s="175">
        <v>-0.01</v>
      </c>
      <c r="BC80" s="122">
        <f>BC79/AW79-1</f>
        <v>-1.0000000000000009E-2</v>
      </c>
      <c r="BD80" s="241"/>
      <c r="BE80" s="174">
        <v>-0.01</v>
      </c>
      <c r="BF80" s="175">
        <v>-0.01</v>
      </c>
      <c r="BG80" s="175">
        <v>-0.01</v>
      </c>
      <c r="BH80" s="175">
        <v>-0.01</v>
      </c>
      <c r="BI80" s="122">
        <f>BI79/BC79-1</f>
        <v>-1.000000000000012E-2</v>
      </c>
      <c r="BJ80" s="241"/>
      <c r="BK80" s="174">
        <v>-0.01</v>
      </c>
      <c r="BL80" s="175">
        <v>-0.01</v>
      </c>
      <c r="BM80" s="175">
        <v>-0.01</v>
      </c>
      <c r="BN80" s="175">
        <v>-0.01</v>
      </c>
      <c r="BO80" s="122">
        <f>BO79/BI79-1</f>
        <v>-9.9999999999997868E-3</v>
      </c>
      <c r="BP80" s="241"/>
      <c r="BQ80" s="174">
        <v>-0.01</v>
      </c>
      <c r="BR80" s="175">
        <v>-0.01</v>
      </c>
      <c r="BS80" s="175">
        <v>-0.01</v>
      </c>
      <c r="BT80" s="175">
        <v>-0.01</v>
      </c>
      <c r="BU80" s="122">
        <f>BU79/BO79-1</f>
        <v>-1.000000000000012E-2</v>
      </c>
    </row>
    <row r="81" spans="2:73" ht="13.5" thickBot="1" x14ac:dyDescent="0.25">
      <c r="B81" s="241"/>
      <c r="C81" s="107"/>
      <c r="D81" s="107"/>
      <c r="E81" s="107"/>
      <c r="F81" s="107"/>
      <c r="G81" s="107"/>
      <c r="H81" s="107"/>
      <c r="I81" s="107"/>
      <c r="J81" s="107"/>
      <c r="K81" s="107"/>
      <c r="L81" s="107"/>
      <c r="M81" s="107"/>
      <c r="N81" s="107"/>
      <c r="O81" s="107"/>
      <c r="S81" s="166"/>
      <c r="T81" s="107"/>
      <c r="U81" s="107"/>
      <c r="V81" s="107"/>
      <c r="W81" s="107"/>
      <c r="X81" s="107"/>
      <c r="Y81" s="107"/>
      <c r="Z81" s="241"/>
      <c r="AA81" s="107"/>
      <c r="AB81" s="107"/>
      <c r="AC81" s="107"/>
      <c r="AD81" s="107"/>
      <c r="AE81" s="107"/>
      <c r="AG81" s="107"/>
      <c r="AH81" s="107"/>
      <c r="AI81" s="107"/>
      <c r="AJ81" s="107"/>
      <c r="AK81" s="107"/>
      <c r="AM81" s="107"/>
      <c r="AN81" s="107"/>
      <c r="AO81" s="107"/>
      <c r="AP81" s="107"/>
      <c r="AQ81" s="107"/>
      <c r="AS81" s="107"/>
      <c r="AT81" s="107"/>
      <c r="AU81" s="107"/>
      <c r="AV81" s="107"/>
      <c r="AW81" s="107"/>
      <c r="AY81" s="107"/>
      <c r="AZ81" s="107"/>
      <c r="BA81" s="107"/>
      <c r="BB81" s="107"/>
      <c r="BC81" s="107"/>
      <c r="BE81" s="107"/>
      <c r="BF81" s="107"/>
      <c r="BG81" s="107"/>
      <c r="BH81" s="107"/>
      <c r="BI81" s="107"/>
      <c r="BK81" s="107"/>
      <c r="BL81" s="107"/>
      <c r="BM81" s="107"/>
      <c r="BN81" s="107"/>
      <c r="BO81" s="107"/>
      <c r="BQ81" s="107"/>
      <c r="BR81" s="107"/>
      <c r="BS81" s="107"/>
      <c r="BT81" s="107"/>
      <c r="BU81" s="107"/>
    </row>
    <row r="82" spans="2:73" ht="15" x14ac:dyDescent="0.3">
      <c r="B82" s="139" t="s">
        <v>61</v>
      </c>
      <c r="C82" s="221"/>
      <c r="D82" s="222"/>
      <c r="E82" s="222"/>
      <c r="F82" s="222"/>
      <c r="G82" s="224"/>
      <c r="H82" s="107"/>
      <c r="I82" s="221"/>
      <c r="J82" s="222"/>
      <c r="K82" s="222"/>
      <c r="L82" s="222"/>
      <c r="M82" s="224"/>
      <c r="N82" s="107"/>
      <c r="O82" s="126">
        <v>51</v>
      </c>
      <c r="P82" s="127">
        <v>24</v>
      </c>
      <c r="Q82" s="127">
        <v>29</v>
      </c>
      <c r="R82" s="128">
        <v>20</v>
      </c>
      <c r="S82" s="167">
        <f>O82+P82+Q82+R82</f>
        <v>124</v>
      </c>
      <c r="T82" s="166"/>
      <c r="U82" s="251">
        <v>21</v>
      </c>
      <c r="V82" s="252">
        <v>39</v>
      </c>
      <c r="W82" s="212">
        <v>38</v>
      </c>
      <c r="X82" s="210">
        <v>54</v>
      </c>
      <c r="Y82" s="202">
        <f>U82+V82+W82+X82</f>
        <v>152</v>
      </c>
      <c r="Z82" s="342"/>
      <c r="AA82" s="211">
        <v>25</v>
      </c>
      <c r="AB82" s="212">
        <v>30</v>
      </c>
      <c r="AC82" s="212">
        <v>18</v>
      </c>
      <c r="AD82" s="212">
        <v>45</v>
      </c>
      <c r="AE82" s="202">
        <f>AA82+AB82+AC82+AD82</f>
        <v>118</v>
      </c>
      <c r="AF82" s="343"/>
      <c r="AG82" s="211">
        <v>-72</v>
      </c>
      <c r="AH82" s="212">
        <v>-33</v>
      </c>
      <c r="AI82" s="212">
        <f>AI79*AI85</f>
        <v>-12.339000000000002</v>
      </c>
      <c r="AJ82" s="212">
        <f>AJ79*AJ85</f>
        <v>23.150399999999998</v>
      </c>
      <c r="AK82" s="202">
        <f>AG82+AH82+AI82+AJ82</f>
        <v>-94.188600000000008</v>
      </c>
      <c r="AL82" s="343"/>
      <c r="AM82" s="211">
        <f>AM79*AM85</f>
        <v>-74.697599999999994</v>
      </c>
      <c r="AN82" s="212">
        <f>AN79*AN85</f>
        <v>-31.349999999999998</v>
      </c>
      <c r="AO82" s="212">
        <f>AO79*AO85</f>
        <v>-11.968830000000002</v>
      </c>
      <c r="AP82" s="212">
        <f>AP79*AP85</f>
        <v>22.687391999999996</v>
      </c>
      <c r="AQ82" s="202">
        <f>AM82+AN82+AO82+AP82</f>
        <v>-95.329037999999997</v>
      </c>
      <c r="AR82" s="343"/>
      <c r="AS82" s="211">
        <f>AS79*AS85</f>
        <v>-72.993095999999994</v>
      </c>
      <c r="AT82" s="212">
        <f>AT79*AT85</f>
        <v>-30.070136249999997</v>
      </c>
      <c r="AU82" s="212">
        <f>AU79*AU85</f>
        <v>-10.870355925000002</v>
      </c>
      <c r="AV82" s="212">
        <f>AV79*AV85</f>
        <v>23.539841324999998</v>
      </c>
      <c r="AW82" s="202">
        <f>AS82+AT82+AU82+AV82</f>
        <v>-90.393746849999999</v>
      </c>
      <c r="AX82" s="343"/>
      <c r="AY82" s="211">
        <f>AY79*AY85</f>
        <v>-71.315212319999986</v>
      </c>
      <c r="AZ82" s="212">
        <f>AZ79*AZ85</f>
        <v>-28.812734774999999</v>
      </c>
      <c r="BA82" s="212">
        <f>BA79*BA85</f>
        <v>-9.7926544485000022</v>
      </c>
      <c r="BB82" s="212">
        <f>BB79*BB85</f>
        <v>24.372972924299997</v>
      </c>
      <c r="BC82" s="202">
        <f>AY82+AZ82+BA82+BB82</f>
        <v>-85.547628619199983</v>
      </c>
      <c r="BD82" s="343"/>
      <c r="BE82" s="211">
        <f>BE79*BE85</f>
        <v>-69.663587003999993</v>
      </c>
      <c r="BF82" s="212">
        <f>BF79*BF85</f>
        <v>-27.577474315874998</v>
      </c>
      <c r="BG82" s="212">
        <f>BG79*BG85</f>
        <v>-8.7354199659375009</v>
      </c>
      <c r="BH82" s="212">
        <f>BH79*BH85</f>
        <v>25.187087907481502</v>
      </c>
      <c r="BI82" s="202">
        <f>BE82+BF82+BG82+BH82</f>
        <v>-80.789393378330985</v>
      </c>
      <c r="BJ82" s="343"/>
      <c r="BK82" s="211">
        <f>BK79*BK85</f>
        <v>-68.966951133959981</v>
      </c>
      <c r="BL82" s="212">
        <f>BL79*BL85</f>
        <v>-27.301699572716249</v>
      </c>
      <c r="BM82" s="212">
        <f>BM79*BM85</f>
        <v>-8.6480657662781262</v>
      </c>
      <c r="BN82" s="212">
        <f>BN79*BN85</f>
        <v>24.935217028406687</v>
      </c>
      <c r="BO82" s="202">
        <f>BK82+BL82+BM82+BN82</f>
        <v>-79.981499444547666</v>
      </c>
      <c r="BP82" s="343"/>
      <c r="BQ82" s="211">
        <f>BQ79*BQ85</f>
        <v>-68.277281622620393</v>
      </c>
      <c r="BR82" s="212">
        <f>BR79*BR85</f>
        <v>-27.028682576989084</v>
      </c>
      <c r="BS82" s="212">
        <f>BS79*BS85</f>
        <v>-8.5615851086153452</v>
      </c>
      <c r="BT82" s="212">
        <f>BT79*BT85</f>
        <v>24.685864858122621</v>
      </c>
      <c r="BU82" s="202">
        <f>BQ82+BR82+BS82+BT82</f>
        <v>-79.18168445010221</v>
      </c>
    </row>
    <row r="83" spans="2:73" ht="13.5" thickBot="1" x14ac:dyDescent="0.25">
      <c r="B83" s="242" t="s">
        <v>83</v>
      </c>
      <c r="C83" s="155"/>
      <c r="D83" s="106"/>
      <c r="E83" s="106"/>
      <c r="F83" s="106"/>
      <c r="G83" s="108"/>
      <c r="H83" s="107"/>
      <c r="I83" s="155"/>
      <c r="J83" s="106"/>
      <c r="K83" s="106"/>
      <c r="L83" s="106"/>
      <c r="M83" s="122"/>
      <c r="N83" s="107"/>
      <c r="O83" s="109"/>
      <c r="P83" s="110"/>
      <c r="Q83" s="110"/>
      <c r="R83" s="110"/>
      <c r="S83" s="122"/>
      <c r="T83" s="107"/>
      <c r="U83" s="109">
        <f>U82/O82-1</f>
        <v>-0.58823529411764708</v>
      </c>
      <c r="V83" s="110">
        <f>V82/P82-1</f>
        <v>0.625</v>
      </c>
      <c r="W83" s="293">
        <f>W82/Q82-1</f>
        <v>0.31034482758620685</v>
      </c>
      <c r="X83" s="293">
        <f>X82/R82-1</f>
        <v>1.7000000000000002</v>
      </c>
      <c r="Y83" s="295">
        <f>Y82/S82-1</f>
        <v>0.22580645161290325</v>
      </c>
      <c r="Z83" s="241"/>
      <c r="AA83" s="109">
        <f>AA82/U82-1</f>
        <v>0.19047619047619047</v>
      </c>
      <c r="AB83" s="293">
        <f>AB82/V82-1</f>
        <v>-0.23076923076923073</v>
      </c>
      <c r="AC83" s="293">
        <f>AC82/W82-1</f>
        <v>-0.52631578947368429</v>
      </c>
      <c r="AD83" s="293">
        <f>AD82/X82-1</f>
        <v>-0.16666666666666663</v>
      </c>
      <c r="AE83" s="295">
        <f>AE82/Y82-1</f>
        <v>-0.22368421052631582</v>
      </c>
      <c r="AF83" s="241"/>
      <c r="AG83" s="289">
        <f>AG82/AA82-1</f>
        <v>-3.88</v>
      </c>
      <c r="AH83" s="293">
        <f>AH82/AB82-1</f>
        <v>-2.1</v>
      </c>
      <c r="AI83" s="293">
        <f>AI82/AC82-1</f>
        <v>-1.6855000000000002</v>
      </c>
      <c r="AJ83" s="293">
        <f>AJ82/AD82-1</f>
        <v>-0.48554666666666668</v>
      </c>
      <c r="AK83" s="295">
        <f>AK82/AE82-1</f>
        <v>-1.7982084745762714</v>
      </c>
      <c r="AL83" s="241"/>
      <c r="AM83" s="289">
        <f>AM82/AG82-1</f>
        <v>3.7466666666666537E-2</v>
      </c>
      <c r="AN83" s="293">
        <f>AN82/AH82-1</f>
        <v>-5.0000000000000044E-2</v>
      </c>
      <c r="AO83" s="293">
        <f>AO82/AI82-1</f>
        <v>-3.0000000000000027E-2</v>
      </c>
      <c r="AP83" s="293">
        <f>AP82/AJ82-1</f>
        <v>-2.0000000000000129E-2</v>
      </c>
      <c r="AQ83" s="295">
        <f>AQ82/AK82-1</f>
        <v>1.2108025812040735E-2</v>
      </c>
      <c r="AR83" s="241"/>
      <c r="AS83" s="289">
        <f>AS82/AM82-1</f>
        <v>-2.2818725099601589E-2</v>
      </c>
      <c r="AT83" s="293">
        <f>AT82/AN82-1</f>
        <v>-4.0825E-2</v>
      </c>
      <c r="AU83" s="293">
        <f>AU82/AO82-1</f>
        <v>-9.1777899343544855E-2</v>
      </c>
      <c r="AV83" s="293">
        <f>AV82/AP82-1</f>
        <v>3.7573702830188793E-2</v>
      </c>
      <c r="AW83" s="295">
        <f>AW82/AQ82-1</f>
        <v>-5.1771120883439492E-2</v>
      </c>
      <c r="AX83" s="241"/>
      <c r="AY83" s="289">
        <f>AY82/AS82-1</f>
        <v>-2.2986881937437031E-2</v>
      </c>
      <c r="AZ83" s="293">
        <f>AZ82/AT82-1</f>
        <v>-4.1815622800844388E-2</v>
      </c>
      <c r="BA83" s="293">
        <f>BA82/AU82-1</f>
        <v>-9.9141323792486524E-2</v>
      </c>
      <c r="BB83" s="293">
        <f>BB82/AV82-1</f>
        <v>3.5392405063291221E-2</v>
      </c>
      <c r="BC83" s="295">
        <f>BC82/AW82-1</f>
        <v>-5.361121094849286E-2</v>
      </c>
      <c r="BD83" s="241"/>
      <c r="BE83" s="289">
        <f>BE82/AY82-1</f>
        <v>-2.315950920245391E-2</v>
      </c>
      <c r="BF83" s="293">
        <f>BF82/AZ82-1</f>
        <v>-4.2872031022782364E-2</v>
      </c>
      <c r="BG83" s="293">
        <f>BG82/BA82-1</f>
        <v>-0.1079619921363042</v>
      </c>
      <c r="BH83" s="293">
        <f>BH82/BB82-1</f>
        <v>3.3402366863905408E-2</v>
      </c>
      <c r="BI83" s="295">
        <f>BI82/BC82-1</f>
        <v>-5.562088999625503E-2</v>
      </c>
      <c r="BJ83" s="241"/>
      <c r="BK83" s="289">
        <f>BK82/BE82-1</f>
        <v>-1.0000000000000231E-2</v>
      </c>
      <c r="BL83" s="293">
        <f>BL82/BF82-1</f>
        <v>-1.0000000000000009E-2</v>
      </c>
      <c r="BM83" s="293">
        <f>BM82/BG82-1</f>
        <v>-1.0000000000000009E-2</v>
      </c>
      <c r="BN83" s="293">
        <f>BN82/BH82-1</f>
        <v>-1.0000000000000009E-2</v>
      </c>
      <c r="BO83" s="295">
        <f>BO82/BI82-1</f>
        <v>-1.000000000000012E-2</v>
      </c>
      <c r="BP83" s="241"/>
      <c r="BQ83" s="289">
        <f>BQ82/BK82-1</f>
        <v>-9.9999999999997868E-3</v>
      </c>
      <c r="BR83" s="293">
        <f>BR82/BL82-1</f>
        <v>-1.000000000000012E-2</v>
      </c>
      <c r="BS83" s="293">
        <f>BS82/BM82-1</f>
        <v>-1.0000000000000009E-2</v>
      </c>
      <c r="BT83" s="293">
        <f>BT82/BN82-1</f>
        <v>-1.0000000000000009E-2</v>
      </c>
      <c r="BU83" s="295">
        <f>BU82/BO82-1</f>
        <v>-9.9999999999997868E-3</v>
      </c>
    </row>
    <row r="84" spans="2:73" ht="13.5" thickBot="1" x14ac:dyDescent="0.25">
      <c r="B84" s="241"/>
      <c r="C84" s="107"/>
      <c r="D84" s="107"/>
      <c r="E84" s="107"/>
      <c r="F84" s="107"/>
      <c r="G84" s="107"/>
      <c r="H84" s="107"/>
      <c r="I84" s="107"/>
      <c r="J84" s="107"/>
      <c r="K84" s="107"/>
      <c r="L84" s="107"/>
      <c r="M84" s="107"/>
      <c r="N84" s="107"/>
      <c r="O84" s="107"/>
      <c r="P84" s="107"/>
      <c r="Q84" s="107"/>
      <c r="R84" s="107"/>
      <c r="S84" s="107"/>
      <c r="T84" s="107"/>
      <c r="U84" s="107"/>
      <c r="V84" s="107"/>
      <c r="W84" s="107"/>
      <c r="X84" s="107"/>
      <c r="Y84" s="107"/>
      <c r="Z84" s="241"/>
      <c r="AA84" s="107"/>
      <c r="AB84" s="107"/>
      <c r="AC84" s="107"/>
      <c r="AD84" s="107"/>
      <c r="AE84" s="107"/>
      <c r="AG84" s="107"/>
      <c r="AH84" s="107"/>
      <c r="AI84" s="107"/>
      <c r="AJ84" s="107"/>
      <c r="AK84" s="107"/>
      <c r="AM84" s="107"/>
      <c r="AN84" s="107"/>
      <c r="AO84" s="107"/>
      <c r="AP84" s="107"/>
      <c r="AQ84" s="107"/>
      <c r="AS84" s="107"/>
      <c r="AT84" s="107"/>
      <c r="AU84" s="107"/>
      <c r="AV84" s="107"/>
      <c r="AW84" s="107"/>
      <c r="AY84" s="107"/>
      <c r="AZ84" s="107"/>
      <c r="BA84" s="107"/>
      <c r="BB84" s="107"/>
      <c r="BC84" s="107"/>
      <c r="BE84" s="107"/>
      <c r="BF84" s="107"/>
      <c r="BG84" s="107"/>
      <c r="BH84" s="107"/>
      <c r="BI84" s="107"/>
      <c r="BK84" s="107"/>
      <c r="BL84" s="107"/>
      <c r="BM84" s="107"/>
      <c r="BN84" s="107"/>
      <c r="BO84" s="107"/>
      <c r="BQ84" s="107"/>
      <c r="BR84" s="107"/>
      <c r="BS84" s="107"/>
      <c r="BT84" s="107"/>
      <c r="BU84" s="107"/>
    </row>
    <row r="85" spans="2:73" ht="15" x14ac:dyDescent="0.3">
      <c r="B85" s="139" t="s">
        <v>36</v>
      </c>
      <c r="C85" s="221"/>
      <c r="D85" s="222"/>
      <c r="E85" s="222"/>
      <c r="F85" s="222"/>
      <c r="G85" s="224"/>
      <c r="H85" s="107"/>
      <c r="I85" s="283"/>
      <c r="J85" s="284"/>
      <c r="K85" s="284"/>
      <c r="L85" s="284"/>
      <c r="M85" s="191"/>
      <c r="N85" s="107"/>
      <c r="O85" s="209">
        <f>O82/O79</f>
        <v>0.11805555555555555</v>
      </c>
      <c r="P85" s="206">
        <f>P82/P79</f>
        <v>5.6074766355140186E-2</v>
      </c>
      <c r="Q85" s="206">
        <f>Q82/Q79</f>
        <v>7.2864321608040197E-2</v>
      </c>
      <c r="R85" s="207">
        <f>R82/R79</f>
        <v>4.1407867494824016E-2</v>
      </c>
      <c r="S85" s="208">
        <f>S82/S79</f>
        <v>7.1223434807581851E-2</v>
      </c>
      <c r="T85" s="166"/>
      <c r="U85" s="209">
        <f>U82/U79</f>
        <v>4.9295774647887321E-2</v>
      </c>
      <c r="V85" s="206">
        <f>V82/V79</f>
        <v>8.924485125858124E-2</v>
      </c>
      <c r="W85" s="206">
        <f>W82/W79</f>
        <v>8.7155963302752298E-2</v>
      </c>
      <c r="X85" s="206">
        <f>X82/X79</f>
        <v>0.1073558648111332</v>
      </c>
      <c r="Y85" s="302">
        <f>Y82/Y79</f>
        <v>8.4350721420643732E-2</v>
      </c>
      <c r="Z85" s="241"/>
      <c r="AA85" s="209">
        <f>AA82/AA79</f>
        <v>5.3648068669527899E-2</v>
      </c>
      <c r="AB85" s="206">
        <f>AB82/AB79</f>
        <v>6.4655172413793108E-2</v>
      </c>
      <c r="AC85" s="206">
        <f>AC82/AC79</f>
        <v>3.9735099337748346E-2</v>
      </c>
      <c r="AD85" s="206">
        <f>AD82/AD79</f>
        <v>9.202453987730061E-2</v>
      </c>
      <c r="AE85" s="302">
        <f>AE82/AE79</f>
        <v>6.3034188034188032E-2</v>
      </c>
      <c r="AF85" s="260"/>
      <c r="AG85" s="209">
        <f>AG82/AG79</f>
        <v>-0.17307692307692307</v>
      </c>
      <c r="AH85" s="206">
        <f>AH82/AH79</f>
        <v>-8.0291970802919707E-2</v>
      </c>
      <c r="AI85" s="304">
        <f>AC85+AI86</f>
        <v>-3.0264900662251661E-2</v>
      </c>
      <c r="AJ85" s="305">
        <f>AD85+AJ86</f>
        <v>5.2024539877300609E-2</v>
      </c>
      <c r="AK85" s="302">
        <f>AK82/AK79</f>
        <v>-5.6074990027921823E-2</v>
      </c>
      <c r="AL85" s="260"/>
      <c r="AM85" s="306">
        <f>AG85+AM86</f>
        <v>-0.19307692307692306</v>
      </c>
      <c r="AN85" s="304">
        <f>AH85+AN86</f>
        <v>-8.0291970802919707E-2</v>
      </c>
      <c r="AO85" s="304">
        <f>AI85+AO86</f>
        <v>-3.0264900662251661E-2</v>
      </c>
      <c r="AP85" s="305">
        <f>AJ85+AP86</f>
        <v>5.2024539877300609E-2</v>
      </c>
      <c r="AQ85" s="302">
        <f>AQ82/AQ79</f>
        <v>-5.9251462437562505E-2</v>
      </c>
      <c r="AR85" s="260"/>
      <c r="AS85" s="306">
        <f>AM85+AS86</f>
        <v>-0.19057692307692306</v>
      </c>
      <c r="AT85" s="304">
        <f>AN85+AT86</f>
        <v>-7.7791970802919705E-2</v>
      </c>
      <c r="AU85" s="304">
        <f>AO85+AU86</f>
        <v>-2.7764900662251662E-2</v>
      </c>
      <c r="AV85" s="305">
        <f>AP85+AV86</f>
        <v>5.4524539877300611E-2</v>
      </c>
      <c r="AW85" s="302">
        <f>AW82/AW79</f>
        <v>-5.6751462437562517E-2</v>
      </c>
      <c r="AX85" s="260"/>
      <c r="AY85" s="306">
        <f>AS85+AY86</f>
        <v>-0.18807692307692306</v>
      </c>
      <c r="AZ85" s="304">
        <f>AT85+AZ86</f>
        <v>-7.5291970802919703E-2</v>
      </c>
      <c r="BA85" s="304">
        <f>AU85+BA86</f>
        <v>-2.5264900662251663E-2</v>
      </c>
      <c r="BB85" s="305">
        <f>AV85+BB86</f>
        <v>5.7024539877300613E-2</v>
      </c>
      <c r="BC85" s="302">
        <f>BC82/BC79</f>
        <v>-5.4251462437562507E-2</v>
      </c>
      <c r="BD85" s="260"/>
      <c r="BE85" s="306">
        <f>AY85+BE86</f>
        <v>-0.18557692307692306</v>
      </c>
      <c r="BF85" s="304">
        <f>AZ85+BF86</f>
        <v>-7.27919708029197E-2</v>
      </c>
      <c r="BG85" s="304">
        <f>BA85+BG86</f>
        <v>-2.2764900662251664E-2</v>
      </c>
      <c r="BH85" s="305">
        <f>BB85+BH86</f>
        <v>5.9524539877300615E-2</v>
      </c>
      <c r="BI85" s="302">
        <f>BI82/BI79</f>
        <v>-5.1751462437562512E-2</v>
      </c>
      <c r="BJ85" s="260"/>
      <c r="BK85" s="306">
        <f>BE85+BK86</f>
        <v>-0.18557692307692306</v>
      </c>
      <c r="BL85" s="304">
        <f>BF85+BL86</f>
        <v>-7.27919708029197E-2</v>
      </c>
      <c r="BM85" s="304">
        <f>BG85+BM86</f>
        <v>-2.2764900662251664E-2</v>
      </c>
      <c r="BN85" s="305">
        <f>BH85+BN86</f>
        <v>5.9524539877300615E-2</v>
      </c>
      <c r="BO85" s="302">
        <f>BO82/BO79</f>
        <v>-5.1751462437562498E-2</v>
      </c>
      <c r="BP85" s="260"/>
      <c r="BQ85" s="306">
        <f>BK85+BQ86</f>
        <v>-0.18557692307692306</v>
      </c>
      <c r="BR85" s="304">
        <f>BL85+BR86</f>
        <v>-7.27919708029197E-2</v>
      </c>
      <c r="BS85" s="304">
        <f>BM85+BS86</f>
        <v>-2.2764900662251664E-2</v>
      </c>
      <c r="BT85" s="305">
        <f>BN85+BT86</f>
        <v>5.9524539877300615E-2</v>
      </c>
      <c r="BU85" s="302">
        <f>BU82/BU79</f>
        <v>-5.1751462437562519E-2</v>
      </c>
    </row>
    <row r="86" spans="2:73" ht="15.75" thickBot="1" x14ac:dyDescent="0.35">
      <c r="B86" s="140" t="s">
        <v>37</v>
      </c>
      <c r="C86" s="155"/>
      <c r="D86" s="106"/>
      <c r="E86" s="106"/>
      <c r="F86" s="106"/>
      <c r="G86" s="108"/>
      <c r="H86" s="107"/>
      <c r="I86" s="155"/>
      <c r="J86" s="106"/>
      <c r="K86" s="106"/>
      <c r="L86" s="106"/>
      <c r="M86" s="108"/>
      <c r="N86" s="107"/>
      <c r="O86" s="155"/>
      <c r="P86" s="106"/>
      <c r="Q86" s="106"/>
      <c r="R86" s="154"/>
      <c r="S86" s="108"/>
      <c r="T86" s="107"/>
      <c r="U86" s="174">
        <f>U85-O85</f>
        <v>-6.8759780907668239E-2</v>
      </c>
      <c r="V86" s="175">
        <f>V85-P85</f>
        <v>3.3170084903441054E-2</v>
      </c>
      <c r="W86" s="175">
        <f>W85-Q85</f>
        <v>1.4291641694712101E-2</v>
      </c>
      <c r="X86" s="175">
        <f>X85-R85</f>
        <v>6.5947997316309181E-2</v>
      </c>
      <c r="Y86" s="177">
        <f>Y85-S85</f>
        <v>1.3127286613061881E-2</v>
      </c>
      <c r="Z86" s="241"/>
      <c r="AA86" s="174">
        <f>AA85-U85</f>
        <v>4.3522940216405778E-3</v>
      </c>
      <c r="AB86" s="175">
        <f>AB85-V85</f>
        <v>-2.4589678844788132E-2</v>
      </c>
      <c r="AC86" s="175">
        <f>AC85-W85</f>
        <v>-4.7420863965003952E-2</v>
      </c>
      <c r="AD86" s="175">
        <f>AD85-X85</f>
        <v>-1.5331324933832588E-2</v>
      </c>
      <c r="AE86" s="177">
        <f>AE85-Y85</f>
        <v>-2.1316533386455699E-2</v>
      </c>
      <c r="AF86" s="241"/>
      <c r="AG86" s="174">
        <f>AG85-AA85</f>
        <v>-0.22672499174645097</v>
      </c>
      <c r="AH86" s="175">
        <f>AH85-AB85</f>
        <v>-0.14494714321671281</v>
      </c>
      <c r="AI86" s="175">
        <v>-7.0000000000000007E-2</v>
      </c>
      <c r="AJ86" s="175">
        <v>-0.04</v>
      </c>
      <c r="AK86" s="177">
        <f>AK85-AE85</f>
        <v>-0.11910917806210986</v>
      </c>
      <c r="AL86" s="241"/>
      <c r="AM86" s="174">
        <v>-0.02</v>
      </c>
      <c r="AN86" s="175">
        <v>0</v>
      </c>
      <c r="AO86" s="175">
        <v>0</v>
      </c>
      <c r="AP86" s="176">
        <v>0</v>
      </c>
      <c r="AQ86" s="177">
        <f>AQ85-AK85</f>
        <v>-3.1764724096406821E-3</v>
      </c>
      <c r="AR86" s="241"/>
      <c r="AS86" s="174">
        <v>2.5000000000000001E-3</v>
      </c>
      <c r="AT86" s="175">
        <v>2.5000000000000001E-3</v>
      </c>
      <c r="AU86" s="175">
        <v>2.5000000000000001E-3</v>
      </c>
      <c r="AV86" s="176">
        <v>2.5000000000000001E-3</v>
      </c>
      <c r="AW86" s="177">
        <f>AW85-AQ85</f>
        <v>2.4999999999999883E-3</v>
      </c>
      <c r="AX86" s="241"/>
      <c r="AY86" s="174">
        <v>2.5000000000000001E-3</v>
      </c>
      <c r="AZ86" s="175">
        <v>2.5000000000000001E-3</v>
      </c>
      <c r="BA86" s="175">
        <v>2.5000000000000001E-3</v>
      </c>
      <c r="BB86" s="176">
        <v>2.5000000000000001E-3</v>
      </c>
      <c r="BC86" s="177">
        <f>BC85-AW85</f>
        <v>2.5000000000000092E-3</v>
      </c>
      <c r="BD86" s="241"/>
      <c r="BE86" s="174">
        <v>2.5000000000000001E-3</v>
      </c>
      <c r="BF86" s="175">
        <v>2.5000000000000001E-3</v>
      </c>
      <c r="BG86" s="175">
        <v>2.5000000000000001E-3</v>
      </c>
      <c r="BH86" s="176">
        <v>2.5000000000000001E-3</v>
      </c>
      <c r="BI86" s="177">
        <f>BI85-BC85</f>
        <v>2.4999999999999953E-3</v>
      </c>
      <c r="BJ86" s="241"/>
      <c r="BK86" s="174">
        <v>0</v>
      </c>
      <c r="BL86" s="175">
        <v>0</v>
      </c>
      <c r="BM86" s="175">
        <v>0</v>
      </c>
      <c r="BN86" s="176">
        <v>0</v>
      </c>
      <c r="BO86" s="177">
        <f>BO85-BI85</f>
        <v>0</v>
      </c>
      <c r="BP86" s="241"/>
      <c r="BQ86" s="174">
        <v>0</v>
      </c>
      <c r="BR86" s="175">
        <v>0</v>
      </c>
      <c r="BS86" s="175">
        <v>0</v>
      </c>
      <c r="BT86" s="176">
        <v>0</v>
      </c>
      <c r="BU86" s="177">
        <f>BU85-BO85</f>
        <v>0</v>
      </c>
    </row>
    <row r="87" spans="2:73" ht="15.75" thickBot="1" x14ac:dyDescent="0.35">
      <c r="B87" s="6"/>
      <c r="C87" s="107"/>
      <c r="D87" s="107"/>
      <c r="E87" s="107"/>
      <c r="F87" s="107"/>
      <c r="G87" s="107"/>
      <c r="H87" s="107"/>
      <c r="S87" s="107"/>
      <c r="T87" s="107"/>
      <c r="U87" s="107"/>
      <c r="V87" s="107"/>
      <c r="W87" s="107"/>
      <c r="X87" s="107"/>
      <c r="Y87" s="107"/>
      <c r="Z87" s="241"/>
      <c r="AA87" s="107"/>
      <c r="AB87" s="107"/>
      <c r="AC87" s="107"/>
      <c r="AD87" s="107"/>
      <c r="AE87" s="107"/>
      <c r="AG87" s="107"/>
      <c r="AH87" s="107"/>
      <c r="AI87" s="107"/>
      <c r="AJ87" s="107"/>
      <c r="AK87" s="107"/>
      <c r="AM87" s="107"/>
      <c r="AN87" s="107"/>
      <c r="AO87" s="107"/>
      <c r="AP87" s="107"/>
      <c r="AQ87" s="107"/>
      <c r="AS87" s="107"/>
      <c r="AT87" s="107"/>
      <c r="AU87" s="107"/>
      <c r="AV87" s="107"/>
      <c r="AW87" s="107"/>
      <c r="AY87" s="107"/>
      <c r="AZ87" s="107"/>
      <c r="BA87" s="107"/>
      <c r="BB87" s="107"/>
      <c r="BC87" s="107"/>
      <c r="BE87" s="107"/>
      <c r="BF87" s="107"/>
      <c r="BG87" s="107"/>
      <c r="BH87" s="107"/>
      <c r="BI87" s="107"/>
      <c r="BK87" s="107"/>
      <c r="BL87" s="107"/>
      <c r="BM87" s="107"/>
      <c r="BN87" s="107"/>
      <c r="BO87" s="107"/>
      <c r="BQ87" s="107"/>
      <c r="BR87" s="107"/>
      <c r="BS87" s="107"/>
      <c r="BT87" s="107"/>
      <c r="BU87" s="107"/>
    </row>
    <row r="88" spans="2:73" ht="15" x14ac:dyDescent="0.3">
      <c r="B88" s="139" t="s">
        <v>62</v>
      </c>
      <c r="C88" s="221"/>
      <c r="D88" s="222"/>
      <c r="E88" s="222"/>
      <c r="F88" s="222"/>
      <c r="G88" s="224"/>
      <c r="H88" s="107"/>
      <c r="I88" s="221"/>
      <c r="J88" s="222"/>
      <c r="K88" s="222"/>
      <c r="L88" s="222"/>
      <c r="M88" s="224"/>
      <c r="N88" s="107"/>
      <c r="O88" s="251">
        <v>6</v>
      </c>
      <c r="P88" s="252">
        <v>5</v>
      </c>
      <c r="Q88" s="252">
        <v>5</v>
      </c>
      <c r="R88" s="258">
        <v>5</v>
      </c>
      <c r="S88" s="253">
        <f>O88+P88+Q88+R88</f>
        <v>21</v>
      </c>
      <c r="T88" s="194"/>
      <c r="U88" s="251">
        <v>7</v>
      </c>
      <c r="V88" s="252">
        <v>3</v>
      </c>
      <c r="W88" s="212">
        <v>3</v>
      </c>
      <c r="X88" s="210">
        <v>4</v>
      </c>
      <c r="Y88" s="202">
        <f>U88+V88+W88+X88</f>
        <v>17</v>
      </c>
      <c r="Z88" s="343"/>
      <c r="AA88" s="211">
        <v>12</v>
      </c>
      <c r="AB88" s="212">
        <v>6</v>
      </c>
      <c r="AC88" s="212">
        <v>7</v>
      </c>
      <c r="AD88" s="210">
        <v>9</v>
      </c>
      <c r="AE88" s="202">
        <f>AA88+AB88+AC88+AD88</f>
        <v>34</v>
      </c>
      <c r="AF88" s="344"/>
      <c r="AG88" s="211">
        <v>11</v>
      </c>
      <c r="AH88" s="212">
        <v>14</v>
      </c>
      <c r="AI88" s="212">
        <f>AI91*AI79</f>
        <v>10.377000000000001</v>
      </c>
      <c r="AJ88" s="210">
        <f>AJ91*AJ79</f>
        <v>12.639900000000001</v>
      </c>
      <c r="AK88" s="202">
        <f>AG88+AH88+AI88+AJ88</f>
        <v>48.016900000000007</v>
      </c>
      <c r="AL88" s="344"/>
      <c r="AM88" s="211">
        <f>AM91*AM79</f>
        <v>12.164400000000001</v>
      </c>
      <c r="AN88" s="212">
        <f>AN91*AN79</f>
        <v>15.252249999999998</v>
      </c>
      <c r="AO88" s="212">
        <f>AO91*AO79</f>
        <v>12.043035000000001</v>
      </c>
      <c r="AP88" s="210">
        <f>AP91*AP79</f>
        <v>13.477327499999999</v>
      </c>
      <c r="AQ88" s="202">
        <f>AM88+AN88+AO88+AP88</f>
        <v>52.937012500000002</v>
      </c>
      <c r="AR88" s="344"/>
      <c r="AS88" s="211">
        <f>AS91*AS79</f>
        <v>12.042755999999999</v>
      </c>
      <c r="AT88" s="212">
        <f>AT91*AT79</f>
        <v>15.099727499999998</v>
      </c>
      <c r="AU88" s="212">
        <f>AU91*AU79</f>
        <v>11.92260465</v>
      </c>
      <c r="AV88" s="210">
        <f>AV91*AV79</f>
        <v>13.342554224999999</v>
      </c>
      <c r="AW88" s="202">
        <f>AS88+AT88+AU88+AV88</f>
        <v>52.407642374999995</v>
      </c>
      <c r="AX88" s="344"/>
      <c r="AY88" s="211">
        <f>AY91*AY79</f>
        <v>11.922328439999999</v>
      </c>
      <c r="AZ88" s="212">
        <f>AZ91*AZ79</f>
        <v>14.948730224999998</v>
      </c>
      <c r="BA88" s="212">
        <f>BA91*BA79</f>
        <v>11.803378603499999</v>
      </c>
      <c r="BB88" s="210">
        <f>BB91*BB79</f>
        <v>13.209128682749999</v>
      </c>
      <c r="BC88" s="202">
        <f>AY88+AZ88+BA88+BB88</f>
        <v>51.883565951249999</v>
      </c>
      <c r="BD88" s="344"/>
      <c r="BE88" s="211">
        <f>BE91*BE79</f>
        <v>11.803105155599999</v>
      </c>
      <c r="BF88" s="212">
        <f>BF91*BF79</f>
        <v>14.799242922749999</v>
      </c>
      <c r="BG88" s="212">
        <f>BG91*BG79</f>
        <v>11.685344817464998</v>
      </c>
      <c r="BH88" s="210">
        <f>BH91*BH79</f>
        <v>13.077037395922499</v>
      </c>
      <c r="BI88" s="202">
        <f>BE88+BF88+BG88+BH88</f>
        <v>51.364730291737501</v>
      </c>
      <c r="BJ88" s="344"/>
      <c r="BK88" s="211">
        <f>BK91*BK79</f>
        <v>11.685074104043998</v>
      </c>
      <c r="BL88" s="212">
        <f>BL91*BL79</f>
        <v>14.6512504935225</v>
      </c>
      <c r="BM88" s="212">
        <f>BM91*BM79</f>
        <v>11.568491369290347</v>
      </c>
      <c r="BN88" s="210">
        <f>BN91*BN79</f>
        <v>12.946267021963275</v>
      </c>
      <c r="BO88" s="202">
        <f>BK88+BL88+BM88+BN88</f>
        <v>50.851082988820117</v>
      </c>
      <c r="BP88" s="344"/>
      <c r="BQ88" s="211">
        <f>BQ91*BQ79</f>
        <v>11.568223363003559</v>
      </c>
      <c r="BR88" s="212">
        <f>BR91*BR79</f>
        <v>14.504737988587275</v>
      </c>
      <c r="BS88" s="212">
        <f>BS91*BS79</f>
        <v>11.452806455597445</v>
      </c>
      <c r="BT88" s="210">
        <f>BT91*BT79</f>
        <v>12.816804351743642</v>
      </c>
      <c r="BU88" s="202">
        <f>BQ88+BR88+BS88+BT88</f>
        <v>50.342572158931922</v>
      </c>
    </row>
    <row r="89" spans="2:73" ht="15" x14ac:dyDescent="0.3">
      <c r="B89" s="5" t="s">
        <v>40</v>
      </c>
      <c r="C89" s="144"/>
      <c r="D89" s="107"/>
      <c r="E89" s="107"/>
      <c r="F89" s="107"/>
      <c r="G89" s="138"/>
      <c r="H89" s="107"/>
      <c r="I89" s="144"/>
      <c r="J89" s="107"/>
      <c r="K89" s="107"/>
      <c r="L89" s="107"/>
      <c r="M89" s="153"/>
      <c r="N89" s="107"/>
      <c r="O89" s="151"/>
      <c r="P89" s="133"/>
      <c r="Q89" s="133"/>
      <c r="R89" s="152"/>
      <c r="S89" s="153"/>
      <c r="T89" s="107"/>
      <c r="U89" s="151">
        <f>U88/O88-1</f>
        <v>0.16666666666666674</v>
      </c>
      <c r="V89" s="133">
        <f>V88/P88-1</f>
        <v>-0.4</v>
      </c>
      <c r="W89" s="133">
        <f>W88/Q88-1</f>
        <v>-0.4</v>
      </c>
      <c r="X89" s="133">
        <f>X88/R88-1</f>
        <v>-0.19999999999999996</v>
      </c>
      <c r="Y89" s="153">
        <f>Y88/S88-1</f>
        <v>-0.19047619047619047</v>
      </c>
      <c r="Z89" s="241"/>
      <c r="AA89" s="151">
        <f>AA88/U88-1</f>
        <v>0.71428571428571419</v>
      </c>
      <c r="AB89" s="133">
        <f>AB88/V88-1</f>
        <v>1</v>
      </c>
      <c r="AC89" s="133">
        <f>AC88/W88-1</f>
        <v>1.3333333333333335</v>
      </c>
      <c r="AD89" s="133">
        <f>AD88/X88-1</f>
        <v>1.25</v>
      </c>
      <c r="AE89" s="153">
        <f>AE88/Y88-1</f>
        <v>1</v>
      </c>
      <c r="AG89" s="151">
        <f>AG88/AA88-1</f>
        <v>-8.333333333333337E-2</v>
      </c>
      <c r="AH89" s="133">
        <f>AH88/AB88-1</f>
        <v>1.3333333333333335</v>
      </c>
      <c r="AI89" s="133">
        <f>AI88/AC88-1</f>
        <v>0.48242857142857143</v>
      </c>
      <c r="AJ89" s="152">
        <f>AJ88/AD88-1</f>
        <v>0.40443333333333342</v>
      </c>
      <c r="AK89" s="153">
        <f>AK88/AE88-1</f>
        <v>0.41226176470588261</v>
      </c>
      <c r="AM89" s="151">
        <f>AM88/AG88-1</f>
        <v>0.10585454545454542</v>
      </c>
      <c r="AN89" s="133">
        <f>AN88/AH88-1</f>
        <v>8.9446428571428482E-2</v>
      </c>
      <c r="AO89" s="133">
        <f>AO88/AI88-1</f>
        <v>0.16055073720728541</v>
      </c>
      <c r="AP89" s="152">
        <f>AP88/AJ88-1</f>
        <v>6.6252699784017155E-2</v>
      </c>
      <c r="AQ89" s="153">
        <f>AQ88/AK88-1</f>
        <v>0.1024662670851304</v>
      </c>
      <c r="AS89" s="151">
        <f>AS88/AM88-1</f>
        <v>-1.000000000000012E-2</v>
      </c>
      <c r="AT89" s="133">
        <f>AT88/AN88-1</f>
        <v>-1.0000000000000009E-2</v>
      </c>
      <c r="AU89" s="133">
        <f>AU88/AO88-1</f>
        <v>-1.000000000000012E-2</v>
      </c>
      <c r="AV89" s="152">
        <f>AV88/AP88-1</f>
        <v>-1.0000000000000009E-2</v>
      </c>
      <c r="AW89" s="153">
        <f>AW88/AQ88-1</f>
        <v>-1.000000000000012E-2</v>
      </c>
      <c r="AY89" s="151">
        <f>AY88/AS88-1</f>
        <v>-1.0000000000000009E-2</v>
      </c>
      <c r="AZ89" s="133">
        <f>AZ88/AT88-1</f>
        <v>-1.0000000000000009E-2</v>
      </c>
      <c r="BA89" s="133">
        <f>BA88/AU88-1</f>
        <v>-1.000000000000012E-2</v>
      </c>
      <c r="BB89" s="152">
        <f>BB88/AV88-1</f>
        <v>-1.0000000000000009E-2</v>
      </c>
      <c r="BC89" s="153">
        <f>BC88/AW88-1</f>
        <v>-9.9999999999998979E-3</v>
      </c>
      <c r="BE89" s="151">
        <f>BE88/AY88-1</f>
        <v>-1.0000000000000009E-2</v>
      </c>
      <c r="BF89" s="133">
        <f>BF88/AZ88-1</f>
        <v>-1.0000000000000009E-2</v>
      </c>
      <c r="BG89" s="133">
        <f>BG88/BA88-1</f>
        <v>-1.000000000000012E-2</v>
      </c>
      <c r="BH89" s="152">
        <f>BH88/BB88-1</f>
        <v>-1.0000000000000009E-2</v>
      </c>
      <c r="BI89" s="153">
        <f>BI88/BC88-1</f>
        <v>-9.9999999999998979E-3</v>
      </c>
      <c r="BK89" s="151">
        <f>BK88/BE88-1</f>
        <v>-1.0000000000000009E-2</v>
      </c>
      <c r="BL89" s="133">
        <f>BL88/BF88-1</f>
        <v>-9.9999999999998979E-3</v>
      </c>
      <c r="BM89" s="133">
        <f>BM88/BG88-1</f>
        <v>-1.0000000000000009E-2</v>
      </c>
      <c r="BN89" s="152">
        <f>BN88/BH88-1</f>
        <v>-1.0000000000000009E-2</v>
      </c>
      <c r="BO89" s="153">
        <f>BO88/BI88-1</f>
        <v>-1.0000000000000231E-2</v>
      </c>
      <c r="BQ89" s="151">
        <f>BQ88/BK88-1</f>
        <v>-9.9999999999998979E-3</v>
      </c>
      <c r="BR89" s="133">
        <f>BR88/BL88-1</f>
        <v>-1.0000000000000009E-2</v>
      </c>
      <c r="BS89" s="133">
        <f>BS88/BM88-1</f>
        <v>-9.9999999999998979E-3</v>
      </c>
      <c r="BT89" s="152">
        <f>BT88/BN88-1</f>
        <v>-1.0000000000000009E-2</v>
      </c>
      <c r="BU89" s="153">
        <f>BU88/BO88-1</f>
        <v>-9.9999999999998979E-3</v>
      </c>
    </row>
    <row r="90" spans="2:73" ht="15" x14ac:dyDescent="0.3">
      <c r="B90" s="105"/>
      <c r="C90" s="144"/>
      <c r="D90" s="107"/>
      <c r="E90" s="107"/>
      <c r="F90" s="107"/>
      <c r="G90" s="138"/>
      <c r="H90" s="107"/>
      <c r="I90" s="144"/>
      <c r="J90" s="107"/>
      <c r="K90" s="107"/>
      <c r="L90" s="107"/>
      <c r="M90" s="153"/>
      <c r="N90" s="107"/>
      <c r="O90" s="151"/>
      <c r="P90" s="133"/>
      <c r="Q90" s="133"/>
      <c r="R90" s="152"/>
      <c r="S90" s="153"/>
      <c r="T90" s="107"/>
      <c r="U90" s="144"/>
      <c r="V90" s="107"/>
      <c r="W90" s="107"/>
      <c r="X90" s="145"/>
      <c r="Y90" s="138"/>
      <c r="Z90" s="241"/>
      <c r="AA90" s="144"/>
      <c r="AB90" s="107"/>
      <c r="AC90" s="107"/>
      <c r="AD90" s="107"/>
      <c r="AE90" s="138"/>
      <c r="AG90" s="144"/>
      <c r="AH90" s="107"/>
      <c r="AI90" s="107"/>
      <c r="AJ90" s="107"/>
      <c r="AK90" s="138"/>
      <c r="AM90" s="144"/>
      <c r="AN90" s="107"/>
      <c r="AO90" s="107"/>
      <c r="AP90" s="107"/>
      <c r="AQ90" s="138"/>
      <c r="AS90" s="144"/>
      <c r="AT90" s="107"/>
      <c r="AU90" s="107"/>
      <c r="AV90" s="107"/>
      <c r="AW90" s="138"/>
      <c r="AY90" s="144"/>
      <c r="AZ90" s="107"/>
      <c r="BA90" s="107"/>
      <c r="BB90" s="107"/>
      <c r="BC90" s="138"/>
      <c r="BE90" s="144"/>
      <c r="BF90" s="107"/>
      <c r="BG90" s="107"/>
      <c r="BH90" s="107"/>
      <c r="BI90" s="138"/>
      <c r="BK90" s="144"/>
      <c r="BL90" s="107"/>
      <c r="BM90" s="107"/>
      <c r="BN90" s="107"/>
      <c r="BO90" s="138"/>
      <c r="BQ90" s="144"/>
      <c r="BR90" s="107"/>
      <c r="BS90" s="107"/>
      <c r="BT90" s="107"/>
      <c r="BU90" s="138"/>
    </row>
    <row r="91" spans="2:73" ht="15" x14ac:dyDescent="0.3">
      <c r="B91" s="105" t="s">
        <v>24</v>
      </c>
      <c r="C91" s="144"/>
      <c r="D91" s="107"/>
      <c r="E91" s="107"/>
      <c r="F91" s="107"/>
      <c r="G91" s="138"/>
      <c r="I91" s="151"/>
      <c r="J91" s="133"/>
      <c r="K91" s="133"/>
      <c r="L91" s="133"/>
      <c r="M91" s="153"/>
      <c r="N91" s="107"/>
      <c r="O91" s="171">
        <f>O88/O79</f>
        <v>1.3888888888888888E-2</v>
      </c>
      <c r="P91" s="165">
        <f>P88/P79</f>
        <v>1.1682242990654205E-2</v>
      </c>
      <c r="Q91" s="165">
        <f>Q88/Q79</f>
        <v>1.2562814070351759E-2</v>
      </c>
      <c r="R91" s="172">
        <f>R88/R79</f>
        <v>1.0351966873706004E-2</v>
      </c>
      <c r="S91" s="173">
        <f>S88/S79</f>
        <v>1.2062033314187249E-2</v>
      </c>
      <c r="T91" s="129"/>
      <c r="U91" s="171">
        <f>U88/U79</f>
        <v>1.6431924882629109E-2</v>
      </c>
      <c r="V91" s="165">
        <f>V88/V79</f>
        <v>6.8649885583524023E-3</v>
      </c>
      <c r="W91" s="165">
        <f>W88/W79</f>
        <v>6.8807339449541288E-3</v>
      </c>
      <c r="X91" s="165">
        <f>X88/X79</f>
        <v>7.9522862823061622E-3</v>
      </c>
      <c r="Y91" s="298">
        <f>Y88/Y79</f>
        <v>9.433962264150943E-3</v>
      </c>
      <c r="Z91" s="135"/>
      <c r="AA91" s="171">
        <f>AA88/AA79</f>
        <v>2.575107296137339E-2</v>
      </c>
      <c r="AB91" s="165">
        <f>AB88/AB79</f>
        <v>1.2931034482758621E-2</v>
      </c>
      <c r="AC91" s="165">
        <f>AC88/AC79</f>
        <v>1.5452538631346579E-2</v>
      </c>
      <c r="AD91" s="165">
        <f>AD88/AD79</f>
        <v>1.8404907975460124E-2</v>
      </c>
      <c r="AE91" s="298">
        <f>AE88/AE79</f>
        <v>1.8162393162393164E-2</v>
      </c>
      <c r="AF91" s="135"/>
      <c r="AG91" s="171">
        <f>AG88/AG79</f>
        <v>2.6442307692307692E-2</v>
      </c>
      <c r="AH91" s="165">
        <f>AH88/AH79</f>
        <v>3.4063260340632603E-2</v>
      </c>
      <c r="AI91" s="309">
        <f>AC91+AI92</f>
        <v>2.5452538631346579E-2</v>
      </c>
      <c r="AJ91" s="310">
        <f>AD91+AJ92</f>
        <v>2.8404907975460122E-2</v>
      </c>
      <c r="AK91" s="298">
        <f>AK88/AK79</f>
        <v>2.8586763033655024E-2</v>
      </c>
      <c r="AL91" s="135"/>
      <c r="AM91" s="311">
        <f>AG91+AM92</f>
        <v>3.1442307692307693E-2</v>
      </c>
      <c r="AN91" s="309">
        <f>AH91+AN92</f>
        <v>3.9063260340632601E-2</v>
      </c>
      <c r="AO91" s="309">
        <f>AI91+AO92</f>
        <v>3.045253863134658E-2</v>
      </c>
      <c r="AP91" s="310">
        <f>AJ91+AP92</f>
        <v>3.0904907975460121E-2</v>
      </c>
      <c r="AQ91" s="298">
        <f>AQ88/AQ79</f>
        <v>3.2902832898623474E-2</v>
      </c>
      <c r="AR91" s="135"/>
      <c r="AS91" s="311">
        <f>AM91+AS92</f>
        <v>3.1442307692307693E-2</v>
      </c>
      <c r="AT91" s="309">
        <f>AN91+AT92</f>
        <v>3.9063260340632601E-2</v>
      </c>
      <c r="AU91" s="309">
        <f>AO91+AU92</f>
        <v>3.045253863134658E-2</v>
      </c>
      <c r="AV91" s="310">
        <f>AP91+AV92</f>
        <v>3.0904907975460121E-2</v>
      </c>
      <c r="AW91" s="298">
        <f>AW88/AW79</f>
        <v>3.2902832898623474E-2</v>
      </c>
      <c r="AX91" s="135"/>
      <c r="AY91" s="311">
        <f>AS91+AY92</f>
        <v>3.1442307692307693E-2</v>
      </c>
      <c r="AZ91" s="309">
        <f>AT91+AZ92</f>
        <v>3.9063260340632601E-2</v>
      </c>
      <c r="BA91" s="309">
        <f>AU91+BA92</f>
        <v>3.045253863134658E-2</v>
      </c>
      <c r="BB91" s="310">
        <f>AV91+BB92</f>
        <v>3.0904907975460121E-2</v>
      </c>
      <c r="BC91" s="298">
        <f>BC88/BC79</f>
        <v>3.2902832898623474E-2</v>
      </c>
      <c r="BD91" s="135"/>
      <c r="BE91" s="311">
        <f>AY91+BE92</f>
        <v>3.1442307692307693E-2</v>
      </c>
      <c r="BF91" s="309">
        <f>AZ91+BF92</f>
        <v>3.9063260340632601E-2</v>
      </c>
      <c r="BG91" s="309">
        <f>BA91+BG92</f>
        <v>3.045253863134658E-2</v>
      </c>
      <c r="BH91" s="310">
        <f>BB91+BH92</f>
        <v>3.0904907975460121E-2</v>
      </c>
      <c r="BI91" s="298">
        <f>BI88/BI79</f>
        <v>3.2902832898623481E-2</v>
      </c>
      <c r="BJ91" s="135"/>
      <c r="BK91" s="311">
        <f>BE91+BK92</f>
        <v>3.1442307692307693E-2</v>
      </c>
      <c r="BL91" s="309">
        <f>BF91+BL92</f>
        <v>3.9063260340632601E-2</v>
      </c>
      <c r="BM91" s="309">
        <f>BG91+BM92</f>
        <v>3.045253863134658E-2</v>
      </c>
      <c r="BN91" s="310">
        <f>BH91+BN92</f>
        <v>3.0904907975460121E-2</v>
      </c>
      <c r="BO91" s="298">
        <f>BO88/BO79</f>
        <v>3.2902832898623467E-2</v>
      </c>
      <c r="BP91" s="135"/>
      <c r="BQ91" s="311">
        <f>BK91+BQ92</f>
        <v>3.1442307692307693E-2</v>
      </c>
      <c r="BR91" s="309">
        <f>BL91+BR92</f>
        <v>3.9063260340632601E-2</v>
      </c>
      <c r="BS91" s="309">
        <f>BM91+BS92</f>
        <v>3.045253863134658E-2</v>
      </c>
      <c r="BT91" s="310">
        <f>BN91+BT92</f>
        <v>3.0904907975460121E-2</v>
      </c>
      <c r="BU91" s="298">
        <f>BU88/BU79</f>
        <v>3.2902832898623474E-2</v>
      </c>
    </row>
    <row r="92" spans="2:73" ht="15.75" thickBot="1" x14ac:dyDescent="0.35">
      <c r="B92" s="140" t="s">
        <v>40</v>
      </c>
      <c r="C92" s="155"/>
      <c r="D92" s="106"/>
      <c r="E92" s="106"/>
      <c r="F92" s="106"/>
      <c r="G92" s="108"/>
      <c r="I92" s="155"/>
      <c r="J92" s="106"/>
      <c r="K92" s="106"/>
      <c r="L92" s="106"/>
      <c r="M92" s="108"/>
      <c r="O92" s="155"/>
      <c r="P92" s="106"/>
      <c r="Q92" s="106"/>
      <c r="R92" s="154"/>
      <c r="S92" s="108"/>
      <c r="U92" s="174">
        <f>U91-O91</f>
        <v>2.5430359937402211E-3</v>
      </c>
      <c r="V92" s="175">
        <f>V91-P91</f>
        <v>-4.8172544323018028E-3</v>
      </c>
      <c r="W92" s="175">
        <f>W91-Q91</f>
        <v>-5.6820801253976306E-3</v>
      </c>
      <c r="X92" s="175">
        <f>X91-R91</f>
        <v>-2.3996805913998418E-3</v>
      </c>
      <c r="Y92" s="177">
        <f>Y91-S91</f>
        <v>-2.6280710500363059E-3</v>
      </c>
      <c r="AA92" s="174">
        <f>AA91-U91</f>
        <v>9.3191480787442812E-3</v>
      </c>
      <c r="AB92" s="175">
        <f>AB91-V91</f>
        <v>6.0660459244062182E-3</v>
      </c>
      <c r="AC92" s="175">
        <f>AC91-W91</f>
        <v>8.5718046863924504E-3</v>
      </c>
      <c r="AD92" s="175">
        <f>AD91-X91</f>
        <v>1.0452621693153962E-2</v>
      </c>
      <c r="AE92" s="177">
        <f>AE91-Y91</f>
        <v>8.7284308982422208E-3</v>
      </c>
      <c r="AG92" s="174">
        <f>AG91-AA91</f>
        <v>6.9123473093430157E-4</v>
      </c>
      <c r="AH92" s="175">
        <f>AH91-AB91</f>
        <v>2.1132225857873985E-2</v>
      </c>
      <c r="AI92" s="175">
        <v>0.01</v>
      </c>
      <c r="AJ92" s="175">
        <v>0.01</v>
      </c>
      <c r="AK92" s="177">
        <f>AK91-AE91</f>
        <v>1.0424369871261861E-2</v>
      </c>
      <c r="AM92" s="174">
        <v>5.0000000000000001E-3</v>
      </c>
      <c r="AN92" s="175">
        <v>5.0000000000000001E-3</v>
      </c>
      <c r="AO92" s="175">
        <v>5.0000000000000001E-3</v>
      </c>
      <c r="AP92" s="176">
        <v>2.5000000000000001E-3</v>
      </c>
      <c r="AQ92" s="177">
        <f>AQ91-AK91</f>
        <v>4.3160698649684498E-3</v>
      </c>
      <c r="AS92" s="174">
        <v>0</v>
      </c>
      <c r="AT92" s="175">
        <v>0</v>
      </c>
      <c r="AU92" s="175">
        <v>0</v>
      </c>
      <c r="AV92" s="176">
        <v>0</v>
      </c>
      <c r="AW92" s="177">
        <f>AW91-AQ91</f>
        <v>0</v>
      </c>
      <c r="AY92" s="174">
        <v>0</v>
      </c>
      <c r="AZ92" s="175">
        <v>0</v>
      </c>
      <c r="BA92" s="175">
        <v>0</v>
      </c>
      <c r="BB92" s="176">
        <v>0</v>
      </c>
      <c r="BC92" s="177">
        <f>BC91-AW91</f>
        <v>0</v>
      </c>
      <c r="BE92" s="174">
        <v>0</v>
      </c>
      <c r="BF92" s="175">
        <v>0</v>
      </c>
      <c r="BG92" s="175">
        <v>0</v>
      </c>
      <c r="BH92" s="176">
        <v>0</v>
      </c>
      <c r="BI92" s="177">
        <f>BI91-BC91</f>
        <v>0</v>
      </c>
      <c r="BK92" s="174">
        <v>0</v>
      </c>
      <c r="BL92" s="175">
        <v>0</v>
      </c>
      <c r="BM92" s="175">
        <v>0</v>
      </c>
      <c r="BN92" s="176">
        <v>0</v>
      </c>
      <c r="BO92" s="177">
        <f>BO91-BI91</f>
        <v>0</v>
      </c>
      <c r="BQ92" s="174">
        <v>0</v>
      </c>
      <c r="BR92" s="175">
        <v>0</v>
      </c>
      <c r="BS92" s="175">
        <v>0</v>
      </c>
      <c r="BT92" s="176">
        <v>0</v>
      </c>
      <c r="BU92" s="177">
        <f>BU91-BO91</f>
        <v>0</v>
      </c>
    </row>
    <row r="93" spans="2:73" ht="15.75" thickBot="1" x14ac:dyDescent="0.35">
      <c r="B93" s="6"/>
      <c r="C93" s="107"/>
      <c r="D93" s="107"/>
      <c r="E93" s="107"/>
      <c r="F93" s="107"/>
      <c r="G93" s="107"/>
      <c r="I93" s="107"/>
      <c r="J93" s="107"/>
      <c r="K93" s="107"/>
      <c r="L93" s="107"/>
      <c r="M93" s="107"/>
      <c r="O93" s="107"/>
      <c r="P93" s="107"/>
      <c r="Q93" s="107"/>
      <c r="R93" s="107"/>
      <c r="S93" s="107"/>
      <c r="U93" s="107"/>
      <c r="V93" s="107"/>
      <c r="W93" s="107"/>
      <c r="X93" s="107"/>
      <c r="Y93" s="107"/>
      <c r="AA93" s="107"/>
      <c r="AB93" s="107"/>
      <c r="AC93" s="107"/>
      <c r="AD93" s="107"/>
      <c r="AE93" s="107"/>
      <c r="AG93" s="107"/>
      <c r="AH93" s="107"/>
      <c r="AI93" s="107"/>
      <c r="AJ93" s="107"/>
      <c r="AK93" s="107"/>
      <c r="AM93" s="107"/>
      <c r="AN93" s="107"/>
      <c r="AO93" s="107"/>
      <c r="AP93" s="107"/>
      <c r="AQ93" s="107"/>
      <c r="AS93" s="107"/>
      <c r="AT93" s="107"/>
      <c r="AU93" s="107"/>
      <c r="AV93" s="107"/>
      <c r="AW93" s="107"/>
      <c r="AY93" s="107"/>
      <c r="AZ93" s="107"/>
      <c r="BA93" s="107"/>
      <c r="BB93" s="107"/>
      <c r="BC93" s="107"/>
      <c r="BE93" s="107"/>
      <c r="BF93" s="107"/>
      <c r="BG93" s="107"/>
      <c r="BH93" s="107"/>
      <c r="BI93" s="107"/>
      <c r="BK93" s="107"/>
      <c r="BL93" s="107"/>
      <c r="BM93" s="107"/>
      <c r="BN93" s="107"/>
      <c r="BO93" s="107"/>
      <c r="BQ93" s="107"/>
      <c r="BR93" s="107"/>
      <c r="BS93" s="107"/>
      <c r="BT93" s="107"/>
      <c r="BU93" s="107"/>
    </row>
    <row r="94" spans="2:73" ht="15" x14ac:dyDescent="0.3">
      <c r="B94" s="42" t="s">
        <v>38</v>
      </c>
      <c r="C94" s="126"/>
      <c r="D94" s="127"/>
      <c r="E94" s="127"/>
      <c r="F94" s="127"/>
      <c r="G94" s="167"/>
      <c r="H94" s="166"/>
      <c r="I94" s="126"/>
      <c r="J94" s="127"/>
      <c r="K94" s="127"/>
      <c r="L94" s="127"/>
      <c r="M94" s="167"/>
      <c r="N94" s="166"/>
      <c r="O94" s="251">
        <f>O82-O88</f>
        <v>45</v>
      </c>
      <c r="P94" s="252">
        <f>P82-P88</f>
        <v>19</v>
      </c>
      <c r="Q94" s="252">
        <f>Q82-Q88</f>
        <v>24</v>
      </c>
      <c r="R94" s="258">
        <f>R82-R88</f>
        <v>15</v>
      </c>
      <c r="S94" s="202">
        <f>O94+P94+Q94+R94</f>
        <v>103</v>
      </c>
      <c r="T94" s="194"/>
      <c r="U94" s="251">
        <f>U82-U88</f>
        <v>14</v>
      </c>
      <c r="V94" s="252">
        <f>V82-V88</f>
        <v>36</v>
      </c>
      <c r="W94" s="252">
        <f>W82-W88</f>
        <v>35</v>
      </c>
      <c r="X94" s="252">
        <f>X82-X88</f>
        <v>50</v>
      </c>
      <c r="Y94" s="202">
        <f>U94+V94+W94+X94</f>
        <v>135</v>
      </c>
      <c r="Z94" s="342"/>
      <c r="AA94" s="251">
        <f>AA82-AA88</f>
        <v>13</v>
      </c>
      <c r="AB94" s="252">
        <f>AB82-AB88</f>
        <v>24</v>
      </c>
      <c r="AC94" s="252">
        <f>AC82-AC88</f>
        <v>11</v>
      </c>
      <c r="AD94" s="252">
        <f>AD82-AD88</f>
        <v>36</v>
      </c>
      <c r="AE94" s="202">
        <f>AA94+AB94+AC94+AD94</f>
        <v>84</v>
      </c>
      <c r="AF94" s="342"/>
      <c r="AG94" s="251">
        <f>AG82-AG88</f>
        <v>-83</v>
      </c>
      <c r="AH94" s="252">
        <f>AH82-AH88</f>
        <v>-47</v>
      </c>
      <c r="AI94" s="252">
        <f>AI82-AI88</f>
        <v>-22.716000000000001</v>
      </c>
      <c r="AJ94" s="252">
        <f>AJ82-AJ88</f>
        <v>10.510499999999997</v>
      </c>
      <c r="AK94" s="202">
        <f>AG94+AH94+AI94+AJ94</f>
        <v>-142.2055</v>
      </c>
      <c r="AL94" s="342"/>
      <c r="AM94" s="251">
        <f>AM82-AM88</f>
        <v>-86.861999999999995</v>
      </c>
      <c r="AN94" s="252">
        <f>AN82-AN88</f>
        <v>-46.602249999999998</v>
      </c>
      <c r="AO94" s="252">
        <f>AO82-AO88</f>
        <v>-24.011865000000004</v>
      </c>
      <c r="AP94" s="252">
        <f>AP82-AP88</f>
        <v>9.2100644999999961</v>
      </c>
      <c r="AQ94" s="202">
        <f>AM94+AN94+AO94+AP94</f>
        <v>-148.26605050000001</v>
      </c>
      <c r="AR94" s="342"/>
      <c r="AS94" s="251">
        <f>AS82-AS88</f>
        <v>-85.035851999999991</v>
      </c>
      <c r="AT94" s="252">
        <f>AT82-AT88</f>
        <v>-45.169863749999998</v>
      </c>
      <c r="AU94" s="252">
        <f>AU82-AU88</f>
        <v>-22.792960575000002</v>
      </c>
      <c r="AV94" s="252">
        <f>AV82-AV88</f>
        <v>10.197287099999999</v>
      </c>
      <c r="AW94" s="202">
        <f>AS94+AT94+AU94+AV94</f>
        <v>-142.80138922499998</v>
      </c>
      <c r="AX94" s="342"/>
      <c r="AY94" s="251">
        <f>AY82-AY88</f>
        <v>-83.237540759999987</v>
      </c>
      <c r="AZ94" s="252">
        <f>AZ82-AZ88</f>
        <v>-43.761465000000001</v>
      </c>
      <c r="BA94" s="252">
        <f>BA82-BA88</f>
        <v>-21.596033052000003</v>
      </c>
      <c r="BB94" s="252">
        <f>BB82-BB88</f>
        <v>11.163844241549999</v>
      </c>
      <c r="BC94" s="202">
        <f>AY94+AZ94+BA94+BB94</f>
        <v>-137.43119457044997</v>
      </c>
      <c r="BD94" s="342"/>
      <c r="BE94" s="251">
        <f>BE82-BE88</f>
        <v>-81.466692159599987</v>
      </c>
      <c r="BF94" s="252">
        <f>BF82-BF88</f>
        <v>-42.376717238624998</v>
      </c>
      <c r="BG94" s="252">
        <f>BG82-BG88</f>
        <v>-20.420764783402497</v>
      </c>
      <c r="BH94" s="252">
        <f>BH82-BH88</f>
        <v>12.110050511559002</v>
      </c>
      <c r="BI94" s="202">
        <f>BE94+BF94+BG94+BH94</f>
        <v>-132.15412367006849</v>
      </c>
      <c r="BJ94" s="342"/>
      <c r="BK94" s="251">
        <f>BK82-BK88</f>
        <v>-80.652025238003972</v>
      </c>
      <c r="BL94" s="252">
        <f>BL82-BL88</f>
        <v>-41.952950066238749</v>
      </c>
      <c r="BM94" s="252">
        <f>BM82-BM88</f>
        <v>-20.216557135568472</v>
      </c>
      <c r="BN94" s="252">
        <f>BN82-BN88</f>
        <v>11.988950006443412</v>
      </c>
      <c r="BO94" s="202">
        <f>BK94+BL94+BM94+BN94</f>
        <v>-130.83258243336778</v>
      </c>
      <c r="BP94" s="342"/>
      <c r="BQ94" s="251">
        <f>BQ82-BQ88</f>
        <v>-79.845504985623947</v>
      </c>
      <c r="BR94" s="252">
        <f>BR82-BR88</f>
        <v>-41.533420565576357</v>
      </c>
      <c r="BS94" s="252">
        <f>BS82-BS88</f>
        <v>-20.01439156421279</v>
      </c>
      <c r="BT94" s="252">
        <f>BT82-BT88</f>
        <v>11.869060506378979</v>
      </c>
      <c r="BU94" s="202">
        <f>BQ94+BR94+BS94+BT94</f>
        <v>-129.5242566090341</v>
      </c>
    </row>
    <row r="95" spans="2:73" ht="15.75" thickBot="1" x14ac:dyDescent="0.35">
      <c r="B95" s="41" t="s">
        <v>23</v>
      </c>
      <c r="C95" s="130"/>
      <c r="D95" s="131"/>
      <c r="E95" s="131"/>
      <c r="F95" s="131"/>
      <c r="G95" s="275"/>
      <c r="H95" s="166"/>
      <c r="I95" s="130"/>
      <c r="J95" s="131"/>
      <c r="K95" s="131"/>
      <c r="L95" s="131"/>
      <c r="M95" s="275"/>
      <c r="N95" s="166"/>
      <c r="O95" s="130"/>
      <c r="P95" s="131"/>
      <c r="Q95" s="131"/>
      <c r="R95" s="132"/>
      <c r="S95" s="275"/>
      <c r="T95" s="166"/>
      <c r="U95" s="109">
        <f>U94/O94-1</f>
        <v>-0.68888888888888888</v>
      </c>
      <c r="V95" s="110">
        <f>V94/P94-1</f>
        <v>0.89473684210526305</v>
      </c>
      <c r="W95" s="110">
        <f>W94/Q94-1</f>
        <v>0.45833333333333326</v>
      </c>
      <c r="X95" s="110">
        <f>X94/R94-1</f>
        <v>2.3333333333333335</v>
      </c>
      <c r="Y95" s="122">
        <f>Y94/S94-1</f>
        <v>0.31067961165048552</v>
      </c>
      <c r="Z95" s="241"/>
      <c r="AA95" s="109">
        <f>AA94/U94-1</f>
        <v>-7.1428571428571397E-2</v>
      </c>
      <c r="AB95" s="110">
        <f>AB94/V94-1</f>
        <v>-0.33333333333333337</v>
      </c>
      <c r="AC95" s="175">
        <v>0</v>
      </c>
      <c r="AD95" s="176">
        <v>0</v>
      </c>
      <c r="AE95" s="122">
        <f>AE94/Y94-1</f>
        <v>-0.37777777777777777</v>
      </c>
      <c r="AF95" s="241"/>
      <c r="AG95" s="109">
        <f>AG94/AA94-1</f>
        <v>-7.384615384615385</v>
      </c>
      <c r="AH95" s="110">
        <f>AH94/AB94-1</f>
        <v>-2.958333333333333</v>
      </c>
      <c r="AI95" s="175">
        <v>0</v>
      </c>
      <c r="AJ95" s="176">
        <v>0</v>
      </c>
      <c r="AK95" s="122">
        <f>AK94/AE94-1</f>
        <v>-2.6929226190476188</v>
      </c>
      <c r="AL95" s="241"/>
      <c r="AM95" s="109">
        <f>AM94/AG94-1</f>
        <v>4.6530120481927728E-2</v>
      </c>
      <c r="AN95" s="110">
        <f>AN94/AH94-1</f>
        <v>-8.4627659574468828E-3</v>
      </c>
      <c r="AO95" s="175">
        <v>0</v>
      </c>
      <c r="AP95" s="176">
        <v>0</v>
      </c>
      <c r="AQ95" s="122">
        <f>AQ94/AK94-1</f>
        <v>4.261825667783592E-2</v>
      </c>
      <c r="AR95" s="241"/>
      <c r="AS95" s="109">
        <f>AS94/AM94-1</f>
        <v>-2.1023554603854411E-2</v>
      </c>
      <c r="AT95" s="110">
        <f>AT94/AN94-1</f>
        <v>-3.073641830598306E-2</v>
      </c>
      <c r="AU95" s="175">
        <v>0</v>
      </c>
      <c r="AV95" s="176">
        <v>0</v>
      </c>
      <c r="AW95" s="122">
        <f>AW94/AQ94-1</f>
        <v>-3.6857131194710235E-2</v>
      </c>
      <c r="AX95" s="241"/>
      <c r="AY95" s="109">
        <f>AY94/AS94-1</f>
        <v>-2.1147682979644866E-2</v>
      </c>
      <c r="AZ95" s="110">
        <f>AZ94/AT94-1</f>
        <v>-3.1180053094581162E-2</v>
      </c>
      <c r="BA95" s="175">
        <v>0</v>
      </c>
      <c r="BB95" s="176">
        <v>0</v>
      </c>
      <c r="BC95" s="122">
        <f>BC94/AW94-1</f>
        <v>-3.7606039294818427E-2</v>
      </c>
      <c r="BD95" s="241"/>
      <c r="BE95" s="109">
        <f>BE94/AY94-1</f>
        <v>-2.1274638633377196E-2</v>
      </c>
      <c r="BF95" s="110">
        <f>BF94/AZ94-1</f>
        <v>-3.1643085106383029E-2</v>
      </c>
      <c r="BG95" s="175">
        <v>0</v>
      </c>
      <c r="BH95" s="176">
        <v>0</v>
      </c>
      <c r="BI95" s="122">
        <f>BI94/BC94-1</f>
        <v>-3.839791189238595E-2</v>
      </c>
      <c r="BJ95" s="241"/>
      <c r="BK95" s="109">
        <f>BK94/BE94-1</f>
        <v>-1.0000000000000231E-2</v>
      </c>
      <c r="BL95" s="110">
        <f>BL94/BF94-1</f>
        <v>-1.0000000000000009E-2</v>
      </c>
      <c r="BM95" s="175">
        <v>0</v>
      </c>
      <c r="BN95" s="176">
        <v>0</v>
      </c>
      <c r="BO95" s="122">
        <f>BO94/BI94-1</f>
        <v>-1.0000000000000231E-2</v>
      </c>
      <c r="BP95" s="241"/>
      <c r="BQ95" s="109">
        <f>BQ94/BK94-1</f>
        <v>-9.9999999999997868E-3</v>
      </c>
      <c r="BR95" s="110">
        <f>BR94/BL94-1</f>
        <v>-1.000000000000012E-2</v>
      </c>
      <c r="BS95" s="175">
        <v>0</v>
      </c>
      <c r="BT95" s="176">
        <v>0</v>
      </c>
      <c r="BU95" s="122">
        <f>BU94/BO94-1</f>
        <v>-1.0000000000000009E-2</v>
      </c>
    </row>
    <row r="96" spans="2:73" ht="15" x14ac:dyDescent="0.3">
      <c r="B96" s="6"/>
      <c r="C96" s="166"/>
      <c r="D96" s="166"/>
      <c r="E96" s="166"/>
      <c r="F96" s="166"/>
      <c r="G96" s="166"/>
      <c r="H96" s="166"/>
      <c r="I96" s="166"/>
      <c r="J96" s="166"/>
      <c r="K96" s="166"/>
      <c r="L96" s="166"/>
      <c r="M96" s="166"/>
      <c r="N96" s="166"/>
      <c r="O96" s="166"/>
      <c r="P96" s="166"/>
      <c r="Q96" s="166"/>
      <c r="R96" s="166"/>
      <c r="S96" s="166"/>
      <c r="T96" s="166"/>
      <c r="U96" s="166"/>
      <c r="V96" s="166"/>
      <c r="W96" s="166"/>
      <c r="X96" s="166"/>
      <c r="Y96" s="166"/>
      <c r="Z96" s="241"/>
      <c r="AA96" s="166"/>
      <c r="AB96" s="166"/>
      <c r="AC96" s="166"/>
      <c r="AD96" s="166"/>
      <c r="AE96" s="166"/>
      <c r="AF96" s="241"/>
      <c r="AG96" s="166"/>
      <c r="AH96" s="166"/>
      <c r="AI96" s="166"/>
      <c r="AJ96" s="166"/>
      <c r="AK96" s="166"/>
      <c r="AL96" s="241"/>
      <c r="AM96" s="166"/>
      <c r="AN96" s="166"/>
      <c r="AO96" s="166"/>
      <c r="AP96" s="166"/>
      <c r="AQ96" s="166"/>
      <c r="AR96" s="241"/>
      <c r="AS96" s="166"/>
      <c r="AT96" s="166"/>
      <c r="AU96" s="166"/>
      <c r="AV96" s="166"/>
      <c r="AW96" s="166"/>
      <c r="AX96" s="241"/>
      <c r="AY96" s="166"/>
      <c r="AZ96" s="166"/>
      <c r="BA96" s="166"/>
      <c r="BB96" s="166"/>
      <c r="BC96" s="166"/>
      <c r="BD96" s="241"/>
      <c r="BE96" s="166"/>
      <c r="BF96" s="166"/>
      <c r="BG96" s="166"/>
      <c r="BH96" s="166"/>
      <c r="BI96" s="166"/>
      <c r="BJ96" s="241"/>
      <c r="BK96" s="166"/>
      <c r="BL96" s="166"/>
      <c r="BM96" s="166"/>
      <c r="BN96" s="166"/>
      <c r="BO96" s="166"/>
      <c r="BP96" s="241"/>
      <c r="BQ96" s="166"/>
      <c r="BR96" s="166"/>
      <c r="BS96" s="166"/>
      <c r="BT96" s="166"/>
      <c r="BU96" s="166"/>
    </row>
    <row r="98" spans="1:73" x14ac:dyDescent="0.2">
      <c r="A98" s="278"/>
      <c r="B98" s="278"/>
      <c r="C98" s="279"/>
      <c r="D98" s="279"/>
      <c r="E98" s="279"/>
      <c r="F98" s="279"/>
      <c r="G98" s="279"/>
      <c r="H98" s="279"/>
      <c r="I98" s="279"/>
      <c r="J98" s="279"/>
      <c r="K98" s="279"/>
      <c r="L98" s="279"/>
      <c r="M98" s="279"/>
      <c r="N98" s="279"/>
      <c r="O98" s="279"/>
      <c r="P98" s="279"/>
      <c r="Q98" s="279"/>
      <c r="R98" s="279"/>
      <c r="S98" s="279"/>
      <c r="T98" s="279"/>
      <c r="U98" s="279"/>
      <c r="V98" s="279"/>
      <c r="W98" s="279"/>
      <c r="X98" s="279"/>
      <c r="Y98" s="279"/>
      <c r="Z98" s="278"/>
      <c r="AA98" s="278"/>
      <c r="AB98" s="278"/>
      <c r="AC98" s="278"/>
      <c r="AD98" s="278"/>
      <c r="AE98" s="278"/>
      <c r="AF98" s="278"/>
      <c r="AG98" s="278"/>
      <c r="AH98" s="278"/>
      <c r="AI98" s="278"/>
      <c r="AJ98" s="278"/>
      <c r="AK98" s="278"/>
      <c r="AL98" s="278"/>
      <c r="AM98" s="278"/>
      <c r="AN98" s="278"/>
      <c r="AO98" s="278"/>
      <c r="AP98" s="278"/>
      <c r="AQ98" s="278"/>
      <c r="AR98" s="278"/>
      <c r="AS98" s="278"/>
      <c r="AT98" s="278"/>
      <c r="AU98" s="278"/>
      <c r="AV98" s="278"/>
      <c r="AW98" s="278"/>
      <c r="AX98" s="278"/>
      <c r="AY98" s="278"/>
      <c r="AZ98" s="278"/>
      <c r="BA98" s="278"/>
      <c r="BB98" s="278"/>
      <c r="BC98" s="278"/>
      <c r="BD98" s="278"/>
      <c r="BE98" s="278"/>
      <c r="BF98" s="278"/>
      <c r="BG98" s="278"/>
      <c r="BH98" s="278"/>
      <c r="BI98" s="278"/>
      <c r="BJ98" s="278"/>
      <c r="BK98" s="278"/>
      <c r="BL98" s="278"/>
      <c r="BM98" s="278"/>
      <c r="BN98" s="278"/>
      <c r="BO98" s="278"/>
      <c r="BP98" s="278"/>
      <c r="BQ98" s="278"/>
      <c r="BR98" s="278"/>
      <c r="BS98" s="278"/>
      <c r="BT98" s="278"/>
      <c r="BU98" s="278"/>
    </row>
    <row r="100" spans="1:73" ht="13.5" thickBot="1" x14ac:dyDescent="0.25">
      <c r="B100" s="281" t="s">
        <v>109</v>
      </c>
    </row>
    <row r="101" spans="1:73" x14ac:dyDescent="0.2">
      <c r="C101" s="712">
        <v>2007</v>
      </c>
      <c r="D101" s="713"/>
      <c r="E101" s="713"/>
      <c r="F101" s="713"/>
      <c r="G101" s="714"/>
      <c r="H101" s="129"/>
      <c r="I101" s="712">
        <v>2008</v>
      </c>
      <c r="J101" s="713"/>
      <c r="K101" s="713"/>
      <c r="L101" s="713"/>
      <c r="M101" s="714"/>
      <c r="N101" s="129"/>
      <c r="O101" s="712">
        <v>2009</v>
      </c>
      <c r="P101" s="713"/>
      <c r="Q101" s="713"/>
      <c r="R101" s="713"/>
      <c r="S101" s="714"/>
      <c r="T101" s="129"/>
      <c r="U101" s="712">
        <v>2010</v>
      </c>
      <c r="V101" s="713"/>
      <c r="W101" s="713"/>
      <c r="X101" s="713"/>
      <c r="Y101" s="714"/>
      <c r="Z101" s="241"/>
      <c r="AA101" s="712">
        <v>2011</v>
      </c>
      <c r="AB101" s="713"/>
      <c r="AC101" s="713"/>
      <c r="AD101" s="713"/>
      <c r="AE101" s="714"/>
      <c r="AG101" s="712">
        <v>2012</v>
      </c>
      <c r="AH101" s="713"/>
      <c r="AI101" s="713"/>
      <c r="AJ101" s="713"/>
      <c r="AK101" s="714"/>
      <c r="AM101" s="712">
        <v>2013</v>
      </c>
      <c r="AN101" s="713"/>
      <c r="AO101" s="713"/>
      <c r="AP101" s="713"/>
      <c r="AQ101" s="714"/>
      <c r="AS101" s="712">
        <v>2014</v>
      </c>
      <c r="AT101" s="713"/>
      <c r="AU101" s="713"/>
      <c r="AV101" s="713"/>
      <c r="AW101" s="714"/>
      <c r="AY101" s="712">
        <v>2015</v>
      </c>
      <c r="AZ101" s="713"/>
      <c r="BA101" s="713"/>
      <c r="BB101" s="713"/>
      <c r="BC101" s="714"/>
      <c r="BE101" s="712">
        <v>2016</v>
      </c>
      <c r="BF101" s="713"/>
      <c r="BG101" s="713"/>
      <c r="BH101" s="713"/>
      <c r="BI101" s="714"/>
      <c r="BK101" s="712">
        <v>2017</v>
      </c>
      <c r="BL101" s="713"/>
      <c r="BM101" s="713"/>
      <c r="BN101" s="713"/>
      <c r="BO101" s="714"/>
      <c r="BQ101" s="712">
        <v>2018</v>
      </c>
      <c r="BR101" s="713"/>
      <c r="BS101" s="713"/>
      <c r="BT101" s="713"/>
      <c r="BU101" s="714"/>
    </row>
    <row r="102" spans="1:73" ht="13.5" thickBot="1" x14ac:dyDescent="0.25">
      <c r="C102" s="130" t="s">
        <v>20</v>
      </c>
      <c r="D102" s="131" t="s">
        <v>19</v>
      </c>
      <c r="E102" s="131" t="s">
        <v>22</v>
      </c>
      <c r="F102" s="131" t="s">
        <v>21</v>
      </c>
      <c r="G102" s="132" t="s">
        <v>39</v>
      </c>
      <c r="H102" s="129"/>
      <c r="I102" s="130" t="s">
        <v>20</v>
      </c>
      <c r="J102" s="131" t="s">
        <v>19</v>
      </c>
      <c r="K102" s="131" t="s">
        <v>22</v>
      </c>
      <c r="L102" s="131" t="s">
        <v>21</v>
      </c>
      <c r="M102" s="132" t="s">
        <v>39</v>
      </c>
      <c r="N102" s="129"/>
      <c r="O102" s="130" t="s">
        <v>20</v>
      </c>
      <c r="P102" s="131" t="s">
        <v>19</v>
      </c>
      <c r="Q102" s="131" t="s">
        <v>22</v>
      </c>
      <c r="R102" s="131" t="s">
        <v>21</v>
      </c>
      <c r="S102" s="132" t="s">
        <v>39</v>
      </c>
      <c r="T102" s="129"/>
      <c r="U102" s="130" t="s">
        <v>20</v>
      </c>
      <c r="V102" s="131" t="s">
        <v>19</v>
      </c>
      <c r="W102" s="131" t="s">
        <v>22</v>
      </c>
      <c r="X102" s="131" t="s">
        <v>21</v>
      </c>
      <c r="Y102" s="132" t="s">
        <v>39</v>
      </c>
      <c r="Z102" s="241"/>
      <c r="AA102" s="130" t="s">
        <v>20</v>
      </c>
      <c r="AB102" s="131" t="s">
        <v>19</v>
      </c>
      <c r="AC102" s="131" t="s">
        <v>22</v>
      </c>
      <c r="AD102" s="131" t="s">
        <v>21</v>
      </c>
      <c r="AE102" s="132" t="s">
        <v>39</v>
      </c>
      <c r="AG102" s="130" t="s">
        <v>20</v>
      </c>
      <c r="AH102" s="131" t="s">
        <v>19</v>
      </c>
      <c r="AI102" s="131" t="s">
        <v>22</v>
      </c>
      <c r="AJ102" s="131" t="s">
        <v>21</v>
      </c>
      <c r="AK102" s="132" t="s">
        <v>39</v>
      </c>
      <c r="AM102" s="130" t="s">
        <v>20</v>
      </c>
      <c r="AN102" s="131" t="s">
        <v>19</v>
      </c>
      <c r="AO102" s="131" t="s">
        <v>22</v>
      </c>
      <c r="AP102" s="131" t="s">
        <v>21</v>
      </c>
      <c r="AQ102" s="132" t="s">
        <v>39</v>
      </c>
      <c r="AS102" s="130" t="s">
        <v>20</v>
      </c>
      <c r="AT102" s="131" t="s">
        <v>19</v>
      </c>
      <c r="AU102" s="131" t="s">
        <v>22</v>
      </c>
      <c r="AV102" s="131" t="s">
        <v>21</v>
      </c>
      <c r="AW102" s="132" t="s">
        <v>39</v>
      </c>
      <c r="AY102" s="130" t="s">
        <v>20</v>
      </c>
      <c r="AZ102" s="131" t="s">
        <v>19</v>
      </c>
      <c r="BA102" s="131" t="s">
        <v>22</v>
      </c>
      <c r="BB102" s="131" t="s">
        <v>21</v>
      </c>
      <c r="BC102" s="132" t="s">
        <v>39</v>
      </c>
      <c r="BE102" s="130" t="s">
        <v>20</v>
      </c>
      <c r="BF102" s="131" t="s">
        <v>19</v>
      </c>
      <c r="BG102" s="131" t="s">
        <v>22</v>
      </c>
      <c r="BH102" s="131" t="s">
        <v>21</v>
      </c>
      <c r="BI102" s="132" t="s">
        <v>39</v>
      </c>
      <c r="BK102" s="130" t="s">
        <v>20</v>
      </c>
      <c r="BL102" s="131" t="s">
        <v>19</v>
      </c>
      <c r="BM102" s="131" t="s">
        <v>22</v>
      </c>
      <c r="BN102" s="131" t="s">
        <v>21</v>
      </c>
      <c r="BO102" s="132" t="s">
        <v>39</v>
      </c>
      <c r="BQ102" s="130" t="s">
        <v>20</v>
      </c>
      <c r="BR102" s="131" t="s">
        <v>19</v>
      </c>
      <c r="BS102" s="131" t="s">
        <v>22</v>
      </c>
      <c r="BT102" s="131" t="s">
        <v>21</v>
      </c>
      <c r="BU102" s="132" t="s">
        <v>39</v>
      </c>
    </row>
    <row r="103" spans="1:73" ht="13.5" thickBot="1" x14ac:dyDescent="0.25"/>
    <row r="104" spans="1:73" x14ac:dyDescent="0.2">
      <c r="B104" s="231" t="s">
        <v>106</v>
      </c>
      <c r="C104" s="221"/>
      <c r="D104" s="222"/>
      <c r="E104" s="222"/>
      <c r="F104" s="222"/>
      <c r="G104" s="224"/>
      <c r="H104" s="107"/>
      <c r="I104" s="221"/>
      <c r="J104" s="222"/>
      <c r="K104" s="222"/>
      <c r="L104" s="222"/>
      <c r="M104" s="224"/>
      <c r="N104" s="107"/>
      <c r="O104" s="198">
        <v>780</v>
      </c>
      <c r="P104" s="199">
        <v>783</v>
      </c>
      <c r="Q104" s="199">
        <v>788</v>
      </c>
      <c r="R104" s="199">
        <v>874</v>
      </c>
      <c r="S104" s="201">
        <f>O104+P104+Q104+R104</f>
        <v>3225</v>
      </c>
      <c r="T104" s="204"/>
      <c r="U104" s="198">
        <v>745</v>
      </c>
      <c r="V104" s="199">
        <v>748</v>
      </c>
      <c r="W104" s="199">
        <v>761</v>
      </c>
      <c r="X104" s="200">
        <v>832</v>
      </c>
      <c r="Y104" s="201">
        <f>U104+V104+W104+X104</f>
        <v>3086</v>
      </c>
      <c r="Z104" s="312"/>
      <c r="AA104" s="198">
        <v>771</v>
      </c>
      <c r="AB104" s="199">
        <v>770</v>
      </c>
      <c r="AC104" s="199">
        <v>803</v>
      </c>
      <c r="AD104" s="199">
        <v>853</v>
      </c>
      <c r="AE104" s="201">
        <f>AA104+AB104+AC104+AD104</f>
        <v>3197</v>
      </c>
      <c r="AF104" s="312"/>
      <c r="AG104" s="198">
        <v>809</v>
      </c>
      <c r="AH104" s="199">
        <v>766</v>
      </c>
      <c r="AI104" s="199">
        <f>AC104*(1+AI105)</f>
        <v>782.92499999999995</v>
      </c>
      <c r="AJ104" s="199">
        <f>AD104*(1+AJ105)</f>
        <v>840.20500000000004</v>
      </c>
      <c r="AK104" s="201">
        <f>AG104+AH104+AI104+AJ104</f>
        <v>3198.13</v>
      </c>
      <c r="AL104" s="312"/>
      <c r="AM104" s="198">
        <f>AG104*(1+AM105)</f>
        <v>800.91</v>
      </c>
      <c r="AN104" s="199">
        <f>AH104*(1+AN105)</f>
        <v>758.34</v>
      </c>
      <c r="AO104" s="199">
        <f>AI104*(1+AO105)</f>
        <v>775.09574999999995</v>
      </c>
      <c r="AP104" s="199">
        <f>AJ104*(1+AP105)</f>
        <v>831.80295000000001</v>
      </c>
      <c r="AQ104" s="201">
        <f>AM104+AN104+AO104+AP104</f>
        <v>3166.1486999999997</v>
      </c>
      <c r="AR104" s="312"/>
      <c r="AS104" s="198">
        <f>AM104*(1+AS105)</f>
        <v>788.89634999999998</v>
      </c>
      <c r="AT104" s="199">
        <f>AN104*(1+AT105)</f>
        <v>746.96490000000006</v>
      </c>
      <c r="AU104" s="199">
        <f>AO104*(1+AU105)</f>
        <v>763.46931374999997</v>
      </c>
      <c r="AV104" s="199">
        <f>AP104*(1+AV105)</f>
        <v>819.32590574999995</v>
      </c>
      <c r="AW104" s="201">
        <f>AS104+AT104+AU104+AV104</f>
        <v>3118.6564694999997</v>
      </c>
      <c r="AX104" s="312"/>
      <c r="AY104" s="198">
        <f>AS104*(1+AY105)</f>
        <v>777.06290475000003</v>
      </c>
      <c r="AZ104" s="199">
        <f>AT104*(1+AZ105)</f>
        <v>735.76042649999999</v>
      </c>
      <c r="BA104" s="199">
        <f>AU104*(1+BA105)</f>
        <v>752.01727404374992</v>
      </c>
      <c r="BB104" s="199">
        <f>AV104*(1+BB105)</f>
        <v>807.03601716374999</v>
      </c>
      <c r="BC104" s="201">
        <f>AY104+AZ104+BA104+BB104</f>
        <v>3071.8766224574997</v>
      </c>
      <c r="BD104" s="312"/>
      <c r="BE104" s="198">
        <f>AY104*(1+BE105)</f>
        <v>765.40696117875007</v>
      </c>
      <c r="BF104" s="199">
        <f>AZ104*(1+BF105)</f>
        <v>724.72402010249994</v>
      </c>
      <c r="BG104" s="199">
        <f>BA104*(1+BG105)</f>
        <v>740.73701493309363</v>
      </c>
      <c r="BH104" s="199">
        <f>BB104*(1+BH105)</f>
        <v>794.93047690629373</v>
      </c>
      <c r="BI104" s="201">
        <f>BE104+BF104+BG104+BH104</f>
        <v>3025.7984731206375</v>
      </c>
      <c r="BJ104" s="312"/>
      <c r="BK104" s="198">
        <f>BE104*(1+BK105)</f>
        <v>753.92585676106876</v>
      </c>
      <c r="BL104" s="199">
        <f>BF104*(1+BL105)</f>
        <v>713.85315980096243</v>
      </c>
      <c r="BM104" s="199">
        <f>BG104*(1+BM105)</f>
        <v>729.62595970909717</v>
      </c>
      <c r="BN104" s="199">
        <f>BH104*(1+BN105)</f>
        <v>783.00651975269932</v>
      </c>
      <c r="BO104" s="201">
        <f>BK104+BL104+BM104+BN104</f>
        <v>2980.4114960238276</v>
      </c>
      <c r="BP104" s="312"/>
      <c r="BQ104" s="198">
        <f>BK104*(1+BQ105)</f>
        <v>742.61696890965277</v>
      </c>
      <c r="BR104" s="199">
        <f>BL104*(1+BR105)</f>
        <v>703.14536240394796</v>
      </c>
      <c r="BS104" s="199">
        <f>BM104*(1+BS105)</f>
        <v>718.68157031346072</v>
      </c>
      <c r="BT104" s="199">
        <f>BN104*(1+BT105)</f>
        <v>771.26142195640887</v>
      </c>
      <c r="BU104" s="201">
        <f>BQ104+BR104+BS104+BT104</f>
        <v>2935.7053235834705</v>
      </c>
    </row>
    <row r="105" spans="1:73" ht="13.5" thickBot="1" x14ac:dyDescent="0.25">
      <c r="B105" s="242" t="s">
        <v>83</v>
      </c>
      <c r="C105" s="130"/>
      <c r="D105" s="131"/>
      <c r="E105" s="131"/>
      <c r="F105" s="131"/>
      <c r="G105" s="275"/>
      <c r="H105" s="107"/>
      <c r="I105" s="155"/>
      <c r="J105" s="106"/>
      <c r="K105" s="106"/>
      <c r="L105" s="106"/>
      <c r="M105" s="122"/>
      <c r="N105" s="107"/>
      <c r="O105" s="109"/>
      <c r="P105" s="110"/>
      <c r="Q105" s="110"/>
      <c r="R105" s="110"/>
      <c r="S105" s="122"/>
      <c r="T105" s="107"/>
      <c r="U105" s="109">
        <f>U104/O104-1</f>
        <v>-4.4871794871794823E-2</v>
      </c>
      <c r="V105" s="110">
        <f>V104/P104-1</f>
        <v>-4.469987228607919E-2</v>
      </c>
      <c r="W105" s="110">
        <f>W104/Q104-1</f>
        <v>-3.4263959390862908E-2</v>
      </c>
      <c r="X105" s="110">
        <f>X104/R104-1</f>
        <v>-4.8054919908466776E-2</v>
      </c>
      <c r="Y105" s="122">
        <f>Y104/S104-1</f>
        <v>-4.3100775193798402E-2</v>
      </c>
      <c r="Z105" s="241"/>
      <c r="AA105" s="109">
        <f>AA104/U104-1</f>
        <v>3.4899328859060441E-2</v>
      </c>
      <c r="AB105" s="110">
        <f>AB104/V104-1</f>
        <v>2.9411764705882248E-2</v>
      </c>
      <c r="AC105" s="110">
        <f>AC104/W104-1</f>
        <v>5.5190538764783081E-2</v>
      </c>
      <c r="AD105" s="110">
        <f>AD104/X104-1</f>
        <v>2.5240384615384581E-2</v>
      </c>
      <c r="AE105" s="122">
        <f>AE104/Y104-1</f>
        <v>3.5968891769280642E-2</v>
      </c>
      <c r="AF105" s="241"/>
      <c r="AG105" s="109">
        <f>AG104/AA104-1</f>
        <v>4.9286640726329489E-2</v>
      </c>
      <c r="AH105" s="110">
        <f>AH104/AB104-1</f>
        <v>-5.1948051948051965E-3</v>
      </c>
      <c r="AI105" s="175">
        <v>-2.5000000000000001E-2</v>
      </c>
      <c r="AJ105" s="175">
        <v>-1.4999999999999999E-2</v>
      </c>
      <c r="AK105" s="122">
        <f>AK104/AE104-1</f>
        <v>3.5345636534245273E-4</v>
      </c>
      <c r="AL105" s="241"/>
      <c r="AM105" s="174">
        <v>-0.01</v>
      </c>
      <c r="AN105" s="175">
        <v>-0.01</v>
      </c>
      <c r="AO105" s="175">
        <v>-0.01</v>
      </c>
      <c r="AP105" s="175">
        <v>-0.01</v>
      </c>
      <c r="AQ105" s="122">
        <f>AQ104/AK104-1</f>
        <v>-1.000000000000012E-2</v>
      </c>
      <c r="AR105" s="241"/>
      <c r="AS105" s="174">
        <v>-1.4999999999999999E-2</v>
      </c>
      <c r="AT105" s="175">
        <v>-1.4999999999999999E-2</v>
      </c>
      <c r="AU105" s="175">
        <v>-1.4999999999999999E-2</v>
      </c>
      <c r="AV105" s="175">
        <v>-1.4999999999999999E-2</v>
      </c>
      <c r="AW105" s="122">
        <f>AW104/AQ104-1</f>
        <v>-1.5000000000000013E-2</v>
      </c>
      <c r="AX105" s="241"/>
      <c r="AY105" s="174">
        <v>-1.4999999999999999E-2</v>
      </c>
      <c r="AZ105" s="175">
        <v>-1.4999999999999999E-2</v>
      </c>
      <c r="BA105" s="175">
        <v>-1.4999999999999999E-2</v>
      </c>
      <c r="BB105" s="175">
        <v>-1.4999999999999999E-2</v>
      </c>
      <c r="BC105" s="122">
        <f>BC104/AW104-1</f>
        <v>-1.5000000000000013E-2</v>
      </c>
      <c r="BD105" s="241"/>
      <c r="BE105" s="174">
        <v>-1.4999999999999999E-2</v>
      </c>
      <c r="BF105" s="175">
        <v>-1.4999999999999999E-2</v>
      </c>
      <c r="BG105" s="175">
        <v>-1.4999999999999999E-2</v>
      </c>
      <c r="BH105" s="175">
        <v>-1.4999999999999999E-2</v>
      </c>
      <c r="BI105" s="122">
        <f>BI104/BC104-1</f>
        <v>-1.4999999999999902E-2</v>
      </c>
      <c r="BJ105" s="241"/>
      <c r="BK105" s="174">
        <v>-1.4999999999999999E-2</v>
      </c>
      <c r="BL105" s="175">
        <v>-1.4999999999999999E-2</v>
      </c>
      <c r="BM105" s="175">
        <v>-1.4999999999999999E-2</v>
      </c>
      <c r="BN105" s="175">
        <v>-1.4999999999999999E-2</v>
      </c>
      <c r="BO105" s="122">
        <f>BO104/BI104-1</f>
        <v>-1.5000000000000124E-2</v>
      </c>
      <c r="BP105" s="241"/>
      <c r="BQ105" s="174">
        <v>-1.4999999999999999E-2</v>
      </c>
      <c r="BR105" s="175">
        <v>-1.4999999999999999E-2</v>
      </c>
      <c r="BS105" s="175">
        <v>-1.4999999999999999E-2</v>
      </c>
      <c r="BT105" s="175">
        <v>-1.4999999999999999E-2</v>
      </c>
      <c r="BU105" s="122">
        <f>BU104/BO104-1</f>
        <v>-1.4999999999999902E-2</v>
      </c>
    </row>
    <row r="106" spans="1:73" ht="13.5" thickBot="1" x14ac:dyDescent="0.25">
      <c r="B106" s="241"/>
      <c r="C106" s="107"/>
      <c r="D106" s="107"/>
      <c r="E106" s="107"/>
      <c r="F106" s="107"/>
      <c r="G106" s="107"/>
      <c r="H106" s="107"/>
      <c r="S106" s="166"/>
      <c r="T106" s="107"/>
      <c r="U106" s="107"/>
      <c r="V106" s="107"/>
      <c r="W106" s="107"/>
      <c r="X106" s="107"/>
      <c r="Y106" s="107"/>
      <c r="Z106" s="241"/>
      <c r="AA106" s="107"/>
      <c r="AB106" s="107"/>
      <c r="AC106" s="107"/>
      <c r="AD106" s="107"/>
      <c r="AE106" s="107"/>
      <c r="AG106" s="107"/>
      <c r="AH106" s="107"/>
      <c r="AI106" s="107"/>
      <c r="AJ106" s="107"/>
      <c r="AK106" s="107"/>
      <c r="AM106" s="107"/>
      <c r="AN106" s="107"/>
      <c r="AO106" s="107"/>
      <c r="AP106" s="107"/>
      <c r="AQ106" s="107"/>
      <c r="AS106" s="107"/>
      <c r="AT106" s="107"/>
      <c r="AU106" s="107"/>
      <c r="AV106" s="107"/>
      <c r="AW106" s="107"/>
      <c r="AY106" s="107"/>
      <c r="AZ106" s="107"/>
      <c r="BA106" s="107"/>
      <c r="BB106" s="107"/>
      <c r="BC106" s="107"/>
      <c r="BE106" s="107"/>
      <c r="BF106" s="107"/>
      <c r="BG106" s="107"/>
      <c r="BH106" s="107"/>
      <c r="BI106" s="107"/>
      <c r="BK106" s="107"/>
      <c r="BL106" s="107"/>
      <c r="BM106" s="107"/>
      <c r="BN106" s="107"/>
      <c r="BO106" s="107"/>
      <c r="BQ106" s="107"/>
      <c r="BR106" s="107"/>
      <c r="BS106" s="107"/>
      <c r="BT106" s="107"/>
      <c r="BU106" s="107"/>
    </row>
    <row r="107" spans="1:73" ht="15" x14ac:dyDescent="0.3">
      <c r="B107" s="139" t="s">
        <v>61</v>
      </c>
      <c r="C107" s="221"/>
      <c r="D107" s="222"/>
      <c r="E107" s="222"/>
      <c r="F107" s="222"/>
      <c r="G107" s="224"/>
      <c r="H107" s="107"/>
      <c r="I107" s="221"/>
      <c r="J107" s="222"/>
      <c r="K107" s="222"/>
      <c r="L107" s="222"/>
      <c r="M107" s="224"/>
      <c r="N107" s="107"/>
      <c r="O107" s="251">
        <v>88</v>
      </c>
      <c r="P107" s="252">
        <v>43</v>
      </c>
      <c r="Q107" s="252">
        <v>36</v>
      </c>
      <c r="R107" s="258">
        <v>41</v>
      </c>
      <c r="S107" s="253">
        <f>O107+P107+Q107+R107</f>
        <v>208</v>
      </c>
      <c r="T107" s="194"/>
      <c r="U107" s="251">
        <v>31</v>
      </c>
      <c r="V107" s="252">
        <v>24</v>
      </c>
      <c r="W107" s="212">
        <v>28</v>
      </c>
      <c r="X107" s="210">
        <v>19</v>
      </c>
      <c r="Y107" s="202">
        <f>U107+V107+W107+X107</f>
        <v>102</v>
      </c>
      <c r="Z107" s="342"/>
      <c r="AA107" s="211">
        <v>35</v>
      </c>
      <c r="AB107" s="212">
        <v>79</v>
      </c>
      <c r="AC107" s="212">
        <v>27</v>
      </c>
      <c r="AD107" s="212">
        <v>94</v>
      </c>
      <c r="AE107" s="202">
        <f>AA107+AB107+AC107+AD107</f>
        <v>235</v>
      </c>
      <c r="AF107" s="254"/>
      <c r="AG107" s="211">
        <v>148</v>
      </c>
      <c r="AH107" s="212">
        <v>135</v>
      </c>
      <c r="AI107" s="212">
        <f>AI104*AI110</f>
        <v>57.641999999999996</v>
      </c>
      <c r="AJ107" s="212">
        <f>AJ104*AJ110</f>
        <v>113.59512500000001</v>
      </c>
      <c r="AK107" s="202">
        <f>AG107+AH107+AI107+AJ107</f>
        <v>454.23712499999999</v>
      </c>
      <c r="AL107" s="254"/>
      <c r="AM107" s="211">
        <f>AM104*AM110</f>
        <v>158.53364999999999</v>
      </c>
      <c r="AN107" s="212">
        <f>AN104*AN110</f>
        <v>139.33754999999999</v>
      </c>
      <c r="AO107" s="212">
        <f>AO104*AO110</f>
        <v>59.003319375000004</v>
      </c>
      <c r="AP107" s="212">
        <f>AP104*AP110</f>
        <v>114.53868112500001</v>
      </c>
      <c r="AQ107" s="202">
        <f>AM107+AN107+AO107+AP107</f>
        <v>471.41320050000002</v>
      </c>
      <c r="AR107" s="254"/>
      <c r="AS107" s="211">
        <f>AS104*AS110</f>
        <v>158.127886125</v>
      </c>
      <c r="AT107" s="212">
        <f>AT104*AT110</f>
        <v>139.11489900000001</v>
      </c>
      <c r="AU107" s="212">
        <f>AU104*AU110</f>
        <v>60.026942868750005</v>
      </c>
      <c r="AV107" s="212">
        <f>AV104*AV110</f>
        <v>114.86891567249999</v>
      </c>
      <c r="AW107" s="202">
        <f>AS107+AT107+AU107+AV107</f>
        <v>472.13864366625</v>
      </c>
      <c r="AX107" s="254"/>
      <c r="AY107" s="211">
        <f>AY104*AY110</f>
        <v>157.69862509500001</v>
      </c>
      <c r="AZ107" s="212">
        <f>AZ104*AZ110</f>
        <v>138.86757658125001</v>
      </c>
      <c r="BA107" s="212">
        <f>BA104*BA110</f>
        <v>61.006581910828125</v>
      </c>
      <c r="BB107" s="212">
        <f>BB104*BB110</f>
        <v>115.16347198032189</v>
      </c>
      <c r="BC107" s="202">
        <f>AY107+AZ107+BA107+BB107</f>
        <v>472.73625556740001</v>
      </c>
      <c r="BD107" s="254"/>
      <c r="BE107" s="211">
        <f>BE104*BE110</f>
        <v>157.24666312152192</v>
      </c>
      <c r="BF107" s="212">
        <f>BF104*BF110</f>
        <v>138.5963729827875</v>
      </c>
      <c r="BG107" s="212">
        <f>BG104*BG110</f>
        <v>61.943325719498439</v>
      </c>
      <c r="BH107" s="212">
        <f>BH104*BH110</f>
        <v>115.4233460928828</v>
      </c>
      <c r="BI107" s="202">
        <f>BE107+BF107+BG107+BH107</f>
        <v>473.20970791669066</v>
      </c>
      <c r="BJ107" s="254"/>
      <c r="BK107" s="211">
        <f>BK104*BK110</f>
        <v>154.88796317469905</v>
      </c>
      <c r="BL107" s="212">
        <f>BL104*BL110</f>
        <v>136.51742738804569</v>
      </c>
      <c r="BM107" s="212">
        <f>BM104*BM110</f>
        <v>61.014175833705956</v>
      </c>
      <c r="BN107" s="212">
        <f>BN104*BN110</f>
        <v>113.69199590148955</v>
      </c>
      <c r="BO107" s="202">
        <f>BK107+BL107+BM107+BN107</f>
        <v>466.11156229794028</v>
      </c>
      <c r="BP107" s="254"/>
      <c r="BQ107" s="211">
        <f>BQ104*BQ110</f>
        <v>152.56464372707859</v>
      </c>
      <c r="BR107" s="212">
        <f>BR104*BR110</f>
        <v>134.46966597722499</v>
      </c>
      <c r="BS107" s="212">
        <f>BS104*BS110</f>
        <v>60.098963196200366</v>
      </c>
      <c r="BT107" s="212">
        <f>BT104*BT110</f>
        <v>111.98661596296721</v>
      </c>
      <c r="BU107" s="202">
        <f>BQ107+BR107+BS107+BT107</f>
        <v>459.1198888634712</v>
      </c>
    </row>
    <row r="108" spans="1:73" ht="13.5" thickBot="1" x14ac:dyDescent="0.25">
      <c r="B108" s="242" t="s">
        <v>83</v>
      </c>
      <c r="C108" s="155"/>
      <c r="D108" s="106"/>
      <c r="E108" s="106"/>
      <c r="F108" s="106"/>
      <c r="G108" s="108"/>
      <c r="H108" s="107"/>
      <c r="I108" s="155"/>
      <c r="J108" s="106"/>
      <c r="K108" s="106"/>
      <c r="L108" s="106"/>
      <c r="M108" s="122"/>
      <c r="N108" s="107"/>
      <c r="O108" s="109" t="s">
        <v>35</v>
      </c>
      <c r="P108" s="110" t="s">
        <v>35</v>
      </c>
      <c r="Q108" s="110"/>
      <c r="R108" s="120"/>
      <c r="S108" s="122"/>
      <c r="T108" s="107"/>
      <c r="U108" s="109">
        <f>U107/O107-1</f>
        <v>-0.64772727272727271</v>
      </c>
      <c r="V108" s="110">
        <f>V107/P107-1</f>
        <v>-0.44186046511627908</v>
      </c>
      <c r="W108" s="110">
        <f>W107/Q107-1</f>
        <v>-0.22222222222222221</v>
      </c>
      <c r="X108" s="294">
        <f>X107/R107-1</f>
        <v>-0.53658536585365857</v>
      </c>
      <c r="Y108" s="295">
        <f>Y107/S107-1</f>
        <v>-0.50961538461538458</v>
      </c>
      <c r="Z108" s="241"/>
      <c r="AA108" s="289">
        <f>AA107/U107-1</f>
        <v>0.12903225806451624</v>
      </c>
      <c r="AB108" s="293">
        <f>AB107/V107-1</f>
        <v>2.2916666666666665</v>
      </c>
      <c r="AC108" s="293">
        <f>AC107/W107-1</f>
        <v>-3.5714285714285698E-2</v>
      </c>
      <c r="AD108" s="293">
        <f>AD107/X107-1</f>
        <v>3.9473684210526319</v>
      </c>
      <c r="AE108" s="295">
        <f>AE107/Y107-1</f>
        <v>1.3039215686274508</v>
      </c>
      <c r="AG108" s="289">
        <f>AG107/AA107-1</f>
        <v>3.2285714285714286</v>
      </c>
      <c r="AH108" s="293">
        <f>AH107/AB107-1</f>
        <v>0.70886075949367089</v>
      </c>
      <c r="AI108" s="293">
        <f>AI107/AC107-1</f>
        <v>1.1348888888888888</v>
      </c>
      <c r="AJ108" s="293">
        <f>AJ107/AD107-1</f>
        <v>0.20845877659574485</v>
      </c>
      <c r="AK108" s="295">
        <f>AK107/AE107-1</f>
        <v>0.93292393617021263</v>
      </c>
      <c r="AM108" s="289">
        <f>AM107/AG107-1</f>
        <v>7.1173310810810797E-2</v>
      </c>
      <c r="AN108" s="293">
        <f>AN107/AH107-1</f>
        <v>3.2129999999999992E-2</v>
      </c>
      <c r="AO108" s="293">
        <f>AO107/AI107-1</f>
        <v>2.3616796346414226E-2</v>
      </c>
      <c r="AP108" s="293">
        <f>AP107/AJ107-1</f>
        <v>8.3063082592673698E-3</v>
      </c>
      <c r="AQ108" s="295">
        <f>AQ107/AK107-1</f>
        <v>3.7813015613816336E-2</v>
      </c>
      <c r="AS108" s="289">
        <f>AS107/AM107-1</f>
        <v>-2.5594810628531972E-3</v>
      </c>
      <c r="AT108" s="293">
        <f>AT107/AN107-1</f>
        <v>-1.5979253259439385E-3</v>
      </c>
      <c r="AU108" s="293">
        <f>AU107/AO107-1</f>
        <v>1.7348574700421171E-2</v>
      </c>
      <c r="AV108" s="293">
        <f>AV107/AP107-1</f>
        <v>2.8831705084817472E-3</v>
      </c>
      <c r="AW108" s="295">
        <f>AW107/AQ107-1</f>
        <v>1.53886901232414E-3</v>
      </c>
      <c r="AY108" s="289">
        <f>AY107/AS107-1</f>
        <v>-2.7146447127021078E-3</v>
      </c>
      <c r="AZ108" s="293">
        <f>AZ107/AT107-1</f>
        <v>-1.777828403196402E-3</v>
      </c>
      <c r="BA108" s="293">
        <f>BA107/AU107-1</f>
        <v>1.6319988912647299E-2</v>
      </c>
      <c r="BB108" s="293">
        <f>BB107/AV107-1</f>
        <v>2.5642821306131047E-3</v>
      </c>
      <c r="BC108" s="295">
        <f>BC107/AW107-1</f>
        <v>1.2657551106374232E-3</v>
      </c>
      <c r="BE108" s="289">
        <f>BE107/AY107-1</f>
        <v>-2.865985503715196E-3</v>
      </c>
      <c r="BF108" s="293">
        <f>BF107/AZ107-1</f>
        <v>-1.9529655887947639E-3</v>
      </c>
      <c r="BG108" s="293">
        <f>BG107/BA107-1</f>
        <v>1.535479909429327E-2</v>
      </c>
      <c r="BH108" s="293">
        <f>BH107/BB107-1</f>
        <v>2.256567191768255E-3</v>
      </c>
      <c r="BI108" s="295">
        <f>BI107/BC107-1</f>
        <v>1.0015147848612127E-3</v>
      </c>
      <c r="BK108" s="289">
        <f>BK107/BE107-1</f>
        <v>-1.5000000000000235E-2</v>
      </c>
      <c r="BL108" s="293">
        <f>BL107/BF107-1</f>
        <v>-1.5000000000000013E-2</v>
      </c>
      <c r="BM108" s="293">
        <f>BM107/BG107-1</f>
        <v>-1.5000000000000124E-2</v>
      </c>
      <c r="BN108" s="293">
        <f>BN107/BH107-1</f>
        <v>-1.5000000000000013E-2</v>
      </c>
      <c r="BO108" s="295">
        <f>BO107/BI107-1</f>
        <v>-1.5000000000000013E-2</v>
      </c>
      <c r="BQ108" s="289">
        <f>BQ107/BK107-1</f>
        <v>-1.4999999999999902E-2</v>
      </c>
      <c r="BR108" s="293">
        <f>BR107/BL107-1</f>
        <v>-1.5000000000000124E-2</v>
      </c>
      <c r="BS108" s="293">
        <f>BS107/BM107-1</f>
        <v>-1.5000000000000013E-2</v>
      </c>
      <c r="BT108" s="293">
        <f>BT107/BN107-1</f>
        <v>-1.5000000000000013E-2</v>
      </c>
      <c r="BU108" s="295">
        <f>BU107/BO107-1</f>
        <v>-1.4999999999999902E-2</v>
      </c>
    </row>
    <row r="109" spans="1:73" ht="13.5" thickBot="1" x14ac:dyDescent="0.25">
      <c r="B109" s="241"/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241"/>
      <c r="AA109" s="107"/>
      <c r="AB109" s="107"/>
      <c r="AC109" s="107"/>
      <c r="AD109" s="107"/>
      <c r="AE109" s="107"/>
      <c r="AG109" s="107"/>
      <c r="AH109" s="107"/>
      <c r="AI109" s="107"/>
      <c r="AJ109" s="107"/>
      <c r="AK109" s="107"/>
      <c r="AM109" s="107"/>
      <c r="AN109" s="107"/>
      <c r="AO109" s="107"/>
      <c r="AP109" s="107"/>
      <c r="AQ109" s="107"/>
      <c r="AS109" s="107"/>
      <c r="AT109" s="107"/>
      <c r="AU109" s="107"/>
      <c r="AV109" s="107"/>
      <c r="AW109" s="107"/>
      <c r="AY109" s="107"/>
      <c r="AZ109" s="107"/>
      <c r="BA109" s="107"/>
      <c r="BB109" s="107"/>
      <c r="BC109" s="107"/>
      <c r="BE109" s="107"/>
      <c r="BF109" s="107"/>
      <c r="BG109" s="107"/>
      <c r="BH109" s="107"/>
      <c r="BI109" s="107"/>
      <c r="BK109" s="107"/>
      <c r="BL109" s="107"/>
      <c r="BM109" s="107"/>
      <c r="BN109" s="107"/>
      <c r="BO109" s="107"/>
      <c r="BQ109" s="107"/>
      <c r="BR109" s="107"/>
      <c r="BS109" s="107"/>
      <c r="BT109" s="107"/>
      <c r="BU109" s="107"/>
    </row>
    <row r="110" spans="1:73" ht="15" x14ac:dyDescent="0.3">
      <c r="B110" s="139" t="s">
        <v>36</v>
      </c>
      <c r="C110" s="221"/>
      <c r="D110" s="222"/>
      <c r="E110" s="222"/>
      <c r="F110" s="222"/>
      <c r="G110" s="224"/>
      <c r="H110" s="107"/>
      <c r="I110" s="283"/>
      <c r="J110" s="284"/>
      <c r="K110" s="284"/>
      <c r="L110" s="284"/>
      <c r="M110" s="191"/>
      <c r="N110" s="107"/>
      <c r="O110" s="209">
        <f>O107/O104</f>
        <v>0.11282051282051282</v>
      </c>
      <c r="P110" s="206">
        <f>P107/P104</f>
        <v>5.4916985951468711E-2</v>
      </c>
      <c r="Q110" s="206">
        <f>Q107/Q104</f>
        <v>4.5685279187817257E-2</v>
      </c>
      <c r="R110" s="207">
        <f>R107/R104</f>
        <v>4.691075514874142E-2</v>
      </c>
      <c r="S110" s="208">
        <f>S107/S104</f>
        <v>6.4496124031007754E-2</v>
      </c>
      <c r="T110" s="166"/>
      <c r="U110" s="209">
        <f>U107/U104</f>
        <v>4.1610738255033558E-2</v>
      </c>
      <c r="V110" s="206">
        <f>V107/V104</f>
        <v>3.2085561497326207E-2</v>
      </c>
      <c r="W110" s="206">
        <f>W107/W104</f>
        <v>3.6793692509855452E-2</v>
      </c>
      <c r="X110" s="206">
        <f>X107/X104</f>
        <v>2.283653846153846E-2</v>
      </c>
      <c r="Y110" s="302">
        <f>Y107/Y104</f>
        <v>3.3052495139338951E-2</v>
      </c>
      <c r="Z110" s="241"/>
      <c r="AA110" s="209">
        <f>AA107/AA104</f>
        <v>4.5395590142671853E-2</v>
      </c>
      <c r="AB110" s="206">
        <f>AB107/AB104</f>
        <v>0.1025974025974026</v>
      </c>
      <c r="AC110" s="206">
        <f>AC107/AC104</f>
        <v>3.3623910336239106E-2</v>
      </c>
      <c r="AD110" s="206">
        <f>AD107/AD104</f>
        <v>0.11019929660023446</v>
      </c>
      <c r="AE110" s="302">
        <f>AE107/AE104</f>
        <v>7.3506412261495152E-2</v>
      </c>
      <c r="AG110" s="209">
        <f>AG107/AG104</f>
        <v>0.18294190358467244</v>
      </c>
      <c r="AH110" s="206">
        <f>AH107/AH104</f>
        <v>0.17624020887728459</v>
      </c>
      <c r="AI110" s="304">
        <f>AC110+AI111</f>
        <v>7.3623910336239107E-2</v>
      </c>
      <c r="AJ110" s="305">
        <f>AD110+AJ111</f>
        <v>0.13519929660023447</v>
      </c>
      <c r="AK110" s="302">
        <f>AK107/AK104</f>
        <v>0.14203210157185606</v>
      </c>
      <c r="AM110" s="306">
        <f>AG110+AM111</f>
        <v>0.19794190358467245</v>
      </c>
      <c r="AN110" s="304">
        <f>AH110+AN111</f>
        <v>0.18374020887728459</v>
      </c>
      <c r="AO110" s="304">
        <f>AI110+AO111</f>
        <v>7.6123910336239109E-2</v>
      </c>
      <c r="AP110" s="305">
        <f>AJ110+AP111</f>
        <v>0.13769929660023447</v>
      </c>
      <c r="AQ110" s="302">
        <f>AQ107/AQ104</f>
        <v>0.14889168045076343</v>
      </c>
      <c r="AS110" s="306">
        <f>AM110+AS111</f>
        <v>0.20044190358467245</v>
      </c>
      <c r="AT110" s="304">
        <f>AN110+AT111</f>
        <v>0.1862402088772846</v>
      </c>
      <c r="AU110" s="304">
        <f>AO110+AU111</f>
        <v>7.8623910336239111E-2</v>
      </c>
      <c r="AV110" s="305">
        <f>AP110+AV111</f>
        <v>0.14019929660023447</v>
      </c>
      <c r="AW110" s="302">
        <f>AW107/AW104</f>
        <v>0.15139168045076343</v>
      </c>
      <c r="AY110" s="306">
        <f>AS110+AY111</f>
        <v>0.20294190358467246</v>
      </c>
      <c r="AZ110" s="304">
        <f>AT110+AZ111</f>
        <v>0.1887402088772846</v>
      </c>
      <c r="BA110" s="304">
        <f>AU110+BA111</f>
        <v>8.1123910336239113E-2</v>
      </c>
      <c r="BB110" s="305">
        <f>AV110+BB111</f>
        <v>0.14269929660023448</v>
      </c>
      <c r="BC110" s="302">
        <f>BC107/BC104</f>
        <v>0.15389168045076343</v>
      </c>
      <c r="BE110" s="306">
        <f>AY110+BE111</f>
        <v>0.20544190358467246</v>
      </c>
      <c r="BF110" s="304">
        <f>AZ110+BF111</f>
        <v>0.1912402088772846</v>
      </c>
      <c r="BG110" s="304">
        <f>BA110+BG111</f>
        <v>8.3623910336239116E-2</v>
      </c>
      <c r="BH110" s="305">
        <f>BB110+BH111</f>
        <v>0.14519929660023448</v>
      </c>
      <c r="BI110" s="302">
        <f>BI107/BI104</f>
        <v>0.15639168045076343</v>
      </c>
      <c r="BK110" s="306">
        <f>BE110+BK111</f>
        <v>0.20544190358467246</v>
      </c>
      <c r="BL110" s="304">
        <f>BF110+BL111</f>
        <v>0.1912402088772846</v>
      </c>
      <c r="BM110" s="304">
        <f>BG110+BM111</f>
        <v>8.3623910336239116E-2</v>
      </c>
      <c r="BN110" s="305">
        <f>BH110+BN111</f>
        <v>0.14519929660023448</v>
      </c>
      <c r="BO110" s="302">
        <f>BO107/BO104</f>
        <v>0.15639168045076346</v>
      </c>
      <c r="BQ110" s="306">
        <f>BK110+BQ111</f>
        <v>0.20544190358467246</v>
      </c>
      <c r="BR110" s="304">
        <f>BL110+BR111</f>
        <v>0.1912402088772846</v>
      </c>
      <c r="BS110" s="304">
        <f>BM110+BS111</f>
        <v>8.3623910336239116E-2</v>
      </c>
      <c r="BT110" s="305">
        <f>BN110+BT111</f>
        <v>0.14519929660023448</v>
      </c>
      <c r="BU110" s="302">
        <f>BU107/BU104</f>
        <v>0.15639168045076343</v>
      </c>
    </row>
    <row r="111" spans="1:73" ht="15.75" thickBot="1" x14ac:dyDescent="0.35">
      <c r="B111" s="140" t="s">
        <v>37</v>
      </c>
      <c r="C111" s="155"/>
      <c r="D111" s="106"/>
      <c r="E111" s="106"/>
      <c r="F111" s="106"/>
      <c r="G111" s="108"/>
      <c r="H111" s="107"/>
      <c r="I111" s="155"/>
      <c r="J111" s="106"/>
      <c r="K111" s="106"/>
      <c r="L111" s="106"/>
      <c r="M111" s="108"/>
      <c r="O111" s="155"/>
      <c r="P111" s="106"/>
      <c r="Q111" s="106"/>
      <c r="R111" s="154"/>
      <c r="S111" s="108"/>
      <c r="T111" s="107"/>
      <c r="U111" s="174">
        <f>U110-O110</f>
        <v>-7.1209774565479264E-2</v>
      </c>
      <c r="V111" s="175">
        <f>V110-P110</f>
        <v>-2.2831424454142504E-2</v>
      </c>
      <c r="W111" s="175">
        <f>W110-Q110</f>
        <v>-8.8915866779618047E-3</v>
      </c>
      <c r="X111" s="175">
        <f>X110-R110</f>
        <v>-2.407421668720296E-2</v>
      </c>
      <c r="Y111" s="177">
        <f>Y110-S110</f>
        <v>-3.1443628891668803E-2</v>
      </c>
      <c r="Z111" s="241"/>
      <c r="AA111" s="174">
        <f>AA110-U110</f>
        <v>3.784851887638295E-3</v>
      </c>
      <c r="AB111" s="175">
        <f>AB110-V110</f>
        <v>7.0511841100076397E-2</v>
      </c>
      <c r="AC111" s="175">
        <f>AC110-W110</f>
        <v>-3.1697821736163465E-3</v>
      </c>
      <c r="AD111" s="175">
        <f>AD110-X110</f>
        <v>8.7362758138695998E-2</v>
      </c>
      <c r="AE111" s="177">
        <f>AE110-Y110</f>
        <v>4.0453917122156201E-2</v>
      </c>
      <c r="AG111" s="174">
        <f>AG110-AA110</f>
        <v>0.13754631344200058</v>
      </c>
      <c r="AH111" s="175">
        <f>AH110-AB110</f>
        <v>7.3642806279881984E-2</v>
      </c>
      <c r="AI111" s="439">
        <v>0.04</v>
      </c>
      <c r="AJ111" s="377">
        <v>2.5000000000000001E-2</v>
      </c>
      <c r="AK111" s="379">
        <f>AK110-AE110</f>
        <v>6.8525689310360904E-2</v>
      </c>
      <c r="AM111" s="438">
        <v>1.4999999999999999E-2</v>
      </c>
      <c r="AN111" s="439">
        <v>7.4999999999999997E-3</v>
      </c>
      <c r="AO111" s="439">
        <v>2.5000000000000001E-3</v>
      </c>
      <c r="AP111" s="377">
        <v>2.5000000000000001E-3</v>
      </c>
      <c r="AQ111" s="379">
        <f>AQ110-AK110</f>
        <v>6.8595788789073686E-3</v>
      </c>
      <c r="AS111" s="438">
        <v>2.5000000000000001E-3</v>
      </c>
      <c r="AT111" s="439">
        <v>2.5000000000000001E-3</v>
      </c>
      <c r="AU111" s="439">
        <v>2.5000000000000001E-3</v>
      </c>
      <c r="AV111" s="377">
        <v>2.5000000000000001E-3</v>
      </c>
      <c r="AW111" s="379">
        <f>AW110-AQ110</f>
        <v>2.5000000000000022E-3</v>
      </c>
      <c r="AY111" s="438">
        <v>2.5000000000000001E-3</v>
      </c>
      <c r="AZ111" s="439">
        <v>2.5000000000000001E-3</v>
      </c>
      <c r="BA111" s="439">
        <v>2.5000000000000001E-3</v>
      </c>
      <c r="BB111" s="377">
        <v>2.5000000000000001E-3</v>
      </c>
      <c r="BC111" s="379">
        <f>BC110-AW110</f>
        <v>2.5000000000000022E-3</v>
      </c>
      <c r="BE111" s="438">
        <v>2.5000000000000001E-3</v>
      </c>
      <c r="BF111" s="439">
        <v>2.5000000000000001E-3</v>
      </c>
      <c r="BG111" s="439">
        <v>2.5000000000000001E-3</v>
      </c>
      <c r="BH111" s="377">
        <v>2.5000000000000001E-3</v>
      </c>
      <c r="BI111" s="379">
        <f>BI110-BC110</f>
        <v>2.5000000000000022E-3</v>
      </c>
      <c r="BK111" s="174">
        <v>0</v>
      </c>
      <c r="BL111" s="175">
        <v>0</v>
      </c>
      <c r="BM111" s="175">
        <v>0</v>
      </c>
      <c r="BN111" s="176">
        <v>0</v>
      </c>
      <c r="BO111" s="177">
        <f>BO110-BI110</f>
        <v>0</v>
      </c>
      <c r="BQ111" s="174">
        <v>0</v>
      </c>
      <c r="BR111" s="175">
        <v>0</v>
      </c>
      <c r="BS111" s="175">
        <v>0</v>
      </c>
      <c r="BT111" s="176">
        <v>0</v>
      </c>
      <c r="BU111" s="177">
        <f>BU110-BO110</f>
        <v>0</v>
      </c>
    </row>
    <row r="112" spans="1:73" ht="15.75" thickBot="1" x14ac:dyDescent="0.35">
      <c r="B112" s="6"/>
      <c r="C112" s="107"/>
      <c r="D112" s="107"/>
      <c r="E112" s="107"/>
      <c r="F112" s="107"/>
      <c r="G112" s="107"/>
      <c r="H112" s="107"/>
      <c r="S112" s="107"/>
      <c r="T112" s="107"/>
      <c r="U112" s="107"/>
      <c r="V112" s="107"/>
      <c r="W112" s="107"/>
      <c r="X112" s="107"/>
      <c r="Y112" s="107"/>
      <c r="Z112" s="241"/>
      <c r="AA112" s="107"/>
      <c r="AB112" s="107"/>
      <c r="AC112" s="107"/>
      <c r="AD112" s="107"/>
      <c r="AE112" s="107"/>
      <c r="AG112" s="107"/>
      <c r="AH112" s="107"/>
      <c r="AI112" s="107"/>
      <c r="AJ112" s="107"/>
      <c r="AK112" s="107"/>
      <c r="AM112" s="107"/>
      <c r="AN112" s="107"/>
      <c r="AO112" s="107"/>
      <c r="AP112" s="107"/>
      <c r="AQ112" s="107"/>
      <c r="AS112" s="107"/>
      <c r="AT112" s="107"/>
      <c r="AU112" s="107"/>
      <c r="AV112" s="107"/>
      <c r="AW112" s="107"/>
      <c r="AY112" s="107"/>
      <c r="AZ112" s="107"/>
      <c r="BA112" s="107"/>
      <c r="BB112" s="107"/>
      <c r="BC112" s="107"/>
      <c r="BE112" s="107"/>
      <c r="BF112" s="107"/>
      <c r="BG112" s="107"/>
      <c r="BH112" s="107"/>
      <c r="BI112" s="107"/>
      <c r="BK112" s="107"/>
      <c r="BL112" s="107"/>
      <c r="BM112" s="107"/>
      <c r="BN112" s="107"/>
      <c r="BO112" s="107"/>
      <c r="BQ112" s="107"/>
      <c r="BR112" s="107"/>
      <c r="BS112" s="107"/>
      <c r="BT112" s="107"/>
      <c r="BU112" s="107"/>
    </row>
    <row r="113" spans="1:73" ht="15" x14ac:dyDescent="0.3">
      <c r="B113" s="139" t="s">
        <v>62</v>
      </c>
      <c r="C113" s="221"/>
      <c r="D113" s="222"/>
      <c r="E113" s="222"/>
      <c r="F113" s="222"/>
      <c r="G113" s="224"/>
      <c r="H113" s="107"/>
      <c r="I113" s="221"/>
      <c r="J113" s="222"/>
      <c r="K113" s="222"/>
      <c r="L113" s="222"/>
      <c r="M113" s="224"/>
      <c r="N113" s="107"/>
      <c r="O113" s="251">
        <v>22</v>
      </c>
      <c r="P113" s="252">
        <v>24</v>
      </c>
      <c r="Q113" s="252">
        <v>19</v>
      </c>
      <c r="R113" s="258">
        <v>27</v>
      </c>
      <c r="S113" s="253">
        <f>O113+P113+Q113+R113</f>
        <v>92</v>
      </c>
      <c r="T113" s="194"/>
      <c r="U113" s="251">
        <v>14</v>
      </c>
      <c r="V113" s="252">
        <v>23</v>
      </c>
      <c r="W113" s="212">
        <v>31</v>
      </c>
      <c r="X113" s="210">
        <v>-6</v>
      </c>
      <c r="Y113" s="202">
        <f>U113+V113+W113+X113</f>
        <v>62</v>
      </c>
      <c r="Z113" s="342"/>
      <c r="AA113" s="211">
        <v>15</v>
      </c>
      <c r="AB113" s="212">
        <v>16</v>
      </c>
      <c r="AC113" s="212">
        <v>25</v>
      </c>
      <c r="AD113" s="210">
        <v>18</v>
      </c>
      <c r="AE113" s="202">
        <f>AA113+AB113+AC113+AD113</f>
        <v>74</v>
      </c>
      <c r="AF113" s="254"/>
      <c r="AG113" s="211">
        <v>15</v>
      </c>
      <c r="AH113" s="212">
        <v>15</v>
      </c>
      <c r="AI113" s="212">
        <f>AI116*AI104</f>
        <v>24.374999999999996</v>
      </c>
      <c r="AJ113" s="210">
        <f>AJ116*AJ104</f>
        <v>17.73</v>
      </c>
      <c r="AK113" s="202">
        <f>AG113+AH113+AI113+AJ113</f>
        <v>72.105000000000004</v>
      </c>
      <c r="AL113" s="254"/>
      <c r="AM113" s="211">
        <f>AM116*AM104</f>
        <v>14.849999999999998</v>
      </c>
      <c r="AN113" s="212">
        <f>AN116*AN104</f>
        <v>14.850000000000001</v>
      </c>
      <c r="AO113" s="212">
        <f>AO116*AO104</f>
        <v>24.131249999999998</v>
      </c>
      <c r="AP113" s="210">
        <f>AP116*AP104</f>
        <v>17.552699999999998</v>
      </c>
      <c r="AQ113" s="202">
        <f>AM113+AN113+AO113+AP113</f>
        <v>71.383949999999999</v>
      </c>
      <c r="AR113" s="254"/>
      <c r="AS113" s="211">
        <f>AS116*AS104</f>
        <v>14.627249999999998</v>
      </c>
      <c r="AT113" s="212">
        <f>AT116*AT104</f>
        <v>14.627250000000002</v>
      </c>
      <c r="AU113" s="212">
        <f>AU116*AU104</f>
        <v>23.769281249999999</v>
      </c>
      <c r="AV113" s="210">
        <f>AV116*AV104</f>
        <v>17.289409499999998</v>
      </c>
      <c r="AW113" s="202">
        <f>AS113+AT113+AU113+AV113</f>
        <v>70.31319074999999</v>
      </c>
      <c r="AX113" s="254"/>
      <c r="AY113" s="211">
        <f>AY116*AY104</f>
        <v>14.407841249999999</v>
      </c>
      <c r="AZ113" s="212">
        <f>AZ116*AZ104</f>
        <v>14.407841250000001</v>
      </c>
      <c r="BA113" s="212">
        <f>BA116*BA104</f>
        <v>23.412742031249998</v>
      </c>
      <c r="BB113" s="210">
        <f>BB116*BB104</f>
        <v>17.030068357499999</v>
      </c>
      <c r="BC113" s="202">
        <f>AY113+AZ113+BA113+BB113</f>
        <v>69.258492888749998</v>
      </c>
      <c r="BD113" s="254"/>
      <c r="BE113" s="211">
        <f>BE116*BE104</f>
        <v>14.191723631249999</v>
      </c>
      <c r="BF113" s="212">
        <f>BF116*BF104</f>
        <v>14.191723631249999</v>
      </c>
      <c r="BG113" s="212">
        <f>BG116*BG104</f>
        <v>23.061550900781246</v>
      </c>
      <c r="BH113" s="210">
        <f>BH116*BH104</f>
        <v>16.774617332137499</v>
      </c>
      <c r="BI113" s="202">
        <f>BE113+BF113+BG113+BH113</f>
        <v>68.219615495418736</v>
      </c>
      <c r="BJ113" s="254"/>
      <c r="BK113" s="211">
        <f>BK116*BK104</f>
        <v>13.978847776781249</v>
      </c>
      <c r="BL113" s="212">
        <f>BL116*BL104</f>
        <v>13.978847776781249</v>
      </c>
      <c r="BM113" s="212">
        <f>BM116*BM104</f>
        <v>22.715627637269527</v>
      </c>
      <c r="BN113" s="210">
        <f>BN116*BN104</f>
        <v>16.522998072155435</v>
      </c>
      <c r="BO113" s="202">
        <f>BK113+BL113+BM113+BN113</f>
        <v>67.196321262987453</v>
      </c>
      <c r="BP113" s="254"/>
      <c r="BQ113" s="211">
        <f>BQ116*BQ104</f>
        <v>13.769165060129531</v>
      </c>
      <c r="BR113" s="212">
        <f>BR116*BR104</f>
        <v>13.769165060129529</v>
      </c>
      <c r="BS113" s="212">
        <f>BS116*BS104</f>
        <v>22.374893222710483</v>
      </c>
      <c r="BT113" s="210">
        <f>BT116*BT104</f>
        <v>16.275153101073105</v>
      </c>
      <c r="BU113" s="202">
        <f>BQ113+BR113+BS113+BT113</f>
        <v>66.188376444042646</v>
      </c>
    </row>
    <row r="114" spans="1:73" ht="15" x14ac:dyDescent="0.3">
      <c r="B114" s="5" t="s">
        <v>40</v>
      </c>
      <c r="C114" s="144"/>
      <c r="D114" s="107"/>
      <c r="E114" s="107"/>
      <c r="F114" s="107"/>
      <c r="G114" s="138"/>
      <c r="H114" s="107"/>
      <c r="I114" s="144"/>
      <c r="J114" s="107"/>
      <c r="K114" s="107"/>
      <c r="L114" s="107"/>
      <c r="M114" s="138"/>
      <c r="O114" s="144"/>
      <c r="P114" s="133"/>
      <c r="Q114" s="133"/>
      <c r="R114" s="152"/>
      <c r="S114" s="153"/>
      <c r="T114" s="107"/>
      <c r="U114" s="151">
        <f>U113/O113-1</f>
        <v>-0.36363636363636365</v>
      </c>
      <c r="V114" s="133">
        <f>V113/P113-1</f>
        <v>-4.166666666666663E-2</v>
      </c>
      <c r="W114" s="133">
        <f>W113/Q113-1</f>
        <v>0.63157894736842102</v>
      </c>
      <c r="X114" s="133">
        <f>X113/R113-1</f>
        <v>-1.2222222222222223</v>
      </c>
      <c r="Y114" s="153">
        <f>Y113/S113-1</f>
        <v>-0.32608695652173914</v>
      </c>
      <c r="Z114" s="241"/>
      <c r="AA114" s="151">
        <f>AA113/U113-1</f>
        <v>7.1428571428571397E-2</v>
      </c>
      <c r="AB114" s="133">
        <f>AB113/V113-1</f>
        <v>-0.30434782608695654</v>
      </c>
      <c r="AC114" s="133">
        <f>AC113/W113-1</f>
        <v>-0.19354838709677424</v>
      </c>
      <c r="AD114" s="133">
        <f>AD113/X113-1</f>
        <v>-4</v>
      </c>
      <c r="AE114" s="153">
        <f>AE113/Y113-1</f>
        <v>0.19354838709677424</v>
      </c>
      <c r="AG114" s="151">
        <f>AG113/AA113-1</f>
        <v>0</v>
      </c>
      <c r="AH114" s="133">
        <f>AH113/AB113-1</f>
        <v>-6.25E-2</v>
      </c>
      <c r="AI114" s="133">
        <f>AI113/AC113-1</f>
        <v>-2.5000000000000133E-2</v>
      </c>
      <c r="AJ114" s="152">
        <f>AJ113/AD113-1</f>
        <v>-1.5000000000000013E-2</v>
      </c>
      <c r="AK114" s="153">
        <f>AK113/AE113-1</f>
        <v>-2.5608108108108096E-2</v>
      </c>
      <c r="AM114" s="151">
        <f>AM113/AG113-1</f>
        <v>-1.000000000000012E-2</v>
      </c>
      <c r="AN114" s="133">
        <f>AN113/AH113-1</f>
        <v>-9.9999999999998979E-3</v>
      </c>
      <c r="AO114" s="133">
        <f>AO113/AI113-1</f>
        <v>-9.9999999999998979E-3</v>
      </c>
      <c r="AP114" s="152">
        <f>AP113/AJ113-1</f>
        <v>-1.000000000000012E-2</v>
      </c>
      <c r="AQ114" s="153">
        <f>AQ113/AK113-1</f>
        <v>-1.000000000000012E-2</v>
      </c>
      <c r="AS114" s="151">
        <f>AS113/AM113-1</f>
        <v>-1.5000000000000013E-2</v>
      </c>
      <c r="AT114" s="133">
        <f>AT113/AN113-1</f>
        <v>-1.5000000000000013E-2</v>
      </c>
      <c r="AU114" s="133">
        <f>AU113/AO113-1</f>
        <v>-1.5000000000000013E-2</v>
      </c>
      <c r="AV114" s="152">
        <f>AV113/AP113-1</f>
        <v>-1.5000000000000013E-2</v>
      </c>
      <c r="AW114" s="153">
        <f>AW113/AQ113-1</f>
        <v>-1.5000000000000124E-2</v>
      </c>
      <c r="AY114" s="151">
        <f>AY113/AS113-1</f>
        <v>-1.5000000000000013E-2</v>
      </c>
      <c r="AZ114" s="133">
        <f>AZ113/AT113-1</f>
        <v>-1.5000000000000124E-2</v>
      </c>
      <c r="BA114" s="133">
        <f>BA113/AU113-1</f>
        <v>-1.5000000000000013E-2</v>
      </c>
      <c r="BB114" s="152">
        <f>BB113/AV113-1</f>
        <v>-1.4999999999999902E-2</v>
      </c>
      <c r="BC114" s="153">
        <f>BC113/AW113-1</f>
        <v>-1.4999999999999902E-2</v>
      </c>
      <c r="BE114" s="151">
        <f>BE113/AY113-1</f>
        <v>-1.4999999999999902E-2</v>
      </c>
      <c r="BF114" s="133">
        <f>BF113/AZ113-1</f>
        <v>-1.5000000000000124E-2</v>
      </c>
      <c r="BG114" s="133">
        <f>BG113/BA113-1</f>
        <v>-1.5000000000000124E-2</v>
      </c>
      <c r="BH114" s="152">
        <f>BH113/BB113-1</f>
        <v>-1.5000000000000013E-2</v>
      </c>
      <c r="BI114" s="153">
        <f>BI113/BC113-1</f>
        <v>-1.5000000000000124E-2</v>
      </c>
      <c r="BK114" s="151">
        <f>BK113/BE113-1</f>
        <v>-1.5000000000000013E-2</v>
      </c>
      <c r="BL114" s="133">
        <f>BL113/BF113-1</f>
        <v>-1.5000000000000013E-2</v>
      </c>
      <c r="BM114" s="133">
        <f>BM113/BG113-1</f>
        <v>-1.5000000000000013E-2</v>
      </c>
      <c r="BN114" s="152">
        <f>BN113/BH113-1</f>
        <v>-1.5000000000000124E-2</v>
      </c>
      <c r="BO114" s="153">
        <f>BO113/BI113-1</f>
        <v>-1.5000000000000013E-2</v>
      </c>
      <c r="BQ114" s="151">
        <f>BQ113/BK113-1</f>
        <v>-1.5000000000000013E-2</v>
      </c>
      <c r="BR114" s="133">
        <f>BR113/BL113-1</f>
        <v>-1.5000000000000124E-2</v>
      </c>
      <c r="BS114" s="133">
        <f>BS113/BM113-1</f>
        <v>-1.5000000000000013E-2</v>
      </c>
      <c r="BT114" s="152">
        <f>BT113/BN113-1</f>
        <v>-1.4999999999999902E-2</v>
      </c>
      <c r="BU114" s="153">
        <f>BU113/BO113-1</f>
        <v>-1.4999999999999902E-2</v>
      </c>
    </row>
    <row r="115" spans="1:73" ht="15" x14ac:dyDescent="0.3">
      <c r="B115" s="105"/>
      <c r="C115" s="144"/>
      <c r="D115" s="107"/>
      <c r="E115" s="107"/>
      <c r="F115" s="107"/>
      <c r="G115" s="138"/>
      <c r="H115" s="107"/>
      <c r="I115" s="144"/>
      <c r="J115" s="107"/>
      <c r="K115" s="107"/>
      <c r="L115" s="107"/>
      <c r="M115" s="138"/>
      <c r="N115" s="107"/>
      <c r="O115" s="144"/>
      <c r="P115" s="133"/>
      <c r="Q115" s="133"/>
      <c r="R115" s="152"/>
      <c r="S115" s="153"/>
      <c r="T115" s="107"/>
      <c r="U115" s="144"/>
      <c r="V115" s="107"/>
      <c r="W115" s="107"/>
      <c r="X115" s="145"/>
      <c r="Y115" s="138"/>
      <c r="Z115" s="241"/>
      <c r="AA115" s="144"/>
      <c r="AB115" s="107"/>
      <c r="AC115" s="107"/>
      <c r="AD115" s="107"/>
      <c r="AE115" s="138"/>
      <c r="AG115" s="144"/>
      <c r="AH115" s="107"/>
      <c r="AI115" s="107"/>
      <c r="AJ115" s="107"/>
      <c r="AK115" s="138"/>
      <c r="AM115" s="144"/>
      <c r="AN115" s="107"/>
      <c r="AO115" s="107"/>
      <c r="AP115" s="107"/>
      <c r="AQ115" s="138"/>
      <c r="AS115" s="144"/>
      <c r="AT115" s="107"/>
      <c r="AU115" s="107"/>
      <c r="AV115" s="107"/>
      <c r="AW115" s="138"/>
      <c r="AY115" s="144"/>
      <c r="AZ115" s="107"/>
      <c r="BA115" s="107"/>
      <c r="BB115" s="107"/>
      <c r="BC115" s="138"/>
      <c r="BE115" s="144"/>
      <c r="BF115" s="107"/>
      <c r="BG115" s="107"/>
      <c r="BH115" s="107"/>
      <c r="BI115" s="138"/>
      <c r="BK115" s="144"/>
      <c r="BL115" s="107"/>
      <c r="BM115" s="107"/>
      <c r="BN115" s="107"/>
      <c r="BO115" s="138"/>
      <c r="BQ115" s="144"/>
      <c r="BR115" s="107"/>
      <c r="BS115" s="107"/>
      <c r="BT115" s="107"/>
      <c r="BU115" s="138"/>
    </row>
    <row r="116" spans="1:73" ht="15" x14ac:dyDescent="0.3">
      <c r="B116" s="105" t="s">
        <v>24</v>
      </c>
      <c r="C116" s="144"/>
      <c r="D116" s="107"/>
      <c r="E116" s="107"/>
      <c r="F116" s="107"/>
      <c r="G116" s="138"/>
      <c r="H116" s="107"/>
      <c r="I116" s="144"/>
      <c r="J116" s="107"/>
      <c r="K116" s="107"/>
      <c r="L116" s="107"/>
      <c r="M116" s="138"/>
      <c r="N116" s="107"/>
      <c r="O116" s="171">
        <f>O113/O104</f>
        <v>2.8205128205128206E-2</v>
      </c>
      <c r="P116" s="165">
        <f>P113/P104</f>
        <v>3.0651340996168581E-2</v>
      </c>
      <c r="Q116" s="165">
        <f>Q113/Q104</f>
        <v>2.4111675126903553E-2</v>
      </c>
      <c r="R116" s="172">
        <f>R113/R104</f>
        <v>3.0892448512585814E-2</v>
      </c>
      <c r="S116" s="173">
        <f>S113/S104</f>
        <v>2.8527131782945737E-2</v>
      </c>
      <c r="T116" s="129"/>
      <c r="U116" s="171">
        <f>U113/U104</f>
        <v>1.8791946308724831E-2</v>
      </c>
      <c r="V116" s="165">
        <f>V113/V104</f>
        <v>3.074866310160428E-2</v>
      </c>
      <c r="W116" s="165">
        <f>W113/W104</f>
        <v>4.0735873850197106E-2</v>
      </c>
      <c r="X116" s="165">
        <f>X113/X104</f>
        <v>-7.2115384615384619E-3</v>
      </c>
      <c r="Y116" s="298">
        <f>Y113/Y104</f>
        <v>2.0090732339598186E-2</v>
      </c>
      <c r="Z116" s="241"/>
      <c r="AA116" s="171">
        <f>AA113/AA104</f>
        <v>1.9455252918287938E-2</v>
      </c>
      <c r="AB116" s="165">
        <f>AB113/AB104</f>
        <v>2.0779220779220779E-2</v>
      </c>
      <c r="AC116" s="165">
        <f>AC113/AC104</f>
        <v>3.1133250311332503E-2</v>
      </c>
      <c r="AD116" s="165">
        <f>AD113/AD104</f>
        <v>2.1101992966002344E-2</v>
      </c>
      <c r="AE116" s="298">
        <f>AE113/AE104</f>
        <v>2.3146700031279326E-2</v>
      </c>
      <c r="AG116" s="171">
        <f>AG113/AG104</f>
        <v>1.8541409147095178E-2</v>
      </c>
      <c r="AH116" s="165">
        <f>AH113/AH104</f>
        <v>1.95822454308094E-2</v>
      </c>
      <c r="AI116" s="309">
        <f>AC116+AI117</f>
        <v>3.1133250311332503E-2</v>
      </c>
      <c r="AJ116" s="310">
        <f>AD116+AJ117</f>
        <v>2.1101992966002344E-2</v>
      </c>
      <c r="AK116" s="298">
        <f>AK113/AK104</f>
        <v>2.2545987811627421E-2</v>
      </c>
      <c r="AM116" s="311">
        <f>AG116+AM117</f>
        <v>1.8541409147095178E-2</v>
      </c>
      <c r="AN116" s="309">
        <f>AH116+AN117</f>
        <v>1.95822454308094E-2</v>
      </c>
      <c r="AO116" s="309">
        <f>AI116+AO117</f>
        <v>3.1133250311332503E-2</v>
      </c>
      <c r="AP116" s="310">
        <f>AJ116+AP117</f>
        <v>2.1101992966002344E-2</v>
      </c>
      <c r="AQ116" s="298">
        <f>AQ113/AQ104</f>
        <v>2.2545987811627421E-2</v>
      </c>
      <c r="AS116" s="311">
        <f>AM116+AS117</f>
        <v>1.8541409147095178E-2</v>
      </c>
      <c r="AT116" s="309">
        <f>AN116+AT117</f>
        <v>1.95822454308094E-2</v>
      </c>
      <c r="AU116" s="309">
        <f>AO116+AU117</f>
        <v>3.1133250311332503E-2</v>
      </c>
      <c r="AV116" s="310">
        <f>AP116+AV117</f>
        <v>2.1101992966002344E-2</v>
      </c>
      <c r="AW116" s="298">
        <f>AW113/AW104</f>
        <v>2.2545987811627418E-2</v>
      </c>
      <c r="AY116" s="311">
        <f>AS116+AY117</f>
        <v>1.8541409147095178E-2</v>
      </c>
      <c r="AZ116" s="309">
        <f>AT116+AZ117</f>
        <v>1.95822454308094E-2</v>
      </c>
      <c r="BA116" s="309">
        <f>AU116+BA117</f>
        <v>3.1133250311332503E-2</v>
      </c>
      <c r="BB116" s="310">
        <f>AV116+BB117</f>
        <v>2.1101992966002344E-2</v>
      </c>
      <c r="BC116" s="298">
        <f>BC113/BC104</f>
        <v>2.2545987811627421E-2</v>
      </c>
      <c r="BE116" s="311">
        <f>AY116+BE117</f>
        <v>1.8541409147095178E-2</v>
      </c>
      <c r="BF116" s="309">
        <f>AZ116+BF117</f>
        <v>1.95822454308094E-2</v>
      </c>
      <c r="BG116" s="309">
        <f>BA116+BG117</f>
        <v>3.1133250311332503E-2</v>
      </c>
      <c r="BH116" s="310">
        <f>BB116+BH117</f>
        <v>2.1101992966002344E-2</v>
      </c>
      <c r="BI116" s="298">
        <f>BI113/BI104</f>
        <v>2.2545987811627415E-2</v>
      </c>
      <c r="BK116" s="311">
        <f>BE116+BK117</f>
        <v>1.8541409147095178E-2</v>
      </c>
      <c r="BL116" s="309">
        <f>BF116+BL117</f>
        <v>1.95822454308094E-2</v>
      </c>
      <c r="BM116" s="309">
        <f>BG116+BM117</f>
        <v>3.1133250311332503E-2</v>
      </c>
      <c r="BN116" s="310">
        <f>BH116+BN117</f>
        <v>2.1101992966002344E-2</v>
      </c>
      <c r="BO116" s="298">
        <f>BO113/BO104</f>
        <v>2.2545987811627418E-2</v>
      </c>
      <c r="BQ116" s="311">
        <f>BK116+BQ117</f>
        <v>1.8541409147095178E-2</v>
      </c>
      <c r="BR116" s="309">
        <f>BL116+BR117</f>
        <v>1.95822454308094E-2</v>
      </c>
      <c r="BS116" s="309">
        <f>BM116+BS117</f>
        <v>3.1133250311332503E-2</v>
      </c>
      <c r="BT116" s="310">
        <f>BN116+BT117</f>
        <v>2.1101992966002344E-2</v>
      </c>
      <c r="BU116" s="298">
        <f>BU113/BU104</f>
        <v>2.2545987811627415E-2</v>
      </c>
    </row>
    <row r="117" spans="1:73" ht="15.75" thickBot="1" x14ac:dyDescent="0.35">
      <c r="B117" s="140" t="s">
        <v>40</v>
      </c>
      <c r="C117" s="155"/>
      <c r="D117" s="106"/>
      <c r="E117" s="106"/>
      <c r="F117" s="106"/>
      <c r="G117" s="108"/>
      <c r="H117" s="107"/>
      <c r="I117" s="155"/>
      <c r="J117" s="106"/>
      <c r="K117" s="106"/>
      <c r="L117" s="106"/>
      <c r="M117" s="108"/>
      <c r="N117" s="107"/>
      <c r="O117" s="155"/>
      <c r="P117" s="106"/>
      <c r="Q117" s="106"/>
      <c r="R117" s="154"/>
      <c r="S117" s="108"/>
      <c r="U117" s="174">
        <f>U116-O116</f>
        <v>-9.4131818964033748E-3</v>
      </c>
      <c r="V117" s="175">
        <f>V116-P116</f>
        <v>9.7322105435698747E-5</v>
      </c>
      <c r="W117" s="175">
        <f>W116-Q116</f>
        <v>1.6624198723293553E-2</v>
      </c>
      <c r="X117" s="175">
        <f>X116-R116</f>
        <v>-3.8103986974124274E-2</v>
      </c>
      <c r="Y117" s="177">
        <f>Y116-S116</f>
        <v>-8.4363994433475503E-3</v>
      </c>
      <c r="Z117" s="241"/>
      <c r="AA117" s="174">
        <f>AA116-U116</f>
        <v>6.6330660956310725E-4</v>
      </c>
      <c r="AB117" s="175">
        <f>AB116-V116</f>
        <v>-9.9694423223835003E-3</v>
      </c>
      <c r="AC117" s="175">
        <f>AC116-W116</f>
        <v>-9.6026235388646033E-3</v>
      </c>
      <c r="AD117" s="175">
        <f>AD116-X116</f>
        <v>2.8313531427540804E-2</v>
      </c>
      <c r="AE117" s="177">
        <f>AE116-Y116</f>
        <v>3.0559676916811392E-3</v>
      </c>
      <c r="AG117" s="174">
        <f>AG116-AA116</f>
        <v>-9.1384377119275995E-4</v>
      </c>
      <c r="AH117" s="175">
        <f>AH116-AB116</f>
        <v>-1.196975348411379E-3</v>
      </c>
      <c r="AI117" s="175">
        <v>0</v>
      </c>
      <c r="AJ117" s="176">
        <v>0</v>
      </c>
      <c r="AK117" s="177">
        <f>AK116-AE116</f>
        <v>-6.0071221965190408E-4</v>
      </c>
      <c r="AM117" s="174">
        <v>0</v>
      </c>
      <c r="AN117" s="175">
        <v>0</v>
      </c>
      <c r="AO117" s="175">
        <v>0</v>
      </c>
      <c r="AP117" s="176">
        <v>0</v>
      </c>
      <c r="AQ117" s="177">
        <f>AQ116-AK116</f>
        <v>0</v>
      </c>
      <c r="AS117" s="174">
        <v>0</v>
      </c>
      <c r="AT117" s="175">
        <v>0</v>
      </c>
      <c r="AU117" s="175">
        <v>0</v>
      </c>
      <c r="AV117" s="176">
        <v>0</v>
      </c>
      <c r="AW117" s="177">
        <f>AW116-AQ116</f>
        <v>0</v>
      </c>
      <c r="AY117" s="174">
        <v>0</v>
      </c>
      <c r="AZ117" s="175">
        <v>0</v>
      </c>
      <c r="BA117" s="175">
        <v>0</v>
      </c>
      <c r="BB117" s="176">
        <v>0</v>
      </c>
      <c r="BC117" s="177">
        <f>BC116-AW116</f>
        <v>0</v>
      </c>
      <c r="BE117" s="174">
        <v>0</v>
      </c>
      <c r="BF117" s="175">
        <v>0</v>
      </c>
      <c r="BG117" s="175">
        <v>0</v>
      </c>
      <c r="BH117" s="176">
        <v>0</v>
      </c>
      <c r="BI117" s="177">
        <f>BI116-BC116</f>
        <v>0</v>
      </c>
      <c r="BK117" s="174">
        <v>0</v>
      </c>
      <c r="BL117" s="175">
        <v>0</v>
      </c>
      <c r="BM117" s="175">
        <v>0</v>
      </c>
      <c r="BN117" s="176">
        <v>0</v>
      </c>
      <c r="BO117" s="177">
        <f>BO116-BI116</f>
        <v>0</v>
      </c>
      <c r="BQ117" s="174">
        <v>0</v>
      </c>
      <c r="BR117" s="175">
        <v>0</v>
      </c>
      <c r="BS117" s="175">
        <v>0</v>
      </c>
      <c r="BT117" s="176">
        <v>0</v>
      </c>
      <c r="BU117" s="177">
        <f>BU116-BO116</f>
        <v>0</v>
      </c>
    </row>
    <row r="118" spans="1:73" ht="15.75" thickBot="1" x14ac:dyDescent="0.35">
      <c r="B118" s="6"/>
      <c r="D118" s="107"/>
      <c r="E118" s="107"/>
      <c r="F118" s="107"/>
      <c r="G118" s="107"/>
      <c r="H118" s="107"/>
      <c r="I118" s="107"/>
      <c r="J118" s="107"/>
      <c r="K118" s="107"/>
      <c r="L118" s="107"/>
      <c r="M118" s="107"/>
      <c r="N118" s="107"/>
      <c r="O118" s="107"/>
      <c r="P118" s="107"/>
      <c r="Q118" s="107"/>
      <c r="R118" s="107"/>
      <c r="S118" s="107"/>
      <c r="U118" s="107"/>
      <c r="V118" s="107"/>
      <c r="W118" s="107"/>
      <c r="X118" s="107"/>
      <c r="Y118" s="107"/>
      <c r="Z118" s="241"/>
      <c r="AA118" s="107"/>
      <c r="AB118" s="107"/>
      <c r="AC118" s="107"/>
      <c r="AD118" s="107"/>
      <c r="AE118" s="107"/>
      <c r="AG118" s="107"/>
      <c r="AH118" s="107"/>
      <c r="AI118" s="107"/>
      <c r="AJ118" s="107"/>
      <c r="AK118" s="107"/>
      <c r="AM118" s="107"/>
      <c r="AN118" s="107"/>
      <c r="AO118" s="107"/>
      <c r="AP118" s="107"/>
      <c r="AQ118" s="107"/>
      <c r="AS118" s="107"/>
      <c r="AT118" s="107"/>
      <c r="AU118" s="107"/>
      <c r="AV118" s="107"/>
      <c r="AW118" s="107"/>
      <c r="AY118" s="107"/>
      <c r="AZ118" s="107"/>
      <c r="BA118" s="107"/>
      <c r="BB118" s="107"/>
      <c r="BC118" s="107"/>
      <c r="BE118" s="107"/>
      <c r="BF118" s="107"/>
      <c r="BG118" s="107"/>
      <c r="BH118" s="107"/>
      <c r="BI118" s="107"/>
      <c r="BK118" s="107"/>
      <c r="BL118" s="107"/>
      <c r="BM118" s="107"/>
      <c r="BN118" s="107"/>
      <c r="BO118" s="107"/>
      <c r="BQ118" s="107"/>
      <c r="BR118" s="107"/>
      <c r="BS118" s="107"/>
      <c r="BT118" s="107"/>
      <c r="BU118" s="107"/>
    </row>
    <row r="119" spans="1:73" ht="15" x14ac:dyDescent="0.3">
      <c r="B119" s="42" t="s">
        <v>38</v>
      </c>
      <c r="C119" s="221"/>
      <c r="D119" s="222"/>
      <c r="E119" s="222"/>
      <c r="F119" s="222"/>
      <c r="G119" s="224"/>
      <c r="H119" s="107"/>
      <c r="I119" s="221"/>
      <c r="J119" s="222"/>
      <c r="K119" s="222"/>
      <c r="L119" s="222"/>
      <c r="M119" s="224"/>
      <c r="N119" s="107"/>
      <c r="O119" s="251">
        <f>O107-O113</f>
        <v>66</v>
      </c>
      <c r="P119" s="252">
        <f>P107-P113</f>
        <v>19</v>
      </c>
      <c r="Q119" s="252">
        <f>Q107-Q113</f>
        <v>17</v>
      </c>
      <c r="R119" s="258">
        <f>R107-R113</f>
        <v>14</v>
      </c>
      <c r="S119" s="202">
        <f>O119+P119+Q119+R119</f>
        <v>116</v>
      </c>
      <c r="T119" s="194"/>
      <c r="U119" s="251">
        <f>U107-U113</f>
        <v>17</v>
      </c>
      <c r="V119" s="252">
        <f>V107-V113</f>
        <v>1</v>
      </c>
      <c r="W119" s="252">
        <f>W107-W113</f>
        <v>-3</v>
      </c>
      <c r="X119" s="258">
        <f>X107-X113</f>
        <v>25</v>
      </c>
      <c r="Y119" s="202">
        <f>U119+V119+W119+X119</f>
        <v>40</v>
      </c>
      <c r="Z119" s="342"/>
      <c r="AA119" s="251">
        <f>AA107-AA113</f>
        <v>20</v>
      </c>
      <c r="AB119" s="252">
        <f>AB107-AB113</f>
        <v>63</v>
      </c>
      <c r="AC119" s="252">
        <f>AC107-AC113</f>
        <v>2</v>
      </c>
      <c r="AD119" s="252">
        <f>AD107-AD113</f>
        <v>76</v>
      </c>
      <c r="AE119" s="202">
        <f>AA119+AB119+AC119+AD119</f>
        <v>161</v>
      </c>
      <c r="AF119" s="254"/>
      <c r="AG119" s="251">
        <f>AG107-AG113</f>
        <v>133</v>
      </c>
      <c r="AH119" s="252">
        <f>AH107-AH113</f>
        <v>120</v>
      </c>
      <c r="AI119" s="252">
        <f>AI107-AI113</f>
        <v>33.266999999999996</v>
      </c>
      <c r="AJ119" s="252">
        <f>AJ107-AJ113</f>
        <v>95.865125000000006</v>
      </c>
      <c r="AK119" s="202">
        <f>AG119+AH119+AI119+AJ119</f>
        <v>382.13212499999997</v>
      </c>
      <c r="AL119" s="254"/>
      <c r="AM119" s="251">
        <f>AM107-AM113</f>
        <v>143.68365</v>
      </c>
      <c r="AN119" s="252">
        <f>AN107-AN113</f>
        <v>124.48755</v>
      </c>
      <c r="AO119" s="252">
        <f>AO107-AO113</f>
        <v>34.872069375000009</v>
      </c>
      <c r="AP119" s="252">
        <f>AP107-AP113</f>
        <v>96.985981125000009</v>
      </c>
      <c r="AQ119" s="202">
        <f>AM119+AN119+AO119+AP119</f>
        <v>400.02925050000005</v>
      </c>
      <c r="AR119" s="254"/>
      <c r="AS119" s="251">
        <f>AS107-AS113</f>
        <v>143.500636125</v>
      </c>
      <c r="AT119" s="252">
        <f>AT107-AT113</f>
        <v>124.487649</v>
      </c>
      <c r="AU119" s="252">
        <f>AU107-AU113</f>
        <v>36.257661618750006</v>
      </c>
      <c r="AV119" s="252">
        <f>AV107-AV113</f>
        <v>97.579506172500004</v>
      </c>
      <c r="AW119" s="202">
        <f>AS119+AT119+AU119+AV119</f>
        <v>401.82545291625001</v>
      </c>
      <c r="AX119" s="254"/>
      <c r="AY119" s="251">
        <f>AY107-AY113</f>
        <v>143.29078384500002</v>
      </c>
      <c r="AZ119" s="252">
        <f>AZ107-AZ113</f>
        <v>124.45973533125</v>
      </c>
      <c r="BA119" s="252">
        <f>BA107-BA113</f>
        <v>37.593839879578127</v>
      </c>
      <c r="BB119" s="252">
        <f>BB107-BB113</f>
        <v>98.133403622821888</v>
      </c>
      <c r="BC119" s="202">
        <f>AY119+AZ119+BA119+BB119</f>
        <v>403.47776267865004</v>
      </c>
      <c r="BD119" s="254"/>
      <c r="BE119" s="251">
        <f>BE107-BE113</f>
        <v>143.05493949027192</v>
      </c>
      <c r="BF119" s="252">
        <f>BF107-BF113</f>
        <v>124.4046493515375</v>
      </c>
      <c r="BG119" s="252">
        <f>BG107-BG113</f>
        <v>38.88177481871719</v>
      </c>
      <c r="BH119" s="252">
        <f>BH107-BH113</f>
        <v>98.6487287607453</v>
      </c>
      <c r="BI119" s="202">
        <f>BE119+BF119+BG119+BH119</f>
        <v>404.99009242127192</v>
      </c>
      <c r="BJ119" s="254"/>
      <c r="BK119" s="251">
        <f>BK107-BK113</f>
        <v>140.90911539791782</v>
      </c>
      <c r="BL119" s="252">
        <f>BL107-BL113</f>
        <v>122.53857961126444</v>
      </c>
      <c r="BM119" s="252">
        <f>BM107-BM113</f>
        <v>38.298548196436428</v>
      </c>
      <c r="BN119" s="252">
        <f>BN107-BN113</f>
        <v>97.168997829334117</v>
      </c>
      <c r="BO119" s="202">
        <f>BK119+BL119+BM119+BN119</f>
        <v>398.91524103495283</v>
      </c>
      <c r="BP119" s="254"/>
      <c r="BQ119" s="251">
        <f>BQ107-BQ113</f>
        <v>138.79547866694907</v>
      </c>
      <c r="BR119" s="252">
        <f>BR107-BR113</f>
        <v>120.70050091709547</v>
      </c>
      <c r="BS119" s="252">
        <f>BS107-BS113</f>
        <v>37.724069973489883</v>
      </c>
      <c r="BT119" s="252">
        <f>BT107-BT113</f>
        <v>95.711462861894105</v>
      </c>
      <c r="BU119" s="202">
        <f>BQ119+BR119+BS119+BT119</f>
        <v>392.93151241942854</v>
      </c>
    </row>
    <row r="120" spans="1:73" ht="15.75" thickBot="1" x14ac:dyDescent="0.35">
      <c r="B120" s="41" t="s">
        <v>23</v>
      </c>
      <c r="C120" s="155"/>
      <c r="D120" s="106"/>
      <c r="E120" s="106"/>
      <c r="F120" s="106"/>
      <c r="G120" s="108"/>
      <c r="H120" s="107"/>
      <c r="I120" s="155"/>
      <c r="J120" s="106"/>
      <c r="K120" s="106"/>
      <c r="L120" s="106"/>
      <c r="M120" s="108"/>
      <c r="N120" s="107"/>
      <c r="O120" s="155"/>
      <c r="P120" s="106"/>
      <c r="Q120" s="106"/>
      <c r="R120" s="154"/>
      <c r="S120" s="108"/>
      <c r="T120" s="107"/>
      <c r="U120" s="109">
        <f>U119/O119-1</f>
        <v>-0.74242424242424243</v>
      </c>
      <c r="V120" s="110">
        <f>V119/P119-1</f>
        <v>-0.94736842105263164</v>
      </c>
      <c r="W120" s="110">
        <f>W119/Q119-1</f>
        <v>-1.1764705882352942</v>
      </c>
      <c r="X120" s="120">
        <f>X119/R119-1</f>
        <v>0.78571428571428581</v>
      </c>
      <c r="Y120" s="122">
        <f>Y119/S119-1</f>
        <v>-0.65517241379310343</v>
      </c>
      <c r="Z120" s="241"/>
      <c r="AA120" s="109">
        <f>AA119/U119-1</f>
        <v>0.17647058823529416</v>
      </c>
      <c r="AB120" s="110" t="s">
        <v>35</v>
      </c>
      <c r="AC120" s="110" t="s">
        <v>35</v>
      </c>
      <c r="AD120" s="176">
        <f>AD119/X119-1</f>
        <v>2.04</v>
      </c>
      <c r="AE120" s="122">
        <f>AE119/Y119-1</f>
        <v>3.0250000000000004</v>
      </c>
      <c r="AG120" s="109">
        <f>AG119/AA119-1</f>
        <v>5.65</v>
      </c>
      <c r="AH120" s="110">
        <f>AH119/AB119-1</f>
        <v>0.90476190476190466</v>
      </c>
      <c r="AI120" s="175">
        <v>0</v>
      </c>
      <c r="AJ120" s="176">
        <v>0</v>
      </c>
      <c r="AK120" s="122">
        <f>AK119/AE119-1</f>
        <v>1.3734914596273291</v>
      </c>
      <c r="AM120" s="109">
        <f>AM119/AG119-1</f>
        <v>8.0328195488721832E-2</v>
      </c>
      <c r="AN120" s="110">
        <f>AN119/AH119-1</f>
        <v>3.739625000000002E-2</v>
      </c>
      <c r="AO120" s="175">
        <v>0</v>
      </c>
      <c r="AP120" s="176">
        <v>0</v>
      </c>
      <c r="AQ120" s="122">
        <f>AQ119/AK119-1</f>
        <v>4.6834914756251012E-2</v>
      </c>
      <c r="AS120" s="109">
        <f>AS119/AM119-1</f>
        <v>-1.2737279084990005E-3</v>
      </c>
      <c r="AT120" s="110">
        <f>AT119/AN119-1</f>
        <v>7.952602489869065E-7</v>
      </c>
      <c r="AU120" s="175">
        <v>0</v>
      </c>
      <c r="AV120" s="176">
        <v>0</v>
      </c>
      <c r="AW120" s="122">
        <f>AW119/AQ119-1</f>
        <v>4.4901776907686486E-3</v>
      </c>
      <c r="AY120" s="109">
        <f>AY119/AS119-1</f>
        <v>-1.4623787438626801E-3</v>
      </c>
      <c r="AZ120" s="110">
        <f>AZ119/AT119-1</f>
        <v>-2.2422841923863679E-4</v>
      </c>
      <c r="BA120" s="175">
        <v>0</v>
      </c>
      <c r="BB120" s="176">
        <v>0</v>
      </c>
      <c r="BC120" s="122">
        <f>BC119/AW119-1</f>
        <v>4.1120087102706204E-3</v>
      </c>
      <c r="BE120" s="109">
        <f>BE119/AY119-1</f>
        <v>-1.6459143316797098E-3</v>
      </c>
      <c r="BF120" s="110">
        <f>BF119/AZ119-1</f>
        <v>-4.4260081034153131E-4</v>
      </c>
      <c r="BG120" s="175">
        <v>0</v>
      </c>
      <c r="BH120" s="176">
        <v>0</v>
      </c>
      <c r="BI120" s="122">
        <f>BI119/BC119-1</f>
        <v>3.748235671234168E-3</v>
      </c>
      <c r="BK120" s="109">
        <f>BK119/BE119-1</f>
        <v>-1.5000000000000124E-2</v>
      </c>
      <c r="BL120" s="110">
        <f>BL119/BF119-1</f>
        <v>-1.5000000000000013E-2</v>
      </c>
      <c r="BM120" s="175">
        <v>0</v>
      </c>
      <c r="BN120" s="176">
        <v>0</v>
      </c>
      <c r="BO120" s="122">
        <f>BO119/BI119-1</f>
        <v>-1.5000000000000013E-2</v>
      </c>
      <c r="BQ120" s="109">
        <f>BQ119/BK119-1</f>
        <v>-1.4999999999999902E-2</v>
      </c>
      <c r="BR120" s="110">
        <f>BR119/BL119-1</f>
        <v>-1.5000000000000013E-2</v>
      </c>
      <c r="BS120" s="175">
        <v>0</v>
      </c>
      <c r="BT120" s="176">
        <v>0</v>
      </c>
      <c r="BU120" s="122">
        <f>BU119/BO119-1</f>
        <v>-1.5000000000000013E-2</v>
      </c>
    </row>
    <row r="121" spans="1:73" x14ac:dyDescent="0.2">
      <c r="D121" s="107"/>
      <c r="E121" s="107"/>
      <c r="F121" s="107"/>
      <c r="G121" s="107"/>
      <c r="H121" s="107"/>
      <c r="I121" s="107"/>
      <c r="J121" s="107"/>
      <c r="K121" s="107"/>
      <c r="L121" s="107"/>
      <c r="M121" s="107"/>
      <c r="N121" s="107"/>
      <c r="O121" s="107"/>
      <c r="P121" s="107"/>
      <c r="Q121" s="107"/>
      <c r="R121" s="107"/>
      <c r="S121" s="107"/>
      <c r="T121" s="107"/>
      <c r="U121" s="107"/>
      <c r="V121" s="107"/>
      <c r="W121" s="107"/>
      <c r="X121" s="107"/>
      <c r="Y121" s="107"/>
      <c r="Z121" s="241"/>
    </row>
    <row r="122" spans="1:73" x14ac:dyDescent="0.2">
      <c r="A122" s="278"/>
      <c r="B122" s="278"/>
      <c r="C122" s="279"/>
      <c r="D122" s="279"/>
      <c r="E122" s="279"/>
      <c r="F122" s="279"/>
      <c r="G122" s="279"/>
      <c r="H122" s="279"/>
      <c r="I122" s="279"/>
      <c r="J122" s="279"/>
      <c r="K122" s="279"/>
      <c r="L122" s="279"/>
      <c r="M122" s="279"/>
      <c r="N122" s="279"/>
      <c r="O122" s="279"/>
      <c r="P122" s="279"/>
      <c r="Q122" s="279"/>
      <c r="R122" s="279"/>
      <c r="S122" s="279"/>
      <c r="T122" s="279"/>
      <c r="U122" s="279"/>
      <c r="V122" s="279"/>
      <c r="W122" s="279"/>
      <c r="X122" s="279"/>
      <c r="Y122" s="279"/>
      <c r="Z122" s="278"/>
      <c r="AA122" s="278"/>
      <c r="AB122" s="278"/>
      <c r="AC122" s="278"/>
      <c r="AD122" s="278"/>
      <c r="AE122" s="278"/>
      <c r="AF122" s="278"/>
      <c r="AG122" s="278"/>
      <c r="AH122" s="278"/>
      <c r="AI122" s="278"/>
      <c r="AJ122" s="278"/>
      <c r="AK122" s="278"/>
      <c r="AL122" s="278"/>
      <c r="AM122" s="278"/>
      <c r="AN122" s="278"/>
      <c r="AO122" s="278"/>
      <c r="AP122" s="278"/>
      <c r="AQ122" s="278"/>
      <c r="AR122" s="278"/>
      <c r="AS122" s="278"/>
      <c r="AT122" s="278"/>
      <c r="AU122" s="278"/>
      <c r="AV122" s="278"/>
      <c r="AW122" s="278"/>
      <c r="AX122" s="278"/>
      <c r="AY122" s="278"/>
      <c r="AZ122" s="278"/>
      <c r="BA122" s="278"/>
      <c r="BB122" s="278"/>
      <c r="BC122" s="278"/>
      <c r="BD122" s="278"/>
      <c r="BE122" s="278"/>
      <c r="BF122" s="278"/>
      <c r="BG122" s="278"/>
      <c r="BH122" s="278"/>
      <c r="BI122" s="278"/>
      <c r="BJ122" s="278"/>
      <c r="BK122" s="278"/>
      <c r="BL122" s="278"/>
      <c r="BM122" s="278"/>
      <c r="BN122" s="278"/>
      <c r="BO122" s="278"/>
      <c r="BP122" s="278"/>
      <c r="BQ122" s="278"/>
      <c r="BR122" s="278"/>
      <c r="BS122" s="278"/>
      <c r="BT122" s="278"/>
      <c r="BU122" s="278"/>
    </row>
  </sheetData>
  <mergeCells count="67">
    <mergeCell ref="BK51:BO51"/>
    <mergeCell ref="BQ51:BU51"/>
    <mergeCell ref="AA51:AE51"/>
    <mergeCell ref="AG51:AK51"/>
    <mergeCell ref="AM51:AQ51"/>
    <mergeCell ref="AS51:AW51"/>
    <mergeCell ref="C101:G101"/>
    <mergeCell ref="I101:M101"/>
    <mergeCell ref="O101:S101"/>
    <mergeCell ref="U101:Y101"/>
    <mergeCell ref="AY51:BC51"/>
    <mergeCell ref="C76:G76"/>
    <mergeCell ref="I76:M76"/>
    <mergeCell ref="O76:S76"/>
    <mergeCell ref="U76:Y76"/>
    <mergeCell ref="C51:G51"/>
    <mergeCell ref="I51:M51"/>
    <mergeCell ref="O51:S51"/>
    <mergeCell ref="U51:Y51"/>
    <mergeCell ref="BK101:BO101"/>
    <mergeCell ref="BQ101:BU101"/>
    <mergeCell ref="AA101:AE101"/>
    <mergeCell ref="AG101:AK101"/>
    <mergeCell ref="AM101:AQ101"/>
    <mergeCell ref="AS101:AW101"/>
    <mergeCell ref="AY101:BC101"/>
    <mergeCell ref="BE101:BI101"/>
    <mergeCell ref="BK76:BO76"/>
    <mergeCell ref="BQ76:BU76"/>
    <mergeCell ref="AA76:AE76"/>
    <mergeCell ref="AG76:AK76"/>
    <mergeCell ref="AM76:AQ76"/>
    <mergeCell ref="AS76:AW76"/>
    <mergeCell ref="AY76:BC76"/>
    <mergeCell ref="C27:G27"/>
    <mergeCell ref="I27:M27"/>
    <mergeCell ref="O27:S27"/>
    <mergeCell ref="U27:Y27"/>
    <mergeCell ref="BE76:BI76"/>
    <mergeCell ref="BE51:BI51"/>
    <mergeCell ref="BK27:BO27"/>
    <mergeCell ref="BQ27:BU27"/>
    <mergeCell ref="AA27:AE27"/>
    <mergeCell ref="AG27:AK27"/>
    <mergeCell ref="AM27:AQ27"/>
    <mergeCell ref="AS27:AW27"/>
    <mergeCell ref="BE27:BI27"/>
    <mergeCell ref="AY27:BC27"/>
    <mergeCell ref="BE2:BI2"/>
    <mergeCell ref="BK2:BO2"/>
    <mergeCell ref="BQ2:BU2"/>
    <mergeCell ref="AA2:AE2"/>
    <mergeCell ref="AG2:AK2"/>
    <mergeCell ref="AM2:AQ2"/>
    <mergeCell ref="AS2:AW2"/>
    <mergeCell ref="C2:G2"/>
    <mergeCell ref="I2:M2"/>
    <mergeCell ref="O2:S2"/>
    <mergeCell ref="U2:Y2"/>
    <mergeCell ref="AY2:BC2"/>
    <mergeCell ref="DA2:DE2"/>
    <mergeCell ref="DG2:DK2"/>
    <mergeCell ref="BW2:CA2"/>
    <mergeCell ref="CC2:CG2"/>
    <mergeCell ref="CI2:CM2"/>
    <mergeCell ref="CO2:CS2"/>
    <mergeCell ref="CU2:CY2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DL34"/>
  <sheetViews>
    <sheetView zoomScale="60" workbookViewId="0">
      <pane xSplit="2" ySplit="3" topLeftCell="BD4" activePane="bottomRight" state="frozen"/>
      <selection pane="topRight" activeCell="C1" sqref="C1"/>
      <selection pane="bottomLeft" activeCell="A4" sqref="A4"/>
      <selection pane="bottomRight" sqref="A1:XFD1048576"/>
    </sheetView>
  </sheetViews>
  <sheetFormatPr defaultRowHeight="12.75" x14ac:dyDescent="0.2"/>
  <cols>
    <col min="1" max="1" width="3.140625" customWidth="1"/>
    <col min="2" max="2" width="31.7109375" customWidth="1"/>
    <col min="16" max="16" width="9.42578125" bestFit="1" customWidth="1"/>
    <col min="19" max="19" width="9.42578125" bestFit="1" customWidth="1"/>
  </cols>
  <sheetData>
    <row r="1" spans="2:115" ht="13.5" thickBot="1" x14ac:dyDescent="0.25"/>
    <row r="2" spans="2:115" x14ac:dyDescent="0.2">
      <c r="B2" s="281" t="s">
        <v>181</v>
      </c>
      <c r="C2" s="712">
        <v>2007</v>
      </c>
      <c r="D2" s="713"/>
      <c r="E2" s="713"/>
      <c r="F2" s="713"/>
      <c r="G2" s="714"/>
      <c r="H2" s="129"/>
      <c r="I2" s="712">
        <v>2008</v>
      </c>
      <c r="J2" s="713"/>
      <c r="K2" s="713"/>
      <c r="L2" s="713"/>
      <c r="M2" s="714"/>
      <c r="N2" s="129"/>
      <c r="O2" s="712">
        <v>2009</v>
      </c>
      <c r="P2" s="713"/>
      <c r="Q2" s="713"/>
      <c r="R2" s="713"/>
      <c r="S2" s="714"/>
      <c r="T2" s="129"/>
      <c r="U2" s="712">
        <v>2010</v>
      </c>
      <c r="V2" s="713"/>
      <c r="W2" s="713"/>
      <c r="X2" s="713"/>
      <c r="Y2" s="714"/>
      <c r="AA2" s="712">
        <v>2011</v>
      </c>
      <c r="AB2" s="713"/>
      <c r="AC2" s="713"/>
      <c r="AD2" s="713"/>
      <c r="AE2" s="714"/>
      <c r="AG2" s="712">
        <v>2012</v>
      </c>
      <c r="AH2" s="713"/>
      <c r="AI2" s="713"/>
      <c r="AJ2" s="713"/>
      <c r="AK2" s="714"/>
      <c r="AM2" s="712">
        <v>2013</v>
      </c>
      <c r="AN2" s="713"/>
      <c r="AO2" s="713"/>
      <c r="AP2" s="713"/>
      <c r="AQ2" s="714"/>
      <c r="AS2" s="712">
        <v>2014</v>
      </c>
      <c r="AT2" s="713"/>
      <c r="AU2" s="713"/>
      <c r="AV2" s="713"/>
      <c r="AW2" s="714"/>
      <c r="AY2" s="712">
        <v>2015</v>
      </c>
      <c r="AZ2" s="713"/>
      <c r="BA2" s="713"/>
      <c r="BB2" s="713"/>
      <c r="BC2" s="714"/>
      <c r="BE2" s="712">
        <v>2016</v>
      </c>
      <c r="BF2" s="713"/>
      <c r="BG2" s="713"/>
      <c r="BH2" s="713"/>
      <c r="BI2" s="714"/>
      <c r="BK2" s="712">
        <v>2017</v>
      </c>
      <c r="BL2" s="713"/>
      <c r="BM2" s="713"/>
      <c r="BN2" s="713"/>
      <c r="BO2" s="714"/>
      <c r="BQ2" s="712">
        <v>2018</v>
      </c>
      <c r="BR2" s="713"/>
      <c r="BS2" s="713"/>
      <c r="BT2" s="713"/>
      <c r="BU2" s="714"/>
      <c r="BW2" s="712">
        <v>2019</v>
      </c>
      <c r="BX2" s="713"/>
      <c r="BY2" s="713"/>
      <c r="BZ2" s="713"/>
      <c r="CA2" s="714"/>
      <c r="CC2" s="712">
        <v>2020</v>
      </c>
      <c r="CD2" s="713"/>
      <c r="CE2" s="713"/>
      <c r="CF2" s="713"/>
      <c r="CG2" s="714"/>
      <c r="CI2" s="712">
        <v>2021</v>
      </c>
      <c r="CJ2" s="713"/>
      <c r="CK2" s="713"/>
      <c r="CL2" s="713"/>
      <c r="CM2" s="714"/>
      <c r="CO2" s="712">
        <v>2022</v>
      </c>
      <c r="CP2" s="713"/>
      <c r="CQ2" s="713"/>
      <c r="CR2" s="713"/>
      <c r="CS2" s="714"/>
      <c r="CU2" s="712">
        <v>2023</v>
      </c>
      <c r="CV2" s="713"/>
      <c r="CW2" s="713"/>
      <c r="CX2" s="713"/>
      <c r="CY2" s="714"/>
      <c r="DA2" s="712">
        <v>2024</v>
      </c>
      <c r="DB2" s="713"/>
      <c r="DC2" s="713"/>
      <c r="DD2" s="713"/>
      <c r="DE2" s="714"/>
      <c r="DG2" s="712">
        <v>2025</v>
      </c>
      <c r="DH2" s="713"/>
      <c r="DI2" s="713"/>
      <c r="DJ2" s="713"/>
      <c r="DK2" s="714"/>
    </row>
    <row r="3" spans="2:115" ht="13.5" thickBot="1" x14ac:dyDescent="0.25">
      <c r="C3" s="130" t="s">
        <v>20</v>
      </c>
      <c r="D3" s="131" t="s">
        <v>19</v>
      </c>
      <c r="E3" s="131" t="s">
        <v>22</v>
      </c>
      <c r="F3" s="131" t="s">
        <v>21</v>
      </c>
      <c r="G3" s="132" t="s">
        <v>39</v>
      </c>
      <c r="H3" s="129"/>
      <c r="I3" s="130" t="s">
        <v>20</v>
      </c>
      <c r="J3" s="131" t="s">
        <v>19</v>
      </c>
      <c r="K3" s="131" t="s">
        <v>22</v>
      </c>
      <c r="L3" s="131" t="s">
        <v>21</v>
      </c>
      <c r="M3" s="132" t="s">
        <v>39</v>
      </c>
      <c r="N3" s="129"/>
      <c r="O3" s="130" t="s">
        <v>20</v>
      </c>
      <c r="P3" s="131" t="s">
        <v>19</v>
      </c>
      <c r="Q3" s="131" t="s">
        <v>22</v>
      </c>
      <c r="R3" s="131" t="s">
        <v>21</v>
      </c>
      <c r="S3" s="132" t="s">
        <v>39</v>
      </c>
      <c r="T3" s="129"/>
      <c r="U3" s="130" t="s">
        <v>20</v>
      </c>
      <c r="V3" s="131" t="s">
        <v>19</v>
      </c>
      <c r="W3" s="131" t="s">
        <v>22</v>
      </c>
      <c r="X3" s="131" t="s">
        <v>21</v>
      </c>
      <c r="Y3" s="132" t="s">
        <v>39</v>
      </c>
      <c r="AA3" s="130" t="s">
        <v>20</v>
      </c>
      <c r="AB3" s="131" t="s">
        <v>19</v>
      </c>
      <c r="AC3" s="131" t="s">
        <v>22</v>
      </c>
      <c r="AD3" s="131" t="s">
        <v>21</v>
      </c>
      <c r="AE3" s="132" t="s">
        <v>39</v>
      </c>
      <c r="AG3" s="130" t="s">
        <v>20</v>
      </c>
      <c r="AH3" s="131" t="s">
        <v>19</v>
      </c>
      <c r="AI3" s="131" t="s">
        <v>22</v>
      </c>
      <c r="AJ3" s="131" t="s">
        <v>21</v>
      </c>
      <c r="AK3" s="132" t="s">
        <v>39</v>
      </c>
      <c r="AM3" s="130" t="s">
        <v>20</v>
      </c>
      <c r="AN3" s="131" t="s">
        <v>19</v>
      </c>
      <c r="AO3" s="131" t="s">
        <v>22</v>
      </c>
      <c r="AP3" s="131" t="s">
        <v>21</v>
      </c>
      <c r="AQ3" s="132" t="s">
        <v>39</v>
      </c>
      <c r="AS3" s="130" t="s">
        <v>20</v>
      </c>
      <c r="AT3" s="131" t="s">
        <v>19</v>
      </c>
      <c r="AU3" s="131" t="s">
        <v>22</v>
      </c>
      <c r="AV3" s="131" t="s">
        <v>21</v>
      </c>
      <c r="AW3" s="132" t="s">
        <v>39</v>
      </c>
      <c r="AY3" s="130" t="s">
        <v>20</v>
      </c>
      <c r="AZ3" s="131" t="s">
        <v>19</v>
      </c>
      <c r="BA3" s="131" t="s">
        <v>22</v>
      </c>
      <c r="BB3" s="131" t="s">
        <v>21</v>
      </c>
      <c r="BC3" s="132" t="s">
        <v>39</v>
      </c>
      <c r="BE3" s="130" t="s">
        <v>20</v>
      </c>
      <c r="BF3" s="131" t="s">
        <v>19</v>
      </c>
      <c r="BG3" s="131" t="s">
        <v>22</v>
      </c>
      <c r="BH3" s="131" t="s">
        <v>21</v>
      </c>
      <c r="BI3" s="132" t="s">
        <v>39</v>
      </c>
      <c r="BK3" s="130" t="s">
        <v>20</v>
      </c>
      <c r="BL3" s="131" t="s">
        <v>19</v>
      </c>
      <c r="BM3" s="131" t="s">
        <v>22</v>
      </c>
      <c r="BN3" s="131" t="s">
        <v>21</v>
      </c>
      <c r="BO3" s="132" t="s">
        <v>39</v>
      </c>
      <c r="BQ3" s="130" t="s">
        <v>20</v>
      </c>
      <c r="BR3" s="131" t="s">
        <v>19</v>
      </c>
      <c r="BS3" s="131" t="s">
        <v>22</v>
      </c>
      <c r="BT3" s="131" t="s">
        <v>21</v>
      </c>
      <c r="BU3" s="132" t="s">
        <v>39</v>
      </c>
      <c r="BW3" s="130" t="s">
        <v>20</v>
      </c>
      <c r="BX3" s="131" t="s">
        <v>19</v>
      </c>
      <c r="BY3" s="131" t="s">
        <v>22</v>
      </c>
      <c r="BZ3" s="131" t="s">
        <v>21</v>
      </c>
      <c r="CA3" s="132" t="s">
        <v>39</v>
      </c>
      <c r="CC3" s="130" t="s">
        <v>20</v>
      </c>
      <c r="CD3" s="131" t="s">
        <v>19</v>
      </c>
      <c r="CE3" s="131" t="s">
        <v>22</v>
      </c>
      <c r="CF3" s="131" t="s">
        <v>21</v>
      </c>
      <c r="CG3" s="132" t="s">
        <v>39</v>
      </c>
      <c r="CI3" s="130" t="s">
        <v>20</v>
      </c>
      <c r="CJ3" s="131" t="s">
        <v>19</v>
      </c>
      <c r="CK3" s="131" t="s">
        <v>22</v>
      </c>
      <c r="CL3" s="131" t="s">
        <v>21</v>
      </c>
      <c r="CM3" s="132" t="s">
        <v>39</v>
      </c>
      <c r="CO3" s="130" t="s">
        <v>20</v>
      </c>
      <c r="CP3" s="131" t="s">
        <v>19</v>
      </c>
      <c r="CQ3" s="131" t="s">
        <v>22</v>
      </c>
      <c r="CR3" s="131" t="s">
        <v>21</v>
      </c>
      <c r="CS3" s="132" t="s">
        <v>39</v>
      </c>
      <c r="CU3" s="130" t="s">
        <v>20</v>
      </c>
      <c r="CV3" s="131" t="s">
        <v>19</v>
      </c>
      <c r="CW3" s="131" t="s">
        <v>22</v>
      </c>
      <c r="CX3" s="131" t="s">
        <v>21</v>
      </c>
      <c r="CY3" s="132" t="s">
        <v>39</v>
      </c>
      <c r="DA3" s="130" t="s">
        <v>20</v>
      </c>
      <c r="DB3" s="131" t="s">
        <v>19</v>
      </c>
      <c r="DC3" s="131" t="s">
        <v>22</v>
      </c>
      <c r="DD3" s="131" t="s">
        <v>21</v>
      </c>
      <c r="DE3" s="132" t="s">
        <v>39</v>
      </c>
      <c r="DG3" s="130" t="s">
        <v>20</v>
      </c>
      <c r="DH3" s="131" t="s">
        <v>19</v>
      </c>
      <c r="DI3" s="131" t="s">
        <v>22</v>
      </c>
      <c r="DJ3" s="131" t="s">
        <v>21</v>
      </c>
      <c r="DK3" s="132" t="s">
        <v>39</v>
      </c>
    </row>
    <row r="4" spans="2:115" ht="13.5" thickBot="1" x14ac:dyDescent="0.25">
      <c r="B4" s="241"/>
      <c r="C4" s="166"/>
      <c r="D4" s="166"/>
      <c r="E4" s="166"/>
      <c r="F4" s="166"/>
      <c r="G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/>
      <c r="V4" s="166"/>
      <c r="W4" s="166"/>
      <c r="X4" s="166"/>
      <c r="Y4" s="166"/>
      <c r="Z4" s="241"/>
      <c r="AA4" s="166"/>
      <c r="AB4" s="166"/>
      <c r="AC4" s="166"/>
      <c r="AD4" s="166"/>
      <c r="AE4" s="166"/>
      <c r="AF4" s="241"/>
      <c r="AG4" s="166"/>
      <c r="AH4" s="166"/>
      <c r="AI4" s="166"/>
      <c r="AJ4" s="166"/>
      <c r="AK4" s="166"/>
      <c r="AL4" s="241"/>
      <c r="AM4" s="166"/>
      <c r="AN4" s="166"/>
      <c r="AO4" s="166"/>
      <c r="AP4" s="166"/>
      <c r="AQ4" s="166"/>
      <c r="AR4" s="241"/>
      <c r="AS4" s="166"/>
      <c r="AT4" s="166"/>
      <c r="AU4" s="166"/>
      <c r="AV4" s="166"/>
      <c r="AW4" s="166"/>
      <c r="AX4" s="241"/>
      <c r="AY4" s="166"/>
      <c r="AZ4" s="166"/>
      <c r="BA4" s="166"/>
      <c r="BB4" s="166"/>
      <c r="BC4" s="166"/>
      <c r="BD4" s="241"/>
      <c r="BE4" s="166"/>
      <c r="BF4" s="166"/>
      <c r="BG4" s="166"/>
      <c r="BH4" s="166"/>
      <c r="BI4" s="166"/>
      <c r="BJ4" s="241"/>
      <c r="BK4" s="166"/>
      <c r="BL4" s="166"/>
      <c r="BM4" s="166"/>
      <c r="BN4" s="166"/>
      <c r="BO4" s="166"/>
      <c r="BP4" s="241"/>
      <c r="BQ4" s="166"/>
      <c r="BR4" s="166"/>
      <c r="BS4" s="166"/>
      <c r="BT4" s="166"/>
      <c r="BU4" s="166"/>
      <c r="BV4" s="241"/>
      <c r="BW4" s="166"/>
      <c r="BX4" s="166"/>
      <c r="BY4" s="166"/>
      <c r="BZ4" s="166"/>
      <c r="CA4" s="166"/>
      <c r="CB4" s="241"/>
      <c r="CC4" s="166"/>
      <c r="CD4" s="166"/>
      <c r="CE4" s="166"/>
      <c r="CF4" s="166"/>
      <c r="CG4" s="166"/>
      <c r="CH4" s="241"/>
      <c r="CI4" s="166"/>
      <c r="CJ4" s="166"/>
      <c r="CK4" s="166"/>
      <c r="CL4" s="166"/>
      <c r="CM4" s="166"/>
      <c r="CN4" s="241"/>
      <c r="CO4" s="166"/>
      <c r="CP4" s="166"/>
      <c r="CQ4" s="166"/>
      <c r="CR4" s="166"/>
      <c r="CS4" s="166"/>
      <c r="CT4" s="241"/>
      <c r="CU4" s="166"/>
      <c r="CV4" s="166"/>
      <c r="CW4" s="166"/>
      <c r="CX4" s="166"/>
      <c r="CY4" s="166"/>
      <c r="CZ4" s="241"/>
      <c r="DA4" s="166"/>
      <c r="DB4" s="166"/>
      <c r="DC4" s="166"/>
      <c r="DD4" s="166"/>
      <c r="DE4" s="166"/>
      <c r="DF4" s="241"/>
      <c r="DG4" s="166"/>
      <c r="DH4" s="166"/>
      <c r="DI4" s="166"/>
      <c r="DJ4" s="166"/>
      <c r="DK4" s="166"/>
    </row>
    <row r="5" spans="2:115" x14ac:dyDescent="0.2">
      <c r="B5" s="244" t="s">
        <v>106</v>
      </c>
      <c r="C5" s="126"/>
      <c r="D5" s="127"/>
      <c r="E5" s="127"/>
      <c r="F5" s="127"/>
      <c r="G5" s="167"/>
      <c r="H5" s="166"/>
      <c r="I5" s="126"/>
      <c r="J5" s="127"/>
      <c r="K5" s="127"/>
      <c r="L5" s="127"/>
      <c r="M5" s="167"/>
      <c r="N5" s="166"/>
      <c r="O5" s="198">
        <v>618</v>
      </c>
      <c r="P5" s="199">
        <v>612</v>
      </c>
      <c r="Q5" s="199">
        <v>593</v>
      </c>
      <c r="R5" s="200">
        <v>587</v>
      </c>
      <c r="S5" s="201">
        <f>O5+P5+Q5+R5</f>
        <v>2410</v>
      </c>
      <c r="T5" s="204"/>
      <c r="U5" s="198">
        <v>565</v>
      </c>
      <c r="V5" s="199">
        <v>583</v>
      </c>
      <c r="W5" s="199">
        <v>567</v>
      </c>
      <c r="X5" s="199">
        <v>451</v>
      </c>
      <c r="Y5" s="201">
        <f>U5+V5+W5+X5</f>
        <v>2166</v>
      </c>
      <c r="Z5" s="313"/>
      <c r="AA5" s="198">
        <v>735</v>
      </c>
      <c r="AB5" s="199">
        <v>741</v>
      </c>
      <c r="AC5" s="199">
        <v>743</v>
      </c>
      <c r="AD5" s="199">
        <v>758</v>
      </c>
      <c r="AE5" s="201">
        <f>AA5+AB5+AC5+AD5</f>
        <v>2977</v>
      </c>
      <c r="AF5" s="313"/>
      <c r="AG5" s="198">
        <v>675</v>
      </c>
      <c r="AH5" s="199">
        <v>694</v>
      </c>
      <c r="AI5" s="199">
        <v>691</v>
      </c>
      <c r="AJ5" s="199">
        <v>775</v>
      </c>
      <c r="AK5" s="201">
        <f>AG5+AH5+AI5+AJ5</f>
        <v>2835</v>
      </c>
      <c r="AL5" s="313"/>
      <c r="AM5" s="198">
        <v>691</v>
      </c>
      <c r="AN5" s="199">
        <v>761</v>
      </c>
      <c r="AO5" s="199">
        <v>635</v>
      </c>
      <c r="AP5" s="199">
        <v>792</v>
      </c>
      <c r="AQ5" s="201">
        <f>AM5+AN5+AO5+AP5</f>
        <v>2879</v>
      </c>
      <c r="AR5" s="313"/>
      <c r="AS5" s="198">
        <v>622</v>
      </c>
      <c r="AT5" s="199">
        <v>610</v>
      </c>
      <c r="AU5" s="199">
        <v>596</v>
      </c>
      <c r="AV5" s="199">
        <v>688</v>
      </c>
      <c r="AW5" s="201">
        <f>AS5+AT5+AU5+AV5</f>
        <v>2516</v>
      </c>
      <c r="AX5" s="313"/>
      <c r="AY5" s="198">
        <v>565</v>
      </c>
      <c r="AZ5" s="199">
        <v>584</v>
      </c>
      <c r="BA5" s="199">
        <v>555</v>
      </c>
      <c r="BB5" s="199">
        <v>571</v>
      </c>
      <c r="BC5" s="201">
        <f>AY5+AZ5+BA5+BB5</f>
        <v>2275</v>
      </c>
      <c r="BD5" s="313"/>
      <c r="BE5" s="198">
        <v>781</v>
      </c>
      <c r="BF5" s="199">
        <v>910</v>
      </c>
      <c r="BG5" s="199">
        <v>846.4</v>
      </c>
      <c r="BH5" s="199">
        <v>929.4</v>
      </c>
      <c r="BI5" s="201">
        <f>BE5+BF5+BG5+BH5</f>
        <v>3466.8</v>
      </c>
      <c r="BJ5" s="313"/>
      <c r="BK5" s="198">
        <v>737</v>
      </c>
      <c r="BL5" s="199">
        <v>787</v>
      </c>
      <c r="BM5" s="199">
        <v>743</v>
      </c>
      <c r="BN5" s="199">
        <v>675</v>
      </c>
      <c r="BO5" s="201">
        <f>BK5+BL5+BM5+BN5</f>
        <v>2942</v>
      </c>
      <c r="BP5" s="313"/>
      <c r="BQ5" s="198">
        <f>BK5*(1+BQ6)</f>
        <v>663.30000000000007</v>
      </c>
      <c r="BR5" s="199">
        <f>BL5*(1+BR6)</f>
        <v>727.97500000000002</v>
      </c>
      <c r="BS5" s="199">
        <f>BM5*(1+BS6)</f>
        <v>705.85</v>
      </c>
      <c r="BT5" s="199">
        <f>BN5*(1+BT6)</f>
        <v>658.125</v>
      </c>
      <c r="BU5" s="201">
        <f>BQ5+BR5+BS5+BT5</f>
        <v>2755.25</v>
      </c>
      <c r="BV5" s="313"/>
      <c r="BW5" s="198">
        <f>BQ5*(1+BW6)</f>
        <v>653.35050000000001</v>
      </c>
      <c r="BX5" s="199">
        <f>BR5*(1+BX6)</f>
        <v>718.87531250000006</v>
      </c>
      <c r="BY5" s="199">
        <f>BS5*(1+BY6)</f>
        <v>697.02687500000002</v>
      </c>
      <c r="BZ5" s="199">
        <f>BT5*(1+BZ6)</f>
        <v>651.54375000000005</v>
      </c>
      <c r="CA5" s="201">
        <f>BW5+BX5+BY5+BZ5</f>
        <v>2720.7964375000001</v>
      </c>
      <c r="CB5" s="313"/>
      <c r="CC5" s="198">
        <f>BW5*(1+CC6)</f>
        <v>646.81699500000002</v>
      </c>
      <c r="CD5" s="199">
        <f>BX5*(1+CD6)</f>
        <v>711.686559375</v>
      </c>
      <c r="CE5" s="199">
        <f>BY5*(1+CE6)</f>
        <v>690.05660624999996</v>
      </c>
      <c r="CF5" s="199">
        <f>BZ5*(1+CF6)</f>
        <v>645.02831250000008</v>
      </c>
      <c r="CG5" s="201">
        <f>CC5+CD5+CE5+CF5</f>
        <v>2693.5884731250003</v>
      </c>
      <c r="CH5" s="313"/>
      <c r="CI5" s="198">
        <f>CC5*(1+CI6)</f>
        <v>640.34882504999996</v>
      </c>
      <c r="CJ5" s="199">
        <f>CD5*(1+CJ6)</f>
        <v>704.56969378124995</v>
      </c>
      <c r="CK5" s="199">
        <f>CE5*(1+CK6)</f>
        <v>683.15604018749991</v>
      </c>
      <c r="CL5" s="199">
        <f>CF5*(1+CL6)</f>
        <v>638.57802937500003</v>
      </c>
      <c r="CM5" s="201">
        <f>CI5+CJ5+CK5+CL5</f>
        <v>2666.6525883937497</v>
      </c>
      <c r="CN5" s="313"/>
      <c r="CO5" s="198">
        <f>CI5*(1+CO6)</f>
        <v>633.94533679949996</v>
      </c>
      <c r="CP5" s="199">
        <f>CJ5*(1+CP6)</f>
        <v>697.52399684343743</v>
      </c>
      <c r="CQ5" s="199">
        <f>CK5*(1+CQ6)</f>
        <v>676.32447978562493</v>
      </c>
      <c r="CR5" s="199">
        <f>CL5*(1+CR6)</f>
        <v>632.19224908125</v>
      </c>
      <c r="CS5" s="201">
        <f>CO5+CP5+CQ5+CR5</f>
        <v>2639.9860625098122</v>
      </c>
      <c r="CT5" s="313"/>
      <c r="CU5" s="198">
        <f>CO5*(1+CU6)</f>
        <v>627.60588343150494</v>
      </c>
      <c r="CV5" s="199">
        <f>CP5*(1+CV6)</f>
        <v>690.54875687500305</v>
      </c>
      <c r="CW5" s="199">
        <f>CQ5*(1+CW6)</f>
        <v>669.56123498776867</v>
      </c>
      <c r="CX5" s="199">
        <f>CR5*(1+CX6)</f>
        <v>625.87032659043746</v>
      </c>
      <c r="CY5" s="201">
        <f>CU5+CV5+CW5+CX5</f>
        <v>2613.5862018847142</v>
      </c>
      <c r="CZ5" s="313"/>
      <c r="DA5" s="198">
        <f>CU5*(1+DA6)</f>
        <v>621.32982459718983</v>
      </c>
      <c r="DB5" s="199">
        <f>CV5*(1+DB6)</f>
        <v>683.64326930625305</v>
      </c>
      <c r="DC5" s="199">
        <f>CW5*(1+DC6)</f>
        <v>662.86562263789097</v>
      </c>
      <c r="DD5" s="199">
        <f>CX5*(1+DD6)</f>
        <v>619.61162332453307</v>
      </c>
      <c r="DE5" s="201">
        <f>DA5+DB5+DC5+DD5</f>
        <v>2587.4503398658671</v>
      </c>
      <c r="DF5" s="313"/>
      <c r="DG5" s="198">
        <f>DA5*(1+DG6)</f>
        <v>615.11652635121789</v>
      </c>
      <c r="DH5" s="199">
        <f>DB5*(1+DH6)</f>
        <v>676.80683661319051</v>
      </c>
      <c r="DI5" s="199">
        <f>DC5*(1+DI6)</f>
        <v>656.23696641151207</v>
      </c>
      <c r="DJ5" s="199">
        <f>DD5*(1+DJ6)</f>
        <v>613.41550709128774</v>
      </c>
      <c r="DK5" s="201">
        <f>DG5+DH5+DI5+DJ5</f>
        <v>2561.5758364672083</v>
      </c>
    </row>
    <row r="6" spans="2:115" ht="13.5" thickBot="1" x14ac:dyDescent="0.25">
      <c r="B6" s="274" t="s">
        <v>83</v>
      </c>
      <c r="C6" s="130"/>
      <c r="D6" s="131"/>
      <c r="E6" s="131"/>
      <c r="F6" s="131"/>
      <c r="G6" s="275"/>
      <c r="H6" s="166"/>
      <c r="I6" s="130"/>
      <c r="J6" s="131"/>
      <c r="K6" s="131"/>
      <c r="L6" s="131"/>
      <c r="M6" s="275"/>
      <c r="N6" s="166"/>
      <c r="O6" s="130" t="s">
        <v>35</v>
      </c>
      <c r="P6" s="131" t="s">
        <v>35</v>
      </c>
      <c r="Q6" s="131" t="s">
        <v>35</v>
      </c>
      <c r="R6" s="132" t="s">
        <v>35</v>
      </c>
      <c r="S6" s="275" t="s">
        <v>35</v>
      </c>
      <c r="T6" s="166"/>
      <c r="U6" s="289">
        <f>U5/O5-1</f>
        <v>-8.5760517799352787E-2</v>
      </c>
      <c r="V6" s="293">
        <f>V5/P5-1</f>
        <v>-4.7385620915032733E-2</v>
      </c>
      <c r="W6" s="293">
        <f>W5/Q5-1</f>
        <v>-4.3844856661045539E-2</v>
      </c>
      <c r="X6" s="293">
        <f>X5/R5-1</f>
        <v>-0.23168654173764902</v>
      </c>
      <c r="Y6" s="295">
        <f>Y5/S5-1</f>
        <v>-0.10124481327800827</v>
      </c>
      <c r="Z6" s="241"/>
      <c r="AA6" s="289">
        <f>AA5/U5-1</f>
        <v>0.30088495575221241</v>
      </c>
      <c r="AB6" s="293">
        <f>AB5/V5-1</f>
        <v>0.27101200686106353</v>
      </c>
      <c r="AC6" s="293">
        <f>AC5/W5-1</f>
        <v>0.31040564373897706</v>
      </c>
      <c r="AD6" s="293">
        <f>AD5/X5-1</f>
        <v>0.68070953436807091</v>
      </c>
      <c r="AE6" s="295">
        <f>AE5/Y5-1</f>
        <v>0.37442289935364736</v>
      </c>
      <c r="AF6" s="241"/>
      <c r="AG6" s="289">
        <f>AG5/AA5-1</f>
        <v>-8.1632653061224469E-2</v>
      </c>
      <c r="AH6" s="293">
        <f>AH5/AB5-1</f>
        <v>-6.3427800269905577E-2</v>
      </c>
      <c r="AI6" s="293">
        <f>AI5/AC5-1</f>
        <v>-6.9986541049798068E-2</v>
      </c>
      <c r="AJ6" s="293">
        <f>AJ5/AD5-1</f>
        <v>2.2427440633245421E-2</v>
      </c>
      <c r="AK6" s="295">
        <f>AK5/AE5-1</f>
        <v>-4.7699025864964772E-2</v>
      </c>
      <c r="AL6" s="241"/>
      <c r="AM6" s="289">
        <f>AM5/AG5-1</f>
        <v>2.3703703703703782E-2</v>
      </c>
      <c r="AN6" s="293">
        <f>AN5/AH5-1</f>
        <v>9.6541786743515878E-2</v>
      </c>
      <c r="AO6" s="293">
        <f>AO5/AI5-1</f>
        <v>-8.1041968162083977E-2</v>
      </c>
      <c r="AP6" s="293">
        <f>AP5/AJ5-1</f>
        <v>2.1935483870967776E-2</v>
      </c>
      <c r="AQ6" s="295">
        <f>AQ5/AK5-1</f>
        <v>1.5520282186948897E-2</v>
      </c>
      <c r="AR6" s="241"/>
      <c r="AS6" s="289">
        <f>AS5/AM5-1</f>
        <v>-9.9855282199710516E-2</v>
      </c>
      <c r="AT6" s="293">
        <f>AT5/AN5-1</f>
        <v>-0.19842312746386337</v>
      </c>
      <c r="AU6" s="293">
        <f>AU5/AO5-1</f>
        <v>-6.1417322834645627E-2</v>
      </c>
      <c r="AV6" s="293">
        <f>AV5/AP5-1</f>
        <v>-0.13131313131313127</v>
      </c>
      <c r="AW6" s="295">
        <f>AW5/AQ5-1</f>
        <v>-0.1260854463355332</v>
      </c>
      <c r="AX6" s="241"/>
      <c r="AY6" s="289">
        <f>AY5/AS5-1</f>
        <v>-9.1639871382636628E-2</v>
      </c>
      <c r="AZ6" s="293">
        <f>AZ5/AT5-1</f>
        <v>-4.2622950819672156E-2</v>
      </c>
      <c r="BA6" s="293">
        <f>BA5/AU5-1</f>
        <v>-6.8791946308724872E-2</v>
      </c>
      <c r="BB6" s="293">
        <f>BB5/AV5-1</f>
        <v>-0.17005813953488369</v>
      </c>
      <c r="BC6" s="295">
        <f>BC5/AW5-1</f>
        <v>-9.5786963434022265E-2</v>
      </c>
      <c r="BD6" s="241"/>
      <c r="BE6" s="289">
        <v>-9.1999999999999998E-2</v>
      </c>
      <c r="BF6" s="293">
        <v>-7.1999999999999995E-2</v>
      </c>
      <c r="BG6" s="293">
        <v>7.0000000000000001E-3</v>
      </c>
      <c r="BH6" s="293">
        <v>4.7E-2</v>
      </c>
      <c r="BI6" s="295">
        <v>-2.8000000000000001E-2</v>
      </c>
      <c r="BJ6" s="241"/>
      <c r="BK6" s="289">
        <f>BK5/BE5-1</f>
        <v>-5.633802816901412E-2</v>
      </c>
      <c r="BL6" s="293">
        <f>BL5/BF5-1</f>
        <v>-0.13516483516483513</v>
      </c>
      <c r="BM6" s="293">
        <f>BM5/BG5-1</f>
        <v>-0.12216446124763702</v>
      </c>
      <c r="BN6" s="293">
        <f>BN5/BH5-1</f>
        <v>-0.27372498386055522</v>
      </c>
      <c r="BO6" s="295">
        <f>BO5/BI5-1</f>
        <v>-0.15137879312334146</v>
      </c>
      <c r="BP6" s="241"/>
      <c r="BQ6" s="289">
        <v>-0.1</v>
      </c>
      <c r="BR6" s="293">
        <v>-7.4999999999999997E-2</v>
      </c>
      <c r="BS6" s="293">
        <v>-0.05</v>
      </c>
      <c r="BT6" s="293">
        <v>-2.5000000000000001E-2</v>
      </c>
      <c r="BU6" s="295">
        <f>BU5/BO5-1</f>
        <v>-6.3477226376614571E-2</v>
      </c>
      <c r="BV6" s="241"/>
      <c r="BW6" s="289">
        <v>-1.4999999999999999E-2</v>
      </c>
      <c r="BX6" s="293">
        <v>-1.2500000000000001E-2</v>
      </c>
      <c r="BY6" s="293">
        <v>-1.2500000000000001E-2</v>
      </c>
      <c r="BZ6" s="293">
        <v>-0.01</v>
      </c>
      <c r="CA6" s="295">
        <f>CA5/BU5-1</f>
        <v>-1.2504695581163183E-2</v>
      </c>
      <c r="CB6" s="241"/>
      <c r="CC6" s="289">
        <v>-0.01</v>
      </c>
      <c r="CD6" s="293">
        <v>-0.01</v>
      </c>
      <c r="CE6" s="293">
        <v>-0.01</v>
      </c>
      <c r="CF6" s="293">
        <v>-0.01</v>
      </c>
      <c r="CG6" s="295">
        <f>CG5/CA5-1</f>
        <v>-9.9999999999998979E-3</v>
      </c>
      <c r="CH6" s="241"/>
      <c r="CI6" s="289">
        <v>-0.01</v>
      </c>
      <c r="CJ6" s="293">
        <v>-0.01</v>
      </c>
      <c r="CK6" s="293">
        <v>-0.01</v>
      </c>
      <c r="CL6" s="293">
        <v>-0.01</v>
      </c>
      <c r="CM6" s="295">
        <f>CM5/CG5-1</f>
        <v>-1.0000000000000231E-2</v>
      </c>
      <c r="CN6" s="241"/>
      <c r="CO6" s="289">
        <v>-0.01</v>
      </c>
      <c r="CP6" s="293">
        <v>-0.01</v>
      </c>
      <c r="CQ6" s="293">
        <v>-0.01</v>
      </c>
      <c r="CR6" s="293">
        <v>-0.01</v>
      </c>
      <c r="CS6" s="295">
        <f>CS5/CM5-1</f>
        <v>-1.0000000000000009E-2</v>
      </c>
      <c r="CT6" s="241"/>
      <c r="CU6" s="289">
        <v>-0.01</v>
      </c>
      <c r="CV6" s="293">
        <v>-0.01</v>
      </c>
      <c r="CW6" s="293">
        <v>-0.01</v>
      </c>
      <c r="CX6" s="293">
        <v>-0.01</v>
      </c>
      <c r="CY6" s="295">
        <f>CY5/CS5-1</f>
        <v>-9.9999999999998979E-3</v>
      </c>
      <c r="CZ6" s="241"/>
      <c r="DA6" s="289">
        <v>-0.01</v>
      </c>
      <c r="DB6" s="293">
        <v>-0.01</v>
      </c>
      <c r="DC6" s="293">
        <v>-0.01</v>
      </c>
      <c r="DD6" s="293">
        <v>-0.01</v>
      </c>
      <c r="DE6" s="295">
        <f>DE5/CY5-1</f>
        <v>-1.0000000000000009E-2</v>
      </c>
      <c r="DF6" s="241"/>
      <c r="DG6" s="289">
        <v>-0.01</v>
      </c>
      <c r="DH6" s="293">
        <v>-0.01</v>
      </c>
      <c r="DI6" s="293">
        <v>-0.01</v>
      </c>
      <c r="DJ6" s="293">
        <v>-0.01</v>
      </c>
      <c r="DK6" s="295">
        <f>DK5/DE5-1</f>
        <v>-1.0000000000000009E-2</v>
      </c>
    </row>
    <row r="7" spans="2:115" ht="13.5" thickBot="1" x14ac:dyDescent="0.25">
      <c r="B7" s="241"/>
      <c r="C7" s="166"/>
      <c r="D7" s="166"/>
      <c r="E7" s="166"/>
      <c r="F7" s="166"/>
      <c r="G7" s="166"/>
      <c r="H7" s="16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241"/>
      <c r="AA7" s="166"/>
      <c r="AB7" s="166"/>
      <c r="AC7" s="166"/>
      <c r="AD7" s="166"/>
      <c r="AE7" s="166"/>
      <c r="AF7" s="241"/>
      <c r="AG7" s="166"/>
      <c r="AH7" s="166"/>
      <c r="AI7" s="166"/>
      <c r="AJ7" s="166"/>
      <c r="AK7" s="166"/>
      <c r="AL7" s="241"/>
      <c r="AM7" s="166"/>
      <c r="AN7" s="166"/>
      <c r="AO7" s="166"/>
      <c r="AP7" s="166"/>
      <c r="AQ7" s="166"/>
      <c r="AR7" s="241"/>
      <c r="AS7" s="166"/>
      <c r="AT7" s="166"/>
      <c r="AU7" s="166"/>
      <c r="AV7" s="166"/>
      <c r="AW7" s="166"/>
      <c r="AX7" s="241"/>
      <c r="AY7" s="166"/>
      <c r="AZ7" s="166"/>
      <c r="BA7" s="166"/>
      <c r="BB7" s="166"/>
      <c r="BC7" s="166"/>
      <c r="BD7" s="241"/>
      <c r="BE7" s="166"/>
      <c r="BF7" s="166"/>
      <c r="BG7" s="166"/>
      <c r="BH7" s="166"/>
      <c r="BI7" s="166"/>
      <c r="BJ7" s="241"/>
      <c r="BK7" s="166"/>
      <c r="BL7" s="166"/>
      <c r="BM7" s="166"/>
      <c r="BN7" s="166"/>
      <c r="BO7" s="166"/>
      <c r="BP7" s="241"/>
      <c r="BQ7" s="166"/>
      <c r="BR7" s="166"/>
      <c r="BS7" s="166"/>
      <c r="BT7" s="166"/>
      <c r="BU7" s="166"/>
      <c r="BV7" s="241"/>
      <c r="BW7" s="166"/>
      <c r="BX7" s="166"/>
      <c r="BY7" s="166"/>
      <c r="BZ7" s="166"/>
      <c r="CA7" s="166"/>
      <c r="CB7" s="241"/>
      <c r="CC7" s="166"/>
      <c r="CD7" s="166"/>
      <c r="CE7" s="166"/>
      <c r="CF7" s="166"/>
      <c r="CG7" s="166"/>
      <c r="CH7" s="241"/>
      <c r="CI7" s="166"/>
      <c r="CJ7" s="166"/>
      <c r="CK7" s="166"/>
      <c r="CL7" s="166"/>
      <c r="CM7" s="166"/>
      <c r="CN7" s="241"/>
      <c r="CO7" s="166"/>
      <c r="CP7" s="166"/>
      <c r="CQ7" s="166"/>
      <c r="CR7" s="166"/>
      <c r="CS7" s="166"/>
      <c r="CT7" s="241"/>
      <c r="CU7" s="166"/>
      <c r="CV7" s="166"/>
      <c r="CW7" s="166"/>
      <c r="CX7" s="166"/>
      <c r="CY7" s="166"/>
      <c r="CZ7" s="241"/>
      <c r="DA7" s="166"/>
      <c r="DB7" s="166"/>
      <c r="DC7" s="166"/>
      <c r="DD7" s="166"/>
      <c r="DE7" s="166"/>
      <c r="DF7" s="241"/>
      <c r="DG7" s="166"/>
      <c r="DH7" s="166"/>
      <c r="DI7" s="166"/>
      <c r="DJ7" s="166"/>
      <c r="DK7" s="166"/>
    </row>
    <row r="8" spans="2:115" x14ac:dyDescent="0.2">
      <c r="B8" s="244" t="s">
        <v>92</v>
      </c>
      <c r="C8" s="126"/>
      <c r="D8" s="127"/>
      <c r="E8" s="127"/>
      <c r="F8" s="127"/>
      <c r="G8" s="167"/>
      <c r="H8" s="166"/>
      <c r="I8" s="126"/>
      <c r="J8" s="127"/>
      <c r="K8" s="127"/>
      <c r="L8" s="127"/>
      <c r="M8" s="167"/>
      <c r="N8" s="166"/>
      <c r="O8" s="198">
        <f>O5-O14</f>
        <v>668</v>
      </c>
      <c r="P8" s="199">
        <f>P5-P14</f>
        <v>754</v>
      </c>
      <c r="Q8" s="199">
        <f>Q5-Q14</f>
        <v>705</v>
      </c>
      <c r="R8" s="199">
        <f>R5-R14</f>
        <v>598</v>
      </c>
      <c r="S8" s="201">
        <f>O8+P8+Q8+R8</f>
        <v>2725</v>
      </c>
      <c r="T8" s="166"/>
      <c r="U8" s="198">
        <f>U5-U14</f>
        <v>737</v>
      </c>
      <c r="V8" s="199">
        <f>V5-V14</f>
        <v>765</v>
      </c>
      <c r="W8" s="199">
        <f>W5-W14</f>
        <v>759</v>
      </c>
      <c r="X8" s="199">
        <f>X5-X14</f>
        <v>775</v>
      </c>
      <c r="Y8" s="201">
        <f>U8+V8+W8+X8</f>
        <v>3036</v>
      </c>
      <c r="Z8" s="313"/>
      <c r="AA8" s="198">
        <f>AA5-AA14</f>
        <v>864</v>
      </c>
      <c r="AB8" s="199">
        <f>AB5-AB14</f>
        <v>849</v>
      </c>
      <c r="AC8" s="199">
        <f>AC5-AC14</f>
        <v>854</v>
      </c>
      <c r="AD8" s="199">
        <f>AD5-AD14</f>
        <v>1027</v>
      </c>
      <c r="AE8" s="201">
        <f>AA8+AB8+AC8+AD8</f>
        <v>3594</v>
      </c>
      <c r="AF8" s="313"/>
      <c r="AG8" s="198">
        <f>AG5-AG14</f>
        <v>838</v>
      </c>
      <c r="AH8" s="199">
        <f>AH5-AH14</f>
        <v>772</v>
      </c>
      <c r="AI8" s="199">
        <f>AI5-AI14</f>
        <v>845</v>
      </c>
      <c r="AJ8" s="199">
        <f>AJ5-AJ14</f>
        <v>1095</v>
      </c>
      <c r="AK8" s="201">
        <f>AG8+AH8+AI8+AJ8</f>
        <v>3550</v>
      </c>
      <c r="AL8" s="313"/>
      <c r="AM8" s="198">
        <f>AM5-AM14</f>
        <v>790</v>
      </c>
      <c r="AN8" s="199">
        <f>AN5-AN14</f>
        <v>872</v>
      </c>
      <c r="AO8" s="199">
        <f>AO5-AO14</f>
        <v>790</v>
      </c>
      <c r="AP8" s="199">
        <f>AP5-AP14</f>
        <v>1082</v>
      </c>
      <c r="AQ8" s="201">
        <f>AM8+AN8+AO8+AP8</f>
        <v>3534</v>
      </c>
      <c r="AR8" s="313"/>
      <c r="AS8" s="198">
        <f>AS5-AS14</f>
        <v>740</v>
      </c>
      <c r="AT8" s="199">
        <f>AT5-AT14</f>
        <v>770</v>
      </c>
      <c r="AU8" s="199">
        <f>AU5-AU14</f>
        <v>741</v>
      </c>
      <c r="AV8" s="199">
        <f>AV5-AV14</f>
        <v>932</v>
      </c>
      <c r="AW8" s="201">
        <f>AS8+AT8+AU8+AV8</f>
        <v>3183</v>
      </c>
      <c r="AX8" s="313"/>
      <c r="AY8" s="198">
        <f>AY5-AY14</f>
        <v>762</v>
      </c>
      <c r="AZ8" s="199">
        <f>AZ5-AZ14</f>
        <v>660</v>
      </c>
      <c r="BA8" s="199">
        <f>BA5-BA14</f>
        <v>688</v>
      </c>
      <c r="BB8" s="199">
        <f>BB5-BB14</f>
        <v>892</v>
      </c>
      <c r="BC8" s="201">
        <f>AY8+AZ8+BA8+BB8</f>
        <v>3002</v>
      </c>
      <c r="BD8" s="313"/>
      <c r="BE8" s="198">
        <f>BE5-BE14</f>
        <v>928</v>
      </c>
      <c r="BF8" s="199">
        <f>BF5-BF14</f>
        <v>999</v>
      </c>
      <c r="BG8" s="199">
        <f>BG5-BG14</f>
        <v>987.4</v>
      </c>
      <c r="BH8" s="199">
        <f>BH5-BH14</f>
        <v>1222.4000000000001</v>
      </c>
      <c r="BI8" s="201">
        <f>BE8+BF8+BG8+BH8</f>
        <v>4136.8</v>
      </c>
      <c r="BJ8" s="313"/>
      <c r="BK8" s="198">
        <f>BK5-BK14</f>
        <v>865</v>
      </c>
      <c r="BL8" s="199">
        <f>BL5-BL14</f>
        <v>877</v>
      </c>
      <c r="BM8" s="199">
        <f>BM5-BM14</f>
        <v>858</v>
      </c>
      <c r="BN8" s="199">
        <f>BN5-BN14</f>
        <v>1058</v>
      </c>
      <c r="BO8" s="201">
        <f>BK8+BL8+BM8+BN8</f>
        <v>3658</v>
      </c>
      <c r="BP8" s="313"/>
      <c r="BQ8" s="198">
        <f>BK8*(1+BQ9)</f>
        <v>787.15</v>
      </c>
      <c r="BR8" s="199">
        <f>BL8*(1+BR9)</f>
        <v>806.84</v>
      </c>
      <c r="BS8" s="199">
        <f>BM8*(1+BS9)</f>
        <v>806.52</v>
      </c>
      <c r="BT8" s="200">
        <f>BN8*(1+BT9)</f>
        <v>1036.8399999999999</v>
      </c>
      <c r="BU8" s="201">
        <f>BQ8+BR8+BS8+BT8</f>
        <v>3437.3500000000004</v>
      </c>
      <c r="BV8" s="313"/>
      <c r="BW8" s="198">
        <f>BQ8*(1+BW9)</f>
        <v>775.34275000000002</v>
      </c>
      <c r="BX8" s="199">
        <f>BR8*(1+BX9)</f>
        <v>794.73739999999998</v>
      </c>
      <c r="BY8" s="199">
        <f>BS8*(1+BY9)</f>
        <v>794.42219999999998</v>
      </c>
      <c r="BZ8" s="200">
        <f>BT8*(1+BZ9)</f>
        <v>1021.2873999999999</v>
      </c>
      <c r="CA8" s="201">
        <f>BW8+BX8+BY8+BZ8</f>
        <v>3385.7897499999999</v>
      </c>
      <c r="CB8" s="313"/>
      <c r="CC8" s="198">
        <f>BW8*(1+CC9)</f>
        <v>763.71260874999996</v>
      </c>
      <c r="CD8" s="199">
        <f>BX8*(1+CD9)</f>
        <v>782.81633899999997</v>
      </c>
      <c r="CE8" s="199">
        <f>BY8*(1+CE9)</f>
        <v>782.50586699999997</v>
      </c>
      <c r="CF8" s="200">
        <f>BZ8*(1+CF9)</f>
        <v>1005.968089</v>
      </c>
      <c r="CG8" s="201">
        <f>CC8+CD8+CE8+CF8</f>
        <v>3335.0029037499999</v>
      </c>
      <c r="CH8" s="313"/>
      <c r="CI8" s="198">
        <f>CC8*(1+CI9)</f>
        <v>752.25691961874998</v>
      </c>
      <c r="CJ8" s="199">
        <f>CD8*(1+CJ9)</f>
        <v>771.07409391499993</v>
      </c>
      <c r="CK8" s="199">
        <f>CE8*(1+CK9)</f>
        <v>770.76827899499995</v>
      </c>
      <c r="CL8" s="200">
        <f>CF8*(1+CL9)</f>
        <v>990.87856766499999</v>
      </c>
      <c r="CM8" s="201">
        <f>CI8+CJ8+CK8+CL8</f>
        <v>3284.9778601937501</v>
      </c>
      <c r="CN8" s="313"/>
      <c r="CO8" s="198">
        <f>CI8*(1+CO9)</f>
        <v>740.97306582446868</v>
      </c>
      <c r="CP8" s="199">
        <f>CJ8*(1+CP9)</f>
        <v>759.50798250627497</v>
      </c>
      <c r="CQ8" s="199">
        <f>CK8*(1+CQ9)</f>
        <v>759.20675481007493</v>
      </c>
      <c r="CR8" s="200">
        <f>CL8*(1+CR9)</f>
        <v>976.01538915002493</v>
      </c>
      <c r="CS8" s="201">
        <f>CO8+CP8+CQ8+CR8</f>
        <v>3235.7031922908436</v>
      </c>
      <c r="CT8" s="313"/>
      <c r="CU8" s="198">
        <f>CO8*(1+CU9)</f>
        <v>731.71090250166287</v>
      </c>
      <c r="CV8" s="199">
        <f>CP8*(1+CV9)</f>
        <v>750.01413272494653</v>
      </c>
      <c r="CW8" s="199">
        <f>CQ8*(1+CW9)</f>
        <v>749.71667037494899</v>
      </c>
      <c r="CX8" s="200">
        <f>CR8*(1+CX9)</f>
        <v>963.81519678564962</v>
      </c>
      <c r="CY8" s="201">
        <f>CU8+CV8+CW8+CX8</f>
        <v>3195.2569023872079</v>
      </c>
      <c r="CZ8" s="313"/>
      <c r="DA8" s="198">
        <f>CU8*(1+DA9)</f>
        <v>722.56451622039208</v>
      </c>
      <c r="DB8" s="199">
        <f>CV8*(1+DB9)</f>
        <v>740.63895606588471</v>
      </c>
      <c r="DC8" s="199">
        <f>CW8*(1+DC9)</f>
        <v>740.34521199526216</v>
      </c>
      <c r="DD8" s="200">
        <f>CX8*(1+DD9)</f>
        <v>951.76750682582906</v>
      </c>
      <c r="DE8" s="201">
        <f>DA8+DB8+DC8+DD8</f>
        <v>3155.316191107368</v>
      </c>
      <c r="DF8" s="313"/>
      <c r="DG8" s="198">
        <f>DA8*(1+DG9)</f>
        <v>713.53245976763719</v>
      </c>
      <c r="DH8" s="199">
        <f>DB8*(1+DH9)</f>
        <v>731.38096911506113</v>
      </c>
      <c r="DI8" s="199">
        <f>DC8*(1+DI9)</f>
        <v>731.09089684532137</v>
      </c>
      <c r="DJ8" s="200">
        <f>DD8*(1+DJ9)</f>
        <v>939.87041299050622</v>
      </c>
      <c r="DK8" s="201">
        <f>DG8+DH8+DI8+DJ8</f>
        <v>3115.8747387185258</v>
      </c>
    </row>
    <row r="9" spans="2:115" ht="15" x14ac:dyDescent="0.3">
      <c r="B9" s="40" t="s">
        <v>23</v>
      </c>
      <c r="C9" s="216"/>
      <c r="D9" s="166"/>
      <c r="E9" s="166"/>
      <c r="F9" s="166"/>
      <c r="G9" s="243"/>
      <c r="H9" s="166"/>
      <c r="I9" s="216"/>
      <c r="J9" s="166"/>
      <c r="K9" s="166"/>
      <c r="L9" s="166"/>
      <c r="M9" s="243"/>
      <c r="N9" s="166"/>
      <c r="O9" s="216" t="s">
        <v>35</v>
      </c>
      <c r="P9" s="166" t="s">
        <v>35</v>
      </c>
      <c r="Q9" s="166" t="s">
        <v>35</v>
      </c>
      <c r="R9" s="166" t="s">
        <v>35</v>
      </c>
      <c r="S9" s="243" t="s">
        <v>35</v>
      </c>
      <c r="T9" s="166"/>
      <c r="U9" s="237">
        <f>U8/O8-1</f>
        <v>0.1032934131736527</v>
      </c>
      <c r="V9" s="233">
        <f>V8/P8-1</f>
        <v>1.458885941644561E-2</v>
      </c>
      <c r="W9" s="233">
        <f>W8/Q8-1</f>
        <v>7.6595744680851174E-2</v>
      </c>
      <c r="X9" s="233">
        <f>X8/R8-1</f>
        <v>0.29598662207357851</v>
      </c>
      <c r="Y9" s="297">
        <f>Y8/S8-1</f>
        <v>0.11412844036697245</v>
      </c>
      <c r="Z9" s="241"/>
      <c r="AA9" s="237">
        <f>AA8/U8-1</f>
        <v>0.17232021709633649</v>
      </c>
      <c r="AB9" s="233">
        <f>AB8/V8-1</f>
        <v>0.1098039215686275</v>
      </c>
      <c r="AC9" s="233">
        <f>AC8/W8-1</f>
        <v>0.12516469038208178</v>
      </c>
      <c r="AD9" s="233">
        <f>AD8/X8-1</f>
        <v>0.32516129032258068</v>
      </c>
      <c r="AE9" s="297">
        <f>AE8/Y8-1</f>
        <v>0.1837944664031621</v>
      </c>
      <c r="AF9" s="241"/>
      <c r="AG9" s="237">
        <f>AG8/AA8-1</f>
        <v>-3.009259259259256E-2</v>
      </c>
      <c r="AH9" s="233">
        <f>AH8/AB8-1</f>
        <v>-9.0694935217903394E-2</v>
      </c>
      <c r="AI9" s="233">
        <f>AI8/AC8-1</f>
        <v>-1.0538641686182681E-2</v>
      </c>
      <c r="AJ9" s="233">
        <f>AJ8/AD8-1</f>
        <v>6.6212268743914393E-2</v>
      </c>
      <c r="AK9" s="297">
        <f>AK8/AE8-1</f>
        <v>-1.2242626599888728E-2</v>
      </c>
      <c r="AL9" s="241"/>
      <c r="AM9" s="237">
        <f>AM8/AG8-1</f>
        <v>-5.727923627684961E-2</v>
      </c>
      <c r="AN9" s="233">
        <f>AN8/AH8-1</f>
        <v>0.1295336787564767</v>
      </c>
      <c r="AO9" s="233">
        <f>AO8/AI8-1</f>
        <v>-6.5088757396449703E-2</v>
      </c>
      <c r="AP9" s="233">
        <f>AP8/AJ8-1</f>
        <v>-1.1872146118721449E-2</v>
      </c>
      <c r="AQ9" s="297">
        <f>AQ8/AK8-1</f>
        <v>-4.5070422535211652E-3</v>
      </c>
      <c r="AR9" s="241"/>
      <c r="AS9" s="237">
        <f>AS8/AM8-1</f>
        <v>-6.3291139240506333E-2</v>
      </c>
      <c r="AT9" s="233">
        <f>AT8/AN8-1</f>
        <v>-0.1169724770642202</v>
      </c>
      <c r="AU9" s="233">
        <f>AU8/AO8-1</f>
        <v>-6.20253164556962E-2</v>
      </c>
      <c r="AV9" s="233">
        <f>AV8/AP8-1</f>
        <v>-0.1386321626617375</v>
      </c>
      <c r="AW9" s="297">
        <f>AW8/AQ8-1</f>
        <v>-9.9320882852292014E-2</v>
      </c>
      <c r="AX9" s="241"/>
      <c r="AY9" s="237">
        <f>AY8/AS8-1</f>
        <v>2.9729729729729648E-2</v>
      </c>
      <c r="AZ9" s="233">
        <f>AZ8/AT8-1</f>
        <v>-0.1428571428571429</v>
      </c>
      <c r="BA9" s="233">
        <f>BA8/AU8-1</f>
        <v>-7.1524966261808376E-2</v>
      </c>
      <c r="BB9" s="233">
        <f>BB8/AV8-1</f>
        <v>-4.2918454935622297E-2</v>
      </c>
      <c r="BC9" s="297">
        <f>BC8/AW8-1</f>
        <v>-5.686459315111525E-2</v>
      </c>
      <c r="BD9" s="241"/>
      <c r="BE9" s="237">
        <v>-0.17299999999999999</v>
      </c>
      <c r="BF9" s="233">
        <v>-1.4999999999999999E-2</v>
      </c>
      <c r="BG9" s="233">
        <v>-2.8000000000000001E-2</v>
      </c>
      <c r="BH9" s="233">
        <v>-5.8999999999999997E-2</v>
      </c>
      <c r="BI9" s="297">
        <v>-7.0999999999999994E-2</v>
      </c>
      <c r="BJ9" s="241"/>
      <c r="BK9" s="237">
        <f>BK8/BE8-1</f>
        <v>-6.7887931034482762E-2</v>
      </c>
      <c r="BL9" s="233">
        <f>BL8/BF8-1</f>
        <v>-0.12212212212212215</v>
      </c>
      <c r="BM9" s="233">
        <f>BM8/BG8-1</f>
        <v>-0.13105124569576665</v>
      </c>
      <c r="BN9" s="233">
        <f>BN8/BH8-1</f>
        <v>-0.13448952879581155</v>
      </c>
      <c r="BO9" s="297">
        <f>BO8/BI8-1</f>
        <v>-0.11574163604718624</v>
      </c>
      <c r="BP9" s="241"/>
      <c r="BQ9" s="237">
        <v>-0.09</v>
      </c>
      <c r="BR9" s="233">
        <v>-0.08</v>
      </c>
      <c r="BS9" s="233">
        <v>-0.06</v>
      </c>
      <c r="BT9" s="233">
        <v>-0.02</v>
      </c>
      <c r="BU9" s="297">
        <f>BU8/BO8-1</f>
        <v>-6.0319846910880215E-2</v>
      </c>
      <c r="BV9" s="241"/>
      <c r="BW9" s="237">
        <v>-1.4999999999999999E-2</v>
      </c>
      <c r="BX9" s="233">
        <f>BW9</f>
        <v>-1.4999999999999999E-2</v>
      </c>
      <c r="BY9" s="233">
        <f>BX9</f>
        <v>-1.4999999999999999E-2</v>
      </c>
      <c r="BZ9" s="233">
        <f>BY9</f>
        <v>-1.4999999999999999E-2</v>
      </c>
      <c r="CA9" s="297">
        <f>CA8/BU8-1</f>
        <v>-1.5000000000000124E-2</v>
      </c>
      <c r="CB9" s="241"/>
      <c r="CC9" s="237">
        <v>-1.4999999999999999E-2</v>
      </c>
      <c r="CD9" s="233">
        <f>CC9</f>
        <v>-1.4999999999999999E-2</v>
      </c>
      <c r="CE9" s="233">
        <f>CD9</f>
        <v>-1.4999999999999999E-2</v>
      </c>
      <c r="CF9" s="233">
        <f>CE9</f>
        <v>-1.4999999999999999E-2</v>
      </c>
      <c r="CG9" s="297">
        <f>CG8/CA8-1</f>
        <v>-1.5000000000000013E-2</v>
      </c>
      <c r="CH9" s="241"/>
      <c r="CI9" s="237">
        <v>-1.4999999999999999E-2</v>
      </c>
      <c r="CJ9" s="233">
        <f>CI9</f>
        <v>-1.4999999999999999E-2</v>
      </c>
      <c r="CK9" s="233">
        <f>CJ9</f>
        <v>-1.4999999999999999E-2</v>
      </c>
      <c r="CL9" s="233">
        <f>CK9</f>
        <v>-1.4999999999999999E-2</v>
      </c>
      <c r="CM9" s="297">
        <f>CM8/CG8-1</f>
        <v>-1.4999999999999902E-2</v>
      </c>
      <c r="CN9" s="241"/>
      <c r="CO9" s="237">
        <v>-1.4999999999999999E-2</v>
      </c>
      <c r="CP9" s="233">
        <f>CO9</f>
        <v>-1.4999999999999999E-2</v>
      </c>
      <c r="CQ9" s="233">
        <f>CP9</f>
        <v>-1.4999999999999999E-2</v>
      </c>
      <c r="CR9" s="233">
        <f>CQ9</f>
        <v>-1.4999999999999999E-2</v>
      </c>
      <c r="CS9" s="297">
        <f>CS8/CM8-1</f>
        <v>-1.5000000000000013E-2</v>
      </c>
      <c r="CT9" s="241"/>
      <c r="CU9" s="237">
        <v>-1.2500000000000001E-2</v>
      </c>
      <c r="CV9" s="233">
        <f>CU9</f>
        <v>-1.2500000000000001E-2</v>
      </c>
      <c r="CW9" s="233">
        <f>CV9</f>
        <v>-1.2500000000000001E-2</v>
      </c>
      <c r="CX9" s="233">
        <f>CW9</f>
        <v>-1.2500000000000001E-2</v>
      </c>
      <c r="CY9" s="297">
        <f>CY8/CS8-1</f>
        <v>-1.2500000000000067E-2</v>
      </c>
      <c r="CZ9" s="241"/>
      <c r="DA9" s="237">
        <v>-1.2500000000000001E-2</v>
      </c>
      <c r="DB9" s="233">
        <f>DA9</f>
        <v>-1.2500000000000001E-2</v>
      </c>
      <c r="DC9" s="233">
        <f>DB9</f>
        <v>-1.2500000000000001E-2</v>
      </c>
      <c r="DD9" s="233">
        <f>DC9</f>
        <v>-1.2500000000000001E-2</v>
      </c>
      <c r="DE9" s="297">
        <f>DE8/CY8-1</f>
        <v>-1.2499999999999956E-2</v>
      </c>
      <c r="DF9" s="241"/>
      <c r="DG9" s="237">
        <v>-1.2500000000000001E-2</v>
      </c>
      <c r="DH9" s="233">
        <f>DG9</f>
        <v>-1.2500000000000001E-2</v>
      </c>
      <c r="DI9" s="233">
        <f>DH9</f>
        <v>-1.2500000000000001E-2</v>
      </c>
      <c r="DJ9" s="233">
        <f>DI9</f>
        <v>-1.2500000000000001E-2</v>
      </c>
      <c r="DK9" s="297">
        <f>DK8/DE8-1</f>
        <v>-1.2500000000000067E-2</v>
      </c>
    </row>
    <row r="10" spans="2:115" ht="15" x14ac:dyDescent="0.3">
      <c r="B10" s="39"/>
      <c r="C10" s="216"/>
      <c r="D10" s="166"/>
      <c r="E10" s="166"/>
      <c r="F10" s="166"/>
      <c r="G10" s="243"/>
      <c r="H10" s="166"/>
      <c r="I10" s="216"/>
      <c r="J10" s="166"/>
      <c r="K10" s="166"/>
      <c r="L10" s="166"/>
      <c r="M10" s="243"/>
      <c r="N10" s="166"/>
      <c r="O10" s="216"/>
      <c r="P10" s="166"/>
      <c r="Q10" s="166"/>
      <c r="R10" s="166"/>
      <c r="S10" s="243"/>
      <c r="T10" s="166"/>
      <c r="U10" s="216"/>
      <c r="V10" s="166"/>
      <c r="W10" s="166"/>
      <c r="X10" s="166"/>
      <c r="Y10" s="243"/>
      <c r="Z10" s="241"/>
      <c r="AA10" s="216"/>
      <c r="AB10" s="166"/>
      <c r="AC10" s="166"/>
      <c r="AD10" s="217"/>
      <c r="AE10" s="243"/>
      <c r="AF10" s="241"/>
      <c r="AG10" s="216"/>
      <c r="AH10" s="166"/>
      <c r="AI10" s="166"/>
      <c r="AJ10" s="217"/>
      <c r="AK10" s="243"/>
      <c r="AL10" s="241"/>
      <c r="AM10" s="216"/>
      <c r="AN10" s="166"/>
      <c r="AO10" s="166"/>
      <c r="AP10" s="166"/>
      <c r="AQ10" s="243"/>
      <c r="AR10" s="241"/>
      <c r="AS10" s="216"/>
      <c r="AT10" s="166"/>
      <c r="AU10" s="166"/>
      <c r="AV10" s="166"/>
      <c r="AW10" s="243"/>
      <c r="AX10" s="241"/>
      <c r="AY10" s="216"/>
      <c r="AZ10" s="166"/>
      <c r="BA10" s="166"/>
      <c r="BB10" s="217"/>
      <c r="BC10" s="243"/>
      <c r="BD10" s="241"/>
      <c r="BE10" s="216"/>
      <c r="BF10" s="166"/>
      <c r="BG10" s="166"/>
      <c r="BH10" s="217"/>
      <c r="BI10" s="243"/>
      <c r="BJ10" s="241"/>
      <c r="BK10" s="216"/>
      <c r="BL10" s="166"/>
      <c r="BM10" s="166"/>
      <c r="BN10" s="217"/>
      <c r="BO10" s="243"/>
      <c r="BP10" s="241"/>
      <c r="BQ10" s="216"/>
      <c r="BR10" s="166"/>
      <c r="BS10" s="166"/>
      <c r="BT10" s="217"/>
      <c r="BU10" s="243"/>
      <c r="BV10" s="241"/>
      <c r="BW10" s="216"/>
      <c r="BX10" s="166"/>
      <c r="BY10" s="166"/>
      <c r="BZ10" s="217"/>
      <c r="CA10" s="243"/>
      <c r="CB10" s="241"/>
      <c r="CC10" s="216"/>
      <c r="CD10" s="166"/>
      <c r="CE10" s="166"/>
      <c r="CF10" s="217"/>
      <c r="CG10" s="243"/>
      <c r="CH10" s="241"/>
      <c r="CI10" s="216"/>
      <c r="CJ10" s="166"/>
      <c r="CK10" s="166"/>
      <c r="CL10" s="217"/>
      <c r="CM10" s="243"/>
      <c r="CN10" s="241"/>
      <c r="CO10" s="216"/>
      <c r="CP10" s="166"/>
      <c r="CQ10" s="166"/>
      <c r="CR10" s="217"/>
      <c r="CS10" s="243"/>
      <c r="CT10" s="241"/>
      <c r="CU10" s="216"/>
      <c r="CV10" s="166"/>
      <c r="CW10" s="166"/>
      <c r="CX10" s="217"/>
      <c r="CY10" s="243"/>
      <c r="CZ10" s="241"/>
      <c r="DA10" s="216"/>
      <c r="DB10" s="166"/>
      <c r="DC10" s="166"/>
      <c r="DD10" s="217"/>
      <c r="DE10" s="243"/>
      <c r="DF10" s="241"/>
      <c r="DG10" s="216"/>
      <c r="DH10" s="166"/>
      <c r="DI10" s="166"/>
      <c r="DJ10" s="217"/>
      <c r="DK10" s="243"/>
    </row>
    <row r="11" spans="2:115" ht="15" x14ac:dyDescent="0.3">
      <c r="B11" s="40" t="s">
        <v>54</v>
      </c>
      <c r="C11" s="216"/>
      <c r="D11" s="166"/>
      <c r="E11" s="166"/>
      <c r="F11" s="166"/>
      <c r="G11" s="243"/>
      <c r="H11" s="166"/>
      <c r="I11" s="216"/>
      <c r="J11" s="166"/>
      <c r="K11" s="166"/>
      <c r="L11" s="166"/>
      <c r="M11" s="243"/>
      <c r="N11" s="166"/>
      <c r="O11" s="237">
        <f>O8/O5</f>
        <v>1.080906148867314</v>
      </c>
      <c r="P11" s="233">
        <f>P8/P5</f>
        <v>1.2320261437908497</v>
      </c>
      <c r="Q11" s="233">
        <f>Q8/Q5</f>
        <v>1.1888701517706577</v>
      </c>
      <c r="R11" s="233">
        <f>R8/R5</f>
        <v>1.018739352640545</v>
      </c>
      <c r="S11" s="297">
        <f>S8/S5</f>
        <v>1.1307053941908713</v>
      </c>
      <c r="T11" s="166"/>
      <c r="U11" s="237">
        <f>U8/U5</f>
        <v>1.3044247787610619</v>
      </c>
      <c r="V11" s="233">
        <f>V8/V5</f>
        <v>1.3121783876500857</v>
      </c>
      <c r="W11" s="233">
        <f>W8/W5</f>
        <v>1.3386243386243386</v>
      </c>
      <c r="X11" s="233">
        <f>X8/X5</f>
        <v>1.7184035476718404</v>
      </c>
      <c r="Y11" s="297">
        <f>Y8/Y5</f>
        <v>1.4016620498614958</v>
      </c>
      <c r="Z11" s="241"/>
      <c r="AA11" s="237">
        <f>AA8/AA5</f>
        <v>1.1755102040816328</v>
      </c>
      <c r="AB11" s="233">
        <f>AB8/AB5</f>
        <v>1.1457489878542511</v>
      </c>
      <c r="AC11" s="233">
        <f>AC8/AC5</f>
        <v>1.1493943472409152</v>
      </c>
      <c r="AD11" s="233">
        <f>AD8/AD5</f>
        <v>1.3548812664907652</v>
      </c>
      <c r="AE11" s="297">
        <f>AE8/AE5</f>
        <v>1.2072556264696002</v>
      </c>
      <c r="AF11" s="241"/>
      <c r="AG11" s="237">
        <f>AG8/AG5</f>
        <v>1.2414814814814814</v>
      </c>
      <c r="AH11" s="233">
        <f>AH8/AH5</f>
        <v>1.1123919308357348</v>
      </c>
      <c r="AI11" s="233">
        <f>AI8/AI5</f>
        <v>1.2228654124457308</v>
      </c>
      <c r="AJ11" s="233">
        <f>AJ8/AJ5</f>
        <v>1.4129032258064516</v>
      </c>
      <c r="AK11" s="297">
        <f>AK8/AK5</f>
        <v>1.2522045855379189</v>
      </c>
      <c r="AL11" s="241"/>
      <c r="AM11" s="237">
        <f>AM8/AM5</f>
        <v>1.1432706222865412</v>
      </c>
      <c r="AN11" s="233">
        <f>AN8/AN5</f>
        <v>1.1458607095926412</v>
      </c>
      <c r="AO11" s="233">
        <f>AO8/AO5</f>
        <v>1.2440944881889764</v>
      </c>
      <c r="AP11" s="233">
        <f>AP8/AP5</f>
        <v>1.3661616161616161</v>
      </c>
      <c r="AQ11" s="297">
        <f>AQ8/AQ5</f>
        <v>1.2275095519277528</v>
      </c>
      <c r="AR11" s="241"/>
      <c r="AS11" s="237">
        <f>AS8/AS5</f>
        <v>1.189710610932476</v>
      </c>
      <c r="AT11" s="233">
        <f>AT8/AT5</f>
        <v>1.2622950819672132</v>
      </c>
      <c r="AU11" s="233">
        <f>AU8/AU5</f>
        <v>1.2432885906040267</v>
      </c>
      <c r="AV11" s="233">
        <f>AV8/AV5</f>
        <v>1.3546511627906976</v>
      </c>
      <c r="AW11" s="297">
        <f>AW8/AW5</f>
        <v>1.2651033386327504</v>
      </c>
      <c r="AX11" s="241"/>
      <c r="AY11" s="237">
        <f>AY8/AY5</f>
        <v>1.3486725663716814</v>
      </c>
      <c r="AZ11" s="233">
        <f>AZ8/AZ5</f>
        <v>1.1301369863013699</v>
      </c>
      <c r="BA11" s="233">
        <f>BA8/BA5</f>
        <v>1.2396396396396396</v>
      </c>
      <c r="BB11" s="233">
        <f>BB8/BB5</f>
        <v>1.5621716287215412</v>
      </c>
      <c r="BC11" s="297">
        <f>BC8/BC5</f>
        <v>1.3195604395604397</v>
      </c>
      <c r="BD11" s="241"/>
      <c r="BE11" s="237">
        <f>BE8/BE5</f>
        <v>1.1882202304737517</v>
      </c>
      <c r="BF11" s="233">
        <f>BF8/BF5</f>
        <v>1.0978021978021979</v>
      </c>
      <c r="BG11" s="233">
        <f>BG8/BG5</f>
        <v>1.1665879017013232</v>
      </c>
      <c r="BH11" s="233">
        <f>BH8/BH5</f>
        <v>1.3152571551538628</v>
      </c>
      <c r="BI11" s="297">
        <f>BI8/BI5</f>
        <v>1.1932617976231683</v>
      </c>
      <c r="BJ11" s="241"/>
      <c r="BK11" s="237">
        <f>BK8/BK5</f>
        <v>1.1736770691994574</v>
      </c>
      <c r="BL11" s="233">
        <f>BL8/BL5</f>
        <v>1.1143583227445997</v>
      </c>
      <c r="BM11" s="233">
        <f>BM8/BM5</f>
        <v>1.154777927321669</v>
      </c>
      <c r="BN11" s="233">
        <f>BN8/BN5</f>
        <v>1.5674074074074074</v>
      </c>
      <c r="BO11" s="297">
        <f>BO8/BO5</f>
        <v>1.2433718558803535</v>
      </c>
      <c r="BP11" s="241"/>
      <c r="BQ11" s="237">
        <f>BQ8/BQ5</f>
        <v>1.1867179255238955</v>
      </c>
      <c r="BR11" s="233">
        <f>BR8/BR5</f>
        <v>1.1083347642432777</v>
      </c>
      <c r="BS11" s="233">
        <f>BS8/BS5</f>
        <v>1.1426223701919671</v>
      </c>
      <c r="BT11" s="234">
        <f>BT8/BT5</f>
        <v>1.5754453941120607</v>
      </c>
      <c r="BU11" s="297">
        <f>BU8/BU5</f>
        <v>1.2475637419471919</v>
      </c>
      <c r="BV11" s="241"/>
      <c r="BW11" s="237">
        <f>BW8/BW5</f>
        <v>1.1867179255238958</v>
      </c>
      <c r="BX11" s="233">
        <f>BX8/BX5</f>
        <v>1.1055288534477248</v>
      </c>
      <c r="BY11" s="233">
        <f>BY8/BY5</f>
        <v>1.1397296553307217</v>
      </c>
      <c r="BZ11" s="234">
        <f>BZ8/BZ5</f>
        <v>1.5674885991923027</v>
      </c>
      <c r="CA11" s="297">
        <f>CA8/CA5</f>
        <v>1.2444112699261793</v>
      </c>
      <c r="CB11" s="241"/>
      <c r="CC11" s="237">
        <f>CC8/CC5</f>
        <v>1.1807244006475122</v>
      </c>
      <c r="CD11" s="233">
        <f>CD8/CD5</f>
        <v>1.0999453743899081</v>
      </c>
      <c r="CE11" s="233">
        <f>CE8/CE5</f>
        <v>1.1339734449502634</v>
      </c>
      <c r="CF11" s="234">
        <f>CF8/CF5</f>
        <v>1.5595719901054728</v>
      </c>
      <c r="CG11" s="297">
        <f>CG8/CG5</f>
        <v>1.2381263645225118</v>
      </c>
      <c r="CH11" s="241"/>
      <c r="CI11" s="237">
        <f>CI8/CI5</f>
        <v>1.1747611460987877</v>
      </c>
      <c r="CJ11" s="233">
        <f>CJ8/CJ5</f>
        <v>1.0943900947212724</v>
      </c>
      <c r="CK11" s="233">
        <f>CK8/CK5</f>
        <v>1.1282463063394037</v>
      </c>
      <c r="CL11" s="234">
        <f>CL8/CL5</f>
        <v>1.551695363892819</v>
      </c>
      <c r="CM11" s="297">
        <f>CM8/CM5</f>
        <v>1.2318732010653277</v>
      </c>
      <c r="CN11" s="241"/>
      <c r="CO11" s="237">
        <f>CO8/CO5</f>
        <v>1.1688280089972785</v>
      </c>
      <c r="CP11" s="233">
        <f>CP8/CP5</f>
        <v>1.0888628720206599</v>
      </c>
      <c r="CQ11" s="233">
        <f>CQ8/CQ5</f>
        <v>1.1225480926710227</v>
      </c>
      <c r="CR11" s="234">
        <f>CR8/CR5</f>
        <v>1.5438585186206331</v>
      </c>
      <c r="CS11" s="297">
        <f>CS8/CS5</f>
        <v>1.2256516192417652</v>
      </c>
      <c r="CT11" s="241"/>
      <c r="CU11" s="237">
        <f>CU8/CU5</f>
        <v>1.1658764231159724</v>
      </c>
      <c r="CV11" s="233">
        <f>CV8/CV5</f>
        <v>1.0861132183034361</v>
      </c>
      <c r="CW11" s="233">
        <f>CW8/CW5</f>
        <v>1.1197133752652879</v>
      </c>
      <c r="CX11" s="234">
        <f>CX8/CX5</f>
        <v>1.5399598859978538</v>
      </c>
      <c r="CY11" s="297">
        <f>CY8/CY5</f>
        <v>1.2225565393951952</v>
      </c>
      <c r="CZ11" s="241"/>
      <c r="DA11" s="237">
        <f>DA8/DA5</f>
        <v>1.1629322907343664</v>
      </c>
      <c r="DB11" s="233">
        <f>DB8/DB5</f>
        <v>1.0833705081562051</v>
      </c>
      <c r="DC11" s="233">
        <f>DC8/DC5</f>
        <v>1.1168858162368402</v>
      </c>
      <c r="DD11" s="234">
        <f>DD8/DD5</f>
        <v>1.5360710984069503</v>
      </c>
      <c r="DE11" s="297">
        <f>DE8/DE5</f>
        <v>1.2194692754068235</v>
      </c>
      <c r="DF11" s="241"/>
      <c r="DG11" s="237">
        <f>DG8/DG5</f>
        <v>1.1599955930304919</v>
      </c>
      <c r="DH11" s="233">
        <f>DH8/DH5</f>
        <v>1.0806347240446994</v>
      </c>
      <c r="DI11" s="233">
        <f>DI8/DI5</f>
        <v>1.1140653975089694</v>
      </c>
      <c r="DJ11" s="234">
        <f>DJ8/DJ5</f>
        <v>1.5321921309867308</v>
      </c>
      <c r="DK11" s="297">
        <f>DK8/DK5</f>
        <v>1.2163898075396344</v>
      </c>
    </row>
    <row r="12" spans="2:115" ht="15.75" thickBot="1" x14ac:dyDescent="0.35">
      <c r="B12" s="41" t="s">
        <v>23</v>
      </c>
      <c r="C12" s="130"/>
      <c r="D12" s="131"/>
      <c r="E12" s="131"/>
      <c r="F12" s="131"/>
      <c r="G12" s="275"/>
      <c r="H12" s="166"/>
      <c r="I12" s="130"/>
      <c r="J12" s="131"/>
      <c r="K12" s="131"/>
      <c r="L12" s="131"/>
      <c r="M12" s="275"/>
      <c r="N12" s="166"/>
      <c r="O12" s="130" t="s">
        <v>35</v>
      </c>
      <c r="P12" s="131" t="s">
        <v>35</v>
      </c>
      <c r="Q12" s="131" t="s">
        <v>35</v>
      </c>
      <c r="R12" s="131" t="s">
        <v>35</v>
      </c>
      <c r="S12" s="275" t="s">
        <v>35</v>
      </c>
      <c r="T12" s="166"/>
      <c r="U12" s="290">
        <f>U11-O11</f>
        <v>0.22351862989374793</v>
      </c>
      <c r="V12" s="292">
        <f>V11-P11</f>
        <v>8.0152243859235917E-2</v>
      </c>
      <c r="W12" s="292">
        <f>W11-Q11</f>
        <v>0.14975418685368092</v>
      </c>
      <c r="X12" s="292">
        <f>X11-R11</f>
        <v>0.6996641950312954</v>
      </c>
      <c r="Y12" s="291">
        <f>Y11-S11</f>
        <v>0.27095665567062444</v>
      </c>
      <c r="Z12" s="241"/>
      <c r="AA12" s="290">
        <f>AA11-U11</f>
        <v>-0.12891457467942913</v>
      </c>
      <c r="AB12" s="292">
        <f>AB11-V11</f>
        <v>-0.1664293997958346</v>
      </c>
      <c r="AC12" s="292">
        <f>AC11-W11</f>
        <v>-0.18922999138342345</v>
      </c>
      <c r="AD12" s="292">
        <f>AD11-X11</f>
        <v>-0.36352228118107521</v>
      </c>
      <c r="AE12" s="291">
        <f>AE11-Y11</f>
        <v>-0.19440642339189562</v>
      </c>
      <c r="AF12" s="241"/>
      <c r="AG12" s="290">
        <f>AG11-AA11</f>
        <v>6.5971277399848649E-2</v>
      </c>
      <c r="AH12" s="292">
        <f>AH11-AB11</f>
        <v>-3.3357057018516212E-2</v>
      </c>
      <c r="AI12" s="292">
        <f>AI11-AC11</f>
        <v>7.3471065204815611E-2</v>
      </c>
      <c r="AJ12" s="292">
        <f>AJ11-AD11</f>
        <v>5.8021959315686322E-2</v>
      </c>
      <c r="AK12" s="291">
        <f>AK11-AE11</f>
        <v>4.494895906831875E-2</v>
      </c>
      <c r="AL12" s="241"/>
      <c r="AM12" s="290">
        <f>AM11-AG11</f>
        <v>-9.8210859194940214E-2</v>
      </c>
      <c r="AN12" s="292">
        <f>AN11-AH11</f>
        <v>3.3468778756906348E-2</v>
      </c>
      <c r="AO12" s="292">
        <f>AO11-AI11</f>
        <v>2.1229075743245618E-2</v>
      </c>
      <c r="AP12" s="292">
        <f>AP11-AJ11</f>
        <v>-4.6741609644835425E-2</v>
      </c>
      <c r="AQ12" s="291">
        <f>AQ11-AK11</f>
        <v>-2.4695033610166117E-2</v>
      </c>
      <c r="AR12" s="241"/>
      <c r="AS12" s="290">
        <f>AS11-AM11</f>
        <v>4.6439988645934793E-2</v>
      </c>
      <c r="AT12" s="292">
        <f>AT11-AN11</f>
        <v>0.11643437237457199</v>
      </c>
      <c r="AU12" s="292">
        <f>AU11-AO11</f>
        <v>-8.0589758494964414E-4</v>
      </c>
      <c r="AV12" s="292">
        <f>AV11-AP11</f>
        <v>-1.1510453370918494E-2</v>
      </c>
      <c r="AW12" s="291">
        <f>AW11-AQ11</f>
        <v>3.7593786704997578E-2</v>
      </c>
      <c r="AX12" s="241"/>
      <c r="AY12" s="290">
        <f>AY11-AS11</f>
        <v>0.15896195543920544</v>
      </c>
      <c r="AZ12" s="292">
        <f>AZ11-AT11</f>
        <v>-0.13215809566584324</v>
      </c>
      <c r="BA12" s="292">
        <f>BA11-AU11</f>
        <v>-3.6489509643871099E-3</v>
      </c>
      <c r="BB12" s="292">
        <f>BB11-AV11</f>
        <v>0.20752046593084361</v>
      </c>
      <c r="BC12" s="291">
        <f>BC11-AW11</f>
        <v>5.4457100927689295E-2</v>
      </c>
      <c r="BD12" s="241"/>
      <c r="BE12" s="290">
        <v>-0.121</v>
      </c>
      <c r="BF12" s="292">
        <v>6.9000000000000006E-2</v>
      </c>
      <c r="BG12" s="292">
        <v>-4.2999999999999997E-2</v>
      </c>
      <c r="BH12" s="292">
        <v>-0.159</v>
      </c>
      <c r="BI12" s="291">
        <v>-5.8999999999999997E-2</v>
      </c>
      <c r="BJ12" s="241"/>
      <c r="BK12" s="290">
        <f>BK11-BE11</f>
        <v>-1.4543161274294336E-2</v>
      </c>
      <c r="BL12" s="292">
        <f>BL11-BF11</f>
        <v>1.6556124942401773E-2</v>
      </c>
      <c r="BM12" s="292">
        <f>BM11-BG11</f>
        <v>-1.1809974379654253E-2</v>
      </c>
      <c r="BN12" s="292">
        <f>BN11-BH11</f>
        <v>0.25215025225354459</v>
      </c>
      <c r="BO12" s="291">
        <f>BO11-BI11</f>
        <v>5.0110058257185175E-2</v>
      </c>
      <c r="BP12" s="241"/>
      <c r="BQ12" s="290">
        <f>BQ11-BK11</f>
        <v>1.3040856324438188E-2</v>
      </c>
      <c r="BR12" s="292">
        <f>BR11-BL11</f>
        <v>-6.0235585013219684E-3</v>
      </c>
      <c r="BS12" s="292">
        <f>BS11-BM11</f>
        <v>-1.2155557129701844E-2</v>
      </c>
      <c r="BT12" s="359">
        <f>BT11-BN11</f>
        <v>8.0379867046533882E-3</v>
      </c>
      <c r="BU12" s="291">
        <f>BU11-BO11</f>
        <v>4.1918860668384017E-3</v>
      </c>
      <c r="BV12" s="241"/>
      <c r="BW12" s="290">
        <f>BW11-BQ11</f>
        <v>0</v>
      </c>
      <c r="BX12" s="292">
        <f>BX11-BR11</f>
        <v>-2.8059107955529239E-3</v>
      </c>
      <c r="BY12" s="292">
        <f>BY11-BS11</f>
        <v>-2.8927148612454268E-3</v>
      </c>
      <c r="BZ12" s="359">
        <f>BZ11-BT11</f>
        <v>-7.9567949197580923E-3</v>
      </c>
      <c r="CA12" s="291">
        <f>CA11-BU11</f>
        <v>-3.1524720210125423E-3</v>
      </c>
      <c r="CB12" s="241"/>
      <c r="CC12" s="290">
        <f>CC11-BW11</f>
        <v>-5.9935248763836046E-3</v>
      </c>
      <c r="CD12" s="292">
        <f>CD11-BX11</f>
        <v>-5.5834790578166427E-3</v>
      </c>
      <c r="CE12" s="292">
        <f>CE11-BY11</f>
        <v>-5.7562103804582598E-3</v>
      </c>
      <c r="CF12" s="359">
        <f>CF11-BZ11</f>
        <v>-7.9166090868298955E-3</v>
      </c>
      <c r="CG12" s="291">
        <f>CG11-CA11</f>
        <v>-6.2849054036675511E-3</v>
      </c>
      <c r="CH12" s="241"/>
      <c r="CI12" s="290">
        <f>CI11-CC11</f>
        <v>-5.9632545487244837E-3</v>
      </c>
      <c r="CJ12" s="292">
        <f>CJ11-CD11</f>
        <v>-5.5552796686357819E-3</v>
      </c>
      <c r="CK12" s="292">
        <f>CK11-CE11</f>
        <v>-5.7271386108597166E-3</v>
      </c>
      <c r="CL12" s="359">
        <f>CL11-CF11</f>
        <v>-7.8766262126537256E-3</v>
      </c>
      <c r="CM12" s="291">
        <f>CM11-CG11</f>
        <v>-6.2531634571840744E-3</v>
      </c>
      <c r="CN12" s="241"/>
      <c r="CO12" s="290">
        <f>CO11-CI11</f>
        <v>-5.9331371015092227E-3</v>
      </c>
      <c r="CP12" s="292">
        <f>CP11-CJ11</f>
        <v>-5.5272227006124552E-3</v>
      </c>
      <c r="CQ12" s="292">
        <f>CQ11-CK11</f>
        <v>-5.6982136683809692E-3</v>
      </c>
      <c r="CR12" s="359">
        <f>CR11-CL11</f>
        <v>-7.8368452721859772E-3</v>
      </c>
      <c r="CS12" s="291">
        <f>CS11-CM11</f>
        <v>-6.221581823562472E-3</v>
      </c>
      <c r="CT12" s="241"/>
      <c r="CU12" s="290">
        <f>CU11-CO11</f>
        <v>-2.9515858813060625E-3</v>
      </c>
      <c r="CV12" s="292">
        <f>CV11-CP11</f>
        <v>-2.7496537172237989E-3</v>
      </c>
      <c r="CW12" s="292">
        <f>CW11-CQ11</f>
        <v>-2.8347174057348212E-3</v>
      </c>
      <c r="CX12" s="359">
        <f>CX11-CR11</f>
        <v>-3.8986326227792301E-3</v>
      </c>
      <c r="CY12" s="291">
        <f>CY11-CS11</f>
        <v>-3.0950798465700924E-3</v>
      </c>
      <c r="CZ12" s="241"/>
      <c r="DA12" s="290">
        <f>DA11-CU11</f>
        <v>-2.9441323816059572E-3</v>
      </c>
      <c r="DB12" s="292">
        <f>DB11-CV11</f>
        <v>-2.7427101472310422E-3</v>
      </c>
      <c r="DC12" s="292">
        <f>DC11-CW11</f>
        <v>-2.8275590284476682E-3</v>
      </c>
      <c r="DD12" s="359">
        <f>DD11-CX11</f>
        <v>-3.8887875909034975E-3</v>
      </c>
      <c r="DE12" s="291">
        <f>DE11-CY11</f>
        <v>-3.087263988371669E-3</v>
      </c>
      <c r="DF12" s="241"/>
      <c r="DG12" s="290">
        <f>DG11-DA11</f>
        <v>-2.9366977038745024E-3</v>
      </c>
      <c r="DH12" s="292">
        <f>DH11-DB11</f>
        <v>-2.7357841115056569E-3</v>
      </c>
      <c r="DI12" s="292">
        <f>DI11-DC11</f>
        <v>-2.8204187278708659E-3</v>
      </c>
      <c r="DJ12" s="359">
        <f>DJ11-DD11</f>
        <v>-3.8789674202195368E-3</v>
      </c>
      <c r="DK12" s="291">
        <f>DK11-DE11</f>
        <v>-3.0794678671890452E-3</v>
      </c>
    </row>
    <row r="13" spans="2:115" ht="13.5" thickBot="1" x14ac:dyDescent="0.25">
      <c r="B13" s="241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241"/>
      <c r="AA13" s="166"/>
      <c r="AB13" s="166"/>
      <c r="AC13" s="166"/>
      <c r="AD13" s="166"/>
      <c r="AE13" s="166"/>
      <c r="AF13" s="241"/>
      <c r="AG13" s="166"/>
      <c r="AH13" s="166"/>
      <c r="AI13" s="166"/>
      <c r="AJ13" s="166"/>
      <c r="AK13" s="166"/>
      <c r="AL13" s="241"/>
      <c r="AM13" s="166"/>
      <c r="AN13" s="166"/>
      <c r="AO13" s="166"/>
      <c r="AP13" s="166"/>
      <c r="AQ13" s="166"/>
      <c r="AR13" s="241"/>
      <c r="AS13" s="166"/>
      <c r="AT13" s="166"/>
      <c r="AU13" s="166"/>
      <c r="AV13" s="166"/>
      <c r="AW13" s="166"/>
      <c r="AX13" s="241"/>
      <c r="AY13" s="166">
        <f>-22-175</f>
        <v>-197</v>
      </c>
      <c r="AZ13" s="166"/>
      <c r="BA13" s="166"/>
      <c r="BB13" s="166"/>
      <c r="BC13" s="204">
        <f>BC14-175</f>
        <v>-902</v>
      </c>
      <c r="BD13" s="241"/>
      <c r="BE13" s="194">
        <f>BE14-AY14</f>
        <v>50</v>
      </c>
      <c r="BF13" s="194">
        <f>BF14-AZ14</f>
        <v>-13</v>
      </c>
      <c r="BG13" s="194">
        <f>BG14-BA14</f>
        <v>-8</v>
      </c>
      <c r="BH13" s="194">
        <f>BH14-BB14</f>
        <v>28</v>
      </c>
      <c r="BI13" s="166"/>
      <c r="BJ13" s="241"/>
      <c r="BK13" s="204">
        <f>BK14-BE14</f>
        <v>19</v>
      </c>
      <c r="BL13" s="204">
        <f>BL14-BF14</f>
        <v>-1</v>
      </c>
      <c r="BM13" s="204">
        <f>BM14-BG14</f>
        <v>26</v>
      </c>
      <c r="BN13" s="204">
        <f>BN14-BH14</f>
        <v>-90</v>
      </c>
      <c r="BO13" s="166"/>
      <c r="BP13" s="241"/>
      <c r="BQ13" s="204">
        <f>BQ14-BK14</f>
        <v>4.1500000000000909</v>
      </c>
      <c r="BR13" s="204">
        <f>BR14-BL14</f>
        <v>11.134999999999991</v>
      </c>
      <c r="BS13" s="204">
        <f>BS14-BM14</f>
        <v>14.330000000000041</v>
      </c>
      <c r="BT13" s="204">
        <f>BT14-BN14</f>
        <v>4.2850000000000819</v>
      </c>
      <c r="BU13" s="166"/>
      <c r="BV13" s="241"/>
      <c r="BW13" s="166"/>
      <c r="BX13" s="166"/>
      <c r="BY13" s="166"/>
      <c r="BZ13" s="166"/>
      <c r="CA13" s="166"/>
      <c r="CB13" s="241"/>
      <c r="CC13" s="166"/>
      <c r="CD13" s="166"/>
      <c r="CE13" s="166"/>
      <c r="CF13" s="166"/>
      <c r="CG13" s="166"/>
      <c r="CH13" s="241"/>
      <c r="CI13" s="166"/>
      <c r="CJ13" s="166"/>
      <c r="CK13" s="166"/>
      <c r="CL13" s="166"/>
      <c r="CM13" s="166"/>
      <c r="CN13" s="241"/>
      <c r="CO13" s="166"/>
      <c r="CP13" s="166"/>
      <c r="CQ13" s="166"/>
      <c r="CR13" s="166"/>
      <c r="CS13" s="166"/>
      <c r="CT13" s="241"/>
      <c r="CU13" s="166"/>
      <c r="CV13" s="166"/>
      <c r="CW13" s="166"/>
      <c r="CX13" s="166"/>
      <c r="CY13" s="166"/>
      <c r="CZ13" s="241"/>
      <c r="DA13" s="166"/>
      <c r="DB13" s="166"/>
      <c r="DC13" s="166"/>
      <c r="DD13" s="166"/>
      <c r="DE13" s="166"/>
      <c r="DF13" s="241"/>
      <c r="DG13" s="166"/>
      <c r="DH13" s="166"/>
      <c r="DI13" s="166"/>
      <c r="DJ13" s="166"/>
      <c r="DK13" s="166"/>
    </row>
    <row r="14" spans="2:115" ht="15" x14ac:dyDescent="0.3">
      <c r="B14" s="42" t="s">
        <v>61</v>
      </c>
      <c r="C14" s="126"/>
      <c r="D14" s="127"/>
      <c r="E14" s="127"/>
      <c r="F14" s="127"/>
      <c r="G14" s="167"/>
      <c r="H14" s="166"/>
      <c r="I14" s="126"/>
      <c r="J14" s="127"/>
      <c r="K14" s="127"/>
      <c r="L14" s="127"/>
      <c r="M14" s="167"/>
      <c r="N14" s="166"/>
      <c r="O14" s="198">
        <v>-50</v>
      </c>
      <c r="P14" s="199">
        <v>-142</v>
      </c>
      <c r="Q14" s="199">
        <v>-112</v>
      </c>
      <c r="R14" s="199">
        <v>-11</v>
      </c>
      <c r="S14" s="201">
        <f>O14+P14+Q14+R14</f>
        <v>-315</v>
      </c>
      <c r="T14" s="204"/>
      <c r="U14" s="198">
        <v>-172</v>
      </c>
      <c r="V14" s="199">
        <v>-182</v>
      </c>
      <c r="W14" s="199">
        <v>-192</v>
      </c>
      <c r="X14" s="199">
        <v>-324</v>
      </c>
      <c r="Y14" s="201">
        <f>U14+V14+W14+X14</f>
        <v>-870</v>
      </c>
      <c r="Z14" s="313"/>
      <c r="AA14" s="198">
        <v>-129</v>
      </c>
      <c r="AB14" s="199">
        <v>-108</v>
      </c>
      <c r="AC14" s="199">
        <v>-111</v>
      </c>
      <c r="AD14" s="199">
        <v>-269</v>
      </c>
      <c r="AE14" s="201">
        <f>AA14+AB14+AC14+AD14</f>
        <v>-617</v>
      </c>
      <c r="AF14" s="313"/>
      <c r="AG14" s="198">
        <v>-163</v>
      </c>
      <c r="AH14" s="199">
        <v>-78</v>
      </c>
      <c r="AI14" s="199">
        <v>-154</v>
      </c>
      <c r="AJ14" s="199">
        <v>-320</v>
      </c>
      <c r="AK14" s="201">
        <f>AG14+AH14+AI14+AJ14</f>
        <v>-715</v>
      </c>
      <c r="AL14" s="313"/>
      <c r="AM14" s="198">
        <v>-99</v>
      </c>
      <c r="AN14" s="199">
        <v>-111</v>
      </c>
      <c r="AO14" s="199">
        <v>-155</v>
      </c>
      <c r="AP14" s="199">
        <v>-290</v>
      </c>
      <c r="AQ14" s="201">
        <f>AM14+AN14+AO14+AP14</f>
        <v>-655</v>
      </c>
      <c r="AR14" s="313"/>
      <c r="AS14" s="198">
        <v>-118</v>
      </c>
      <c r="AT14" s="199">
        <v>-160</v>
      </c>
      <c r="AU14" s="199">
        <v>-145</v>
      </c>
      <c r="AV14" s="199">
        <v>-244</v>
      </c>
      <c r="AW14" s="201">
        <f>AS14+AT14+AU14+AV14</f>
        <v>-667</v>
      </c>
      <c r="AX14" s="313"/>
      <c r="AY14" s="198">
        <v>-197</v>
      </c>
      <c r="AZ14" s="199">
        <v>-76</v>
      </c>
      <c r="BA14" s="199">
        <v>-133</v>
      </c>
      <c r="BB14" s="199">
        <v>-321</v>
      </c>
      <c r="BC14" s="201">
        <f>AY14+AZ14+BA14+BB14</f>
        <v>-727</v>
      </c>
      <c r="BD14" s="313"/>
      <c r="BE14" s="198">
        <v>-147</v>
      </c>
      <c r="BF14" s="199">
        <v>-89</v>
      </c>
      <c r="BG14" s="199">
        <v>-141</v>
      </c>
      <c r="BH14" s="199">
        <v>-293</v>
      </c>
      <c r="BI14" s="201">
        <f>BE14+BF14+BG14+BH14</f>
        <v>-670</v>
      </c>
      <c r="BJ14" s="313"/>
      <c r="BK14" s="198">
        <v>-128</v>
      </c>
      <c r="BL14" s="199">
        <v>-90</v>
      </c>
      <c r="BM14" s="199">
        <v>-115</v>
      </c>
      <c r="BN14" s="199">
        <v>-383</v>
      </c>
      <c r="BO14" s="201">
        <f>BK14+BL14+BM14+BN14</f>
        <v>-716</v>
      </c>
      <c r="BP14" s="313"/>
      <c r="BQ14" s="198">
        <f>BQ5-BQ8</f>
        <v>-123.84999999999991</v>
      </c>
      <c r="BR14" s="199">
        <f>BR5-BR8</f>
        <v>-78.865000000000009</v>
      </c>
      <c r="BS14" s="199">
        <f>BS5-BS8</f>
        <v>-100.66999999999996</v>
      </c>
      <c r="BT14" s="199">
        <f>BT5-BT8</f>
        <v>-378.71499999999992</v>
      </c>
      <c r="BU14" s="201">
        <f>BQ14+BR14+BS14+BT14</f>
        <v>-682.0999999999998</v>
      </c>
      <c r="BV14" s="313"/>
      <c r="BW14" s="198">
        <f>BW5-BW8</f>
        <v>-121.99225000000001</v>
      </c>
      <c r="BX14" s="199">
        <f>BX5-BX8</f>
        <v>-75.862087499999916</v>
      </c>
      <c r="BY14" s="199">
        <f>BY5-BY8</f>
        <v>-97.395324999999957</v>
      </c>
      <c r="BZ14" s="199">
        <f>BZ5-BZ8</f>
        <v>-369.74364999999989</v>
      </c>
      <c r="CA14" s="201">
        <f>BW14+BX14+BY14+BZ14</f>
        <v>-664.99331249999977</v>
      </c>
      <c r="CB14" s="313"/>
      <c r="CC14" s="198">
        <f>CC5-CC8</f>
        <v>-116.89561374999994</v>
      </c>
      <c r="CD14" s="199">
        <f>CD5-CD8</f>
        <v>-71.129779624999969</v>
      </c>
      <c r="CE14" s="199">
        <f>CE5-CE8</f>
        <v>-92.449260750000008</v>
      </c>
      <c r="CF14" s="199">
        <f>CF5-CF8</f>
        <v>-360.93977649999988</v>
      </c>
      <c r="CG14" s="201">
        <f>CC14+CD14+CE14+CF14</f>
        <v>-641.4144306249998</v>
      </c>
      <c r="CH14" s="313"/>
      <c r="CI14" s="198">
        <f>CI5-CI8</f>
        <v>-111.90809456875002</v>
      </c>
      <c r="CJ14" s="199">
        <f>CJ5-CJ8</f>
        <v>-66.504400133749982</v>
      </c>
      <c r="CK14" s="199">
        <f>CK5-CK8</f>
        <v>-87.612238807500034</v>
      </c>
      <c r="CL14" s="199">
        <f>CL5-CL8</f>
        <v>-352.30053828999996</v>
      </c>
      <c r="CM14" s="201">
        <f>CI14+CJ14+CK14+CL14</f>
        <v>-618.3252718</v>
      </c>
      <c r="CN14" s="313"/>
      <c r="CO14" s="198">
        <f>CO5-CO8</f>
        <v>-107.02772902496872</v>
      </c>
      <c r="CP14" s="199">
        <f>CP5-CP8</f>
        <v>-61.98398566283754</v>
      </c>
      <c r="CQ14" s="199">
        <f>CQ5-CQ8</f>
        <v>-82.882275024449996</v>
      </c>
      <c r="CR14" s="199">
        <f>CR5-CR8</f>
        <v>-343.82314006877493</v>
      </c>
      <c r="CS14" s="201">
        <f>CO14+CP14+CQ14+CR14</f>
        <v>-595.71712978103119</v>
      </c>
      <c r="CT14" s="313"/>
      <c r="CU14" s="198">
        <f>CU5-CU8</f>
        <v>-104.10501907015794</v>
      </c>
      <c r="CV14" s="199">
        <f>CV5-CV8</f>
        <v>-59.465375849943484</v>
      </c>
      <c r="CW14" s="199">
        <f>CW5-CW8</f>
        <v>-80.155435387180319</v>
      </c>
      <c r="CX14" s="199">
        <f>CX5-CX8</f>
        <v>-337.94487019521216</v>
      </c>
      <c r="CY14" s="201">
        <f>CU14+CV14+CW14+CX14</f>
        <v>-581.6707005024939</v>
      </c>
      <c r="CZ14" s="313"/>
      <c r="DA14" s="198">
        <f>DA5-DA8</f>
        <v>-101.23469162320225</v>
      </c>
      <c r="DB14" s="199">
        <f>DB5-DB8</f>
        <v>-56.995686759631667</v>
      </c>
      <c r="DC14" s="199">
        <f>DC5-DC8</f>
        <v>-77.479589357371196</v>
      </c>
      <c r="DD14" s="199">
        <f>DD5-DD8</f>
        <v>-332.15588350129599</v>
      </c>
      <c r="DE14" s="201">
        <f>DA14+DB14+DC14+DD14</f>
        <v>-567.8658512415011</v>
      </c>
      <c r="DF14" s="313"/>
      <c r="DG14" s="198">
        <f>DG5-DG8</f>
        <v>-98.415933416419307</v>
      </c>
      <c r="DH14" s="199">
        <f>DH5-DH8</f>
        <v>-54.574132501870622</v>
      </c>
      <c r="DI14" s="199">
        <f>DI5-DI8</f>
        <v>-74.853930433809296</v>
      </c>
      <c r="DJ14" s="199">
        <f>DJ5-DJ8</f>
        <v>-326.45490589921849</v>
      </c>
      <c r="DK14" s="201">
        <f>DG14+DH14+DI14+DJ14</f>
        <v>-554.29890225131771</v>
      </c>
    </row>
    <row r="15" spans="2:115" ht="15.75" thickBot="1" x14ac:dyDescent="0.35">
      <c r="B15" s="41" t="s">
        <v>23</v>
      </c>
      <c r="C15" s="130"/>
      <c r="D15" s="131"/>
      <c r="E15" s="131"/>
      <c r="F15" s="131"/>
      <c r="G15" s="275"/>
      <c r="H15" s="166"/>
      <c r="I15" s="130"/>
      <c r="J15" s="131"/>
      <c r="K15" s="131"/>
      <c r="L15" s="131"/>
      <c r="M15" s="275"/>
      <c r="N15" s="166"/>
      <c r="O15" s="130" t="s">
        <v>35</v>
      </c>
      <c r="P15" s="131" t="s">
        <v>35</v>
      </c>
      <c r="Q15" s="131" t="s">
        <v>35</v>
      </c>
      <c r="R15" s="132" t="s">
        <v>35</v>
      </c>
      <c r="S15" s="275" t="s">
        <v>35</v>
      </c>
      <c r="T15" s="166"/>
      <c r="U15" s="289">
        <f>U14/O14-1</f>
        <v>2.44</v>
      </c>
      <c r="V15" s="293">
        <f>V14/P14-1</f>
        <v>0.28169014084507049</v>
      </c>
      <c r="W15" s="293">
        <f>W14/Q14-1</f>
        <v>0.71428571428571419</v>
      </c>
      <c r="X15" s="293" t="s">
        <v>35</v>
      </c>
      <c r="Y15" s="295">
        <f>Y14/S14-1</f>
        <v>1.7619047619047619</v>
      </c>
      <c r="Z15" s="241"/>
      <c r="AA15" s="289">
        <f>AA14/U14-1</f>
        <v>-0.25</v>
      </c>
      <c r="AB15" s="293">
        <f>AB14/V14-1</f>
        <v>-0.40659340659340659</v>
      </c>
      <c r="AC15" s="293">
        <f>AC14/W14-1</f>
        <v>-0.421875</v>
      </c>
      <c r="AD15" s="293">
        <f>AD14/X14-1</f>
        <v>-0.16975308641975306</v>
      </c>
      <c r="AE15" s="295">
        <f>AE14/Y14-1</f>
        <v>-0.29080459770114941</v>
      </c>
      <c r="AF15" s="241"/>
      <c r="AG15" s="289">
        <f>AG14/AA14-1</f>
        <v>0.26356589147286824</v>
      </c>
      <c r="AH15" s="293">
        <f>AH14/AB14-1</f>
        <v>-0.27777777777777779</v>
      </c>
      <c r="AI15" s="293">
        <f>AI14/AC14-1</f>
        <v>0.38738738738738743</v>
      </c>
      <c r="AJ15" s="293">
        <f>AJ14/AD14-1</f>
        <v>0.18959107806691455</v>
      </c>
      <c r="AK15" s="295">
        <f>AK14/AE14-1</f>
        <v>0.1588330632090762</v>
      </c>
      <c r="AL15" s="241"/>
      <c r="AM15" s="289">
        <f>AM14/AG14-1</f>
        <v>-0.3926380368098159</v>
      </c>
      <c r="AN15" s="293">
        <f>AN14/AH14-1</f>
        <v>0.42307692307692313</v>
      </c>
      <c r="AO15" s="293">
        <f>AO14/AI14-1</f>
        <v>6.4935064935065512E-3</v>
      </c>
      <c r="AP15" s="293">
        <f>AP14/AJ14-1</f>
        <v>-9.375E-2</v>
      </c>
      <c r="AQ15" s="295">
        <f>AQ14/AK14-1</f>
        <v>-8.3916083916083961E-2</v>
      </c>
      <c r="AR15" s="241"/>
      <c r="AS15" s="289">
        <f>AS14/AM14-1</f>
        <v>0.19191919191919182</v>
      </c>
      <c r="AT15" s="293">
        <f>AT14/AN14-1</f>
        <v>0.44144144144144137</v>
      </c>
      <c r="AU15" s="293">
        <f>AU14/AO14-1</f>
        <v>-6.4516129032258118E-2</v>
      </c>
      <c r="AV15" s="293">
        <f>AV14/AP14-1</f>
        <v>-0.1586206896551724</v>
      </c>
      <c r="AW15" s="295">
        <f>AW14/AQ14-1</f>
        <v>1.8320610687022842E-2</v>
      </c>
      <c r="AX15" s="241"/>
      <c r="AY15" s="289">
        <f>AY14/AS14-1</f>
        <v>0.66949152542372881</v>
      </c>
      <c r="AZ15" s="293">
        <f>AZ14/AT14-1</f>
        <v>-0.52500000000000002</v>
      </c>
      <c r="BA15" s="293">
        <f>BA14/AU14-1</f>
        <v>-8.2758620689655227E-2</v>
      </c>
      <c r="BB15" s="293">
        <f>BB14/AV14-1</f>
        <v>0.31557377049180335</v>
      </c>
      <c r="BC15" s="295">
        <f>BC14/AW14-1</f>
        <v>8.9955022488755532E-2</v>
      </c>
      <c r="BD15" s="241"/>
      <c r="BE15" s="289">
        <v>-0.40600000000000003</v>
      </c>
      <c r="BF15" s="293">
        <v>0.42099999999999999</v>
      </c>
      <c r="BG15" s="293">
        <v>-0.17299999999999999</v>
      </c>
      <c r="BH15" s="293">
        <v>-0.249</v>
      </c>
      <c r="BI15" s="295">
        <v>-0.20799999999999999</v>
      </c>
      <c r="BJ15" s="241"/>
      <c r="BK15" s="289">
        <f>BK14/BE14-1</f>
        <v>-0.12925170068027214</v>
      </c>
      <c r="BL15" s="293">
        <f>BL14/BF14-1</f>
        <v>1.1235955056179803E-2</v>
      </c>
      <c r="BM15" s="293">
        <f>BM14/BG14-1</f>
        <v>-0.18439716312056742</v>
      </c>
      <c r="BN15" s="293">
        <f>BN14/BH14-1</f>
        <v>0.30716723549488045</v>
      </c>
      <c r="BO15" s="295">
        <f>BO14/BI14-1</f>
        <v>6.8656716417910379E-2</v>
      </c>
      <c r="BP15" s="241"/>
      <c r="BQ15" s="289">
        <f>BQ14/BK14-1</f>
        <v>-3.2421875000000711E-2</v>
      </c>
      <c r="BR15" s="293">
        <f>BR14/BL14-1</f>
        <v>-0.12372222222222207</v>
      </c>
      <c r="BS15" s="293">
        <f>BS14/BM14-1</f>
        <v>-0.12460869565217425</v>
      </c>
      <c r="BT15" s="293">
        <f>BT14/BN14-1</f>
        <v>-1.118798955613598E-2</v>
      </c>
      <c r="BU15" s="295">
        <f>BU14/BO14-1</f>
        <v>-4.7346368715084131E-2</v>
      </c>
      <c r="BV15" s="241"/>
      <c r="BW15" s="289">
        <f>BW14/BQ14-1</f>
        <v>-1.4999999999999125E-2</v>
      </c>
      <c r="BX15" s="293">
        <f>BX14/BR14-1</f>
        <v>-3.8076618271731366E-2</v>
      </c>
      <c r="BY15" s="293">
        <f>BY14/BS14-1</f>
        <v>-3.2528806993145976E-2</v>
      </c>
      <c r="BZ15" s="293">
        <f>BZ14/BT14-1</f>
        <v>-2.3688921748544534E-2</v>
      </c>
      <c r="CA15" s="295">
        <f>CA14/BU14-1</f>
        <v>-2.5079442163905674E-2</v>
      </c>
      <c r="CB15" s="241"/>
      <c r="CC15" s="289">
        <f>CC14/BW14-1</f>
        <v>-4.1778360920468938E-2</v>
      </c>
      <c r="CD15" s="293">
        <f>CD14/BX14-1</f>
        <v>-6.2380406747968187E-2</v>
      </c>
      <c r="CE15" s="293">
        <f>CE14/BY14-1</f>
        <v>-5.078338462344012E-2</v>
      </c>
      <c r="CF15" s="293">
        <f>CF14/BZ14-1</f>
        <v>-2.3810749691035915E-2</v>
      </c>
      <c r="CG15" s="295">
        <f>CG14/CA14-1</f>
        <v>-3.5457321798254893E-2</v>
      </c>
      <c r="CH15" s="241"/>
      <c r="CI15" s="289">
        <f>CI14/CC14-1</f>
        <v>-4.2666435645023704E-2</v>
      </c>
      <c r="CJ15" s="293">
        <f>CJ14/CD14-1</f>
        <v>-6.5027327732986584E-2</v>
      </c>
      <c r="CK15" s="293">
        <f>CK14/CE14-1</f>
        <v>-5.2320828779585216E-2</v>
      </c>
      <c r="CL15" s="293">
        <f>CL14/CF14-1</f>
        <v>-2.3935400785620842E-2</v>
      </c>
      <c r="CM15" s="295">
        <f>CM14/CG14-1</f>
        <v>-3.5997255007969686E-2</v>
      </c>
      <c r="CN15" s="241"/>
      <c r="CO15" s="289">
        <f>CO14/CI14-1</f>
        <v>-4.3610478425071153E-2</v>
      </c>
      <c r="CP15" s="293">
        <f>CP14/CJ14-1</f>
        <v>-6.7971659947630991E-2</v>
      </c>
      <c r="CQ15" s="293">
        <f>CQ14/CK14-1</f>
        <v>-5.3987477633605785E-2</v>
      </c>
      <c r="CR15" s="293">
        <f>CR14/CL14-1</f>
        <v>-2.4062972660708115E-2</v>
      </c>
      <c r="CS15" s="295">
        <f>CS14/CM14-1</f>
        <v>-3.6563509612270062E-2</v>
      </c>
      <c r="CT15" s="241"/>
      <c r="CU15" s="289">
        <f>CU14/CO14-1</f>
        <v>-2.7307969452747494E-2</v>
      </c>
      <c r="CV15" s="293">
        <f>CV14/CP14-1</f>
        <v>-4.063323430981125E-2</v>
      </c>
      <c r="CW15" s="293">
        <f>CW14/CQ14-1</f>
        <v>-3.2900154302777818E-2</v>
      </c>
      <c r="CX15" s="293">
        <f>CX14/CR14-1</f>
        <v>-1.7096783748723032E-2</v>
      </c>
      <c r="CY15" s="295">
        <f>CY14/CS14-1</f>
        <v>-2.3579025306357027E-2</v>
      </c>
      <c r="CZ15" s="241"/>
      <c r="DA15" s="289">
        <f>DA14/CU14-1</f>
        <v>-2.7571460747933041E-2</v>
      </c>
      <c r="DB15" s="293">
        <f>DB14/CV14-1</f>
        <v>-4.1531547644530153E-2</v>
      </c>
      <c r="DC15" s="293">
        <f>DC14/CW14-1</f>
        <v>-3.3383213713253479E-2</v>
      </c>
      <c r="DD15" s="293">
        <f>DD14/CX14-1</f>
        <v>-1.7129973568091761E-2</v>
      </c>
      <c r="DE15" s="295">
        <f>DE14/CY14-1</f>
        <v>-2.3733100617010727E-2</v>
      </c>
      <c r="DF15" s="241"/>
      <c r="DG15" s="289">
        <f>DG14/DA14-1</f>
        <v>-2.7843797038217155E-2</v>
      </c>
      <c r="DH15" s="293">
        <f>DH14/DB14-1</f>
        <v>-4.2486623031203763E-2</v>
      </c>
      <c r="DI15" s="293">
        <f>DI14/DC14-1</f>
        <v>-3.3888394935228217E-2</v>
      </c>
      <c r="DJ15" s="293">
        <f>DJ14/DD14-1</f>
        <v>-1.7163560500518038E-2</v>
      </c>
      <c r="DK15" s="295">
        <f>DK14/DE14-1</f>
        <v>-2.3891116115756117E-2</v>
      </c>
    </row>
    <row r="16" spans="2:115" ht="15.75" thickBot="1" x14ac:dyDescent="0.35">
      <c r="B16" s="1"/>
      <c r="C16" s="166"/>
      <c r="D16" s="166"/>
      <c r="E16" s="166"/>
      <c r="F16" s="166"/>
      <c r="G16" s="166"/>
      <c r="H16" s="16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241"/>
      <c r="AA16" s="166"/>
      <c r="AB16" s="166"/>
      <c r="AC16" s="166"/>
      <c r="AD16" s="166"/>
      <c r="AE16" s="166"/>
      <c r="AF16" s="241"/>
      <c r="AG16" s="166"/>
      <c r="AH16" s="166"/>
      <c r="AI16" s="166"/>
      <c r="AJ16" s="166"/>
      <c r="AK16" s="166"/>
      <c r="AL16" s="241"/>
      <c r="AM16" s="166"/>
      <c r="AN16" s="166"/>
      <c r="AO16" s="166"/>
      <c r="AP16" s="166"/>
      <c r="AQ16" s="166"/>
      <c r="AR16" s="241"/>
      <c r="AS16" s="166"/>
      <c r="AT16" s="166"/>
      <c r="AU16" s="166"/>
      <c r="AV16" s="166"/>
      <c r="AW16" s="166"/>
      <c r="AX16" s="241"/>
      <c r="AY16" s="166"/>
      <c r="AZ16" s="166"/>
      <c r="BA16" s="166"/>
      <c r="BB16" s="166"/>
      <c r="BC16" s="166"/>
      <c r="BD16" s="241"/>
      <c r="BE16" s="166"/>
      <c r="BF16" s="166"/>
      <c r="BG16" s="166"/>
      <c r="BH16" s="166"/>
      <c r="BI16" s="166"/>
      <c r="BJ16" s="241"/>
      <c r="BK16" s="166"/>
      <c r="BL16" s="166"/>
      <c r="BM16" s="166"/>
      <c r="BN16" s="166"/>
      <c r="BO16" s="166"/>
      <c r="BP16" s="241"/>
      <c r="BQ16" s="166"/>
      <c r="BR16" s="166"/>
      <c r="BS16" s="166"/>
      <c r="BT16" s="166"/>
      <c r="BU16" s="166"/>
      <c r="BV16" s="241"/>
      <c r="BW16" s="166"/>
      <c r="BX16" s="166"/>
      <c r="BY16" s="166"/>
      <c r="BZ16" s="166"/>
      <c r="CA16" s="166"/>
      <c r="CB16" s="241"/>
      <c r="CC16" s="166"/>
      <c r="CD16" s="166"/>
      <c r="CE16" s="166"/>
      <c r="CF16" s="166"/>
      <c r="CG16" s="166"/>
      <c r="CH16" s="241"/>
      <c r="CI16" s="166"/>
      <c r="CJ16" s="166"/>
      <c r="CK16" s="166"/>
      <c r="CL16" s="166"/>
      <c r="CM16" s="166"/>
      <c r="CN16" s="241"/>
      <c r="CO16" s="166"/>
      <c r="CP16" s="166"/>
      <c r="CQ16" s="166"/>
      <c r="CR16" s="166"/>
      <c r="CS16" s="166"/>
      <c r="CT16" s="241"/>
      <c r="CU16" s="166"/>
      <c r="CV16" s="166"/>
      <c r="CW16" s="166"/>
      <c r="CX16" s="166"/>
      <c r="CY16" s="166"/>
      <c r="CZ16" s="241"/>
      <c r="DA16" s="166"/>
      <c r="DB16" s="166"/>
      <c r="DC16" s="166"/>
      <c r="DD16" s="166"/>
      <c r="DE16" s="166"/>
      <c r="DF16" s="241"/>
      <c r="DG16" s="166"/>
      <c r="DH16" s="166"/>
      <c r="DI16" s="166"/>
      <c r="DJ16" s="166"/>
      <c r="DK16" s="166"/>
    </row>
    <row r="17" spans="2:116" ht="15" x14ac:dyDescent="0.3">
      <c r="B17" s="42" t="s">
        <v>36</v>
      </c>
      <c r="C17" s="126"/>
      <c r="D17" s="127"/>
      <c r="E17" s="127"/>
      <c r="F17" s="127"/>
      <c r="G17" s="167"/>
      <c r="H17" s="166"/>
      <c r="I17" s="126"/>
      <c r="J17" s="127"/>
      <c r="K17" s="127"/>
      <c r="L17" s="127"/>
      <c r="M17" s="167"/>
      <c r="N17" s="166"/>
      <c r="O17" s="209">
        <f>O14/O5</f>
        <v>-8.0906148867313912E-2</v>
      </c>
      <c r="P17" s="206">
        <f>P14/P5</f>
        <v>-0.23202614379084968</v>
      </c>
      <c r="Q17" s="206">
        <f>Q14/Q5</f>
        <v>-0.18887015177065766</v>
      </c>
      <c r="R17" s="207">
        <f>R14/R5</f>
        <v>-1.8739352640545145E-2</v>
      </c>
      <c r="S17" s="208">
        <f>S14/S5</f>
        <v>-0.13070539419087138</v>
      </c>
      <c r="T17" s="129"/>
      <c r="U17" s="209">
        <f>U14/U5</f>
        <v>-0.30442477876106194</v>
      </c>
      <c r="V17" s="206">
        <f>V14/V5</f>
        <v>-0.31217838765008576</v>
      </c>
      <c r="W17" s="206">
        <f>W14/W5</f>
        <v>-0.33862433862433861</v>
      </c>
      <c r="X17" s="206">
        <f>X14/X5</f>
        <v>-0.71840354767184034</v>
      </c>
      <c r="Y17" s="208">
        <f>Y14/Y5</f>
        <v>-0.40166204986149584</v>
      </c>
      <c r="Z17" s="273"/>
      <c r="AA17" s="209">
        <f>AA14/AA5</f>
        <v>-0.17551020408163265</v>
      </c>
      <c r="AB17" s="206">
        <f>AB14/AB5</f>
        <v>-0.145748987854251</v>
      </c>
      <c r="AC17" s="206">
        <f>AC14/AC5</f>
        <v>-0.14939434724091522</v>
      </c>
      <c r="AD17" s="206">
        <f>AD14/AD5</f>
        <v>-0.35488126649076518</v>
      </c>
      <c r="AE17" s="208">
        <f>AE14/AE5</f>
        <v>-0.20725562646960027</v>
      </c>
      <c r="AF17" s="273"/>
      <c r="AG17" s="209">
        <f>AG14/AG5</f>
        <v>-0.24148148148148149</v>
      </c>
      <c r="AH17" s="206">
        <f>AH14/AH5</f>
        <v>-0.11239193083573487</v>
      </c>
      <c r="AI17" s="206">
        <f>AI14/AI5</f>
        <v>-0.22286541244573083</v>
      </c>
      <c r="AJ17" s="206">
        <f>AJ14/AJ5</f>
        <v>-0.41290322580645161</v>
      </c>
      <c r="AK17" s="208">
        <f>AK14/AK5</f>
        <v>-0.25220458553791886</v>
      </c>
      <c r="AL17" s="273"/>
      <c r="AM17" s="209">
        <f>AM14/AM5</f>
        <v>-0.14327062228654125</v>
      </c>
      <c r="AN17" s="206">
        <f>AN14/AN5</f>
        <v>-0.14586070959264127</v>
      </c>
      <c r="AO17" s="206">
        <f>AO14/AO5</f>
        <v>-0.24409448818897639</v>
      </c>
      <c r="AP17" s="206">
        <f>AP14/AP5</f>
        <v>-0.36616161616161619</v>
      </c>
      <c r="AQ17" s="208">
        <f>AQ14/AQ5</f>
        <v>-0.22750955192775268</v>
      </c>
      <c r="AR17" s="273"/>
      <c r="AS17" s="209">
        <f>AS14/AS5</f>
        <v>-0.18971061093247588</v>
      </c>
      <c r="AT17" s="206">
        <f>AT14/AT5</f>
        <v>-0.26229508196721313</v>
      </c>
      <c r="AU17" s="206">
        <f>AU14/AU5</f>
        <v>-0.24328859060402686</v>
      </c>
      <c r="AV17" s="206">
        <f>AV14/AV5</f>
        <v>-0.35465116279069769</v>
      </c>
      <c r="AW17" s="208">
        <f>AW14/AW5</f>
        <v>-0.26510333863275037</v>
      </c>
      <c r="AX17" s="273"/>
      <c r="AY17" s="209">
        <f>AY14/AY5</f>
        <v>-0.34867256637168142</v>
      </c>
      <c r="AZ17" s="206">
        <f>AZ14/AZ5</f>
        <v>-0.13013698630136986</v>
      </c>
      <c r="BA17" s="206">
        <f>BA14/BA5</f>
        <v>-0.23963963963963963</v>
      </c>
      <c r="BB17" s="206">
        <f>BB14/BB5</f>
        <v>-0.56217162872154114</v>
      </c>
      <c r="BC17" s="208">
        <f>BC14/BC5</f>
        <v>-0.31956043956043956</v>
      </c>
      <c r="BD17" s="273"/>
      <c r="BE17" s="209">
        <f>BE14/BE5</f>
        <v>-0.18822023047375161</v>
      </c>
      <c r="BF17" s="206">
        <f>BF14/BF5</f>
        <v>-9.7802197802197802E-2</v>
      </c>
      <c r="BG17" s="206">
        <f>BG14/BG5</f>
        <v>-0.16658790170132326</v>
      </c>
      <c r="BH17" s="206">
        <f>BH14/BH5</f>
        <v>-0.31525715515386271</v>
      </c>
      <c r="BI17" s="208">
        <f>BI14/BI5</f>
        <v>-0.19326179762316834</v>
      </c>
      <c r="BJ17" s="273"/>
      <c r="BK17" s="209">
        <f>BK14/BK5</f>
        <v>-0.17367706919945725</v>
      </c>
      <c r="BL17" s="206">
        <f>BL14/BL5</f>
        <v>-0.11435832274459974</v>
      </c>
      <c r="BM17" s="206">
        <f>BM14/BM5</f>
        <v>-0.15477792732166892</v>
      </c>
      <c r="BN17" s="206">
        <f>BN14/BN5</f>
        <v>-0.56740740740740736</v>
      </c>
      <c r="BO17" s="208">
        <f>BO14/BO5</f>
        <v>-0.24337185588035351</v>
      </c>
      <c r="BP17" s="273"/>
      <c r="BQ17" s="209">
        <f>BQ14/BQ5</f>
        <v>-0.18671792552389552</v>
      </c>
      <c r="BR17" s="206">
        <f>BR14/BR5</f>
        <v>-0.10833476424327759</v>
      </c>
      <c r="BS17" s="206">
        <f>BS14/BS5</f>
        <v>-0.14262237019196708</v>
      </c>
      <c r="BT17" s="206">
        <f>BT14/BT5</f>
        <v>-0.57544539411206064</v>
      </c>
      <c r="BU17" s="208">
        <f>BU14/BU5</f>
        <v>-0.24756374194719166</v>
      </c>
      <c r="BV17" s="273"/>
      <c r="BW17" s="209">
        <f>BW14/BW5</f>
        <v>-0.18671792552389568</v>
      </c>
      <c r="BX17" s="206">
        <f>BX14/BX5</f>
        <v>-0.10552885344772486</v>
      </c>
      <c r="BY17" s="206">
        <f>BY14/BY5</f>
        <v>-0.13972965533072157</v>
      </c>
      <c r="BZ17" s="206">
        <f>BZ14/BZ5</f>
        <v>-0.56748859919230266</v>
      </c>
      <c r="CA17" s="208">
        <f>CA14/CA5</f>
        <v>-0.24441126992617937</v>
      </c>
      <c r="CB17" s="273"/>
      <c r="CC17" s="209">
        <f>CC14/CC5</f>
        <v>-0.18072440064751227</v>
      </c>
      <c r="CD17" s="206">
        <f>CD14/CD5</f>
        <v>-9.9945374389908151E-2</v>
      </c>
      <c r="CE17" s="206">
        <f>CE14/CE5</f>
        <v>-0.13397344495026348</v>
      </c>
      <c r="CF17" s="206">
        <f>CF14/CF5</f>
        <v>-0.55957199010547287</v>
      </c>
      <c r="CG17" s="208">
        <f>CG14/CG5</f>
        <v>-0.23812636452251179</v>
      </c>
      <c r="CH17" s="273"/>
      <c r="CI17" s="209">
        <f>CI14/CI5</f>
        <v>-0.1747611460987876</v>
      </c>
      <c r="CJ17" s="206">
        <f>CJ14/CJ5</f>
        <v>-9.4390094721272272E-2</v>
      </c>
      <c r="CK17" s="206">
        <f>CK14/CK5</f>
        <v>-0.12824630633940359</v>
      </c>
      <c r="CL17" s="206">
        <f>CL14/CL5</f>
        <v>-0.55169536389281915</v>
      </c>
      <c r="CM17" s="208">
        <f>CM14/CM5</f>
        <v>-0.23187320106532752</v>
      </c>
      <c r="CN17" s="273"/>
      <c r="CO17" s="209">
        <f>CO14/CO5</f>
        <v>-0.16882800899727848</v>
      </c>
      <c r="CP17" s="206">
        <f>CP14/CP5</f>
        <v>-8.8862872020659872E-2</v>
      </c>
      <c r="CQ17" s="206">
        <f>CQ14/CQ5</f>
        <v>-0.12254809267102272</v>
      </c>
      <c r="CR17" s="206">
        <f>CR14/CR5</f>
        <v>-0.54385851862063317</v>
      </c>
      <c r="CS17" s="208">
        <f>CS14/CS5</f>
        <v>-0.22565161924176524</v>
      </c>
      <c r="CT17" s="273"/>
      <c r="CU17" s="209">
        <f>CU14/CU5</f>
        <v>-0.16587642311597237</v>
      </c>
      <c r="CV17" s="206">
        <f>CV14/CV5</f>
        <v>-8.611321830343599E-2</v>
      </c>
      <c r="CW17" s="206">
        <f>CW14/CW5</f>
        <v>-0.11971337526528783</v>
      </c>
      <c r="CX17" s="206">
        <f>CX14/CX5</f>
        <v>-0.53995988599785383</v>
      </c>
      <c r="CY17" s="208">
        <f>CY14/CY5</f>
        <v>-0.22255653939519515</v>
      </c>
      <c r="CZ17" s="273"/>
      <c r="DA17" s="209">
        <f>DA14/DA5</f>
        <v>-0.16293229073436646</v>
      </c>
      <c r="DB17" s="206">
        <f>DB14/DB5</f>
        <v>-8.3370508156205073E-2</v>
      </c>
      <c r="DC17" s="206">
        <f>DC14/DC5</f>
        <v>-0.11688581623684022</v>
      </c>
      <c r="DD17" s="206">
        <f>DD14/DD5</f>
        <v>-0.53607109840695033</v>
      </c>
      <c r="DE17" s="208">
        <f>DE14/DE5</f>
        <v>-0.21946927540682351</v>
      </c>
      <c r="DF17" s="273"/>
      <c r="DG17" s="209">
        <f>DG14/DG5</f>
        <v>-0.15999559303049191</v>
      </c>
      <c r="DH17" s="206">
        <f>DH14/DH5</f>
        <v>-8.0634724044699471E-2</v>
      </c>
      <c r="DI17" s="206">
        <f>DI14/DI5</f>
        <v>-0.11406539750896935</v>
      </c>
      <c r="DJ17" s="206">
        <f>DJ14/DJ5</f>
        <v>-0.53219213098673079</v>
      </c>
      <c r="DK17" s="208">
        <f>DK14/DK5</f>
        <v>-0.2163898075396346</v>
      </c>
    </row>
    <row r="18" spans="2:116" ht="15.75" thickBot="1" x14ac:dyDescent="0.35">
      <c r="B18" s="41" t="s">
        <v>37</v>
      </c>
      <c r="C18" s="130"/>
      <c r="D18" s="131"/>
      <c r="E18" s="131"/>
      <c r="F18" s="131"/>
      <c r="G18" s="275"/>
      <c r="H18" s="166"/>
      <c r="I18" s="130"/>
      <c r="J18" s="131"/>
      <c r="K18" s="131"/>
      <c r="L18" s="131"/>
      <c r="M18" s="275"/>
      <c r="N18" s="166"/>
      <c r="O18" s="130" t="s">
        <v>35</v>
      </c>
      <c r="P18" s="131" t="s">
        <v>35</v>
      </c>
      <c r="Q18" s="131" t="s">
        <v>35</v>
      </c>
      <c r="R18" s="132" t="s">
        <v>35</v>
      </c>
      <c r="S18" s="275" t="s">
        <v>35</v>
      </c>
      <c r="T18" s="166"/>
      <c r="U18" s="290">
        <f>U17-O17</f>
        <v>-0.22351862989374804</v>
      </c>
      <c r="V18" s="292">
        <f>V17-P17</f>
        <v>-8.0152243859236083E-2</v>
      </c>
      <c r="W18" s="292">
        <f>W17-Q17</f>
        <v>-0.14975418685368094</v>
      </c>
      <c r="X18" s="292">
        <f>X17-R17</f>
        <v>-0.69966419503129518</v>
      </c>
      <c r="Y18" s="291">
        <f>Y17-S17</f>
        <v>-0.27095665567062444</v>
      </c>
      <c r="Z18" s="241"/>
      <c r="AA18" s="290">
        <f>AA17-U17</f>
        <v>0.12891457467942929</v>
      </c>
      <c r="AB18" s="292">
        <f>AB17-V17</f>
        <v>0.16642939979583476</v>
      </c>
      <c r="AC18" s="292">
        <f>AC17-W17</f>
        <v>0.18922999138342339</v>
      </c>
      <c r="AD18" s="292">
        <f>AD17-X17</f>
        <v>0.36352228118107516</v>
      </c>
      <c r="AE18" s="291">
        <f>AE17-Y17</f>
        <v>0.19440642339189557</v>
      </c>
      <c r="AF18" s="241"/>
      <c r="AG18" s="290">
        <f>AG17-AA17</f>
        <v>-6.5971277399848843E-2</v>
      </c>
      <c r="AH18" s="292">
        <f>AH17-AB17</f>
        <v>3.3357057018516129E-2</v>
      </c>
      <c r="AI18" s="292">
        <f>AI17-AC17</f>
        <v>-7.3471065204815611E-2</v>
      </c>
      <c r="AJ18" s="292">
        <f>AJ17-AD17</f>
        <v>-5.8021959315686433E-2</v>
      </c>
      <c r="AK18" s="291">
        <f>AK17-AE17</f>
        <v>-4.4948959068318584E-2</v>
      </c>
      <c r="AL18" s="241"/>
      <c r="AM18" s="290">
        <f>AM17-AG17</f>
        <v>9.8210859194940242E-2</v>
      </c>
      <c r="AN18" s="292">
        <f>AN17-AH17</f>
        <v>-3.3468778756906403E-2</v>
      </c>
      <c r="AO18" s="292">
        <f>AO17-AI17</f>
        <v>-2.1229075743245562E-2</v>
      </c>
      <c r="AP18" s="292">
        <f>AP17-AJ17</f>
        <v>4.6741609644835425E-2</v>
      </c>
      <c r="AQ18" s="291">
        <f>AQ17-AK17</f>
        <v>2.4695033610166173E-2</v>
      </c>
      <c r="AR18" s="241"/>
      <c r="AS18" s="290">
        <f>AS17-AM17</f>
        <v>-4.6439988645934627E-2</v>
      </c>
      <c r="AT18" s="292">
        <f>AT17-AN17</f>
        <v>-0.11643437237457185</v>
      </c>
      <c r="AU18" s="292">
        <f>AU17-AO17</f>
        <v>8.0589758494953312E-4</v>
      </c>
      <c r="AV18" s="292">
        <f>AV17-AP17</f>
        <v>1.1510453370918494E-2</v>
      </c>
      <c r="AW18" s="291">
        <f>AW17-AQ17</f>
        <v>-3.7593786704997689E-2</v>
      </c>
      <c r="AX18" s="241"/>
      <c r="AY18" s="290">
        <f>AY17-AS17</f>
        <v>-0.15896195543920555</v>
      </c>
      <c r="AZ18" s="292">
        <f>AZ17-AT17</f>
        <v>0.13215809566584327</v>
      </c>
      <c r="BA18" s="292">
        <f>BA17-AU17</f>
        <v>3.6489509643872209E-3</v>
      </c>
      <c r="BB18" s="292">
        <f>BB17-AV17</f>
        <v>-0.20752046593084345</v>
      </c>
      <c r="BC18" s="291">
        <f>BC17-AW17</f>
        <v>-5.4457100927689184E-2</v>
      </c>
      <c r="BD18" s="241"/>
      <c r="BE18" s="290">
        <v>0.121</v>
      </c>
      <c r="BF18" s="292">
        <v>-6.9000000000000006E-2</v>
      </c>
      <c r="BG18" s="292">
        <v>4.2999999999999997E-2</v>
      </c>
      <c r="BH18" s="292">
        <v>0.159</v>
      </c>
      <c r="BI18" s="291">
        <v>5.8999999999999997E-2</v>
      </c>
      <c r="BJ18" s="241"/>
      <c r="BK18" s="290">
        <f>BK17-BE17</f>
        <v>1.4543161274294364E-2</v>
      </c>
      <c r="BL18" s="292">
        <f>BL17-BF17</f>
        <v>-1.655612494240194E-2</v>
      </c>
      <c r="BM18" s="292">
        <f>BM17-BG17</f>
        <v>1.1809974379654337E-2</v>
      </c>
      <c r="BN18" s="292">
        <f>BN17-BH17</f>
        <v>-0.25215025225354465</v>
      </c>
      <c r="BO18" s="291">
        <f>BO17-BI17</f>
        <v>-5.0110058257185175E-2</v>
      </c>
      <c r="BP18" s="241"/>
      <c r="BQ18" s="290">
        <f>BQ17-BK17</f>
        <v>-1.3040856324438271E-2</v>
      </c>
      <c r="BR18" s="292">
        <f>BR17-BL17</f>
        <v>6.0235585013221488E-3</v>
      </c>
      <c r="BS18" s="292">
        <f>BS17-BM17</f>
        <v>1.2155557129701844E-2</v>
      </c>
      <c r="BT18" s="292">
        <f>BT17-BN17</f>
        <v>-8.0379867046532771E-3</v>
      </c>
      <c r="BU18" s="291">
        <f>BU17-BO17</f>
        <v>-4.1918860668381519E-3</v>
      </c>
      <c r="BV18" s="241"/>
      <c r="BW18" s="290">
        <f>BW17-BQ17</f>
        <v>0</v>
      </c>
      <c r="BX18" s="292">
        <f>BX17-BR17</f>
        <v>2.8059107955527296E-3</v>
      </c>
      <c r="BY18" s="292">
        <f>BY17-BS17</f>
        <v>2.89271486124551E-3</v>
      </c>
      <c r="BZ18" s="292">
        <f>BZ17-BT17</f>
        <v>7.9567949197579813E-3</v>
      </c>
      <c r="CA18" s="291">
        <f>CA17-BU17</f>
        <v>3.1524720210122925E-3</v>
      </c>
      <c r="CB18" s="241"/>
      <c r="CC18" s="290">
        <f>CC17-BW17</f>
        <v>5.9935248763834104E-3</v>
      </c>
      <c r="CD18" s="292">
        <f>CD17-BX17</f>
        <v>5.5834790578167121E-3</v>
      </c>
      <c r="CE18" s="292">
        <f>CE17-BY17</f>
        <v>5.7562103804580933E-3</v>
      </c>
      <c r="CF18" s="292">
        <f>CF17-BZ17</f>
        <v>7.9166090868297845E-3</v>
      </c>
      <c r="CG18" s="291">
        <f>CG17-CA17</f>
        <v>6.2849054036675789E-3</v>
      </c>
      <c r="CH18" s="241"/>
      <c r="CI18" s="290">
        <f>CI17-CC17</f>
        <v>5.963254548724678E-3</v>
      </c>
      <c r="CJ18" s="292">
        <f>CJ17-CD17</f>
        <v>5.5552796686358791E-3</v>
      </c>
      <c r="CK18" s="292">
        <f>CK17-CE17</f>
        <v>5.7271386108598832E-3</v>
      </c>
      <c r="CL18" s="292">
        <f>CL17-CF17</f>
        <v>7.8766262126537256E-3</v>
      </c>
      <c r="CM18" s="291">
        <f>CM17-CG17</f>
        <v>6.2531634571842687E-3</v>
      </c>
      <c r="CN18" s="241"/>
      <c r="CO18" s="290">
        <f>CO17-CI17</f>
        <v>5.9331371015091117E-3</v>
      </c>
      <c r="CP18" s="292">
        <f>CP17-CJ17</f>
        <v>5.5272227006123997E-3</v>
      </c>
      <c r="CQ18" s="292">
        <f>CQ17-CK17</f>
        <v>5.6982136683808721E-3</v>
      </c>
      <c r="CR18" s="292">
        <f>CR17-CL17</f>
        <v>7.8368452721859772E-3</v>
      </c>
      <c r="CS18" s="291">
        <f>CS17-CM17</f>
        <v>6.2215818235622777E-3</v>
      </c>
      <c r="CT18" s="241"/>
      <c r="CU18" s="290">
        <f>CU17-CO17</f>
        <v>2.951585881306118E-3</v>
      </c>
      <c r="CV18" s="292">
        <f>CV17-CP17</f>
        <v>2.7496537172238822E-3</v>
      </c>
      <c r="CW18" s="292">
        <f>CW17-CQ17</f>
        <v>2.8347174057348906E-3</v>
      </c>
      <c r="CX18" s="292">
        <f>CX17-CR17</f>
        <v>3.8986326227793411E-3</v>
      </c>
      <c r="CY18" s="291">
        <f>CY17-CS17</f>
        <v>3.0950798465700924E-3</v>
      </c>
      <c r="CZ18" s="241"/>
      <c r="DA18" s="290">
        <f>DA17-CU17</f>
        <v>2.9441323816059017E-3</v>
      </c>
      <c r="DB18" s="292">
        <f>DB17-CV17</f>
        <v>2.7427101472309173E-3</v>
      </c>
      <c r="DC18" s="292">
        <f>DC17-CW17</f>
        <v>2.8275590284476126E-3</v>
      </c>
      <c r="DD18" s="292">
        <f>DD17-CX17</f>
        <v>3.8887875909034975E-3</v>
      </c>
      <c r="DE18" s="291">
        <f>DE17-CY17</f>
        <v>3.0872639883716413E-3</v>
      </c>
      <c r="DF18" s="241"/>
      <c r="DG18" s="290">
        <f>DG17-DA17</f>
        <v>2.9366977038745579E-3</v>
      </c>
      <c r="DH18" s="292">
        <f>DH17-DB17</f>
        <v>2.7357841115056014E-3</v>
      </c>
      <c r="DI18" s="292">
        <f>DI17-DC17</f>
        <v>2.8204187278708659E-3</v>
      </c>
      <c r="DJ18" s="292">
        <f>DJ17-DD17</f>
        <v>3.8789674202195368E-3</v>
      </c>
      <c r="DK18" s="291">
        <f>DK17-DE17</f>
        <v>3.0794678671889064E-3</v>
      </c>
    </row>
    <row r="19" spans="2:116" ht="13.5" thickBot="1" x14ac:dyDescent="0.25">
      <c r="B19" s="241"/>
      <c r="C19" s="166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166"/>
      <c r="S19" s="166"/>
      <c r="T19" s="166"/>
      <c r="U19" s="166"/>
      <c r="V19" s="166"/>
      <c r="W19" s="166"/>
      <c r="X19" s="166"/>
      <c r="Y19" s="166"/>
      <c r="Z19" s="241"/>
      <c r="AA19" s="166"/>
      <c r="AB19" s="166"/>
      <c r="AC19" s="166"/>
      <c r="AD19" s="166"/>
      <c r="AE19" s="166"/>
      <c r="AF19" s="241"/>
      <c r="AG19" s="166"/>
      <c r="AH19" s="166"/>
      <c r="AI19" s="166"/>
      <c r="AJ19" s="166"/>
      <c r="AK19" s="166"/>
      <c r="AL19" s="241"/>
      <c r="AM19" s="166"/>
      <c r="AN19" s="166"/>
      <c r="AO19" s="166"/>
      <c r="AP19" s="166"/>
      <c r="AQ19" s="166"/>
      <c r="AR19" s="241"/>
      <c r="AS19" s="166"/>
      <c r="AT19" s="166"/>
      <c r="AU19" s="166"/>
      <c r="AV19" s="166"/>
      <c r="AW19" s="166"/>
      <c r="AX19" s="241"/>
      <c r="AY19" s="166"/>
      <c r="AZ19" s="166"/>
      <c r="BA19" s="166"/>
      <c r="BB19" s="166"/>
      <c r="BC19" s="166"/>
      <c r="BD19" s="241"/>
      <c r="BE19" s="194"/>
      <c r="BF19" s="194"/>
      <c r="BG19" s="194"/>
      <c r="BH19" s="194"/>
      <c r="BI19" s="166"/>
      <c r="BJ19" s="241"/>
      <c r="BK19" s="166"/>
      <c r="BL19" s="166"/>
      <c r="BM19" s="166"/>
      <c r="BN19" s="166"/>
      <c r="BO19" s="166"/>
      <c r="BP19" s="241"/>
      <c r="BQ19" s="166"/>
      <c r="BR19" s="166"/>
      <c r="BS19" s="166"/>
      <c r="BT19" s="166"/>
      <c r="BU19" s="166"/>
      <c r="BV19" s="241"/>
      <c r="BW19" s="166"/>
      <c r="BX19" s="166"/>
      <c r="BY19" s="166"/>
      <c r="BZ19" s="166"/>
      <c r="CA19" s="166"/>
      <c r="CB19" s="241"/>
      <c r="CC19" s="166"/>
      <c r="CD19" s="166"/>
      <c r="CE19" s="166"/>
      <c r="CF19" s="166"/>
      <c r="CG19" s="166"/>
      <c r="CH19" s="241"/>
      <c r="CI19" s="166"/>
      <c r="CJ19" s="166"/>
      <c r="CK19" s="166"/>
      <c r="CL19" s="166"/>
      <c r="CM19" s="166"/>
      <c r="CN19" s="241"/>
      <c r="CO19" s="166"/>
      <c r="CP19" s="166"/>
      <c r="CQ19" s="166"/>
      <c r="CR19" s="166"/>
      <c r="CS19" s="166"/>
      <c r="CT19" s="241"/>
      <c r="CU19" s="166"/>
      <c r="CV19" s="166"/>
      <c r="CW19" s="166"/>
      <c r="CX19" s="166"/>
      <c r="CY19" s="166"/>
      <c r="CZ19" s="241"/>
      <c r="DA19" s="166"/>
      <c r="DB19" s="166"/>
      <c r="DC19" s="166"/>
      <c r="DD19" s="166"/>
      <c r="DE19" s="166"/>
      <c r="DF19" s="241"/>
      <c r="DG19" s="166"/>
      <c r="DH19" s="166"/>
      <c r="DI19" s="166"/>
      <c r="DJ19" s="166"/>
      <c r="DK19" s="166"/>
    </row>
    <row r="20" spans="2:116" ht="15" x14ac:dyDescent="0.3">
      <c r="B20" s="42" t="s">
        <v>62</v>
      </c>
      <c r="C20" s="126"/>
      <c r="D20" s="127"/>
      <c r="E20" s="127"/>
      <c r="F20" s="127"/>
      <c r="G20" s="167"/>
      <c r="H20" s="166"/>
      <c r="I20" s="126"/>
      <c r="J20" s="127"/>
      <c r="K20" s="127"/>
      <c r="L20" s="127"/>
      <c r="M20" s="167"/>
      <c r="N20" s="166"/>
      <c r="O20" s="126">
        <v>98</v>
      </c>
      <c r="P20" s="127">
        <v>105</v>
      </c>
      <c r="Q20" s="127">
        <v>126</v>
      </c>
      <c r="R20" s="127">
        <v>120</v>
      </c>
      <c r="S20" s="201">
        <f>O20+P20+Q20+R20</f>
        <v>449</v>
      </c>
      <c r="T20" s="166"/>
      <c r="U20" s="251">
        <v>109</v>
      </c>
      <c r="V20" s="252">
        <v>70</v>
      </c>
      <c r="W20" s="252">
        <v>99</v>
      </c>
      <c r="X20" s="252">
        <v>128</v>
      </c>
      <c r="Y20" s="201">
        <f>U20+V20+W20+X20</f>
        <v>406</v>
      </c>
      <c r="Z20" s="342"/>
      <c r="AA20" s="251">
        <v>98</v>
      </c>
      <c r="AB20" s="252">
        <v>92</v>
      </c>
      <c r="AC20" s="252">
        <v>82</v>
      </c>
      <c r="AD20" s="252">
        <v>80</v>
      </c>
      <c r="AE20" s="201">
        <f>AA20+AB20+AC20+AD20</f>
        <v>352</v>
      </c>
      <c r="AF20" s="342"/>
      <c r="AG20" s="251">
        <v>144</v>
      </c>
      <c r="AH20" s="252">
        <v>72</v>
      </c>
      <c r="AI20" s="252">
        <v>50</v>
      </c>
      <c r="AJ20" s="252">
        <v>113</v>
      </c>
      <c r="AK20" s="201">
        <f>AG20+AH20+AI20+AJ20</f>
        <v>379</v>
      </c>
      <c r="AL20" s="342"/>
      <c r="AM20" s="251">
        <v>77</v>
      </c>
      <c r="AN20" s="252">
        <v>94</v>
      </c>
      <c r="AO20" s="252">
        <v>97</v>
      </c>
      <c r="AP20" s="252">
        <v>143</v>
      </c>
      <c r="AQ20" s="201">
        <f>AM20+AN20+AO20+AP20</f>
        <v>411</v>
      </c>
      <c r="AR20" s="342"/>
      <c r="AS20" s="251">
        <v>65</v>
      </c>
      <c r="AT20" s="252">
        <v>81</v>
      </c>
      <c r="AU20" s="252">
        <v>94</v>
      </c>
      <c r="AV20" s="252">
        <v>141</v>
      </c>
      <c r="AW20" s="201">
        <f>AS20+AT20+AU20+AV20</f>
        <v>381</v>
      </c>
      <c r="AX20" s="342"/>
      <c r="AY20" s="251">
        <v>96</v>
      </c>
      <c r="AZ20" s="252">
        <v>65</v>
      </c>
      <c r="BA20" s="252">
        <v>69</v>
      </c>
      <c r="BB20" s="252">
        <v>112</v>
      </c>
      <c r="BC20" s="201">
        <f>AY20+AZ20+BA20+BB20</f>
        <v>342</v>
      </c>
      <c r="BD20" s="342"/>
      <c r="BE20" s="251">
        <v>227</v>
      </c>
      <c r="BF20" s="252">
        <v>207</v>
      </c>
      <c r="BG20" s="252">
        <v>222.4</v>
      </c>
      <c r="BH20" s="252">
        <v>279.39999999999998</v>
      </c>
      <c r="BI20" s="201">
        <f>BE20+BF20+BG20+BH20</f>
        <v>935.8</v>
      </c>
      <c r="BJ20" s="342"/>
      <c r="BK20" s="251">
        <v>242</v>
      </c>
      <c r="BL20" s="252">
        <v>239</v>
      </c>
      <c r="BM20" s="252">
        <v>231</v>
      </c>
      <c r="BN20" s="252">
        <v>294</v>
      </c>
      <c r="BO20" s="201">
        <f>BK20+BL20+BM20+BN20</f>
        <v>1006</v>
      </c>
      <c r="BP20" s="342"/>
      <c r="BQ20" s="251">
        <f>BQ23*BQ5</f>
        <v>224.43300000000002</v>
      </c>
      <c r="BR20" s="252">
        <f>BR23*BR5</f>
        <v>224.71487500000003</v>
      </c>
      <c r="BS20" s="252">
        <f>BS23*BS5</f>
        <v>222.97925000000001</v>
      </c>
      <c r="BT20" s="252">
        <f>BT23*BT5</f>
        <v>289.94062500000001</v>
      </c>
      <c r="BU20" s="201">
        <f>BQ20+BR20+BS20+BT20</f>
        <v>962.06775000000016</v>
      </c>
      <c r="BV20" s="342"/>
      <c r="BW20" s="251">
        <f>BW23*BW5</f>
        <v>219.43312875000001</v>
      </c>
      <c r="BX20" s="252">
        <f>BX23*BX5</f>
        <v>220.10875078125005</v>
      </c>
      <c r="BY20" s="252">
        <f>BY23*BY5</f>
        <v>218.44944218750001</v>
      </c>
      <c r="BZ20" s="252">
        <f>BZ23*BZ5</f>
        <v>285.41235937499999</v>
      </c>
      <c r="CA20" s="201">
        <f>BW20+BX20+BY20+BZ20</f>
        <v>943.40368109375004</v>
      </c>
      <c r="CB20" s="342"/>
      <c r="CC20" s="251">
        <f>CC23*CC5</f>
        <v>214.0047124875</v>
      </c>
      <c r="CD20" s="252">
        <f>CD23*CD5</f>
        <v>214.34923047656252</v>
      </c>
      <c r="CE20" s="252">
        <f>CE23*CE5</f>
        <v>212.81466473437499</v>
      </c>
      <c r="CF20" s="252">
        <f>CF23*CF5</f>
        <v>279.33309421875003</v>
      </c>
      <c r="CG20" s="201">
        <f>CC20+CD20+CE20+CF20</f>
        <v>920.50170191718757</v>
      </c>
      <c r="CH20" s="342"/>
      <c r="CI20" s="251">
        <f>CI23*CI5</f>
        <v>208.662921237375</v>
      </c>
      <c r="CJ20" s="252">
        <f>CJ23*CJ5</f>
        <v>208.68288970289063</v>
      </c>
      <c r="CK20" s="252">
        <f>CK23*CK5</f>
        <v>207.27073788609371</v>
      </c>
      <c r="CL20" s="252">
        <f>CL23*CL5</f>
        <v>273.34687312968748</v>
      </c>
      <c r="CM20" s="201">
        <f>CI20+CJ20+CK20+CL20</f>
        <v>897.96342195604689</v>
      </c>
      <c r="CN20" s="342"/>
      <c r="CO20" s="251">
        <f>CO23*CO5</f>
        <v>203.40656534100373</v>
      </c>
      <c r="CP20" s="252">
        <f>CP23*CP5</f>
        <v>203.10844082164451</v>
      </c>
      <c r="CQ20" s="252">
        <f>CQ23*CQ5</f>
        <v>201.81640810830464</v>
      </c>
      <c r="CR20" s="252">
        <f>CR23*CR5</f>
        <v>267.45244315298436</v>
      </c>
      <c r="CS20" s="201">
        <f>CO20+CP20+CQ20+CR20</f>
        <v>875.78385742393721</v>
      </c>
      <c r="CT20" s="342"/>
      <c r="CU20" s="251">
        <f>CU23*CU5</f>
        <v>198.23447027043616</v>
      </c>
      <c r="CV20" s="252">
        <f>CV23*CV5</f>
        <v>197.62461262905305</v>
      </c>
      <c r="CW20" s="252">
        <f>CW23*CW5</f>
        <v>196.45043785228276</v>
      </c>
      <c r="CX20" s="252">
        <f>CX23*CX5</f>
        <v>261.64856708850232</v>
      </c>
      <c r="CY20" s="201">
        <f>CU20+CV20+CW20+CX20</f>
        <v>853.95808784027429</v>
      </c>
      <c r="CZ20" s="342"/>
      <c r="DA20" s="251">
        <f>DA23*DA5</f>
        <v>193.14547644474584</v>
      </c>
      <c r="DB20" s="252">
        <f>DB23*DB5</f>
        <v>192.23015015623128</v>
      </c>
      <c r="DC20" s="252">
        <f>DC23*DC5</f>
        <v>191.17160536057048</v>
      </c>
      <c r="DD20" s="252">
        <f>DD23*DD5</f>
        <v>255.9340233009946</v>
      </c>
      <c r="DE20" s="201">
        <f>DA20+DB20+DC20+DD20</f>
        <v>832.48125526254216</v>
      </c>
      <c r="DF20" s="342"/>
      <c r="DG20" s="251">
        <f>DG23*DG5</f>
        <v>188.13843904854227</v>
      </c>
      <c r="DH20" s="252">
        <f>DH23*DH5</f>
        <v>186.92381447160298</v>
      </c>
      <c r="DI20" s="252">
        <f>DI23*DI5</f>
        <v>185.9787044749072</v>
      </c>
      <c r="DJ20" s="252">
        <f>DJ23*DJ5</f>
        <v>250.30760553252821</v>
      </c>
      <c r="DK20" s="201">
        <f>DG20+DH20+DI20+DJ20</f>
        <v>811.34856352758061</v>
      </c>
    </row>
    <row r="21" spans="2:116" ht="15" x14ac:dyDescent="0.3">
      <c r="B21" s="40" t="s">
        <v>40</v>
      </c>
      <c r="C21" s="216"/>
      <c r="D21" s="166"/>
      <c r="E21" s="166"/>
      <c r="F21" s="166"/>
      <c r="G21" s="243"/>
      <c r="H21" s="166"/>
      <c r="I21" s="216"/>
      <c r="J21" s="166"/>
      <c r="K21" s="166"/>
      <c r="L21" s="166"/>
      <c r="M21" s="243"/>
      <c r="N21" s="166"/>
      <c r="O21" s="216" t="s">
        <v>35</v>
      </c>
      <c r="P21" s="166" t="s">
        <v>35</v>
      </c>
      <c r="Q21" s="166" t="s">
        <v>35</v>
      </c>
      <c r="R21" s="166" t="s">
        <v>35</v>
      </c>
      <c r="S21" s="243" t="s">
        <v>35</v>
      </c>
      <c r="T21" s="166"/>
      <c r="U21" s="237">
        <f>U20/O20-1</f>
        <v>0.11224489795918369</v>
      </c>
      <c r="V21" s="233">
        <f>V20/P20-1</f>
        <v>-0.33333333333333337</v>
      </c>
      <c r="W21" s="233">
        <f>W20/Q20-1</f>
        <v>-0.2142857142857143</v>
      </c>
      <c r="X21" s="233">
        <f>X20/R20-1</f>
        <v>6.6666666666666652E-2</v>
      </c>
      <c r="Y21" s="297">
        <f>Y20/S20-1</f>
        <v>-9.5768374164810655E-2</v>
      </c>
      <c r="Z21" s="241"/>
      <c r="AA21" s="237">
        <f>AA20/U20-1</f>
        <v>-0.1009174311926605</v>
      </c>
      <c r="AB21" s="233">
        <f>AB20/V20-1</f>
        <v>0.31428571428571428</v>
      </c>
      <c r="AC21" s="233">
        <f>AC20/W20-1</f>
        <v>-0.17171717171717171</v>
      </c>
      <c r="AD21" s="233">
        <f>AD20/X20-1</f>
        <v>-0.375</v>
      </c>
      <c r="AE21" s="297">
        <f>AE20/Y20-1</f>
        <v>-0.13300492610837433</v>
      </c>
      <c r="AF21" s="241"/>
      <c r="AG21" s="237">
        <f>AG20/AA20-1</f>
        <v>0.46938775510204089</v>
      </c>
      <c r="AH21" s="233">
        <f>AH20/AB20-1</f>
        <v>-0.21739130434782605</v>
      </c>
      <c r="AI21" s="233">
        <f>AI20/AC20-1</f>
        <v>-0.3902439024390244</v>
      </c>
      <c r="AJ21" s="233">
        <f>AJ20/AD20-1</f>
        <v>0.41250000000000009</v>
      </c>
      <c r="AK21" s="297">
        <f>AK20/AE20-1</f>
        <v>7.6704545454545414E-2</v>
      </c>
      <c r="AL21" s="241"/>
      <c r="AM21" s="237">
        <f>AM20/AG20-1</f>
        <v>-0.46527777777777779</v>
      </c>
      <c r="AN21" s="233">
        <f>AN20/AH20-1</f>
        <v>0.30555555555555558</v>
      </c>
      <c r="AO21" s="233">
        <f>AO20/AI20-1</f>
        <v>0.94</v>
      </c>
      <c r="AP21" s="233">
        <f>AP20/AJ20-1</f>
        <v>0.26548672566371678</v>
      </c>
      <c r="AQ21" s="297">
        <f>AQ20/AK20-1</f>
        <v>8.4432717678100344E-2</v>
      </c>
      <c r="AR21" s="241"/>
      <c r="AS21" s="237">
        <f>AS20/AM20-1</f>
        <v>-0.1558441558441559</v>
      </c>
      <c r="AT21" s="233">
        <f>AT20/AN20-1</f>
        <v>-0.13829787234042556</v>
      </c>
      <c r="AU21" s="233">
        <f>AU20/AO20-1</f>
        <v>-3.0927835051546393E-2</v>
      </c>
      <c r="AV21" s="233">
        <f>AV20/AP20-1</f>
        <v>-1.3986013986013957E-2</v>
      </c>
      <c r="AW21" s="297">
        <f>AW20/AQ20-1</f>
        <v>-7.2992700729927029E-2</v>
      </c>
      <c r="AX21" s="241"/>
      <c r="AY21" s="237">
        <f>AY20/AS20-1</f>
        <v>0.47692307692307701</v>
      </c>
      <c r="AZ21" s="233">
        <f>AZ20/AT20-1</f>
        <v>-0.19753086419753085</v>
      </c>
      <c r="BA21" s="233">
        <f>BA20/AU20-1</f>
        <v>-0.26595744680851063</v>
      </c>
      <c r="BB21" s="233">
        <f>BB20/AV20-1</f>
        <v>-0.20567375886524819</v>
      </c>
      <c r="BC21" s="297">
        <f>BC20/AW20-1</f>
        <v>-0.10236220472440949</v>
      </c>
      <c r="BD21" s="241"/>
      <c r="BE21" s="237">
        <v>-0.375</v>
      </c>
      <c r="BF21" s="233">
        <v>-0.215</v>
      </c>
      <c r="BG21" s="233">
        <v>-7.1999999999999995E-2</v>
      </c>
      <c r="BH21" s="233">
        <v>-0.17</v>
      </c>
      <c r="BI21" s="297">
        <v>-0.216</v>
      </c>
      <c r="BJ21" s="241"/>
      <c r="BK21" s="237">
        <f>BK20/BE20-1</f>
        <v>6.6079295154185091E-2</v>
      </c>
      <c r="BL21" s="233">
        <f>BL20/BF20-1</f>
        <v>0.15458937198067635</v>
      </c>
      <c r="BM21" s="233">
        <f>BM20/BG20-1</f>
        <v>3.8669064748201309E-2</v>
      </c>
      <c r="BN21" s="233">
        <f>BN20/BH20-1</f>
        <v>5.2254831782390987E-2</v>
      </c>
      <c r="BO21" s="297">
        <f>BO20/BI20-1</f>
        <v>7.5016029066039769E-2</v>
      </c>
      <c r="BP21" s="241"/>
      <c r="BQ21" s="237">
        <f>BQ20/BK20-1</f>
        <v>-7.2590909090909039E-2</v>
      </c>
      <c r="BR21" s="233">
        <f>BR20/BL20-1</f>
        <v>-5.9770397489539606E-2</v>
      </c>
      <c r="BS21" s="233">
        <f>BS20/BM20-1</f>
        <v>-3.4721861471861404E-2</v>
      </c>
      <c r="BT21" s="233">
        <f>BT20/BN20-1</f>
        <v>-1.380739795918362E-2</v>
      </c>
      <c r="BU21" s="297">
        <f>BU20/BO20-1</f>
        <v>-4.3670228628230445E-2</v>
      </c>
      <c r="BV21" s="241"/>
      <c r="BW21" s="237">
        <f>BW20/BQ20-1</f>
        <v>-2.227779003087782E-2</v>
      </c>
      <c r="BX21" s="233">
        <f>BX20/BR20-1</f>
        <v>-2.04976382571469E-2</v>
      </c>
      <c r="BY21" s="233">
        <f>BY20/BS20-1</f>
        <v>-2.0314929808491144E-2</v>
      </c>
      <c r="BZ21" s="233">
        <f>BZ20/BT20-1</f>
        <v>-1.5617906683480509E-2</v>
      </c>
      <c r="CA21" s="297">
        <f>CA20/BU20-1</f>
        <v>-1.9399952764501349E-2</v>
      </c>
      <c r="CB21" s="241"/>
      <c r="CC21" s="237">
        <f>CC20/BW20-1</f>
        <v>-2.4738362404177372E-2</v>
      </c>
      <c r="CD21" s="233">
        <f>CD20/BX20-1</f>
        <v>-2.6166702978617562E-2</v>
      </c>
      <c r="CE21" s="233">
        <f>CE20/BY20-1</f>
        <v>-2.5794423628184737E-2</v>
      </c>
      <c r="CF21" s="233">
        <f>CF20/BZ20-1</f>
        <v>-2.1299936588458968E-2</v>
      </c>
      <c r="CG21" s="297">
        <f>CG20/CA20-1</f>
        <v>-2.4275906099932465E-2</v>
      </c>
      <c r="CH21" s="241"/>
      <c r="CI21" s="237">
        <f>CI20/CC20-1</f>
        <v>-2.4961091688282422E-2</v>
      </c>
      <c r="CJ21" s="233">
        <f>CJ20/CD20-1</f>
        <v>-2.6435088015356656E-2</v>
      </c>
      <c r="CK21" s="233">
        <f>CK20/CE20-1</f>
        <v>-2.6050492597401331E-2</v>
      </c>
      <c r="CL21" s="233">
        <f>CL20/CF20-1</f>
        <v>-2.1430404105195811E-2</v>
      </c>
      <c r="CM21" s="297">
        <f>CM20/CG20-1</f>
        <v>-2.4484778153260112E-2</v>
      </c>
      <c r="CN21" s="241"/>
      <c r="CO21" s="237">
        <f>CO20/CI20-1</f>
        <v>-2.5190656131913514E-2</v>
      </c>
      <c r="CP21" s="233">
        <f>CP20/CJ20-1</f>
        <v>-2.6712534454466641E-2</v>
      </c>
      <c r="CQ21" s="233">
        <f>CQ20/CK20-1</f>
        <v>-2.6315001497155488E-2</v>
      </c>
      <c r="CR21" s="233">
        <f>CR20/CL20-1</f>
        <v>-2.1563919532770925E-2</v>
      </c>
      <c r="CS21" s="297">
        <f>CS20/CM20-1</f>
        <v>-2.4699853011602158E-2</v>
      </c>
      <c r="CT21" s="241"/>
      <c r="CU21" s="237">
        <f>CU20/CO20-1</f>
        <v>-2.5427375276194875E-2</v>
      </c>
      <c r="CV21" s="233">
        <f>CV20/CP20-1</f>
        <v>-2.6999509081983342E-2</v>
      </c>
      <c r="CW21" s="233">
        <f>CW20/CQ20-1</f>
        <v>-2.658837458420249E-2</v>
      </c>
      <c r="CX21" s="233">
        <f>CX20/CR20-1</f>
        <v>-2.1700590938936393E-2</v>
      </c>
      <c r="CY21" s="297">
        <f>CY20/CS20-1</f>
        <v>-2.492141114345503E-2</v>
      </c>
      <c r="CZ21" s="241"/>
      <c r="DA21" s="237">
        <f>DA20/CU20-1</f>
        <v>-2.5671588895451958E-2</v>
      </c>
      <c r="DB21" s="233">
        <f>DB20/CV20-1</f>
        <v>-2.7296511305235693E-2</v>
      </c>
      <c r="DC21" s="233">
        <f>DC20/CW20-1</f>
        <v>-2.6871065035149466E-2</v>
      </c>
      <c r="DD21" s="233">
        <f>DD20/CX20-1</f>
        <v>-2.1840531561461929E-2</v>
      </c>
      <c r="DE21" s="297">
        <f>DE20/CY20-1</f>
        <v>-2.5149750185104125E-2</v>
      </c>
      <c r="DF21" s="241"/>
      <c r="DG21" s="237">
        <f>DG20/DA20-1</f>
        <v>-2.5923658624414925E-2</v>
      </c>
      <c r="DH21" s="233">
        <f>DH20/DB20-1</f>
        <v>-2.7604076053187709E-2</v>
      </c>
      <c r="DI21" s="233">
        <f>DI20/DC20-1</f>
        <v>-2.7163557453361853E-2</v>
      </c>
      <c r="DJ21" s="233">
        <f>DJ20/DD20-1</f>
        <v>-2.1983860121049137E-2</v>
      </c>
      <c r="DK21" s="297">
        <f>DK20/DE20-1</f>
        <v>-2.5385186274610949E-2</v>
      </c>
    </row>
    <row r="22" spans="2:116" ht="15" x14ac:dyDescent="0.3">
      <c r="B22" s="39"/>
      <c r="C22" s="216"/>
      <c r="D22" s="166"/>
      <c r="E22" s="166"/>
      <c r="F22" s="166"/>
      <c r="G22" s="243"/>
      <c r="H22" s="166"/>
      <c r="I22" s="216"/>
      <c r="J22" s="166"/>
      <c r="K22" s="166"/>
      <c r="L22" s="166"/>
      <c r="M22" s="243"/>
      <c r="N22" s="166"/>
      <c r="O22" s="216"/>
      <c r="P22" s="166"/>
      <c r="Q22" s="166"/>
      <c r="R22" s="166"/>
      <c r="S22" s="243"/>
      <c r="T22" s="166"/>
      <c r="U22" s="216"/>
      <c r="V22" s="166"/>
      <c r="W22" s="166"/>
      <c r="X22" s="166"/>
      <c r="Y22" s="243"/>
      <c r="Z22" s="241"/>
      <c r="AA22" s="216"/>
      <c r="AB22" s="166"/>
      <c r="AC22" s="166"/>
      <c r="AD22" s="166"/>
      <c r="AE22" s="243"/>
      <c r="AF22" s="241"/>
      <c r="AG22" s="216"/>
      <c r="AH22" s="166"/>
      <c r="AI22" s="166"/>
      <c r="AJ22" s="166"/>
      <c r="AK22" s="243"/>
      <c r="AL22" s="241"/>
      <c r="AM22" s="216"/>
      <c r="AN22" s="166"/>
      <c r="AO22" s="166"/>
      <c r="AP22" s="166"/>
      <c r="AQ22" s="243"/>
      <c r="AR22" s="241"/>
      <c r="AS22" s="216"/>
      <c r="AT22" s="166"/>
      <c r="AU22" s="166"/>
      <c r="AV22" s="166"/>
      <c r="AW22" s="243"/>
      <c r="AX22" s="241"/>
      <c r="AY22" s="216"/>
      <c r="AZ22" s="166"/>
      <c r="BA22" s="166"/>
      <c r="BB22" s="166"/>
      <c r="BC22" s="243"/>
      <c r="BD22" s="241"/>
      <c r="BE22" s="216"/>
      <c r="BF22" s="166"/>
      <c r="BG22" s="166"/>
      <c r="BH22" s="166"/>
      <c r="BI22" s="243"/>
      <c r="BJ22" s="241"/>
      <c r="BK22" s="216"/>
      <c r="BL22" s="166"/>
      <c r="BM22" s="166"/>
      <c r="BN22" s="166"/>
      <c r="BO22" s="243"/>
      <c r="BP22" s="241"/>
      <c r="BQ22" s="216"/>
      <c r="BR22" s="166"/>
      <c r="BS22" s="166"/>
      <c r="BT22" s="166"/>
      <c r="BU22" s="243"/>
      <c r="BV22" s="241"/>
      <c r="BW22" s="216"/>
      <c r="BX22" s="166"/>
      <c r="BY22" s="166"/>
      <c r="BZ22" s="166"/>
      <c r="CA22" s="243"/>
      <c r="CB22" s="241"/>
      <c r="CC22" s="216"/>
      <c r="CD22" s="166"/>
      <c r="CE22" s="166"/>
      <c r="CF22" s="166"/>
      <c r="CG22" s="243"/>
      <c r="CH22" s="241"/>
      <c r="CI22" s="216"/>
      <c r="CJ22" s="166"/>
      <c r="CK22" s="166"/>
      <c r="CL22" s="166"/>
      <c r="CM22" s="243"/>
      <c r="CN22" s="241"/>
      <c r="CO22" s="216"/>
      <c r="CP22" s="166"/>
      <c r="CQ22" s="166"/>
      <c r="CR22" s="166"/>
      <c r="CS22" s="243"/>
      <c r="CT22" s="241"/>
      <c r="CU22" s="216"/>
      <c r="CV22" s="166"/>
      <c r="CW22" s="166"/>
      <c r="CX22" s="166"/>
      <c r="CY22" s="243"/>
      <c r="CZ22" s="241"/>
      <c r="DA22" s="216"/>
      <c r="DB22" s="166"/>
      <c r="DC22" s="166"/>
      <c r="DD22" s="166"/>
      <c r="DE22" s="243"/>
      <c r="DF22" s="241"/>
      <c r="DG22" s="216"/>
      <c r="DH22" s="166"/>
      <c r="DI22" s="166"/>
      <c r="DJ22" s="166"/>
      <c r="DK22" s="243"/>
    </row>
    <row r="23" spans="2:116" ht="15" x14ac:dyDescent="0.3">
      <c r="B23" s="39" t="s">
        <v>24</v>
      </c>
      <c r="C23" s="216"/>
      <c r="D23" s="166"/>
      <c r="E23" s="166"/>
      <c r="F23" s="166"/>
      <c r="G23" s="243"/>
      <c r="H23" s="166"/>
      <c r="I23" s="216"/>
      <c r="J23" s="166"/>
      <c r="K23" s="166"/>
      <c r="L23" s="166"/>
      <c r="M23" s="243"/>
      <c r="N23" s="166"/>
      <c r="O23" s="296">
        <f>O20/O5</f>
        <v>0.15857605177993528</v>
      </c>
      <c r="P23" s="228">
        <f>P20/P5</f>
        <v>0.17156862745098039</v>
      </c>
      <c r="Q23" s="228">
        <f>Q20/Q5</f>
        <v>0.21247892074198987</v>
      </c>
      <c r="R23" s="228">
        <f>R20/R5</f>
        <v>0.20442930153321975</v>
      </c>
      <c r="S23" s="298">
        <f>S20/S5</f>
        <v>0.18630705394190872</v>
      </c>
      <c r="T23" s="134"/>
      <c r="U23" s="296">
        <f>U20/U5</f>
        <v>0.1929203539823009</v>
      </c>
      <c r="V23" s="228">
        <f>V20/V5</f>
        <v>0.12006861063464837</v>
      </c>
      <c r="W23" s="228">
        <f>W20/W5</f>
        <v>0.17460317460317459</v>
      </c>
      <c r="X23" s="228">
        <f>X20/X5</f>
        <v>0.28381374722838137</v>
      </c>
      <c r="Y23" s="298">
        <f>Y20/Y5</f>
        <v>0.18744228993536471</v>
      </c>
      <c r="Z23" s="260"/>
      <c r="AA23" s="296">
        <f>AA20/AA5</f>
        <v>0.13333333333333333</v>
      </c>
      <c r="AB23" s="228">
        <f>AB20/AB5</f>
        <v>0.12415654520917679</v>
      </c>
      <c r="AC23" s="228">
        <f>AC20/AC5</f>
        <v>0.11036339165545088</v>
      </c>
      <c r="AD23" s="228">
        <f>AD20/AD5</f>
        <v>0.10554089709762533</v>
      </c>
      <c r="AE23" s="298">
        <f>AE20/AE5</f>
        <v>0.11823983876385623</v>
      </c>
      <c r="AF23" s="260"/>
      <c r="AG23" s="296">
        <f>AG20/AG5</f>
        <v>0.21333333333333335</v>
      </c>
      <c r="AH23" s="228">
        <f>AH20/AH5</f>
        <v>0.1037463976945245</v>
      </c>
      <c r="AI23" s="228">
        <f>AI20/AI5</f>
        <v>7.2358900144717797E-2</v>
      </c>
      <c r="AJ23" s="228">
        <f>AJ20/AJ5</f>
        <v>0.14580645161290323</v>
      </c>
      <c r="AK23" s="298">
        <f>AK20/AK5</f>
        <v>0.13368606701940036</v>
      </c>
      <c r="AL23" s="260"/>
      <c r="AM23" s="296">
        <f>AM20/AM5</f>
        <v>0.11143270622286541</v>
      </c>
      <c r="AN23" s="228">
        <f>AN20/AN5</f>
        <v>0.12352168199737187</v>
      </c>
      <c r="AO23" s="228">
        <f>AO20/AO5</f>
        <v>0.15275590551181104</v>
      </c>
      <c r="AP23" s="228">
        <f>AP20/AP5</f>
        <v>0.18055555555555555</v>
      </c>
      <c r="AQ23" s="298">
        <f>AQ20/AQ5</f>
        <v>0.14275790204932268</v>
      </c>
      <c r="AR23" s="260"/>
      <c r="AS23" s="296">
        <f>AS20/AS5</f>
        <v>0.1045016077170418</v>
      </c>
      <c r="AT23" s="228">
        <f>AT20/AT5</f>
        <v>0.13278688524590163</v>
      </c>
      <c r="AU23" s="228">
        <f>AU20/AU5</f>
        <v>0.15771812080536912</v>
      </c>
      <c r="AV23" s="228">
        <f>AV20/AV5</f>
        <v>0.20494186046511628</v>
      </c>
      <c r="AW23" s="298">
        <f>AW20/AW5</f>
        <v>0.15143084260731318</v>
      </c>
      <c r="AX23" s="260"/>
      <c r="AY23" s="296">
        <f>AY20/AY5</f>
        <v>0.16991150442477876</v>
      </c>
      <c r="AZ23" s="228">
        <f>AZ20/AZ5</f>
        <v>0.1113013698630137</v>
      </c>
      <c r="BA23" s="228">
        <f>BA20/BA5</f>
        <v>0.12432432432432433</v>
      </c>
      <c r="BB23" s="228">
        <f>BB20/BB5</f>
        <v>0.19614711033274956</v>
      </c>
      <c r="BC23" s="298">
        <f>BC20/BC5</f>
        <v>0.15032967032967032</v>
      </c>
      <c r="BD23" s="260"/>
      <c r="BE23" s="296">
        <f>BE20/BE5</f>
        <v>0.29065300896286811</v>
      </c>
      <c r="BF23" s="228">
        <f>BF20/BF5</f>
        <v>0.22747252747252747</v>
      </c>
      <c r="BG23" s="228">
        <f>BG20/BG5</f>
        <v>0.26275992438563328</v>
      </c>
      <c r="BH23" s="228">
        <f>BH20/BH5</f>
        <v>0.3006240585323865</v>
      </c>
      <c r="BI23" s="298">
        <f>BI20/BI5</f>
        <v>0.26993192569516555</v>
      </c>
      <c r="BJ23" s="260"/>
      <c r="BK23" s="296">
        <f>BK20/BK5</f>
        <v>0.32835820895522388</v>
      </c>
      <c r="BL23" s="228">
        <f>BL20/BL5</f>
        <v>0.30368487928843713</v>
      </c>
      <c r="BM23" s="228">
        <f>BM20/BM5</f>
        <v>0.31090174966352624</v>
      </c>
      <c r="BN23" s="228">
        <f>BN20/BN5</f>
        <v>0.43555555555555553</v>
      </c>
      <c r="BO23" s="298">
        <f>BO20/BO5</f>
        <v>0.34194425560842961</v>
      </c>
      <c r="BP23" s="260"/>
      <c r="BQ23" s="296">
        <f>BK23+BQ24</f>
        <v>0.33835820895522389</v>
      </c>
      <c r="BR23" s="228">
        <f>BL23+BR24</f>
        <v>0.30868487928843713</v>
      </c>
      <c r="BS23" s="228">
        <f>BM23+BS24</f>
        <v>0.31590174966352624</v>
      </c>
      <c r="BT23" s="228">
        <f>BN23+BT24</f>
        <v>0.44055555555555553</v>
      </c>
      <c r="BU23" s="298">
        <f>BU20/BU5</f>
        <v>0.34917620905543967</v>
      </c>
      <c r="BV23" s="260"/>
      <c r="BW23" s="296">
        <f>BQ23+BW24</f>
        <v>0.33585820895522389</v>
      </c>
      <c r="BX23" s="228">
        <f>BR23+BX24</f>
        <v>0.30618487928843713</v>
      </c>
      <c r="BY23" s="228">
        <f>BS23+BY24</f>
        <v>0.31340174966352624</v>
      </c>
      <c r="BZ23" s="228">
        <f>BT23+BZ24</f>
        <v>0.43805555555555553</v>
      </c>
      <c r="CA23" s="298">
        <f>CA20/CA5</f>
        <v>0.34673806099238913</v>
      </c>
      <c r="CB23" s="260"/>
      <c r="CC23" s="296">
        <f>BW23+CC24</f>
        <v>0.33085820895522389</v>
      </c>
      <c r="CD23" s="228">
        <f>BX23+CD24</f>
        <v>0.30118487928843712</v>
      </c>
      <c r="CE23" s="228">
        <f>BY23+CE24</f>
        <v>0.30840174966352624</v>
      </c>
      <c r="CF23" s="228">
        <f>BZ23+CF24</f>
        <v>0.43305555555555553</v>
      </c>
      <c r="CG23" s="298">
        <f>CG20/CG5</f>
        <v>0.34173806099238913</v>
      </c>
      <c r="CH23" s="260"/>
      <c r="CI23" s="296">
        <f>CC23+CI24</f>
        <v>0.32585820895522388</v>
      </c>
      <c r="CJ23" s="228">
        <f>CD23+CJ24</f>
        <v>0.29618487928843712</v>
      </c>
      <c r="CK23" s="228">
        <f>CE23+CK24</f>
        <v>0.30340174966352623</v>
      </c>
      <c r="CL23" s="228">
        <f>CF23+CL24</f>
        <v>0.42805555555555552</v>
      </c>
      <c r="CM23" s="298">
        <f>CM20/CM5</f>
        <v>0.33673806099238912</v>
      </c>
      <c r="CN23" s="260"/>
      <c r="CO23" s="296">
        <f>CI23+CO24</f>
        <v>0.32085820895522388</v>
      </c>
      <c r="CP23" s="228">
        <f>CJ23+CP24</f>
        <v>0.29118487928843712</v>
      </c>
      <c r="CQ23" s="228">
        <f>CK23+CQ24</f>
        <v>0.29840174966352623</v>
      </c>
      <c r="CR23" s="228">
        <f>CL23+CR24</f>
        <v>0.42305555555555552</v>
      </c>
      <c r="CS23" s="298">
        <f>CS20/CS5</f>
        <v>0.33173806099238912</v>
      </c>
      <c r="CT23" s="260"/>
      <c r="CU23" s="296">
        <f>CO23+CU24</f>
        <v>0.31585820895522387</v>
      </c>
      <c r="CV23" s="228">
        <f>CP23+CV24</f>
        <v>0.28618487928843711</v>
      </c>
      <c r="CW23" s="228">
        <f>CQ23+CW24</f>
        <v>0.29340174966352622</v>
      </c>
      <c r="CX23" s="228">
        <f>CR23+CX24</f>
        <v>0.41805555555555551</v>
      </c>
      <c r="CY23" s="298">
        <f>CY20/CY5</f>
        <v>0.32673806099238906</v>
      </c>
      <c r="CZ23" s="260"/>
      <c r="DA23" s="296">
        <f>CU23+DA24</f>
        <v>0.31085820895522387</v>
      </c>
      <c r="DB23" s="228">
        <f>CV23+DB24</f>
        <v>0.28118487928843711</v>
      </c>
      <c r="DC23" s="228">
        <f>CW23+DC24</f>
        <v>0.28840174966352622</v>
      </c>
      <c r="DD23" s="228">
        <f>CX23+DD24</f>
        <v>0.41305555555555551</v>
      </c>
      <c r="DE23" s="298">
        <f>DE20/DE5</f>
        <v>0.32173806099238905</v>
      </c>
      <c r="DF23" s="260"/>
      <c r="DG23" s="296">
        <f>DA23+DG24</f>
        <v>0.30585820895522386</v>
      </c>
      <c r="DH23" s="228">
        <f>DB23+DH24</f>
        <v>0.2761848792884371</v>
      </c>
      <c r="DI23" s="228">
        <f>DC23+DI24</f>
        <v>0.28340174966352621</v>
      </c>
      <c r="DJ23" s="228">
        <f>DD23+DJ24</f>
        <v>0.4080555555555555</v>
      </c>
      <c r="DK23" s="298">
        <f>DK20/DK5</f>
        <v>0.31673806099238905</v>
      </c>
    </row>
    <row r="24" spans="2:116" ht="15.75" thickBot="1" x14ac:dyDescent="0.35">
      <c r="B24" s="41" t="s">
        <v>40</v>
      </c>
      <c r="C24" s="130"/>
      <c r="D24" s="131"/>
      <c r="E24" s="131"/>
      <c r="F24" s="131"/>
      <c r="G24" s="275"/>
      <c r="H24" s="166"/>
      <c r="I24" s="130"/>
      <c r="J24" s="131"/>
      <c r="K24" s="131"/>
      <c r="L24" s="131"/>
      <c r="M24" s="275"/>
      <c r="N24" s="166"/>
      <c r="O24" s="130" t="s">
        <v>35</v>
      </c>
      <c r="P24" s="131" t="s">
        <v>35</v>
      </c>
      <c r="Q24" s="131" t="s">
        <v>35</v>
      </c>
      <c r="R24" s="132" t="s">
        <v>35</v>
      </c>
      <c r="S24" s="275" t="s">
        <v>35</v>
      </c>
      <c r="T24" s="103"/>
      <c r="U24" s="174">
        <f>U23-O23</f>
        <v>3.4344302202365617E-2</v>
      </c>
      <c r="V24" s="175">
        <f>V23-P23</f>
        <v>-5.1500016816332025E-2</v>
      </c>
      <c r="W24" s="175">
        <f>W23-Q23</f>
        <v>-3.7875746138815281E-2</v>
      </c>
      <c r="X24" s="175">
        <f>X23-R23</f>
        <v>7.9384445695161621E-2</v>
      </c>
      <c r="Y24" s="177">
        <f>Y23-S23</f>
        <v>1.1352359934559964E-3</v>
      </c>
      <c r="Z24" s="241"/>
      <c r="AA24" s="174">
        <f>AA23-U23</f>
        <v>-5.9587020648967565E-2</v>
      </c>
      <c r="AB24" s="175">
        <f>AB23-V23</f>
        <v>4.0879345745284262E-3</v>
      </c>
      <c r="AC24" s="175">
        <f>AC23-W23</f>
        <v>-6.4239782947723714E-2</v>
      </c>
      <c r="AD24" s="175">
        <f>AD23-X23</f>
        <v>-0.17827285013075606</v>
      </c>
      <c r="AE24" s="177">
        <f>AE23-Y23</f>
        <v>-6.9202451171508486E-2</v>
      </c>
      <c r="AF24" s="241"/>
      <c r="AG24" s="174">
        <f>AG23-AA23</f>
        <v>8.0000000000000016E-2</v>
      </c>
      <c r="AH24" s="175">
        <f>AH23-AB23</f>
        <v>-2.0410147514652296E-2</v>
      </c>
      <c r="AI24" s="175">
        <f>AI23-AC23</f>
        <v>-3.8004491510733082E-2</v>
      </c>
      <c r="AJ24" s="175">
        <f>AJ23-AD23</f>
        <v>4.0265554515277899E-2</v>
      </c>
      <c r="AK24" s="177">
        <f>AK23-AE23</f>
        <v>1.5446228255544134E-2</v>
      </c>
      <c r="AL24" s="241"/>
      <c r="AM24" s="174">
        <f>AM23-AG23</f>
        <v>-0.10190062711046793</v>
      </c>
      <c r="AN24" s="175">
        <f>AN23-AH23</f>
        <v>1.9775284302847376E-2</v>
      </c>
      <c r="AO24" s="175">
        <f>AO23-AI23</f>
        <v>8.0397005367093238E-2</v>
      </c>
      <c r="AP24" s="175">
        <f>AP23-AJ23</f>
        <v>3.4749103942652321E-2</v>
      </c>
      <c r="AQ24" s="177">
        <f>AQ23-AK23</f>
        <v>9.0718350299223149E-3</v>
      </c>
      <c r="AR24" s="241"/>
      <c r="AS24" s="174">
        <f>AS23-AM23</f>
        <v>-6.9310985058236158E-3</v>
      </c>
      <c r="AT24" s="175">
        <f>AT23-AN23</f>
        <v>9.265203248529752E-3</v>
      </c>
      <c r="AU24" s="175">
        <f>AU23-AO23</f>
        <v>4.9622152935580865E-3</v>
      </c>
      <c r="AV24" s="175">
        <f>AV23-AP23</f>
        <v>2.438630490956073E-2</v>
      </c>
      <c r="AW24" s="177">
        <f>AW23-AQ23</f>
        <v>8.672940557990505E-3</v>
      </c>
      <c r="AX24" s="241"/>
      <c r="AY24" s="174">
        <f>AY23-AS23</f>
        <v>6.5409896707736961E-2</v>
      </c>
      <c r="AZ24" s="175">
        <f>AZ23-AT23</f>
        <v>-2.1485515382887926E-2</v>
      </c>
      <c r="BA24" s="175">
        <f>BA23-AU23</f>
        <v>-3.3393796481044791E-2</v>
      </c>
      <c r="BB24" s="175">
        <f>BB23-AV23</f>
        <v>-8.7947501323667188E-3</v>
      </c>
      <c r="BC24" s="177">
        <f>BC23-AW23</f>
        <v>-1.1011722776428645E-3</v>
      </c>
      <c r="BD24" s="241"/>
      <c r="BE24" s="174">
        <v>-5.2999999999999999E-2</v>
      </c>
      <c r="BF24" s="175">
        <v>-1.7000000000000001E-2</v>
      </c>
      <c r="BG24" s="175">
        <v>-0.01</v>
      </c>
      <c r="BH24" s="175">
        <v>-4.1000000000000002E-2</v>
      </c>
      <c r="BI24" s="177">
        <v>-2.9000000000000001E-2</v>
      </c>
      <c r="BJ24" s="241"/>
      <c r="BK24" s="174">
        <f>BK23-BE23</f>
        <v>3.7705199992355776E-2</v>
      </c>
      <c r="BL24" s="175">
        <f>BL23-BF23</f>
        <v>7.6212351815909657E-2</v>
      </c>
      <c r="BM24" s="175">
        <f>BM23-BG23</f>
        <v>4.8141825277892958E-2</v>
      </c>
      <c r="BN24" s="175">
        <f>BN23-BH23</f>
        <v>0.13493149702316903</v>
      </c>
      <c r="BO24" s="177">
        <f>BO23-BI23</f>
        <v>7.2012329913264062E-2</v>
      </c>
      <c r="BP24" s="241"/>
      <c r="BQ24" s="174">
        <v>0.01</v>
      </c>
      <c r="BR24" s="175">
        <v>5.0000000000000001E-3</v>
      </c>
      <c r="BS24" s="175">
        <f>BR24</f>
        <v>5.0000000000000001E-3</v>
      </c>
      <c r="BT24" s="175">
        <f>BS24</f>
        <v>5.0000000000000001E-3</v>
      </c>
      <c r="BU24" s="177">
        <f>BU23-BO23</f>
        <v>7.2319534470100533E-3</v>
      </c>
      <c r="BV24" s="241"/>
      <c r="BW24" s="174">
        <v>-2.5000000000000001E-3</v>
      </c>
      <c r="BX24" s="175">
        <f>BW24</f>
        <v>-2.5000000000000001E-3</v>
      </c>
      <c r="BY24" s="175">
        <f>BX24</f>
        <v>-2.5000000000000001E-3</v>
      </c>
      <c r="BZ24" s="175">
        <f>BY24</f>
        <v>-2.5000000000000001E-3</v>
      </c>
      <c r="CA24" s="177">
        <f>CA23-BU23</f>
        <v>-2.4381480630505381E-3</v>
      </c>
      <c r="CB24" s="241"/>
      <c r="CC24" s="174">
        <v>-5.0000000000000001E-3</v>
      </c>
      <c r="CD24" s="175">
        <f>CC24</f>
        <v>-5.0000000000000001E-3</v>
      </c>
      <c r="CE24" s="175">
        <f>CD24</f>
        <v>-5.0000000000000001E-3</v>
      </c>
      <c r="CF24" s="175">
        <f>CE24</f>
        <v>-5.0000000000000001E-3</v>
      </c>
      <c r="CG24" s="177">
        <f>CG23-CA23</f>
        <v>-5.0000000000000044E-3</v>
      </c>
      <c r="CH24" s="241"/>
      <c r="CI24" s="174">
        <v>-5.0000000000000001E-3</v>
      </c>
      <c r="CJ24" s="175">
        <f>CI24</f>
        <v>-5.0000000000000001E-3</v>
      </c>
      <c r="CK24" s="175">
        <f>CJ24</f>
        <v>-5.0000000000000001E-3</v>
      </c>
      <c r="CL24" s="175">
        <f>CK24</f>
        <v>-5.0000000000000001E-3</v>
      </c>
      <c r="CM24" s="177">
        <f>CM23-CG23</f>
        <v>-5.0000000000000044E-3</v>
      </c>
      <c r="CN24" s="241"/>
      <c r="CO24" s="174">
        <v>-5.0000000000000001E-3</v>
      </c>
      <c r="CP24" s="175">
        <f>CO24</f>
        <v>-5.0000000000000001E-3</v>
      </c>
      <c r="CQ24" s="175">
        <f>CP24</f>
        <v>-5.0000000000000001E-3</v>
      </c>
      <c r="CR24" s="175">
        <f>CQ24</f>
        <v>-5.0000000000000001E-3</v>
      </c>
      <c r="CS24" s="177">
        <f>CS23-CM23</f>
        <v>-5.0000000000000044E-3</v>
      </c>
      <c r="CT24" s="241"/>
      <c r="CU24" s="174">
        <v>-5.0000000000000001E-3</v>
      </c>
      <c r="CV24" s="175">
        <f>CU24</f>
        <v>-5.0000000000000001E-3</v>
      </c>
      <c r="CW24" s="175">
        <f>CV24</f>
        <v>-5.0000000000000001E-3</v>
      </c>
      <c r="CX24" s="175">
        <f>CW24</f>
        <v>-5.0000000000000001E-3</v>
      </c>
      <c r="CY24" s="177">
        <f>CY23-CS23</f>
        <v>-5.00000000000006E-3</v>
      </c>
      <c r="CZ24" s="241"/>
      <c r="DA24" s="174">
        <v>-5.0000000000000001E-3</v>
      </c>
      <c r="DB24" s="175">
        <f>DA24</f>
        <v>-5.0000000000000001E-3</v>
      </c>
      <c r="DC24" s="175">
        <f>DB24</f>
        <v>-5.0000000000000001E-3</v>
      </c>
      <c r="DD24" s="175">
        <f>DC24</f>
        <v>-5.0000000000000001E-3</v>
      </c>
      <c r="DE24" s="177">
        <f>DE23-CY23</f>
        <v>-5.0000000000000044E-3</v>
      </c>
      <c r="DF24" s="241"/>
      <c r="DG24" s="174">
        <v>-5.0000000000000001E-3</v>
      </c>
      <c r="DH24" s="175">
        <f>DG24</f>
        <v>-5.0000000000000001E-3</v>
      </c>
      <c r="DI24" s="175">
        <f>DH24</f>
        <v>-5.0000000000000001E-3</v>
      </c>
      <c r="DJ24" s="175">
        <f>DI24</f>
        <v>-5.0000000000000001E-3</v>
      </c>
      <c r="DK24" s="177">
        <f>DK23-DE23</f>
        <v>-5.0000000000000044E-3</v>
      </c>
    </row>
    <row r="25" spans="2:116" ht="15.75" thickBot="1" x14ac:dyDescent="0.35">
      <c r="B25" s="1"/>
      <c r="C25" s="166"/>
      <c r="D25" s="166"/>
      <c r="E25" s="166"/>
      <c r="F25" s="166"/>
      <c r="G25" s="166"/>
      <c r="H25" s="166"/>
      <c r="I25" s="166"/>
      <c r="J25" s="166"/>
      <c r="K25" s="166"/>
      <c r="L25" s="166"/>
      <c r="M25" s="166"/>
      <c r="N25" s="166"/>
      <c r="O25" s="166"/>
      <c r="P25" s="107"/>
      <c r="Q25" s="107"/>
      <c r="R25" s="107"/>
      <c r="S25" s="107"/>
      <c r="T25" s="103"/>
      <c r="U25" s="107"/>
      <c r="V25" s="107"/>
      <c r="W25" s="166"/>
      <c r="X25" s="166"/>
      <c r="Y25" s="166"/>
      <c r="Z25" s="241"/>
      <c r="AA25" s="166"/>
      <c r="AB25" s="166"/>
      <c r="AC25" s="166"/>
      <c r="AD25" s="166"/>
      <c r="AE25" s="166"/>
      <c r="AF25" s="241"/>
      <c r="AG25" s="166"/>
      <c r="AH25" s="166"/>
      <c r="AI25" s="166"/>
      <c r="AJ25" s="166"/>
      <c r="AK25" s="166"/>
      <c r="AL25" s="241"/>
      <c r="AM25" s="166"/>
      <c r="AN25" s="166"/>
      <c r="AO25" s="166"/>
      <c r="AP25" s="166"/>
      <c r="AQ25" s="166"/>
      <c r="AR25" s="241"/>
      <c r="AS25" s="166"/>
      <c r="AT25" s="166"/>
      <c r="AU25" s="166"/>
      <c r="AV25" s="166"/>
      <c r="AW25" s="166"/>
      <c r="AX25" s="241"/>
      <c r="AY25" s="166"/>
      <c r="AZ25" s="166"/>
      <c r="BA25" s="166"/>
      <c r="BB25" s="166"/>
      <c r="BC25" s="204"/>
      <c r="BD25" s="241"/>
      <c r="BE25" s="166"/>
      <c r="BF25" s="166"/>
      <c r="BG25" s="166"/>
      <c r="BH25" s="166"/>
      <c r="BI25" s="166"/>
      <c r="BJ25" s="241"/>
      <c r="BK25" s="166"/>
      <c r="BL25" s="166"/>
      <c r="BM25" s="166"/>
      <c r="BN25" s="166"/>
      <c r="BO25" s="166"/>
      <c r="BP25" s="241"/>
      <c r="BQ25" s="166"/>
      <c r="BR25" s="166"/>
      <c r="BS25" s="166"/>
      <c r="BT25" s="166"/>
      <c r="BU25" s="166"/>
      <c r="BV25" s="241"/>
      <c r="BW25" s="166"/>
      <c r="BX25" s="166"/>
      <c r="BY25" s="166"/>
      <c r="BZ25" s="166"/>
      <c r="CA25" s="166"/>
      <c r="CB25" s="241"/>
      <c r="CC25" s="166"/>
      <c r="CD25" s="166"/>
      <c r="CE25" s="166"/>
      <c r="CF25" s="166"/>
      <c r="CG25" s="166"/>
      <c r="CH25" s="241"/>
      <c r="CI25" s="166"/>
      <c r="CJ25" s="166"/>
      <c r="CK25" s="166"/>
      <c r="CL25" s="166"/>
      <c r="CM25" s="166"/>
      <c r="CN25" s="241"/>
      <c r="CO25" s="166"/>
      <c r="CP25" s="166"/>
      <c r="CQ25" s="166"/>
      <c r="CR25" s="166"/>
      <c r="CS25" s="166"/>
      <c r="CT25" s="241"/>
      <c r="CU25" s="166"/>
      <c r="CV25" s="166"/>
      <c r="CW25" s="166"/>
      <c r="CX25" s="166"/>
      <c r="CY25" s="166"/>
      <c r="CZ25" s="241"/>
      <c r="DA25" s="166"/>
      <c r="DB25" s="166"/>
      <c r="DC25" s="166"/>
      <c r="DD25" s="166"/>
      <c r="DE25" s="166"/>
      <c r="DF25" s="241"/>
      <c r="DG25" s="166"/>
      <c r="DH25" s="166"/>
      <c r="DI25" s="166"/>
      <c r="DJ25" s="166"/>
      <c r="DK25" s="166"/>
    </row>
    <row r="26" spans="2:116" ht="15" x14ac:dyDescent="0.3">
      <c r="B26" s="42" t="s">
        <v>38</v>
      </c>
      <c r="C26" s="126"/>
      <c r="D26" s="127"/>
      <c r="E26" s="127"/>
      <c r="F26" s="127"/>
      <c r="G26" s="167"/>
      <c r="H26" s="166"/>
      <c r="I26" s="126"/>
      <c r="J26" s="127"/>
      <c r="K26" s="127"/>
      <c r="L26" s="127"/>
      <c r="M26" s="167"/>
      <c r="N26" s="166"/>
      <c r="O26" s="198">
        <f>O14-O20</f>
        <v>-148</v>
      </c>
      <c r="P26" s="199">
        <f>P14-P20</f>
        <v>-247</v>
      </c>
      <c r="Q26" s="199">
        <f>Q14-Q20</f>
        <v>-238</v>
      </c>
      <c r="R26" s="200">
        <f>R14-R20</f>
        <v>-131</v>
      </c>
      <c r="S26" s="201">
        <f>O26+P26+Q26+R26</f>
        <v>-764</v>
      </c>
      <c r="T26" s="166"/>
      <c r="U26" s="198">
        <f>U14-U20</f>
        <v>-281</v>
      </c>
      <c r="V26" s="199">
        <f>V14-V20</f>
        <v>-252</v>
      </c>
      <c r="W26" s="199">
        <f>W14-W20</f>
        <v>-291</v>
      </c>
      <c r="X26" s="200">
        <f>X14-X20</f>
        <v>-452</v>
      </c>
      <c r="Y26" s="201">
        <f>U26+V26+W26+X26</f>
        <v>-1276</v>
      </c>
      <c r="Z26" s="342"/>
      <c r="AA26" s="198">
        <f>AA14-AA20</f>
        <v>-227</v>
      </c>
      <c r="AB26" s="199">
        <f>AB14-AB20</f>
        <v>-200</v>
      </c>
      <c r="AC26" s="199">
        <f>AC14-AC20</f>
        <v>-193</v>
      </c>
      <c r="AD26" s="199">
        <f>AD14-AD20</f>
        <v>-349</v>
      </c>
      <c r="AE26" s="201">
        <f>AA26+AB26+AC26+AD26</f>
        <v>-969</v>
      </c>
      <c r="AF26" s="342"/>
      <c r="AG26" s="198">
        <f>AG14-AG20</f>
        <v>-307</v>
      </c>
      <c r="AH26" s="199">
        <f>AH14-AH20</f>
        <v>-150</v>
      </c>
      <c r="AI26" s="199">
        <f>AI14-AI20</f>
        <v>-204</v>
      </c>
      <c r="AJ26" s="199">
        <f>AJ14-AJ20</f>
        <v>-433</v>
      </c>
      <c r="AK26" s="201">
        <f>AG26+AH26+AI26+AJ26</f>
        <v>-1094</v>
      </c>
      <c r="AL26" s="342"/>
      <c r="AM26" s="198">
        <f>AM14-AM20</f>
        <v>-176</v>
      </c>
      <c r="AN26" s="199">
        <f>AN14-AN20</f>
        <v>-205</v>
      </c>
      <c r="AO26" s="199">
        <f>AO14-AO20</f>
        <v>-252</v>
      </c>
      <c r="AP26" s="200">
        <f>AP14-AP20</f>
        <v>-433</v>
      </c>
      <c r="AQ26" s="201">
        <f>AM26+AN26+AO26+AP26</f>
        <v>-1066</v>
      </c>
      <c r="AR26" s="342"/>
      <c r="AS26" s="198">
        <f>AS14-AS20</f>
        <v>-183</v>
      </c>
      <c r="AT26" s="199">
        <f>AT14-AT20</f>
        <v>-241</v>
      </c>
      <c r="AU26" s="199">
        <f>AU14-AU20</f>
        <v>-239</v>
      </c>
      <c r="AV26" s="199">
        <f>AV14-AV20</f>
        <v>-385</v>
      </c>
      <c r="AW26" s="201">
        <f>AS26+AT26+AU26+AV26</f>
        <v>-1048</v>
      </c>
      <c r="AX26" s="342"/>
      <c r="AY26" s="198">
        <f>AY14-AY20</f>
        <v>-293</v>
      </c>
      <c r="AZ26" s="199">
        <f>AZ14-AZ20</f>
        <v>-141</v>
      </c>
      <c r="BA26" s="199">
        <f>BA14-BA20</f>
        <v>-202</v>
      </c>
      <c r="BB26" s="199">
        <f>BB14-BB20</f>
        <v>-433</v>
      </c>
      <c r="BC26" s="201">
        <f>AY26+AZ26+BA26+BB26</f>
        <v>-1069</v>
      </c>
      <c r="BD26" s="342"/>
      <c r="BE26" s="198">
        <f>BE14-BE20</f>
        <v>-374</v>
      </c>
      <c r="BF26" s="199">
        <f>BF14-BF20</f>
        <v>-296</v>
      </c>
      <c r="BG26" s="199">
        <f>BG14-BG20</f>
        <v>-363.4</v>
      </c>
      <c r="BH26" s="200">
        <f>BH14-BH20</f>
        <v>-572.4</v>
      </c>
      <c r="BI26" s="201">
        <f>BE26+BF26+BG26+BH26</f>
        <v>-1605.8000000000002</v>
      </c>
      <c r="BJ26" s="342"/>
      <c r="BK26" s="198">
        <f>BK14-BK20</f>
        <v>-370</v>
      </c>
      <c r="BL26" s="199">
        <f>BL14-BL20</f>
        <v>-329</v>
      </c>
      <c r="BM26" s="199">
        <f>BM14-BM20</f>
        <v>-346</v>
      </c>
      <c r="BN26" s="200">
        <f>BN14-BN20</f>
        <v>-677</v>
      </c>
      <c r="BO26" s="201">
        <f>BK26+BL26+BM26+BN26</f>
        <v>-1722</v>
      </c>
      <c r="BP26" s="342"/>
      <c r="BQ26" s="198">
        <f>BQ14-BQ20</f>
        <v>-348.2829999999999</v>
      </c>
      <c r="BR26" s="199">
        <f>BR14-BR20</f>
        <v>-303.57987500000002</v>
      </c>
      <c r="BS26" s="199">
        <f>BS14-BS20</f>
        <v>-323.64924999999994</v>
      </c>
      <c r="BT26" s="200">
        <f>BT14-BT20</f>
        <v>-668.65562499999987</v>
      </c>
      <c r="BU26" s="201">
        <f>BQ26+BR26+BS26+BT26</f>
        <v>-1644.1677499999996</v>
      </c>
      <c r="BV26" s="342"/>
      <c r="BW26" s="198">
        <f>BW14-BW20</f>
        <v>-341.42537875000005</v>
      </c>
      <c r="BX26" s="199">
        <f>BX14-BX20</f>
        <v>-295.97083828124994</v>
      </c>
      <c r="BY26" s="199">
        <f>BY14-BY20</f>
        <v>-315.8447671875</v>
      </c>
      <c r="BZ26" s="200">
        <f>BZ14-BZ20</f>
        <v>-655.15600937499994</v>
      </c>
      <c r="CA26" s="201">
        <f>BW26+BX26+BY26+BZ26</f>
        <v>-1608.3969935937498</v>
      </c>
      <c r="CB26" s="342"/>
      <c r="CC26" s="198">
        <f>CC14-CC20</f>
        <v>-330.90032623749994</v>
      </c>
      <c r="CD26" s="199">
        <f>CD14-CD20</f>
        <v>-285.47901010156249</v>
      </c>
      <c r="CE26" s="199">
        <f>CE14-CE20</f>
        <v>-305.26392548437502</v>
      </c>
      <c r="CF26" s="200">
        <f>CF14-CF20</f>
        <v>-640.27287071874991</v>
      </c>
      <c r="CG26" s="201">
        <f>CC26+CD26+CE26+CF26</f>
        <v>-1561.9161325421874</v>
      </c>
      <c r="CH26" s="342"/>
      <c r="CI26" s="198">
        <f>CI14-CI20</f>
        <v>-320.57101580612505</v>
      </c>
      <c r="CJ26" s="199">
        <f>CJ14-CJ20</f>
        <v>-275.18728983664062</v>
      </c>
      <c r="CK26" s="199">
        <f>CK14-CK20</f>
        <v>-294.88297669359372</v>
      </c>
      <c r="CL26" s="200">
        <f>CL14-CL20</f>
        <v>-625.64741141968739</v>
      </c>
      <c r="CM26" s="201">
        <f>CI26+CJ26+CK26+CL26</f>
        <v>-1516.2886937560468</v>
      </c>
      <c r="CN26" s="342"/>
      <c r="CO26" s="198">
        <f>CO14-CO20</f>
        <v>-310.43429436597245</v>
      </c>
      <c r="CP26" s="199">
        <f>CP14-CP20</f>
        <v>-265.09242648448208</v>
      </c>
      <c r="CQ26" s="199">
        <f>CQ14-CQ20</f>
        <v>-284.69868313275464</v>
      </c>
      <c r="CR26" s="200">
        <f>CR14-CR20</f>
        <v>-611.27558322175923</v>
      </c>
      <c r="CS26" s="201">
        <f>CO26+CP26+CQ26+CR26</f>
        <v>-1471.5009872049684</v>
      </c>
      <c r="CT26" s="342"/>
      <c r="CU26" s="198">
        <f>CU14-CU20</f>
        <v>-302.33948934059413</v>
      </c>
      <c r="CV26" s="199">
        <f>CV14-CV20</f>
        <v>-257.08998847899653</v>
      </c>
      <c r="CW26" s="199">
        <f>CW14-CW20</f>
        <v>-276.60587323946311</v>
      </c>
      <c r="CX26" s="200">
        <f>CX14-CX20</f>
        <v>-599.59343728371448</v>
      </c>
      <c r="CY26" s="201">
        <f>CU26+CV26+CW26+CX26</f>
        <v>-1435.6287883427681</v>
      </c>
      <c r="CZ26" s="342"/>
      <c r="DA26" s="198">
        <f>DA14-DA20</f>
        <v>-294.38016806794809</v>
      </c>
      <c r="DB26" s="199">
        <f>DB14-DB20</f>
        <v>-249.22583691586294</v>
      </c>
      <c r="DC26" s="199">
        <f>DC14-DC20</f>
        <v>-268.65119471794168</v>
      </c>
      <c r="DD26" s="200">
        <f>DD14-DD20</f>
        <v>-588.08990680229056</v>
      </c>
      <c r="DE26" s="201">
        <f>DA26+DB26+DC26+DD26</f>
        <v>-1400.3471065040435</v>
      </c>
      <c r="DF26" s="342"/>
      <c r="DG26" s="198">
        <f>DG14-DG20</f>
        <v>-286.5543724649616</v>
      </c>
      <c r="DH26" s="199">
        <f>DH14-DH20</f>
        <v>-241.4979469734736</v>
      </c>
      <c r="DI26" s="199">
        <f>DI14-DI20</f>
        <v>-260.8326349087165</v>
      </c>
      <c r="DJ26" s="200">
        <f>DJ14-DJ20</f>
        <v>-576.7625114317467</v>
      </c>
      <c r="DK26" s="201">
        <f>DG26+DH26+DI26+DJ26</f>
        <v>-1365.6474657788985</v>
      </c>
      <c r="DL26">
        <v>-780</v>
      </c>
    </row>
    <row r="27" spans="2:116" ht="15.75" thickBot="1" x14ac:dyDescent="0.35">
      <c r="B27" s="41" t="s">
        <v>23</v>
      </c>
      <c r="C27" s="130"/>
      <c r="D27" s="131"/>
      <c r="E27" s="131"/>
      <c r="F27" s="131"/>
      <c r="G27" s="275"/>
      <c r="H27" s="166"/>
      <c r="I27" s="130"/>
      <c r="J27" s="131"/>
      <c r="K27" s="131"/>
      <c r="L27" s="131"/>
      <c r="M27" s="275"/>
      <c r="N27" s="166"/>
      <c r="O27" s="130" t="s">
        <v>35</v>
      </c>
      <c r="P27" s="131" t="s">
        <v>35</v>
      </c>
      <c r="Q27" s="131" t="s">
        <v>35</v>
      </c>
      <c r="R27" s="132" t="s">
        <v>35</v>
      </c>
      <c r="S27" s="275" t="s">
        <v>35</v>
      </c>
      <c r="T27" s="166"/>
      <c r="U27" s="130" t="s">
        <v>35</v>
      </c>
      <c r="V27" s="131" t="s">
        <v>35</v>
      </c>
      <c r="W27" s="131" t="s">
        <v>35</v>
      </c>
      <c r="X27" s="132" t="s">
        <v>35</v>
      </c>
      <c r="Y27" s="275" t="s">
        <v>35</v>
      </c>
      <c r="Z27" s="241"/>
      <c r="AA27" s="130" t="s">
        <v>35</v>
      </c>
      <c r="AB27" s="131" t="s">
        <v>35</v>
      </c>
      <c r="AC27" s="131" t="s">
        <v>35</v>
      </c>
      <c r="AD27" s="132" t="s">
        <v>35</v>
      </c>
      <c r="AE27" s="291">
        <f>AE26/Y26-1</f>
        <v>-0.24059561128526641</v>
      </c>
      <c r="AF27" s="241"/>
      <c r="AG27" s="130" t="s">
        <v>35</v>
      </c>
      <c r="AH27" s="131" t="s">
        <v>35</v>
      </c>
      <c r="AI27" s="131" t="s">
        <v>35</v>
      </c>
      <c r="AJ27" s="132" t="s">
        <v>35</v>
      </c>
      <c r="AK27" s="291">
        <f>AK26/AE26-1</f>
        <v>0.12899896800825594</v>
      </c>
      <c r="AL27" s="241"/>
      <c r="AM27" s="130" t="s">
        <v>35</v>
      </c>
      <c r="AN27" s="131" t="s">
        <v>35</v>
      </c>
      <c r="AO27" s="131" t="s">
        <v>35</v>
      </c>
      <c r="AP27" s="132" t="s">
        <v>35</v>
      </c>
      <c r="AQ27" s="291">
        <f>AQ26/AK26-1</f>
        <v>-2.5594149908592323E-2</v>
      </c>
      <c r="AR27" s="241"/>
      <c r="AS27" s="130" t="s">
        <v>35</v>
      </c>
      <c r="AT27" s="131" t="s">
        <v>35</v>
      </c>
      <c r="AU27" s="131" t="s">
        <v>35</v>
      </c>
      <c r="AV27" s="132" t="s">
        <v>35</v>
      </c>
      <c r="AW27" s="291">
        <f>AW26/AQ26-1</f>
        <v>-1.6885553470919357E-2</v>
      </c>
      <c r="AX27" s="241"/>
      <c r="AY27" s="130" t="s">
        <v>35</v>
      </c>
      <c r="AZ27" s="131" t="s">
        <v>35</v>
      </c>
      <c r="BA27" s="131" t="s">
        <v>35</v>
      </c>
      <c r="BB27" s="132" t="s">
        <v>35</v>
      </c>
      <c r="BC27" s="291">
        <f>BC26/AW26-1</f>
        <v>2.0038167938931206E-2</v>
      </c>
      <c r="BD27" s="241"/>
      <c r="BE27" s="130" t="s">
        <v>35</v>
      </c>
      <c r="BF27" s="131" t="s">
        <v>35</v>
      </c>
      <c r="BG27" s="131" t="s">
        <v>35</v>
      </c>
      <c r="BH27" s="132" t="s">
        <v>35</v>
      </c>
      <c r="BI27" s="291">
        <v>-0.21</v>
      </c>
      <c r="BJ27" s="241"/>
      <c r="BK27" s="130" t="s">
        <v>35</v>
      </c>
      <c r="BL27" s="131" t="s">
        <v>35</v>
      </c>
      <c r="BM27" s="131" t="s">
        <v>35</v>
      </c>
      <c r="BN27" s="132" t="s">
        <v>35</v>
      </c>
      <c r="BO27" s="291">
        <f>BO26/BI26-1</f>
        <v>7.2362685265910942E-2</v>
      </c>
      <c r="BP27" s="241"/>
      <c r="BQ27" s="130" t="s">
        <v>35</v>
      </c>
      <c r="BR27" s="131" t="s">
        <v>35</v>
      </c>
      <c r="BS27" s="131" t="s">
        <v>35</v>
      </c>
      <c r="BT27" s="132" t="s">
        <v>35</v>
      </c>
      <c r="BU27" s="291">
        <f>BU26/BO26-1</f>
        <v>-4.5198751451800412E-2</v>
      </c>
      <c r="BV27" s="241"/>
      <c r="BW27" s="130" t="s">
        <v>35</v>
      </c>
      <c r="BX27" s="131" t="s">
        <v>35</v>
      </c>
      <c r="BY27" s="131" t="s">
        <v>35</v>
      </c>
      <c r="BZ27" s="132" t="s">
        <v>35</v>
      </c>
      <c r="CA27" s="291">
        <f>CA26/BU26-1</f>
        <v>-2.1756147696151973E-2</v>
      </c>
      <c r="CB27" s="241"/>
      <c r="CC27" s="130" t="s">
        <v>35</v>
      </c>
      <c r="CD27" s="131" t="s">
        <v>35</v>
      </c>
      <c r="CE27" s="131" t="s">
        <v>35</v>
      </c>
      <c r="CF27" s="132" t="s">
        <v>35</v>
      </c>
      <c r="CG27" s="291">
        <f>CG26/CA26-1</f>
        <v>-2.8898873373113587E-2</v>
      </c>
      <c r="CH27" s="241"/>
      <c r="CI27" s="130" t="s">
        <v>35</v>
      </c>
      <c r="CJ27" s="131" t="s">
        <v>35</v>
      </c>
      <c r="CK27" s="131" t="s">
        <v>35</v>
      </c>
      <c r="CL27" s="132" t="s">
        <v>35</v>
      </c>
      <c r="CM27" s="291">
        <f>CM26/CG26-1</f>
        <v>-2.9212476800452136E-2</v>
      </c>
      <c r="CN27" s="241"/>
      <c r="CO27" s="130" t="s">
        <v>35</v>
      </c>
      <c r="CP27" s="131" t="s">
        <v>35</v>
      </c>
      <c r="CQ27" s="131" t="s">
        <v>35</v>
      </c>
      <c r="CR27" s="132" t="s">
        <v>35</v>
      </c>
      <c r="CS27" s="291">
        <f>CS26/CM26-1</f>
        <v>-2.9537717148133136E-2</v>
      </c>
      <c r="CT27" s="241"/>
      <c r="CU27" s="130" t="s">
        <v>35</v>
      </c>
      <c r="CV27" s="131" t="s">
        <v>35</v>
      </c>
      <c r="CW27" s="131" t="s">
        <v>35</v>
      </c>
      <c r="CX27" s="132" t="s">
        <v>35</v>
      </c>
      <c r="CY27" s="291">
        <f>CY26/CS26-1</f>
        <v>-2.4377964523379259E-2</v>
      </c>
      <c r="CZ27" s="241"/>
      <c r="DA27" s="130" t="s">
        <v>35</v>
      </c>
      <c r="DB27" s="131" t="s">
        <v>35</v>
      </c>
      <c r="DC27" s="131" t="s">
        <v>35</v>
      </c>
      <c r="DD27" s="132" t="s">
        <v>35</v>
      </c>
      <c r="DE27" s="291">
        <f>DE26/CY26-1</f>
        <v>-2.457576925540228E-2</v>
      </c>
      <c r="DF27" s="241"/>
      <c r="DG27" s="130" t="s">
        <v>35</v>
      </c>
      <c r="DH27" s="131" t="s">
        <v>35</v>
      </c>
      <c r="DI27" s="131" t="s">
        <v>35</v>
      </c>
      <c r="DJ27" s="132" t="s">
        <v>35</v>
      </c>
      <c r="DK27" s="291">
        <f>DK26/DE26-1</f>
        <v>-2.4779314045767054E-2</v>
      </c>
    </row>
    <row r="28" spans="2:116" x14ac:dyDescent="0.2">
      <c r="AG28" s="259">
        <f>(AG26-AA26)</f>
        <v>-80</v>
      </c>
      <c r="AH28" s="259">
        <f>(AH26-AB26)</f>
        <v>50</v>
      </c>
      <c r="AI28" s="259">
        <f>(AI26-AC26)</f>
        <v>-11</v>
      </c>
      <c r="AJ28" s="259">
        <f>(AJ26-AD26)</f>
        <v>-84</v>
      </c>
      <c r="AM28" s="259">
        <f>(AM26-AG26)</f>
        <v>131</v>
      </c>
      <c r="AN28" s="259">
        <f>(AN26-AH26)</f>
        <v>-55</v>
      </c>
      <c r="AO28" s="259">
        <f>(AO26-AI26)</f>
        <v>-48</v>
      </c>
      <c r="AP28" s="259">
        <f>(AP26-AJ26)</f>
        <v>0</v>
      </c>
      <c r="AS28" s="259">
        <f>(AS26-AM26)</f>
        <v>-7</v>
      </c>
      <c r="AT28" s="259">
        <f>(AT26-AN26)</f>
        <v>-36</v>
      </c>
      <c r="AU28" s="259">
        <f>(AU26-AO26)</f>
        <v>13</v>
      </c>
      <c r="AV28" s="259">
        <f>(AV26-AP26)</f>
        <v>48</v>
      </c>
      <c r="AY28" s="259">
        <f>(AY26-AS26)-175</f>
        <v>-285</v>
      </c>
      <c r="AZ28" s="259">
        <f>(AZ26-AT26)</f>
        <v>100</v>
      </c>
      <c r="BA28" s="259">
        <f>(BA26-AU26)</f>
        <v>37</v>
      </c>
      <c r="BB28" s="259">
        <f>(BB26-AV26)</f>
        <v>-48</v>
      </c>
      <c r="BE28" s="259">
        <f>BE26-AY26</f>
        <v>-81</v>
      </c>
      <c r="BF28" s="259">
        <f>BF26-AZ26</f>
        <v>-155</v>
      </c>
      <c r="BG28" s="259">
        <f>(BG26-BA26)</f>
        <v>-161.39999999999998</v>
      </c>
      <c r="BH28" s="259">
        <f>(BH26-BB26)</f>
        <v>-139.39999999999998</v>
      </c>
      <c r="BI28" s="473">
        <f>BI20-BC20</f>
        <v>593.79999999999995</v>
      </c>
      <c r="BK28" s="259">
        <f>BK26-BE26</f>
        <v>4</v>
      </c>
      <c r="BL28" s="259">
        <f>BL26-BF26</f>
        <v>-33</v>
      </c>
      <c r="BM28" s="259">
        <f>(BM26-BG26)</f>
        <v>17.399999999999977</v>
      </c>
      <c r="BN28" s="259">
        <f>(BN26-BH26)</f>
        <v>-104.60000000000002</v>
      </c>
      <c r="BQ28" s="259">
        <f>BQ26-BK26</f>
        <v>21.717000000000098</v>
      </c>
      <c r="BR28" s="259">
        <f>BR26-BL26</f>
        <v>25.420124999999985</v>
      </c>
      <c r="BS28" s="259">
        <f>(BS26-BM26)</f>
        <v>22.350750000000062</v>
      </c>
      <c r="BT28" s="259">
        <f>(BT26-BN26)</f>
        <v>8.3443750000001273</v>
      </c>
    </row>
    <row r="30" spans="2:116" x14ac:dyDescent="0.2">
      <c r="AK30">
        <f>AK26/4</f>
        <v>-273.5</v>
      </c>
      <c r="AQ30">
        <f>AQ26/4</f>
        <v>-266.5</v>
      </c>
      <c r="AW30">
        <f>AW26/4</f>
        <v>-262</v>
      </c>
      <c r="AY30" s="473"/>
      <c r="BC30">
        <f>BC26/4</f>
        <v>-267.25</v>
      </c>
      <c r="BI30">
        <f>BI26/4</f>
        <v>-401.45000000000005</v>
      </c>
      <c r="BO30">
        <f>BO26/4</f>
        <v>-430.5</v>
      </c>
      <c r="BU30">
        <f>BU26/4</f>
        <v>-411.0419374999999</v>
      </c>
      <c r="CA30">
        <f>CA26/4</f>
        <v>-402.09924839843745</v>
      </c>
    </row>
    <row r="33" spans="51:60" x14ac:dyDescent="0.2">
      <c r="AY33" s="481">
        <f>AY13-AY20</f>
        <v>-293</v>
      </c>
      <c r="AZ33" s="473">
        <f>AZ26</f>
        <v>-141</v>
      </c>
      <c r="BA33" s="473">
        <f>BA26</f>
        <v>-202</v>
      </c>
      <c r="BB33" s="473">
        <f>BB26</f>
        <v>-433</v>
      </c>
      <c r="BE33" s="481">
        <f>BE14-BE20</f>
        <v>-374</v>
      </c>
      <c r="BF33" s="473">
        <f>BF26</f>
        <v>-296</v>
      </c>
      <c r="BG33" s="473">
        <f>BG26</f>
        <v>-363.4</v>
      </c>
      <c r="BH33" s="473">
        <f>BH26</f>
        <v>-572.4</v>
      </c>
    </row>
    <row r="34" spans="51:60" x14ac:dyDescent="0.2">
      <c r="BE34" s="481">
        <f>BE33-AY33</f>
        <v>-81</v>
      </c>
      <c r="BF34" s="481">
        <f>BF33-AZ33</f>
        <v>-155</v>
      </c>
      <c r="BG34" s="481">
        <f>BG33-BA33</f>
        <v>-161.39999999999998</v>
      </c>
      <c r="BH34" s="481">
        <f>BH33-BB33</f>
        <v>-139.39999999999998</v>
      </c>
    </row>
  </sheetData>
  <mergeCells count="19">
    <mergeCell ref="BE2:BI2"/>
    <mergeCell ref="BK2:BO2"/>
    <mergeCell ref="BQ2:BU2"/>
    <mergeCell ref="AA2:AE2"/>
    <mergeCell ref="AG2:AK2"/>
    <mergeCell ref="AM2:AQ2"/>
    <mergeCell ref="AS2:AW2"/>
    <mergeCell ref="C2:G2"/>
    <mergeCell ref="I2:M2"/>
    <mergeCell ref="O2:S2"/>
    <mergeCell ref="U2:Y2"/>
    <mergeCell ref="AY2:BC2"/>
    <mergeCell ref="DA2:DE2"/>
    <mergeCell ref="DG2:DK2"/>
    <mergeCell ref="BW2:CA2"/>
    <mergeCell ref="CC2:CG2"/>
    <mergeCell ref="CI2:CM2"/>
    <mergeCell ref="CO2:CS2"/>
    <mergeCell ref="CU2:CY2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3"/>
  <sheetViews>
    <sheetView workbookViewId="0">
      <selection sqref="A1:XFD1048576"/>
    </sheetView>
  </sheetViews>
  <sheetFormatPr defaultRowHeight="12.75" x14ac:dyDescent="0.2"/>
  <cols>
    <col min="1" max="1" width="29.5703125" style="608" bestFit="1" customWidth="1"/>
    <col min="2" max="2" width="19.85546875" style="692" customWidth="1"/>
    <col min="3" max="3" width="12" style="608" bestFit="1" customWidth="1"/>
    <col min="4" max="256" width="9.140625" style="608"/>
    <col min="257" max="257" width="29.5703125" style="608" bestFit="1" customWidth="1"/>
    <col min="258" max="258" width="19.85546875" style="608" customWidth="1"/>
    <col min="259" max="259" width="12" style="608" bestFit="1" customWidth="1"/>
    <col min="260" max="512" width="9.140625" style="608"/>
    <col min="513" max="513" width="29.5703125" style="608" bestFit="1" customWidth="1"/>
    <col min="514" max="514" width="19.85546875" style="608" customWidth="1"/>
    <col min="515" max="515" width="12" style="608" bestFit="1" customWidth="1"/>
    <col min="516" max="768" width="9.140625" style="608"/>
    <col min="769" max="769" width="29.5703125" style="608" bestFit="1" customWidth="1"/>
    <col min="770" max="770" width="19.85546875" style="608" customWidth="1"/>
    <col min="771" max="771" width="12" style="608" bestFit="1" customWidth="1"/>
    <col min="772" max="1024" width="9.140625" style="608"/>
    <col min="1025" max="1025" width="29.5703125" style="608" bestFit="1" customWidth="1"/>
    <col min="1026" max="1026" width="19.85546875" style="608" customWidth="1"/>
    <col min="1027" max="1027" width="12" style="608" bestFit="1" customWidth="1"/>
    <col min="1028" max="1280" width="9.140625" style="608"/>
    <col min="1281" max="1281" width="29.5703125" style="608" bestFit="1" customWidth="1"/>
    <col min="1282" max="1282" width="19.85546875" style="608" customWidth="1"/>
    <col min="1283" max="1283" width="12" style="608" bestFit="1" customWidth="1"/>
    <col min="1284" max="1536" width="9.140625" style="608"/>
    <col min="1537" max="1537" width="29.5703125" style="608" bestFit="1" customWidth="1"/>
    <col min="1538" max="1538" width="19.85546875" style="608" customWidth="1"/>
    <col min="1539" max="1539" width="12" style="608" bestFit="1" customWidth="1"/>
    <col min="1540" max="1792" width="9.140625" style="608"/>
    <col min="1793" max="1793" width="29.5703125" style="608" bestFit="1" customWidth="1"/>
    <col min="1794" max="1794" width="19.85546875" style="608" customWidth="1"/>
    <col min="1795" max="1795" width="12" style="608" bestFit="1" customWidth="1"/>
    <col min="1796" max="2048" width="9.140625" style="608"/>
    <col min="2049" max="2049" width="29.5703125" style="608" bestFit="1" customWidth="1"/>
    <col min="2050" max="2050" width="19.85546875" style="608" customWidth="1"/>
    <col min="2051" max="2051" width="12" style="608" bestFit="1" customWidth="1"/>
    <col min="2052" max="2304" width="9.140625" style="608"/>
    <col min="2305" max="2305" width="29.5703125" style="608" bestFit="1" customWidth="1"/>
    <col min="2306" max="2306" width="19.85546875" style="608" customWidth="1"/>
    <col min="2307" max="2307" width="12" style="608" bestFit="1" customWidth="1"/>
    <col min="2308" max="2560" width="9.140625" style="608"/>
    <col min="2561" max="2561" width="29.5703125" style="608" bestFit="1" customWidth="1"/>
    <col min="2562" max="2562" width="19.85546875" style="608" customWidth="1"/>
    <col min="2563" max="2563" width="12" style="608" bestFit="1" customWidth="1"/>
    <col min="2564" max="2816" width="9.140625" style="608"/>
    <col min="2817" max="2817" width="29.5703125" style="608" bestFit="1" customWidth="1"/>
    <col min="2818" max="2818" width="19.85546875" style="608" customWidth="1"/>
    <col min="2819" max="2819" width="12" style="608" bestFit="1" customWidth="1"/>
    <col min="2820" max="3072" width="9.140625" style="608"/>
    <col min="3073" max="3073" width="29.5703125" style="608" bestFit="1" customWidth="1"/>
    <col min="3074" max="3074" width="19.85546875" style="608" customWidth="1"/>
    <col min="3075" max="3075" width="12" style="608" bestFit="1" customWidth="1"/>
    <col min="3076" max="3328" width="9.140625" style="608"/>
    <col min="3329" max="3329" width="29.5703125" style="608" bestFit="1" customWidth="1"/>
    <col min="3330" max="3330" width="19.85546875" style="608" customWidth="1"/>
    <col min="3331" max="3331" width="12" style="608" bestFit="1" customWidth="1"/>
    <col min="3332" max="3584" width="9.140625" style="608"/>
    <col min="3585" max="3585" width="29.5703125" style="608" bestFit="1" customWidth="1"/>
    <col min="3586" max="3586" width="19.85546875" style="608" customWidth="1"/>
    <col min="3587" max="3587" width="12" style="608" bestFit="1" customWidth="1"/>
    <col min="3588" max="3840" width="9.140625" style="608"/>
    <col min="3841" max="3841" width="29.5703125" style="608" bestFit="1" customWidth="1"/>
    <col min="3842" max="3842" width="19.85546875" style="608" customWidth="1"/>
    <col min="3843" max="3843" width="12" style="608" bestFit="1" customWidth="1"/>
    <col min="3844" max="4096" width="9.140625" style="608"/>
    <col min="4097" max="4097" width="29.5703125" style="608" bestFit="1" customWidth="1"/>
    <col min="4098" max="4098" width="19.85546875" style="608" customWidth="1"/>
    <col min="4099" max="4099" width="12" style="608" bestFit="1" customWidth="1"/>
    <col min="4100" max="4352" width="9.140625" style="608"/>
    <col min="4353" max="4353" width="29.5703125" style="608" bestFit="1" customWidth="1"/>
    <col min="4354" max="4354" width="19.85546875" style="608" customWidth="1"/>
    <col min="4355" max="4355" width="12" style="608" bestFit="1" customWidth="1"/>
    <col min="4356" max="4608" width="9.140625" style="608"/>
    <col min="4609" max="4609" width="29.5703125" style="608" bestFit="1" customWidth="1"/>
    <col min="4610" max="4610" width="19.85546875" style="608" customWidth="1"/>
    <col min="4611" max="4611" width="12" style="608" bestFit="1" customWidth="1"/>
    <col min="4612" max="4864" width="9.140625" style="608"/>
    <col min="4865" max="4865" width="29.5703125" style="608" bestFit="1" customWidth="1"/>
    <col min="4866" max="4866" width="19.85546875" style="608" customWidth="1"/>
    <col min="4867" max="4867" width="12" style="608" bestFit="1" customWidth="1"/>
    <col min="4868" max="5120" width="9.140625" style="608"/>
    <col min="5121" max="5121" width="29.5703125" style="608" bestFit="1" customWidth="1"/>
    <col min="5122" max="5122" width="19.85546875" style="608" customWidth="1"/>
    <col min="5123" max="5123" width="12" style="608" bestFit="1" customWidth="1"/>
    <col min="5124" max="5376" width="9.140625" style="608"/>
    <col min="5377" max="5377" width="29.5703125" style="608" bestFit="1" customWidth="1"/>
    <col min="5378" max="5378" width="19.85546875" style="608" customWidth="1"/>
    <col min="5379" max="5379" width="12" style="608" bestFit="1" customWidth="1"/>
    <col min="5380" max="5632" width="9.140625" style="608"/>
    <col min="5633" max="5633" width="29.5703125" style="608" bestFit="1" customWidth="1"/>
    <col min="5634" max="5634" width="19.85546875" style="608" customWidth="1"/>
    <col min="5635" max="5635" width="12" style="608" bestFit="1" customWidth="1"/>
    <col min="5636" max="5888" width="9.140625" style="608"/>
    <col min="5889" max="5889" width="29.5703125" style="608" bestFit="1" customWidth="1"/>
    <col min="5890" max="5890" width="19.85546875" style="608" customWidth="1"/>
    <col min="5891" max="5891" width="12" style="608" bestFit="1" customWidth="1"/>
    <col min="5892" max="6144" width="9.140625" style="608"/>
    <col min="6145" max="6145" width="29.5703125" style="608" bestFit="1" customWidth="1"/>
    <col min="6146" max="6146" width="19.85546875" style="608" customWidth="1"/>
    <col min="6147" max="6147" width="12" style="608" bestFit="1" customWidth="1"/>
    <col min="6148" max="6400" width="9.140625" style="608"/>
    <col min="6401" max="6401" width="29.5703125" style="608" bestFit="1" customWidth="1"/>
    <col min="6402" max="6402" width="19.85546875" style="608" customWidth="1"/>
    <col min="6403" max="6403" width="12" style="608" bestFit="1" customWidth="1"/>
    <col min="6404" max="6656" width="9.140625" style="608"/>
    <col min="6657" max="6657" width="29.5703125" style="608" bestFit="1" customWidth="1"/>
    <col min="6658" max="6658" width="19.85546875" style="608" customWidth="1"/>
    <col min="6659" max="6659" width="12" style="608" bestFit="1" customWidth="1"/>
    <col min="6660" max="6912" width="9.140625" style="608"/>
    <col min="6913" max="6913" width="29.5703125" style="608" bestFit="1" customWidth="1"/>
    <col min="6914" max="6914" width="19.85546875" style="608" customWidth="1"/>
    <col min="6915" max="6915" width="12" style="608" bestFit="1" customWidth="1"/>
    <col min="6916" max="7168" width="9.140625" style="608"/>
    <col min="7169" max="7169" width="29.5703125" style="608" bestFit="1" customWidth="1"/>
    <col min="7170" max="7170" width="19.85546875" style="608" customWidth="1"/>
    <col min="7171" max="7171" width="12" style="608" bestFit="1" customWidth="1"/>
    <col min="7172" max="7424" width="9.140625" style="608"/>
    <col min="7425" max="7425" width="29.5703125" style="608" bestFit="1" customWidth="1"/>
    <col min="7426" max="7426" width="19.85546875" style="608" customWidth="1"/>
    <col min="7427" max="7427" width="12" style="608" bestFit="1" customWidth="1"/>
    <col min="7428" max="7680" width="9.140625" style="608"/>
    <col min="7681" max="7681" width="29.5703125" style="608" bestFit="1" customWidth="1"/>
    <col min="7682" max="7682" width="19.85546875" style="608" customWidth="1"/>
    <col min="7683" max="7683" width="12" style="608" bestFit="1" customWidth="1"/>
    <col min="7684" max="7936" width="9.140625" style="608"/>
    <col min="7937" max="7937" width="29.5703125" style="608" bestFit="1" customWidth="1"/>
    <col min="7938" max="7938" width="19.85546875" style="608" customWidth="1"/>
    <col min="7939" max="7939" width="12" style="608" bestFit="1" customWidth="1"/>
    <col min="7940" max="8192" width="9.140625" style="608"/>
    <col min="8193" max="8193" width="29.5703125" style="608" bestFit="1" customWidth="1"/>
    <col min="8194" max="8194" width="19.85546875" style="608" customWidth="1"/>
    <col min="8195" max="8195" width="12" style="608" bestFit="1" customWidth="1"/>
    <col min="8196" max="8448" width="9.140625" style="608"/>
    <col min="8449" max="8449" width="29.5703125" style="608" bestFit="1" customWidth="1"/>
    <col min="8450" max="8450" width="19.85546875" style="608" customWidth="1"/>
    <col min="8451" max="8451" width="12" style="608" bestFit="1" customWidth="1"/>
    <col min="8452" max="8704" width="9.140625" style="608"/>
    <col min="8705" max="8705" width="29.5703125" style="608" bestFit="1" customWidth="1"/>
    <col min="8706" max="8706" width="19.85546875" style="608" customWidth="1"/>
    <col min="8707" max="8707" width="12" style="608" bestFit="1" customWidth="1"/>
    <col min="8708" max="8960" width="9.140625" style="608"/>
    <col min="8961" max="8961" width="29.5703125" style="608" bestFit="1" customWidth="1"/>
    <col min="8962" max="8962" width="19.85546875" style="608" customWidth="1"/>
    <col min="8963" max="8963" width="12" style="608" bestFit="1" customWidth="1"/>
    <col min="8964" max="9216" width="9.140625" style="608"/>
    <col min="9217" max="9217" width="29.5703125" style="608" bestFit="1" customWidth="1"/>
    <col min="9218" max="9218" width="19.85546875" style="608" customWidth="1"/>
    <col min="9219" max="9219" width="12" style="608" bestFit="1" customWidth="1"/>
    <col min="9220" max="9472" width="9.140625" style="608"/>
    <col min="9473" max="9473" width="29.5703125" style="608" bestFit="1" customWidth="1"/>
    <col min="9474" max="9474" width="19.85546875" style="608" customWidth="1"/>
    <col min="9475" max="9475" width="12" style="608" bestFit="1" customWidth="1"/>
    <col min="9476" max="9728" width="9.140625" style="608"/>
    <col min="9729" max="9729" width="29.5703125" style="608" bestFit="1" customWidth="1"/>
    <col min="9730" max="9730" width="19.85546875" style="608" customWidth="1"/>
    <col min="9731" max="9731" width="12" style="608" bestFit="1" customWidth="1"/>
    <col min="9732" max="9984" width="9.140625" style="608"/>
    <col min="9985" max="9985" width="29.5703125" style="608" bestFit="1" customWidth="1"/>
    <col min="9986" max="9986" width="19.85546875" style="608" customWidth="1"/>
    <col min="9987" max="9987" width="12" style="608" bestFit="1" customWidth="1"/>
    <col min="9988" max="10240" width="9.140625" style="608"/>
    <col min="10241" max="10241" width="29.5703125" style="608" bestFit="1" customWidth="1"/>
    <col min="10242" max="10242" width="19.85546875" style="608" customWidth="1"/>
    <col min="10243" max="10243" width="12" style="608" bestFit="1" customWidth="1"/>
    <col min="10244" max="10496" width="9.140625" style="608"/>
    <col min="10497" max="10497" width="29.5703125" style="608" bestFit="1" customWidth="1"/>
    <col min="10498" max="10498" width="19.85546875" style="608" customWidth="1"/>
    <col min="10499" max="10499" width="12" style="608" bestFit="1" customWidth="1"/>
    <col min="10500" max="10752" width="9.140625" style="608"/>
    <col min="10753" max="10753" width="29.5703125" style="608" bestFit="1" customWidth="1"/>
    <col min="10754" max="10754" width="19.85546875" style="608" customWidth="1"/>
    <col min="10755" max="10755" width="12" style="608" bestFit="1" customWidth="1"/>
    <col min="10756" max="11008" width="9.140625" style="608"/>
    <col min="11009" max="11009" width="29.5703125" style="608" bestFit="1" customWidth="1"/>
    <col min="11010" max="11010" width="19.85546875" style="608" customWidth="1"/>
    <col min="11011" max="11011" width="12" style="608" bestFit="1" customWidth="1"/>
    <col min="11012" max="11264" width="9.140625" style="608"/>
    <col min="11265" max="11265" width="29.5703125" style="608" bestFit="1" customWidth="1"/>
    <col min="11266" max="11266" width="19.85546875" style="608" customWidth="1"/>
    <col min="11267" max="11267" width="12" style="608" bestFit="1" customWidth="1"/>
    <col min="11268" max="11520" width="9.140625" style="608"/>
    <col min="11521" max="11521" width="29.5703125" style="608" bestFit="1" customWidth="1"/>
    <col min="11522" max="11522" width="19.85546875" style="608" customWidth="1"/>
    <col min="11523" max="11523" width="12" style="608" bestFit="1" customWidth="1"/>
    <col min="11524" max="11776" width="9.140625" style="608"/>
    <col min="11777" max="11777" width="29.5703125" style="608" bestFit="1" customWidth="1"/>
    <col min="11778" max="11778" width="19.85546875" style="608" customWidth="1"/>
    <col min="11779" max="11779" width="12" style="608" bestFit="1" customWidth="1"/>
    <col min="11780" max="12032" width="9.140625" style="608"/>
    <col min="12033" max="12033" width="29.5703125" style="608" bestFit="1" customWidth="1"/>
    <col min="12034" max="12034" width="19.85546875" style="608" customWidth="1"/>
    <col min="12035" max="12035" width="12" style="608" bestFit="1" customWidth="1"/>
    <col min="12036" max="12288" width="9.140625" style="608"/>
    <col min="12289" max="12289" width="29.5703125" style="608" bestFit="1" customWidth="1"/>
    <col min="12290" max="12290" width="19.85546875" style="608" customWidth="1"/>
    <col min="12291" max="12291" width="12" style="608" bestFit="1" customWidth="1"/>
    <col min="12292" max="12544" width="9.140625" style="608"/>
    <col min="12545" max="12545" width="29.5703125" style="608" bestFit="1" customWidth="1"/>
    <col min="12546" max="12546" width="19.85546875" style="608" customWidth="1"/>
    <col min="12547" max="12547" width="12" style="608" bestFit="1" customWidth="1"/>
    <col min="12548" max="12800" width="9.140625" style="608"/>
    <col min="12801" max="12801" width="29.5703125" style="608" bestFit="1" customWidth="1"/>
    <col min="12802" max="12802" width="19.85546875" style="608" customWidth="1"/>
    <col min="12803" max="12803" width="12" style="608" bestFit="1" customWidth="1"/>
    <col min="12804" max="13056" width="9.140625" style="608"/>
    <col min="13057" max="13057" width="29.5703125" style="608" bestFit="1" customWidth="1"/>
    <col min="13058" max="13058" width="19.85546875" style="608" customWidth="1"/>
    <col min="13059" max="13059" width="12" style="608" bestFit="1" customWidth="1"/>
    <col min="13060" max="13312" width="9.140625" style="608"/>
    <col min="13313" max="13313" width="29.5703125" style="608" bestFit="1" customWidth="1"/>
    <col min="13314" max="13314" width="19.85546875" style="608" customWidth="1"/>
    <col min="13315" max="13315" width="12" style="608" bestFit="1" customWidth="1"/>
    <col min="13316" max="13568" width="9.140625" style="608"/>
    <col min="13569" max="13569" width="29.5703125" style="608" bestFit="1" customWidth="1"/>
    <col min="13570" max="13570" width="19.85546875" style="608" customWidth="1"/>
    <col min="13571" max="13571" width="12" style="608" bestFit="1" customWidth="1"/>
    <col min="13572" max="13824" width="9.140625" style="608"/>
    <col min="13825" max="13825" width="29.5703125" style="608" bestFit="1" customWidth="1"/>
    <col min="13826" max="13826" width="19.85546875" style="608" customWidth="1"/>
    <col min="13827" max="13827" width="12" style="608" bestFit="1" customWidth="1"/>
    <col min="13828" max="14080" width="9.140625" style="608"/>
    <col min="14081" max="14081" width="29.5703125" style="608" bestFit="1" customWidth="1"/>
    <col min="14082" max="14082" width="19.85546875" style="608" customWidth="1"/>
    <col min="14083" max="14083" width="12" style="608" bestFit="1" customWidth="1"/>
    <col min="14084" max="14336" width="9.140625" style="608"/>
    <col min="14337" max="14337" width="29.5703125" style="608" bestFit="1" customWidth="1"/>
    <col min="14338" max="14338" width="19.85546875" style="608" customWidth="1"/>
    <col min="14339" max="14339" width="12" style="608" bestFit="1" customWidth="1"/>
    <col min="14340" max="14592" width="9.140625" style="608"/>
    <col min="14593" max="14593" width="29.5703125" style="608" bestFit="1" customWidth="1"/>
    <col min="14594" max="14594" width="19.85546875" style="608" customWidth="1"/>
    <col min="14595" max="14595" width="12" style="608" bestFit="1" customWidth="1"/>
    <col min="14596" max="14848" width="9.140625" style="608"/>
    <col min="14849" max="14849" width="29.5703125" style="608" bestFit="1" customWidth="1"/>
    <col min="14850" max="14850" width="19.85546875" style="608" customWidth="1"/>
    <col min="14851" max="14851" width="12" style="608" bestFit="1" customWidth="1"/>
    <col min="14852" max="15104" width="9.140625" style="608"/>
    <col min="15105" max="15105" width="29.5703125" style="608" bestFit="1" customWidth="1"/>
    <col min="15106" max="15106" width="19.85546875" style="608" customWidth="1"/>
    <col min="15107" max="15107" width="12" style="608" bestFit="1" customWidth="1"/>
    <col min="15108" max="15360" width="9.140625" style="608"/>
    <col min="15361" max="15361" width="29.5703125" style="608" bestFit="1" customWidth="1"/>
    <col min="15362" max="15362" width="19.85546875" style="608" customWidth="1"/>
    <col min="15363" max="15363" width="12" style="608" bestFit="1" customWidth="1"/>
    <col min="15364" max="15616" width="9.140625" style="608"/>
    <col min="15617" max="15617" width="29.5703125" style="608" bestFit="1" customWidth="1"/>
    <col min="15618" max="15618" width="19.85546875" style="608" customWidth="1"/>
    <col min="15619" max="15619" width="12" style="608" bestFit="1" customWidth="1"/>
    <col min="15620" max="15872" width="9.140625" style="608"/>
    <col min="15873" max="15873" width="29.5703125" style="608" bestFit="1" customWidth="1"/>
    <col min="15874" max="15874" width="19.85546875" style="608" customWidth="1"/>
    <col min="15875" max="15875" width="12" style="608" bestFit="1" customWidth="1"/>
    <col min="15876" max="16128" width="9.140625" style="608"/>
    <col min="16129" max="16129" width="29.5703125" style="608" bestFit="1" customWidth="1"/>
    <col min="16130" max="16130" width="19.85546875" style="608" customWidth="1"/>
    <col min="16131" max="16131" width="12" style="608" bestFit="1" customWidth="1"/>
    <col min="16132" max="16384" width="9.140625" style="608"/>
  </cols>
  <sheetData>
    <row r="1" spans="1:2" x14ac:dyDescent="0.2">
      <c r="A1" s="608" t="s">
        <v>922</v>
      </c>
      <c r="B1" s="691">
        <v>6.1</v>
      </c>
    </row>
    <row r="2" spans="1:2" x14ac:dyDescent="0.2">
      <c r="A2" s="608" t="s">
        <v>923</v>
      </c>
      <c r="B2" s="695">
        <v>43165.286365740743</v>
      </c>
    </row>
    <row r="3" spans="1:2" x14ac:dyDescent="0.2">
      <c r="A3" s="608" t="s">
        <v>924</v>
      </c>
      <c r="B3" s="692" t="s">
        <v>619</v>
      </c>
    </row>
    <row r="4" spans="1:2" x14ac:dyDescent="0.2">
      <c r="A4" s="608" t="s">
        <v>925</v>
      </c>
      <c r="B4" s="692" t="s">
        <v>926</v>
      </c>
    </row>
    <row r="5" spans="1:2" x14ac:dyDescent="0.2">
      <c r="A5" s="608" t="s">
        <v>927</v>
      </c>
      <c r="B5" s="692" t="s">
        <v>928</v>
      </c>
    </row>
    <row r="6" spans="1:2" x14ac:dyDescent="0.2">
      <c r="A6" s="608" t="s">
        <v>929</v>
      </c>
    </row>
    <row r="7" spans="1:2" x14ac:dyDescent="0.2">
      <c r="A7" s="608" t="s">
        <v>930</v>
      </c>
      <c r="B7" s="692" t="s">
        <v>423</v>
      </c>
    </row>
    <row r="8" spans="1:2" x14ac:dyDescent="0.2">
      <c r="A8" s="608" t="s">
        <v>931</v>
      </c>
      <c r="B8" s="692" t="s">
        <v>932</v>
      </c>
    </row>
    <row r="9" spans="1:2" x14ac:dyDescent="0.2">
      <c r="A9" s="608" t="s">
        <v>933</v>
      </c>
      <c r="B9" s="692" t="s">
        <v>970</v>
      </c>
    </row>
    <row r="10" spans="1:2" x14ac:dyDescent="0.2">
      <c r="A10" s="608" t="s">
        <v>934</v>
      </c>
    </row>
    <row r="11" spans="1:2" x14ac:dyDescent="0.2">
      <c r="A11" s="608" t="s">
        <v>935</v>
      </c>
    </row>
    <row r="12" spans="1:2" x14ac:dyDescent="0.2">
      <c r="A12" s="608" t="s">
        <v>936</v>
      </c>
    </row>
    <row r="13" spans="1:2" x14ac:dyDescent="0.2">
      <c r="A13" s="608" t="s">
        <v>937</v>
      </c>
    </row>
    <row r="14" spans="1:2" x14ac:dyDescent="0.2">
      <c r="A14" s="608" t="s">
        <v>938</v>
      </c>
    </row>
    <row r="15" spans="1:2" x14ac:dyDescent="0.2">
      <c r="A15" s="608" t="s">
        <v>939</v>
      </c>
    </row>
    <row r="16" spans="1:2" x14ac:dyDescent="0.2">
      <c r="A16" s="608" t="s">
        <v>940</v>
      </c>
    </row>
    <row r="17" spans="1:4" x14ac:dyDescent="0.2">
      <c r="A17" s="608" t="s">
        <v>941</v>
      </c>
      <c r="B17" s="692" t="s">
        <v>971</v>
      </c>
    </row>
    <row r="18" spans="1:4" x14ac:dyDescent="0.2">
      <c r="A18" s="608" t="s">
        <v>942</v>
      </c>
      <c r="B18" s="692" t="s">
        <v>973</v>
      </c>
    </row>
    <row r="19" spans="1:4" x14ac:dyDescent="0.2">
      <c r="A19" s="608" t="s">
        <v>943</v>
      </c>
      <c r="B19" s="692" t="s">
        <v>422</v>
      </c>
    </row>
    <row r="20" spans="1:4" x14ac:dyDescent="0.2">
      <c r="A20" s="608" t="s">
        <v>944</v>
      </c>
      <c r="B20" s="693" t="s">
        <v>974</v>
      </c>
    </row>
    <row r="21" spans="1:4" x14ac:dyDescent="0.2">
      <c r="A21" s="608" t="s">
        <v>945</v>
      </c>
      <c r="B21" s="692" t="s">
        <v>422</v>
      </c>
    </row>
    <row r="22" spans="1:4" x14ac:dyDescent="0.2">
      <c r="A22" s="608" t="s">
        <v>946</v>
      </c>
      <c r="B22" s="693">
        <v>5842359</v>
      </c>
    </row>
    <row r="23" spans="1:4" x14ac:dyDescent="0.2">
      <c r="A23" s="608" t="s">
        <v>447</v>
      </c>
      <c r="B23" s="691">
        <v>13.06</v>
      </c>
    </row>
    <row r="24" spans="1:4" x14ac:dyDescent="0.2">
      <c r="A24" s="608" t="s">
        <v>446</v>
      </c>
      <c r="B24" s="692" t="s">
        <v>421</v>
      </c>
      <c r="D24" s="608" t="s">
        <v>444</v>
      </c>
    </row>
    <row r="25" spans="1:4" x14ac:dyDescent="0.2">
      <c r="A25" s="608" t="s">
        <v>947</v>
      </c>
      <c r="B25" s="692" t="s">
        <v>975</v>
      </c>
    </row>
    <row r="26" spans="1:4" x14ac:dyDescent="0.2">
      <c r="A26" s="608" t="s">
        <v>948</v>
      </c>
      <c r="B26" s="692">
        <v>0</v>
      </c>
    </row>
    <row r="27" spans="1:4" x14ac:dyDescent="0.2">
      <c r="A27" s="608" t="s">
        <v>949</v>
      </c>
      <c r="B27" s="692" t="s">
        <v>950</v>
      </c>
    </row>
    <row r="28" spans="1:4" x14ac:dyDescent="0.2">
      <c r="A28" s="608" t="s">
        <v>951</v>
      </c>
      <c r="B28" s="692" t="s">
        <v>952</v>
      </c>
    </row>
    <row r="29" spans="1:4" x14ac:dyDescent="0.2">
      <c r="A29" s="608" t="s">
        <v>953</v>
      </c>
    </row>
    <row r="30" spans="1:4" x14ac:dyDescent="0.2">
      <c r="A30" s="608" t="s">
        <v>954</v>
      </c>
    </row>
    <row r="31" spans="1:4" x14ac:dyDescent="0.2">
      <c r="A31" s="608" t="s">
        <v>955</v>
      </c>
    </row>
    <row r="32" spans="1:4" x14ac:dyDescent="0.2">
      <c r="A32" s="608" t="s">
        <v>956</v>
      </c>
      <c r="B32" s="691"/>
    </row>
    <row r="33" spans="1:2" x14ac:dyDescent="0.2">
      <c r="A33" s="608" t="s">
        <v>957</v>
      </c>
      <c r="B33" s="691"/>
    </row>
    <row r="34" spans="1:2" x14ac:dyDescent="0.2">
      <c r="A34" s="608" t="s">
        <v>958</v>
      </c>
      <c r="B34" s="691"/>
    </row>
    <row r="35" spans="1:2" x14ac:dyDescent="0.2">
      <c r="A35" s="608" t="s">
        <v>959</v>
      </c>
      <c r="B35" s="692">
        <v>1000000</v>
      </c>
    </row>
    <row r="36" spans="1:2" x14ac:dyDescent="0.2">
      <c r="A36" s="608" t="s">
        <v>960</v>
      </c>
      <c r="B36" s="692" t="s">
        <v>186</v>
      </c>
    </row>
    <row r="37" spans="1:2" x14ac:dyDescent="0.2">
      <c r="A37" s="608" t="s">
        <v>961</v>
      </c>
      <c r="B37" s="692" t="s">
        <v>962</v>
      </c>
    </row>
    <row r="38" spans="1:2" x14ac:dyDescent="0.2">
      <c r="A38" s="608" t="s">
        <v>963</v>
      </c>
      <c r="B38" s="692" t="s">
        <v>964</v>
      </c>
    </row>
    <row r="39" spans="1:2" x14ac:dyDescent="0.2">
      <c r="A39" s="608" t="s">
        <v>965</v>
      </c>
      <c r="B39" s="692" t="s">
        <v>972</v>
      </c>
    </row>
    <row r="40" spans="1:2" x14ac:dyDescent="0.2">
      <c r="A40" s="608" t="s">
        <v>966</v>
      </c>
      <c r="B40" s="692">
        <v>1700001249</v>
      </c>
    </row>
    <row r="41" spans="1:2" x14ac:dyDescent="0.2">
      <c r="A41" s="608" t="s">
        <v>967</v>
      </c>
      <c r="B41" s="692">
        <v>4</v>
      </c>
    </row>
    <row r="42" spans="1:2" x14ac:dyDescent="0.2">
      <c r="A42" s="694" t="s">
        <v>968</v>
      </c>
    </row>
    <row r="43" spans="1:2" x14ac:dyDescent="0.2">
      <c r="A43" s="608" t="s">
        <v>969</v>
      </c>
    </row>
  </sheetData>
  <pageMargins left="0.75" right="0.75" top="1" bottom="1" header="0.5" footer="0.5"/>
  <pageSetup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13"/>
  <sheetViews>
    <sheetView workbookViewId="0">
      <selection activeCell="E11" sqref="E11"/>
    </sheetView>
  </sheetViews>
  <sheetFormatPr defaultRowHeight="12.75" x14ac:dyDescent="0.2"/>
  <cols>
    <col min="1" max="1" width="28.5703125" style="608" bestFit="1" customWidth="1"/>
    <col min="2" max="256" width="9.140625" style="608"/>
    <col min="257" max="257" width="28.5703125" style="608" bestFit="1" customWidth="1"/>
    <col min="258" max="512" width="9.140625" style="608"/>
    <col min="513" max="513" width="28.5703125" style="608" bestFit="1" customWidth="1"/>
    <col min="514" max="768" width="9.140625" style="608"/>
    <col min="769" max="769" width="28.5703125" style="608" bestFit="1" customWidth="1"/>
    <col min="770" max="1024" width="9.140625" style="608"/>
    <col min="1025" max="1025" width="28.5703125" style="608" bestFit="1" customWidth="1"/>
    <col min="1026" max="1280" width="9.140625" style="608"/>
    <col min="1281" max="1281" width="28.5703125" style="608" bestFit="1" customWidth="1"/>
    <col min="1282" max="1536" width="9.140625" style="608"/>
    <col min="1537" max="1537" width="28.5703125" style="608" bestFit="1" customWidth="1"/>
    <col min="1538" max="1792" width="9.140625" style="608"/>
    <col min="1793" max="1793" width="28.5703125" style="608" bestFit="1" customWidth="1"/>
    <col min="1794" max="2048" width="9.140625" style="608"/>
    <col min="2049" max="2049" width="28.5703125" style="608" bestFit="1" customWidth="1"/>
    <col min="2050" max="2304" width="9.140625" style="608"/>
    <col min="2305" max="2305" width="28.5703125" style="608" bestFit="1" customWidth="1"/>
    <col min="2306" max="2560" width="9.140625" style="608"/>
    <col min="2561" max="2561" width="28.5703125" style="608" bestFit="1" customWidth="1"/>
    <col min="2562" max="2816" width="9.140625" style="608"/>
    <col min="2817" max="2817" width="28.5703125" style="608" bestFit="1" customWidth="1"/>
    <col min="2818" max="3072" width="9.140625" style="608"/>
    <col min="3073" max="3073" width="28.5703125" style="608" bestFit="1" customWidth="1"/>
    <col min="3074" max="3328" width="9.140625" style="608"/>
    <col min="3329" max="3329" width="28.5703125" style="608" bestFit="1" customWidth="1"/>
    <col min="3330" max="3584" width="9.140625" style="608"/>
    <col min="3585" max="3585" width="28.5703125" style="608" bestFit="1" customWidth="1"/>
    <col min="3586" max="3840" width="9.140625" style="608"/>
    <col min="3841" max="3841" width="28.5703125" style="608" bestFit="1" customWidth="1"/>
    <col min="3842" max="4096" width="9.140625" style="608"/>
    <col min="4097" max="4097" width="28.5703125" style="608" bestFit="1" customWidth="1"/>
    <col min="4098" max="4352" width="9.140625" style="608"/>
    <col min="4353" max="4353" width="28.5703125" style="608" bestFit="1" customWidth="1"/>
    <col min="4354" max="4608" width="9.140625" style="608"/>
    <col min="4609" max="4609" width="28.5703125" style="608" bestFit="1" customWidth="1"/>
    <col min="4610" max="4864" width="9.140625" style="608"/>
    <col min="4865" max="4865" width="28.5703125" style="608" bestFit="1" customWidth="1"/>
    <col min="4866" max="5120" width="9.140625" style="608"/>
    <col min="5121" max="5121" width="28.5703125" style="608" bestFit="1" customWidth="1"/>
    <col min="5122" max="5376" width="9.140625" style="608"/>
    <col min="5377" max="5377" width="28.5703125" style="608" bestFit="1" customWidth="1"/>
    <col min="5378" max="5632" width="9.140625" style="608"/>
    <col min="5633" max="5633" width="28.5703125" style="608" bestFit="1" customWidth="1"/>
    <col min="5634" max="5888" width="9.140625" style="608"/>
    <col min="5889" max="5889" width="28.5703125" style="608" bestFit="1" customWidth="1"/>
    <col min="5890" max="6144" width="9.140625" style="608"/>
    <col min="6145" max="6145" width="28.5703125" style="608" bestFit="1" customWidth="1"/>
    <col min="6146" max="6400" width="9.140625" style="608"/>
    <col min="6401" max="6401" width="28.5703125" style="608" bestFit="1" customWidth="1"/>
    <col min="6402" max="6656" width="9.140625" style="608"/>
    <col min="6657" max="6657" width="28.5703125" style="608" bestFit="1" customWidth="1"/>
    <col min="6658" max="6912" width="9.140625" style="608"/>
    <col min="6913" max="6913" width="28.5703125" style="608" bestFit="1" customWidth="1"/>
    <col min="6914" max="7168" width="9.140625" style="608"/>
    <col min="7169" max="7169" width="28.5703125" style="608" bestFit="1" customWidth="1"/>
    <col min="7170" max="7424" width="9.140625" style="608"/>
    <col min="7425" max="7425" width="28.5703125" style="608" bestFit="1" customWidth="1"/>
    <col min="7426" max="7680" width="9.140625" style="608"/>
    <col min="7681" max="7681" width="28.5703125" style="608" bestFit="1" customWidth="1"/>
    <col min="7682" max="7936" width="9.140625" style="608"/>
    <col min="7937" max="7937" width="28.5703125" style="608" bestFit="1" customWidth="1"/>
    <col min="7938" max="8192" width="9.140625" style="608"/>
    <col min="8193" max="8193" width="28.5703125" style="608" bestFit="1" customWidth="1"/>
    <col min="8194" max="8448" width="9.140625" style="608"/>
    <col min="8449" max="8449" width="28.5703125" style="608" bestFit="1" customWidth="1"/>
    <col min="8450" max="8704" width="9.140625" style="608"/>
    <col min="8705" max="8705" width="28.5703125" style="608" bestFit="1" customWidth="1"/>
    <col min="8706" max="8960" width="9.140625" style="608"/>
    <col min="8961" max="8961" width="28.5703125" style="608" bestFit="1" customWidth="1"/>
    <col min="8962" max="9216" width="9.140625" style="608"/>
    <col min="9217" max="9217" width="28.5703125" style="608" bestFit="1" customWidth="1"/>
    <col min="9218" max="9472" width="9.140625" style="608"/>
    <col min="9473" max="9473" width="28.5703125" style="608" bestFit="1" customWidth="1"/>
    <col min="9474" max="9728" width="9.140625" style="608"/>
    <col min="9729" max="9729" width="28.5703125" style="608" bestFit="1" customWidth="1"/>
    <col min="9730" max="9984" width="9.140625" style="608"/>
    <col min="9985" max="9985" width="28.5703125" style="608" bestFit="1" customWidth="1"/>
    <col min="9986" max="10240" width="9.140625" style="608"/>
    <col min="10241" max="10241" width="28.5703125" style="608" bestFit="1" customWidth="1"/>
    <col min="10242" max="10496" width="9.140625" style="608"/>
    <col min="10497" max="10497" width="28.5703125" style="608" bestFit="1" customWidth="1"/>
    <col min="10498" max="10752" width="9.140625" style="608"/>
    <col min="10753" max="10753" width="28.5703125" style="608" bestFit="1" customWidth="1"/>
    <col min="10754" max="11008" width="9.140625" style="608"/>
    <col min="11009" max="11009" width="28.5703125" style="608" bestFit="1" customWidth="1"/>
    <col min="11010" max="11264" width="9.140625" style="608"/>
    <col min="11265" max="11265" width="28.5703125" style="608" bestFit="1" customWidth="1"/>
    <col min="11266" max="11520" width="9.140625" style="608"/>
    <col min="11521" max="11521" width="28.5703125" style="608" bestFit="1" customWidth="1"/>
    <col min="11522" max="11776" width="9.140625" style="608"/>
    <col min="11777" max="11777" width="28.5703125" style="608" bestFit="1" customWidth="1"/>
    <col min="11778" max="12032" width="9.140625" style="608"/>
    <col min="12033" max="12033" width="28.5703125" style="608" bestFit="1" customWidth="1"/>
    <col min="12034" max="12288" width="9.140625" style="608"/>
    <col min="12289" max="12289" width="28.5703125" style="608" bestFit="1" customWidth="1"/>
    <col min="12290" max="12544" width="9.140625" style="608"/>
    <col min="12545" max="12545" width="28.5703125" style="608" bestFit="1" customWidth="1"/>
    <col min="12546" max="12800" width="9.140625" style="608"/>
    <col min="12801" max="12801" width="28.5703125" style="608" bestFit="1" customWidth="1"/>
    <col min="12802" max="13056" width="9.140625" style="608"/>
    <col min="13057" max="13057" width="28.5703125" style="608" bestFit="1" customWidth="1"/>
    <col min="13058" max="13312" width="9.140625" style="608"/>
    <col min="13313" max="13313" width="28.5703125" style="608" bestFit="1" customWidth="1"/>
    <col min="13314" max="13568" width="9.140625" style="608"/>
    <col min="13569" max="13569" width="28.5703125" style="608" bestFit="1" customWidth="1"/>
    <col min="13570" max="13824" width="9.140625" style="608"/>
    <col min="13825" max="13825" width="28.5703125" style="608" bestFit="1" customWidth="1"/>
    <col min="13826" max="14080" width="9.140625" style="608"/>
    <col min="14081" max="14081" width="28.5703125" style="608" bestFit="1" customWidth="1"/>
    <col min="14082" max="14336" width="9.140625" style="608"/>
    <col min="14337" max="14337" width="28.5703125" style="608" bestFit="1" customWidth="1"/>
    <col min="14338" max="14592" width="9.140625" style="608"/>
    <col min="14593" max="14593" width="28.5703125" style="608" bestFit="1" customWidth="1"/>
    <col min="14594" max="14848" width="9.140625" style="608"/>
    <col min="14849" max="14849" width="28.5703125" style="608" bestFit="1" customWidth="1"/>
    <col min="14850" max="15104" width="9.140625" style="608"/>
    <col min="15105" max="15105" width="28.5703125" style="608" bestFit="1" customWidth="1"/>
    <col min="15106" max="15360" width="9.140625" style="608"/>
    <col min="15361" max="15361" width="28.5703125" style="608" bestFit="1" customWidth="1"/>
    <col min="15362" max="15616" width="9.140625" style="608"/>
    <col min="15617" max="15617" width="28.5703125" style="608" bestFit="1" customWidth="1"/>
    <col min="15618" max="15872" width="9.140625" style="608"/>
    <col min="15873" max="15873" width="28.5703125" style="608" bestFit="1" customWidth="1"/>
    <col min="15874" max="16128" width="9.140625" style="608"/>
    <col min="16129" max="16129" width="28.5703125" style="608" bestFit="1" customWidth="1"/>
    <col min="16130" max="16384" width="9.140625" style="608"/>
  </cols>
  <sheetData>
    <row r="1" spans="1:1" x14ac:dyDescent="0.2">
      <c r="A1" s="696" t="s">
        <v>976</v>
      </c>
    </row>
    <row r="2" spans="1:1" x14ac:dyDescent="0.2">
      <c r="A2" s="696" t="s">
        <v>981</v>
      </c>
    </row>
    <row r="3" spans="1:1" x14ac:dyDescent="0.2">
      <c r="A3" s="696" t="s">
        <v>982</v>
      </c>
    </row>
    <row r="4" spans="1:1" x14ac:dyDescent="0.2">
      <c r="A4" s="696" t="s">
        <v>983</v>
      </c>
    </row>
    <row r="5" spans="1:1" x14ac:dyDescent="0.2">
      <c r="A5" s="696" t="s">
        <v>984</v>
      </c>
    </row>
    <row r="6" spans="1:1" x14ac:dyDescent="0.2">
      <c r="A6" s="696" t="s">
        <v>977</v>
      </c>
    </row>
    <row r="7" spans="1:1" x14ac:dyDescent="0.2">
      <c r="A7" s="696" t="s">
        <v>985</v>
      </c>
    </row>
    <row r="8" spans="1:1" x14ac:dyDescent="0.2">
      <c r="A8" s="696" t="s">
        <v>986</v>
      </c>
    </row>
    <row r="9" spans="1:1" x14ac:dyDescent="0.2">
      <c r="A9" s="696" t="s">
        <v>987</v>
      </c>
    </row>
    <row r="10" spans="1:1" x14ac:dyDescent="0.2">
      <c r="A10" s="696" t="s">
        <v>978</v>
      </c>
    </row>
    <row r="11" spans="1:1" x14ac:dyDescent="0.2">
      <c r="A11" s="696" t="s">
        <v>988</v>
      </c>
    </row>
    <row r="12" spans="1:1" x14ac:dyDescent="0.2">
      <c r="A12" s="696" t="s">
        <v>979</v>
      </c>
    </row>
    <row r="13" spans="1:1" x14ac:dyDescent="0.2">
      <c r="A13" s="696" t="s">
        <v>980</v>
      </c>
    </row>
  </sheetData>
  <pageMargins left="0.75" right="0.75" top="1" bottom="1" header="0.5" footer="0.5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:Links xmlns:lk="thomsonreuters.linking.metadata">
  <Link>
    <GUID>72134098-baa5-4e8f-ab56-882c6448f372</GUID>
    <SOURCETYPE>Chart</SOURCETYPE>
    <SOURCE_OBJECTNAME>MWA_Risk_Reward</SOURCE_OBJECTNAME>
    <SOURCE_SHEETCODE>MWRSSData1</SOURCE_SHEETCODE>
    <SOURCE_SHEETNAME>MWA RR_DTEGn.DE</SOURCE_SHEETNAME>
    <OBJECTTYPE>Native</OBJECTTYPE>
    <SOURCEAPPLICATION>EXCEL_SOURCE</SOURCEAPPLICATION>
    <UPDATEDAT>12/5/2014 2:01:08 PM</UPDATEDAT>
    <SOURCE_ISOUTOFDATE>False</SOURCE_ISOUTOFDATE>
    <SOURCE_WORKBOOKNAME>Deutsche Telekom AG_wip.xlsx</SOURCE_WORKBOOKNAME>
    <SOURCE_WORKBOOKPATH>\\MSAD\ROOT\EU\LN\LIB\EQR\TELCO\MODELS\FIXED\WIP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/MSResearch/Content/ExternalAssets/2014-09/Images/Z79AqSdnzEGPDeCOgjkzjw--.png</TARGET_BINARYFULLNAME>
    <TARGET_STORYFULLNAME>/MSResearch/Content/ExternalAssets/2014-09/Sections/MWA_Risk_Reward-147.xml</TARGET_STORYFULLNAME>
    <TARGET_UUID>8f0d7b4a-37fd-11e4-a124-19abbf9868ab</TARGET_UUID>
    <HIDEGRIDLINES>False</HIDEGRIDLINES>
  </Link>
  <Link>
    <GUID>57d7ed8b-5460-4422-aaa0-427821e8967f</GUID>
    <SOURCE_ALTADDRESS>$B$3:$F$44</SOURCE_ALTADDRESS>
    <SOURCETYPE>Table</SOURCETYPE>
    <SOURCE_OBJECTNAME>Linking_Range_1</SOURCE_OBJECTNAME>
    <OBJECTTYPE>Native</OBJECTTYPE>
    <SOURCE_SHEETCODE>Sheet3</SOURCE_SHEETCODE>
    <SOURCE_SHEETNAME>Sum of parts</SOURCE_SHEETNAME>
    <SOURCEAPPLICATION>EXCEL_SOURCE</SOURCEAPPLICATION>
    <UPDATEDAT>12/5/2014 3:54:19 PM</UPDATEDAT>
    <SOURCE_ISOUTOFDATE>False</SOURCE_ISOUTOFDATE>
    <SOURCE_WORKBOOKNAME>Deutsche Telekom AG_wip.xlsx</SOURCE_WORKBOOKNAME>
    <SOURCE_WORKBOOKPATH>\\MSAD\ROOT\EU\LN\LIB\EQR\TELCO\MODELS\FIXED\WIP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HtmlTable</TARGETTYPE>
    <TARGETAPPLICATION>METHODE_TARGET</TARGETAPPLICATION>
    <TARGET_BINARYFULLNAME/>
    <TARGET_STORYFULLNAME>/MSResearch/Content/ExternalAssets/2014-12/Sections/20141205_105416_Linking_Range_1.xml</TARGET_STORYFULLNAME>
    <TARGET_UUID>f72142f6-7c96-11e4-a118-f2cb50997d55</TARGET_UUID>
  </Link>
  <Link>
    <GUID>def4b861-ab73-4c32-a581-a858f46d8023</GUID>
    <SOURCE_ALTADDRESS>$B$2:$M$53</SOURCE_ALTADDRESS>
    <SOURCETYPE>Table</SOURCETYPE>
    <SOURCE_OBJECTNAME>Linking_Range_4</SOURCE_OBJECTNAME>
    <OBJECTTYPE>Native</OBJECTTYPE>
    <SOURCE_SHEETCODE>Sheet18</SOURCE_SHEETCODE>
    <SOURCE_SHEETNAME>Financials</SOURCE_SHEETNAME>
    <SOURCEAPPLICATION>EXCEL_SOURCE</SOURCEAPPLICATION>
    <UPDATEDAT>12/8/2014 12:52:39 PM</UPDATEDAT>
    <SOURCE_ISOUTOFDATE>False</SOURCE_ISOUTOFDATE>
    <SOURCE_WORKBOOKNAME>Deutsche Telekom AG_wip.xlsx</SOURCE_WORKBOOKNAME>
    <SOURCE_WORKBOOKPATH>\\MSAD\ROOT\EU\LN\LIB\EQR\TELCO\MODELS\FIXED\WIP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HtmlTable</TARGETTYPE>
    <TARGETAPPLICATION>METHODE_TARGET</TARGETAPPLICATION>
    <TARGET_BINARYFULLNAME/>
    <TARGET_STORYFULLNAME>/MSResearch/Content/ExternalAssets/2014-12/Sections/20141208_075236_Linking_Range_4.xml</TARGET_STORYFULLNAME>
    <TARGET_UUID>15e00ea4-7ed9-11e4-b436-bce11cc013d8</TARGET_UUID>
  </Link>
  <Link>
    <GUID>a75ec9e8-19c7-48ce-a1fd-5d0498b9e21b</GUID>
    <SOURCE_ALTADDRESS>$B$203:$M$221</SOURCE_ALTADDRESS>
    <SOURCETYPE>Table</SOURCETYPE>
    <SOURCE_OBJECTNAME>Linking_Range_5</SOURCE_OBJECTNAME>
    <OBJECTTYPE>Native</OBJECTTYPE>
    <SOURCE_SHEETCODE>Sheet18</SOURCE_SHEETCODE>
    <SOURCE_SHEETNAME>Financials</SOURCE_SHEETNAME>
    <SOURCEAPPLICATION>EXCEL_SOURCE</SOURCEAPPLICATION>
    <UPDATEDAT>12/8/2014 12:55:06 PM</UPDATEDAT>
    <SOURCE_ISOUTOFDATE>False</SOURCE_ISOUTOFDATE>
    <SOURCE_WORKBOOKNAME>Deutsche Telekom AG_wip.xlsx</SOURCE_WORKBOOKNAME>
    <SOURCE_WORKBOOKPATH>\\MSAD\ROOT\EU\LN\LIB\EQR\TELCO\MODELS\FIXED\WIP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HtmlTable</TARGETTYPE>
    <TARGETAPPLICATION>METHODE_TARGET</TARGETAPPLICATION>
    <TARGET_BINARYFULLNAME/>
    <TARGET_STORYFULLNAME>/MSResearch/Content/ExternalAssets/2014-12/Sections/20141208_075503_Linking_Range_5.xml</TARGET_STORYFULLNAME>
    <TARGET_UUID>6d95fc4e-7ed9-11e4-b436-bce11cc013d8</TARGET_UUID>
  </Link>
  <Link>
    <GUID>d66da5e0-0e9b-4ade-92ef-5ae3d1051e1d</GUID>
    <SOURCE_ALTADDRESS>$B$71:$M$130</SOURCE_ALTADDRESS>
    <SOURCETYPE>Table</SOURCETYPE>
    <SOURCE_OBJECTNAME>Linking_Range_6</SOURCE_OBJECTNAME>
    <OBJECTTYPE>Native</OBJECTTYPE>
    <SOURCE_SHEETCODE>Sheet18</SOURCE_SHEETCODE>
    <SOURCE_SHEETNAME>Financials</SOURCE_SHEETNAME>
    <SOURCEAPPLICATION>EXCEL_SOURCE</SOURCEAPPLICATION>
    <UPDATEDAT>12/8/2014 12:56:03 PM</UPDATEDAT>
    <SOURCE_ISOUTOFDATE>False</SOURCE_ISOUTOFDATE>
    <SOURCE_WORKBOOKNAME>Deutsche Telekom AG_wip.xlsx</SOURCE_WORKBOOKNAME>
    <SOURCE_WORKBOOKPATH>\\MSAD\ROOT\EU\LN\LIB\EQR\TELCO\MODELS\FIXED\WIP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HtmlTable</TARGETTYPE>
    <TARGETAPPLICATION>METHODE_TARGET</TARGETAPPLICATION>
    <TARGET_BINARYFULLNAME/>
    <TARGET_STORYFULLNAME>/MSResearch/Content/ExternalAssets/2014-12/Sections/20141208_075600_Linking_Range_6.xml</TARGET_STORYFULLNAME>
    <TARGET_UUID>8f6a81be-7ed9-11e4-b436-bce11cc013d8</TARGET_UUID>
  </Link>
</lk:Links>
</file>

<file path=customXml/item2.xml><?xml version="1.0" encoding="utf-8"?>
<lkmtd:Metadata xmlns:lkmtd="thomsonreuters.linking.metadatachange">
  <MetadataChanged>0</MetadataChanged>
</lkmtd:Metadata>
</file>

<file path=customXml/itemProps1.xml><?xml version="1.0" encoding="utf-8"?>
<ds:datastoreItem xmlns:ds="http://schemas.openxmlformats.org/officeDocument/2006/customXml" ds:itemID="{91878D4A-98BF-4D55-9BAC-4BDA96B42ACB}">
  <ds:schemaRefs>
    <ds:schemaRef ds:uri="thomsonreuters.linking.metadata"/>
  </ds:schemaRefs>
</ds:datastoreItem>
</file>

<file path=customXml/itemProps2.xml><?xml version="1.0" encoding="utf-8"?>
<ds:datastoreItem xmlns:ds="http://schemas.openxmlformats.org/officeDocument/2006/customXml" ds:itemID="{34208335-61B2-4698-8360-552970758516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150</vt:i4>
      </vt:variant>
    </vt:vector>
  </HeadingPairs>
  <TitlesOfParts>
    <vt:vector size="172" baseType="lpstr">
      <vt:lpstr>ImportantDisclosures</vt:lpstr>
      <vt:lpstr>CircularReferenceAlert</vt:lpstr>
      <vt:lpstr>Index</vt:lpstr>
      <vt:lpstr>Sum of parts</vt:lpstr>
      <vt:lpstr>Mark-to-Market</vt:lpstr>
      <vt:lpstr>Financials</vt:lpstr>
      <vt:lpstr>Valuation Drivers</vt:lpstr>
      <vt:lpstr>Interims</vt:lpstr>
      <vt:lpstr>T-Home Germany</vt:lpstr>
      <vt:lpstr>TMO Germany</vt:lpstr>
      <vt:lpstr>US Metro PF</vt:lpstr>
      <vt:lpstr>TMO Netherlands</vt:lpstr>
      <vt:lpstr>PTC (Poland)</vt:lpstr>
      <vt:lpstr>TMO Austria</vt:lpstr>
      <vt:lpstr>TMO Cz Rep</vt:lpstr>
      <vt:lpstr>Croatia</vt:lpstr>
      <vt:lpstr>Slovakia</vt:lpstr>
      <vt:lpstr>Hungary</vt:lpstr>
      <vt:lpstr>T-Systems</vt:lpstr>
      <vt:lpstr>GHS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BS_Accum_PL</vt:lpstr>
      <vt:lpstr>BS_Accum_PL1</vt:lpstr>
      <vt:lpstr>BS_Cash</vt:lpstr>
      <vt:lpstr>BS_Creditors</vt:lpstr>
      <vt:lpstr>BS_Creditors_OTH</vt:lpstr>
      <vt:lpstr>BS_Current_Assets</vt:lpstr>
      <vt:lpstr>BS_Current_Liabilities</vt:lpstr>
      <vt:lpstr>BS_Debt_LT</vt:lpstr>
      <vt:lpstr>BS_Debt_ST</vt:lpstr>
      <vt:lpstr>BS_Debtors</vt:lpstr>
      <vt:lpstr>BS_Debtors_Oth</vt:lpstr>
      <vt:lpstr>BS_DTA</vt:lpstr>
      <vt:lpstr>BS_Equity_ORD</vt:lpstr>
      <vt:lpstr>BS_IA_Net</vt:lpstr>
      <vt:lpstr>BS_Invest_LT</vt:lpstr>
      <vt:lpstr>BS_Invest_LT_1</vt:lpstr>
      <vt:lpstr>BS_Liabilities_LT</vt:lpstr>
      <vt:lpstr>BS_Min_Int</vt:lpstr>
      <vt:lpstr>BS_NCA</vt:lpstr>
      <vt:lpstr>BS_Prov_Pension</vt:lpstr>
      <vt:lpstr>BS_Prov_Tax_Def</vt:lpstr>
      <vt:lpstr>BS_Provision_OTH</vt:lpstr>
      <vt:lpstr>BS_Shr_Cap</vt:lpstr>
      <vt:lpstr>BS_Shr_Cap_1</vt:lpstr>
      <vt:lpstr>BS_Stocks</vt:lpstr>
      <vt:lpstr>BS_TFA_Net</vt:lpstr>
      <vt:lpstr>CircularReferenceAlert!Buttons</vt:lpstr>
      <vt:lpstr>CF_Acqn</vt:lpstr>
      <vt:lpstr>CF_Acqn_1</vt:lpstr>
      <vt:lpstr>CF_Acqn_3</vt:lpstr>
      <vt:lpstr>CF_Cap_Inc</vt:lpstr>
      <vt:lpstr>CF_Capex</vt:lpstr>
      <vt:lpstr>CF_Capex_1</vt:lpstr>
      <vt:lpstr>CF_Chg_Prov</vt:lpstr>
      <vt:lpstr>CF_Chg_WC</vt:lpstr>
      <vt:lpstr>CF_Chg_WC1</vt:lpstr>
      <vt:lpstr>CF_Disposal</vt:lpstr>
      <vt:lpstr>CF_Disposal_1</vt:lpstr>
      <vt:lpstr>CF_Divis_Ord</vt:lpstr>
      <vt:lpstr>CF_Finance_Tot</vt:lpstr>
      <vt:lpstr>CF_Invest_Tot</vt:lpstr>
      <vt:lpstr>CF_Net_Op_CF</vt:lpstr>
      <vt:lpstr>CF_Sale_FA</vt:lpstr>
      <vt:lpstr>CF_Sale_FA_1</vt:lpstr>
      <vt:lpstr>CF_Tax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FY_08</vt:lpstr>
      <vt:lpstr>FY_09</vt:lpstr>
      <vt:lpstr>FY_10</vt:lpstr>
      <vt:lpstr>FY_11</vt:lpstr>
      <vt:lpstr>FY_12</vt:lpstr>
      <vt:lpstr>FY_13</vt:lpstr>
      <vt:lpstr>FY_14</vt:lpstr>
      <vt:lpstr>FY_15</vt:lpstr>
      <vt:lpstr>FY_16</vt:lpstr>
      <vt:lpstr>FY_17</vt:lpstr>
      <vt:lpstr>FY_18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Linking_Range_1</vt:lpstr>
      <vt:lpstr>Linking_Range_1234</vt:lpstr>
      <vt:lpstr>Linking_Range_2</vt:lpstr>
      <vt:lpstr>Linking_Range_3</vt:lpstr>
      <vt:lpstr>Linking_Range_4</vt:lpstr>
      <vt:lpstr>Linking_Range_5</vt:lpstr>
      <vt:lpstr>Linking_Range_6</vt:lpstr>
      <vt:lpstr>IndexInformation!MacroVersion</vt:lpstr>
      <vt:lpstr>CircularReferenceAlert!MaxChange</vt:lpstr>
      <vt:lpstr>CircularReferenceAlert!MaxIterations</vt:lpstr>
      <vt:lpstr>ImportantDisclosures!ModelPrice</vt:lpstr>
      <vt:lpstr>IndexInformation!Multiplier</vt:lpstr>
      <vt:lpstr>Net_Debt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PL_COGS</vt:lpstr>
      <vt:lpstr>PL_Depn_Amort</vt:lpstr>
      <vt:lpstr>PL_DPS</vt:lpstr>
      <vt:lpstr>PL_EBIT</vt:lpstr>
      <vt:lpstr>PL_EBITDA</vt:lpstr>
      <vt:lpstr>PL_Excep</vt:lpstr>
      <vt:lpstr>PL_Inc_Assoc</vt:lpstr>
      <vt:lpstr>PL_Int_Exp</vt:lpstr>
      <vt:lpstr>PL_Min_Int</vt:lpstr>
      <vt:lpstr>PL_PBT</vt:lpstr>
      <vt:lpstr>PL_Revenue</vt:lpstr>
      <vt:lpstr>PL_Shares</vt:lpstr>
      <vt:lpstr>PL_Shares_Avg</vt:lpstr>
      <vt:lpstr>PL_Tax</vt:lpstr>
      <vt:lpstr>PL_Tax_Rate_Std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2007-10-22T08:37:32Z</dcterms:created>
  <dc:creator>ekelly</dc:creator>
  <cp:lastModifiedBy>Dawes, Katherine (Research)</cp:lastModifiedBy>
  <cp:lastPrinted>2018-03-05T18:04:27Z</cp:lastPrinted>
  <dcterms:modified xsi:type="dcterms:W3CDTF">2018-03-06T07:11:44Z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_NewReviewCycle" pid="2">
    <vt:lpwstr/>
  </property>
  <property fmtid="{D5CDD505-2E9C-101B-9397-08002B2CF9AE}" name="LinkingAutoNameNumberLinking_Range_" pid="3">
    <vt:lpwstr>6</vt:lpwstr>
  </property>
  <property fmtid="{D5CDD505-2E9C-101B-9397-08002B2CF9AE}" name="ERModPubTicket" pid="4">
    <vt:lpwstr>NA</vt:lpwstr>
  </property>
  <property fmtid="{D5CDD505-2E9C-101B-9397-08002B2CF9AE}" name="ERCompanyUploadState" pid="5">
    <vt:lpwstr>P</vt:lpwstr>
  </property>
  <property fmtid="{D5CDD505-2E9C-101B-9397-08002B2CF9AE}" name="ModelId" pid="6">
    <vt:lpwstr>754427</vt:lpwstr>
  </property>
  <property fmtid="{D5CDD505-2E9C-101B-9397-08002B2CF9AE}" name="ERModPubCompanyName" pid="7">
    <vt:lpwstr>Deutsche Telekom</vt:lpwstr>
  </property>
  <property fmtid="{D5CDD505-2E9C-101B-9397-08002B2CF9AE}" name="ERModPubMaxIterations" pid="8">
    <vt:i4>100</vt:i4>
  </property>
  <property fmtid="{D5CDD505-2E9C-101B-9397-08002B2CF9AE}" name="ERModPubMaxChange" pid="9">
    <vt:r8>0.001</vt:r8>
  </property>
  <property fmtid="{D5CDD505-2E9C-101B-9397-08002B2CF9AE}" name="MSDH34TAG" pid="10">
    <vt:lpwstr>.TEZUF76X5TAHATHESADREYAK-00-INB160+*94600-06=f0439c06/-210a/-11e8/-9b95/-96f032c946f3,MD=20180306021458/-0500,ZZ=000Z-fe7e.</vt:lpwstr>
  </property>
</Properties>
</file>